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devactif.sharepoint.com/sites/armoireexpress/Documents partages/Marketing/Site web/ecommerce/pricing/"/>
    </mc:Choice>
  </mc:AlternateContent>
  <xr:revisionPtr revIDLastSave="0" documentId="8_{72A26BBA-2F99-4906-B706-63B2514DBC69}" xr6:coauthVersionLast="47" xr6:coauthVersionMax="47" xr10:uidLastSave="{00000000-0000-0000-0000-000000000000}"/>
  <bookViews>
    <workbookView xWindow="-120" yWindow="-120" windowWidth="29040" windowHeight="15720" tabRatio="500" firstSheet="2" xr2:uid="{00000000-000D-0000-FFFF-FFFF00000000}"/>
  </bookViews>
  <sheets>
    <sheet name="Products" sheetId="1" r:id="rId1"/>
    <sheet name="Categories" sheetId="2" r:id="rId2"/>
    <sheet name="Sheet1" sheetId="3" r:id="rId3"/>
    <sheet name="Assemblage" sheetId="4" r:id="rId4"/>
  </sheets>
  <definedNames>
    <definedName name="_xlnm._FilterDatabase" localSheetId="1" hidden="1">Categories!$A$1:$C$41</definedName>
    <definedName name="_xlnm._FilterDatabase" localSheetId="0" hidden="1">Products!$A$3:$AE$325</definedName>
    <definedName name="_xlnm.Print_Area" localSheetId="0">Products!$A$2:$AE$325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26" i="3" l="1"/>
  <c r="D620" i="3"/>
  <c r="D623" i="3" s="1"/>
  <c r="D630" i="3" s="1"/>
  <c r="D631" i="3" s="1"/>
  <c r="D618" i="3"/>
  <c r="D617" i="3"/>
  <c r="F613" i="3"/>
  <c r="F612" i="3"/>
  <c r="F611" i="3"/>
  <c r="F610" i="3"/>
  <c r="F609" i="3"/>
  <c r="D627" i="3" l="1"/>
  <c r="Z26" i="1" l="1"/>
  <c r="Z222" i="1"/>
  <c r="B300" i="3" l="1"/>
  <c r="B593" i="3" l="1"/>
  <c r="B583" i="3"/>
  <c r="B588" i="3" s="1"/>
  <c r="E577" i="3"/>
  <c r="F577" i="3"/>
  <c r="C560" i="3"/>
  <c r="F568" i="3"/>
  <c r="F569" i="3"/>
  <c r="F570" i="3"/>
  <c r="F571" i="3"/>
  <c r="F572" i="3"/>
  <c r="F573" i="3"/>
  <c r="F574" i="3"/>
  <c r="F575" i="3"/>
  <c r="F576" i="3"/>
  <c r="F578" i="3"/>
  <c r="F567" i="3"/>
  <c r="E567" i="3"/>
  <c r="E578" i="3"/>
  <c r="E576" i="3"/>
  <c r="E575" i="3"/>
  <c r="E574" i="3"/>
  <c r="E573" i="3"/>
  <c r="E572" i="3"/>
  <c r="E571" i="3"/>
  <c r="E570" i="3"/>
  <c r="E569" i="3"/>
  <c r="E568" i="3"/>
  <c r="E579" i="3" s="1"/>
  <c r="B594" i="3" l="1"/>
  <c r="B587" i="3"/>
  <c r="F579" i="3"/>
  <c r="G579" i="3" s="1"/>
  <c r="H579" i="3" s="1"/>
  <c r="D558" i="3" l="1"/>
  <c r="E558" i="3" s="1"/>
  <c r="D557" i="3"/>
  <c r="E557" i="3" s="1"/>
  <c r="D556" i="3"/>
  <c r="E556" i="3" s="1"/>
  <c r="D555" i="3"/>
  <c r="E555" i="3" s="1"/>
  <c r="B529" i="3" l="1"/>
  <c r="B542" i="3" s="1"/>
  <c r="H385" i="3"/>
  <c r="G387" i="3"/>
  <c r="B532" i="3" l="1"/>
  <c r="B544" i="3"/>
  <c r="B546" i="3" s="1"/>
  <c r="B547" i="3" s="1"/>
  <c r="B531" i="3"/>
  <c r="B549" i="3" l="1"/>
  <c r="B533" i="3"/>
  <c r="B534" i="3" s="1"/>
  <c r="H384" i="3" l="1"/>
  <c r="H374" i="3"/>
  <c r="H375" i="3"/>
  <c r="H376" i="3"/>
  <c r="H377" i="3"/>
  <c r="H378" i="3"/>
  <c r="H379" i="3"/>
  <c r="H380" i="3"/>
  <c r="H381" i="3"/>
  <c r="E368" i="3"/>
  <c r="F368" i="3" s="1"/>
  <c r="H387" i="3" l="1"/>
  <c r="B517" i="3"/>
  <c r="B516" i="3"/>
  <c r="B510" i="3"/>
  <c r="B512" i="3" s="1"/>
  <c r="B513" i="3" s="1"/>
  <c r="B499" i="3"/>
  <c r="B498" i="3"/>
  <c r="B501" i="3" l="1"/>
  <c r="B504" i="3" s="1"/>
  <c r="B519" i="3"/>
  <c r="B521" i="3" s="1"/>
  <c r="B522" i="3" s="1"/>
  <c r="C488" i="3"/>
  <c r="D489" i="3" s="1"/>
  <c r="D486" i="3"/>
  <c r="C486" i="3"/>
  <c r="E485" i="3"/>
  <c r="F485" i="3" s="1"/>
  <c r="E484" i="3"/>
  <c r="F484" i="3" s="1"/>
  <c r="E483" i="3"/>
  <c r="F483" i="3" s="1"/>
  <c r="E482" i="3"/>
  <c r="F482" i="3" s="1"/>
  <c r="E481" i="3"/>
  <c r="B461" i="3"/>
  <c r="E458" i="3"/>
  <c r="E457" i="3" s="1"/>
  <c r="C458" i="3"/>
  <c r="C457" i="3" s="1"/>
  <c r="D235" i="3"/>
  <c r="E235" i="3" s="1"/>
  <c r="B440" i="3"/>
  <c r="B439" i="3"/>
  <c r="B422" i="3"/>
  <c r="B421" i="3"/>
  <c r="B433" i="3"/>
  <c r="B435" i="3" s="1"/>
  <c r="B436" i="3" s="1"/>
  <c r="B409" i="3"/>
  <c r="B408" i="3"/>
  <c r="B403" i="3"/>
  <c r="B405" i="3" s="1"/>
  <c r="B406" i="3" s="1"/>
  <c r="B395" i="3"/>
  <c r="E359" i="3"/>
  <c r="F359" i="3" s="1"/>
  <c r="E358" i="3"/>
  <c r="F358" i="3" s="1"/>
  <c r="E357" i="3"/>
  <c r="F357" i="3" s="1"/>
  <c r="E366" i="3"/>
  <c r="F366" i="3" s="1"/>
  <c r="E367" i="3"/>
  <c r="F367" i="3" s="1"/>
  <c r="E365" i="3"/>
  <c r="F365" i="3" s="1"/>
  <c r="E364" i="3"/>
  <c r="F364" i="3" s="1"/>
  <c r="E354" i="3"/>
  <c r="F354" i="3" s="1"/>
  <c r="E353" i="3"/>
  <c r="F353" i="3" s="1"/>
  <c r="E352" i="3"/>
  <c r="F352" i="3" s="1"/>
  <c r="B321" i="3"/>
  <c r="B320" i="3"/>
  <c r="B310" i="3"/>
  <c r="B312" i="3" s="1"/>
  <c r="B304" i="3"/>
  <c r="B305" i="3" s="1"/>
  <c r="B307" i="3" s="1"/>
  <c r="B308" i="3" s="1"/>
  <c r="B295" i="3"/>
  <c r="B296" i="3" s="1"/>
  <c r="B294" i="3"/>
  <c r="B284" i="3"/>
  <c r="B283" i="3"/>
  <c r="B277" i="3"/>
  <c r="B278" i="3" s="1"/>
  <c r="B280" i="3" s="1"/>
  <c r="B281" i="3" s="1"/>
  <c r="B269" i="3"/>
  <c r="B270" i="3" s="1"/>
  <c r="C233" i="3"/>
  <c r="C240" i="3"/>
  <c r="D239" i="3"/>
  <c r="E239" i="3" s="1"/>
  <c r="D238" i="3"/>
  <c r="E238" i="3" s="1"/>
  <c r="D237" i="3"/>
  <c r="E237" i="3" s="1"/>
  <c r="D236" i="3"/>
  <c r="E236" i="3" s="1"/>
  <c r="B245" i="3"/>
  <c r="A245" i="3"/>
  <c r="C257" i="3"/>
  <c r="B257" i="3"/>
  <c r="B240" i="3"/>
  <c r="B228" i="3"/>
  <c r="C228" i="3" s="1"/>
  <c r="E228" i="3" s="1"/>
  <c r="F228" i="3" s="1"/>
  <c r="B227" i="3"/>
  <c r="C227" i="3" s="1"/>
  <c r="B74" i="3"/>
  <c r="C87" i="3"/>
  <c r="C86" i="3"/>
  <c r="B505" i="3" l="1"/>
  <c r="B524" i="3" s="1"/>
  <c r="E486" i="3"/>
  <c r="F486" i="3" s="1"/>
  <c r="B411" i="3"/>
  <c r="B413" i="3" s="1"/>
  <c r="B414" i="3" s="1"/>
  <c r="B442" i="3"/>
  <c r="C489" i="3"/>
  <c r="C492" i="3"/>
  <c r="C491" i="3"/>
  <c r="D493" i="3"/>
  <c r="D492" i="3"/>
  <c r="D491" i="3"/>
  <c r="D494" i="3" s="1"/>
  <c r="C490" i="3"/>
  <c r="C493" i="3"/>
  <c r="B444" i="3"/>
  <c r="B445" i="3" s="1"/>
  <c r="B506" i="3"/>
  <c r="B507" i="3" s="1"/>
  <c r="E490" i="3"/>
  <c r="F490" i="3" s="1"/>
  <c r="E489" i="3"/>
  <c r="F489" i="3" s="1"/>
  <c r="F481" i="3"/>
  <c r="B323" i="3"/>
  <c r="B336" i="3" s="1"/>
  <c r="B338" i="3" s="1"/>
  <c r="B340" i="3" s="1"/>
  <c r="B341" i="3" s="1"/>
  <c r="B424" i="3"/>
  <c r="B428" i="3" s="1"/>
  <c r="B447" i="3" s="1"/>
  <c r="B398" i="3"/>
  <c r="B397" i="3"/>
  <c r="B285" i="3"/>
  <c r="B287" i="3" s="1"/>
  <c r="B288" i="3" s="1"/>
  <c r="B297" i="3"/>
  <c r="B272" i="3"/>
  <c r="B273" i="3"/>
  <c r="B314" i="3"/>
  <c r="B315" i="3" s="1"/>
  <c r="D240" i="3"/>
  <c r="E240" i="3" s="1"/>
  <c r="C88" i="3"/>
  <c r="C230" i="3"/>
  <c r="E230" i="3" s="1"/>
  <c r="F230" i="3" s="1"/>
  <c r="E227" i="3"/>
  <c r="F227" i="3" s="1"/>
  <c r="B427" i="3" l="1"/>
  <c r="B429" i="3" s="1"/>
  <c r="B430" i="3" s="1"/>
  <c r="E491" i="3"/>
  <c r="F491" i="3" s="1"/>
  <c r="E492" i="3"/>
  <c r="F492" i="3" s="1"/>
  <c r="C494" i="3"/>
  <c r="E493" i="3"/>
  <c r="F493" i="3" s="1"/>
  <c r="B416" i="3"/>
  <c r="B399" i="3"/>
  <c r="B400" i="3" s="1"/>
  <c r="B299" i="3"/>
  <c r="B326" i="3"/>
  <c r="B325" i="3"/>
  <c r="B290" i="3"/>
  <c r="B274" i="3"/>
  <c r="B275" i="3" s="1"/>
  <c r="E494" i="3" l="1"/>
  <c r="F494" i="3" s="1"/>
  <c r="B317" i="3"/>
  <c r="B301" i="3"/>
  <c r="B302" i="3" s="1"/>
  <c r="B343" i="3"/>
  <c r="B327" i="3"/>
  <c r="B328" i="3" s="1"/>
  <c r="B83" i="3" l="1"/>
  <c r="B84" i="3" s="1"/>
  <c r="E111" i="3"/>
  <c r="F111" i="3" s="1"/>
  <c r="E112" i="3"/>
  <c r="F112" i="3" s="1"/>
  <c r="E113" i="3"/>
  <c r="F113" i="3" s="1"/>
  <c r="E114" i="3"/>
  <c r="F114" i="3" s="1"/>
  <c r="E115" i="3"/>
  <c r="F115" i="3" s="1"/>
  <c r="D110" i="3"/>
  <c r="D116" i="3" s="1"/>
  <c r="C110" i="3"/>
  <c r="E109" i="3"/>
  <c r="F109" i="3" s="1"/>
  <c r="E108" i="3"/>
  <c r="E110" i="3" l="1"/>
  <c r="F110" i="3" s="1"/>
  <c r="F108" i="3"/>
  <c r="E116" i="3" l="1"/>
  <c r="B103" i="3"/>
  <c r="B75" i="3"/>
  <c r="B76" i="3" s="1"/>
  <c r="E178" i="3"/>
  <c r="F178" i="3" s="1"/>
  <c r="D182" i="3" l="1"/>
  <c r="E181" i="3"/>
  <c r="F181" i="3" s="1"/>
  <c r="E180" i="3"/>
  <c r="F180" i="3" s="1"/>
  <c r="E179" i="3"/>
  <c r="F179" i="3" s="1"/>
  <c r="E177" i="3"/>
  <c r="F177" i="3" s="1"/>
  <c r="E176" i="3"/>
  <c r="F176" i="3" s="1"/>
  <c r="E182" i="3" l="1"/>
  <c r="A169" i="3" l="1"/>
  <c r="A171" i="3" s="1"/>
  <c r="A164" i="3"/>
  <c r="A165" i="3" s="1"/>
  <c r="A166" i="3" l="1"/>
  <c r="A167" i="3" s="1"/>
  <c r="A170" i="3"/>
  <c r="A172" i="3" s="1"/>
  <c r="B129" i="3" l="1"/>
  <c r="B131" i="3" s="1"/>
  <c r="B71" i="3"/>
  <c r="G25" i="3" l="1"/>
  <c r="G24" i="3"/>
  <c r="E319" i="1"/>
  <c r="H222" i="1"/>
  <c r="E222" i="1"/>
  <c r="O192" i="1"/>
  <c r="R5" i="1"/>
  <c r="S5" i="1" s="1"/>
  <c r="T5" i="1" s="1"/>
  <c r="U5" i="1" s="1"/>
  <c r="V5" i="1" s="1"/>
  <c r="W5" i="1" s="1"/>
  <c r="X5" i="1" s="1"/>
  <c r="Z5" i="1" s="1"/>
  <c r="R6" i="1"/>
  <c r="S6" i="1" s="1"/>
  <c r="T6" i="1" s="1"/>
  <c r="U6" i="1" s="1"/>
  <c r="V6" i="1" s="1"/>
  <c r="W6" i="1" s="1"/>
  <c r="X6" i="1" s="1"/>
  <c r="Z6" i="1" s="1"/>
  <c r="R7" i="1"/>
  <c r="S7" i="1" s="1"/>
  <c r="T7" i="1" s="1"/>
  <c r="U7" i="1" s="1"/>
  <c r="V7" i="1" s="1"/>
  <c r="W7" i="1" s="1"/>
  <c r="X7" i="1" s="1"/>
  <c r="Z7" i="1" s="1"/>
  <c r="R8" i="1"/>
  <c r="S8" i="1" s="1"/>
  <c r="T8" i="1" s="1"/>
  <c r="U8" i="1" s="1"/>
  <c r="V8" i="1" s="1"/>
  <c r="W8" i="1" s="1"/>
  <c r="X8" i="1" s="1"/>
  <c r="Z8" i="1" s="1"/>
  <c r="R9" i="1"/>
  <c r="S9" i="1" s="1"/>
  <c r="T9" i="1" s="1"/>
  <c r="U9" i="1" s="1"/>
  <c r="V9" i="1" s="1"/>
  <c r="W9" i="1" s="1"/>
  <c r="X9" i="1" s="1"/>
  <c r="Z9" i="1" s="1"/>
  <c r="R31" i="1"/>
  <c r="S31" i="1" s="1"/>
  <c r="T31" i="1" s="1"/>
  <c r="U31" i="1" s="1"/>
  <c r="V31" i="1" s="1"/>
  <c r="W31" i="1" s="1"/>
  <c r="X31" i="1" s="1"/>
  <c r="Z31" i="1" s="1"/>
  <c r="R32" i="1"/>
  <c r="S32" i="1" s="1"/>
  <c r="T32" i="1" s="1"/>
  <c r="U32" i="1" s="1"/>
  <c r="V32" i="1" s="1"/>
  <c r="W32" i="1" s="1"/>
  <c r="X32" i="1" s="1"/>
  <c r="Z32" i="1" s="1"/>
  <c r="R12" i="1"/>
  <c r="S12" i="1" s="1"/>
  <c r="T12" i="1" s="1"/>
  <c r="U12" i="1" s="1"/>
  <c r="V12" i="1" s="1"/>
  <c r="W12" i="1" s="1"/>
  <c r="X12" i="1" s="1"/>
  <c r="Z12" i="1" s="1"/>
  <c r="R13" i="1"/>
  <c r="S13" i="1" s="1"/>
  <c r="T13" i="1" s="1"/>
  <c r="U13" i="1" s="1"/>
  <c r="V13" i="1" s="1"/>
  <c r="W13" i="1" s="1"/>
  <c r="X13" i="1" s="1"/>
  <c r="Z13" i="1" s="1"/>
  <c r="R33" i="1"/>
  <c r="S33" i="1" s="1"/>
  <c r="T33" i="1" s="1"/>
  <c r="U33" i="1" s="1"/>
  <c r="V33" i="1" s="1"/>
  <c r="W33" i="1" s="1"/>
  <c r="X33" i="1" s="1"/>
  <c r="Z33" i="1" s="1"/>
  <c r="R34" i="1"/>
  <c r="S34" i="1" s="1"/>
  <c r="T34" i="1" s="1"/>
  <c r="U34" i="1" s="1"/>
  <c r="V34" i="1" s="1"/>
  <c r="W34" i="1" s="1"/>
  <c r="X34" i="1" s="1"/>
  <c r="Z34" i="1" s="1"/>
  <c r="R35" i="1"/>
  <c r="S35" i="1" s="1"/>
  <c r="T35" i="1" s="1"/>
  <c r="U35" i="1" s="1"/>
  <c r="V35" i="1" s="1"/>
  <c r="W35" i="1" s="1"/>
  <c r="X35" i="1" s="1"/>
  <c r="Z35" i="1" s="1"/>
  <c r="R36" i="1"/>
  <c r="S36" i="1" s="1"/>
  <c r="T36" i="1" s="1"/>
  <c r="U36" i="1" s="1"/>
  <c r="V36" i="1" s="1"/>
  <c r="W36" i="1" s="1"/>
  <c r="X36" i="1" s="1"/>
  <c r="Z36" i="1" s="1"/>
  <c r="R37" i="1"/>
  <c r="S37" i="1" s="1"/>
  <c r="T37" i="1" s="1"/>
  <c r="U37" i="1" s="1"/>
  <c r="V37" i="1" s="1"/>
  <c r="W37" i="1" s="1"/>
  <c r="X37" i="1" s="1"/>
  <c r="Z37" i="1" s="1"/>
  <c r="R38" i="1"/>
  <c r="S38" i="1" s="1"/>
  <c r="T38" i="1" s="1"/>
  <c r="U38" i="1" s="1"/>
  <c r="V38" i="1" s="1"/>
  <c r="W38" i="1" s="1"/>
  <c r="X38" i="1" s="1"/>
  <c r="Z38" i="1" s="1"/>
  <c r="R226" i="1"/>
  <c r="S226" i="1" s="1"/>
  <c r="T226" i="1" s="1"/>
  <c r="U226" i="1" s="1"/>
  <c r="V226" i="1" s="1"/>
  <c r="W226" i="1" s="1"/>
  <c r="X226" i="1" s="1"/>
  <c r="Z226" i="1" s="1"/>
  <c r="R228" i="1"/>
  <c r="S228" i="1" s="1"/>
  <c r="T228" i="1" s="1"/>
  <c r="U228" i="1" s="1"/>
  <c r="V228" i="1" s="1"/>
  <c r="W228" i="1" s="1"/>
  <c r="X228" i="1" s="1"/>
  <c r="Z228" i="1" s="1"/>
  <c r="R229" i="1"/>
  <c r="S229" i="1" s="1"/>
  <c r="T229" i="1" s="1"/>
  <c r="U229" i="1" s="1"/>
  <c r="V229" i="1" s="1"/>
  <c r="W229" i="1" s="1"/>
  <c r="X229" i="1" s="1"/>
  <c r="Z229" i="1" s="1"/>
  <c r="R235" i="1"/>
  <c r="S235" i="1" s="1"/>
  <c r="T235" i="1" s="1"/>
  <c r="U235" i="1" s="1"/>
  <c r="V235" i="1" s="1"/>
  <c r="W235" i="1" s="1"/>
  <c r="X235" i="1" s="1"/>
  <c r="Z235" i="1" s="1"/>
  <c r="R236" i="1"/>
  <c r="S236" i="1" s="1"/>
  <c r="T236" i="1" s="1"/>
  <c r="U236" i="1" s="1"/>
  <c r="V236" i="1" s="1"/>
  <c r="W236" i="1" s="1"/>
  <c r="X236" i="1" s="1"/>
  <c r="Z236" i="1" s="1"/>
  <c r="R237" i="1"/>
  <c r="S237" i="1" s="1"/>
  <c r="T237" i="1" s="1"/>
  <c r="U237" i="1" s="1"/>
  <c r="V237" i="1" s="1"/>
  <c r="W237" i="1" s="1"/>
  <c r="X237" i="1" s="1"/>
  <c r="Z237" i="1" s="1"/>
  <c r="R238" i="1"/>
  <c r="S238" i="1" s="1"/>
  <c r="T238" i="1" s="1"/>
  <c r="U238" i="1" s="1"/>
  <c r="V238" i="1" s="1"/>
  <c r="W238" i="1" s="1"/>
  <c r="X238" i="1" s="1"/>
  <c r="Z238" i="1" s="1"/>
  <c r="R239" i="1"/>
  <c r="S239" i="1" s="1"/>
  <c r="T239" i="1" s="1"/>
  <c r="U239" i="1" s="1"/>
  <c r="V239" i="1" s="1"/>
  <c r="W239" i="1" s="1"/>
  <c r="X239" i="1" s="1"/>
  <c r="Z239" i="1" s="1"/>
  <c r="R240" i="1"/>
  <c r="S240" i="1" s="1"/>
  <c r="T240" i="1" s="1"/>
  <c r="U240" i="1" s="1"/>
  <c r="V240" i="1" s="1"/>
  <c r="W240" i="1" s="1"/>
  <c r="X240" i="1" s="1"/>
  <c r="Z240" i="1" s="1"/>
  <c r="R263" i="1"/>
  <c r="S263" i="1" s="1"/>
  <c r="T263" i="1" s="1"/>
  <c r="U263" i="1" s="1"/>
  <c r="V263" i="1" s="1"/>
  <c r="W263" i="1" s="1"/>
  <c r="X263" i="1" s="1"/>
  <c r="Z263" i="1" s="1"/>
  <c r="R264" i="1"/>
  <c r="S264" i="1" s="1"/>
  <c r="T264" i="1" s="1"/>
  <c r="U264" i="1" s="1"/>
  <c r="V264" i="1" s="1"/>
  <c r="W264" i="1" s="1"/>
  <c r="X264" i="1" s="1"/>
  <c r="Z264" i="1" s="1"/>
  <c r="R265" i="1"/>
  <c r="S265" i="1" s="1"/>
  <c r="T265" i="1" s="1"/>
  <c r="U265" i="1" s="1"/>
  <c r="V265" i="1" s="1"/>
  <c r="W265" i="1" s="1"/>
  <c r="X265" i="1" s="1"/>
  <c r="Z265" i="1" s="1"/>
  <c r="R266" i="1"/>
  <c r="S266" i="1" s="1"/>
  <c r="T266" i="1" s="1"/>
  <c r="U266" i="1" s="1"/>
  <c r="V266" i="1" s="1"/>
  <c r="W266" i="1" s="1"/>
  <c r="X266" i="1" s="1"/>
  <c r="Z266" i="1" s="1"/>
  <c r="R267" i="1"/>
  <c r="S267" i="1" s="1"/>
  <c r="T267" i="1" s="1"/>
  <c r="U267" i="1" s="1"/>
  <c r="V267" i="1" s="1"/>
  <c r="W267" i="1" s="1"/>
  <c r="X267" i="1" s="1"/>
  <c r="Z267" i="1" s="1"/>
  <c r="R268" i="1"/>
  <c r="S268" i="1" s="1"/>
  <c r="T268" i="1" s="1"/>
  <c r="U268" i="1" s="1"/>
  <c r="V268" i="1" s="1"/>
  <c r="W268" i="1" s="1"/>
  <c r="X268" i="1" s="1"/>
  <c r="Z268" i="1" s="1"/>
  <c r="R269" i="1"/>
  <c r="S269" i="1" s="1"/>
  <c r="T269" i="1" s="1"/>
  <c r="U269" i="1" s="1"/>
  <c r="V269" i="1" s="1"/>
  <c r="W269" i="1" s="1"/>
  <c r="X269" i="1" s="1"/>
  <c r="Z269" i="1" s="1"/>
  <c r="R271" i="1"/>
  <c r="S271" i="1" s="1"/>
  <c r="T271" i="1" s="1"/>
  <c r="U271" i="1" s="1"/>
  <c r="V271" i="1" s="1"/>
  <c r="W271" i="1" s="1"/>
  <c r="X271" i="1" s="1"/>
  <c r="Z271" i="1" s="1"/>
  <c r="R272" i="1"/>
  <c r="S272" i="1" s="1"/>
  <c r="T272" i="1" s="1"/>
  <c r="U272" i="1" s="1"/>
  <c r="V272" i="1" s="1"/>
  <c r="W272" i="1" s="1"/>
  <c r="X272" i="1" s="1"/>
  <c r="Z272" i="1" s="1"/>
  <c r="R273" i="1"/>
  <c r="S273" i="1" s="1"/>
  <c r="T273" i="1" s="1"/>
  <c r="U273" i="1" s="1"/>
  <c r="V273" i="1" s="1"/>
  <c r="W273" i="1" s="1"/>
  <c r="X273" i="1" s="1"/>
  <c r="Z273" i="1" s="1"/>
  <c r="R274" i="1"/>
  <c r="S274" i="1" s="1"/>
  <c r="T274" i="1" s="1"/>
  <c r="U274" i="1" s="1"/>
  <c r="V274" i="1" s="1"/>
  <c r="W274" i="1" s="1"/>
  <c r="X274" i="1" s="1"/>
  <c r="Z274" i="1" s="1"/>
  <c r="R40" i="1"/>
  <c r="S40" i="1" s="1"/>
  <c r="T40" i="1" s="1"/>
  <c r="U40" i="1" s="1"/>
  <c r="V40" i="1" s="1"/>
  <c r="W40" i="1" s="1"/>
  <c r="X40" i="1" s="1"/>
  <c r="Z40" i="1" s="1"/>
  <c r="R41" i="1"/>
  <c r="S41" i="1" s="1"/>
  <c r="T41" i="1" s="1"/>
  <c r="U41" i="1" s="1"/>
  <c r="V41" i="1" s="1"/>
  <c r="W41" i="1" s="1"/>
  <c r="X41" i="1" s="1"/>
  <c r="Z41" i="1" s="1"/>
  <c r="R39" i="1"/>
  <c r="S39" i="1" s="1"/>
  <c r="T39" i="1" s="1"/>
  <c r="U39" i="1" s="1"/>
  <c r="V39" i="1" s="1"/>
  <c r="W39" i="1" s="1"/>
  <c r="X39" i="1" s="1"/>
  <c r="Z39" i="1" s="1"/>
  <c r="R42" i="1"/>
  <c r="S42" i="1" s="1"/>
  <c r="T42" i="1" s="1"/>
  <c r="U42" i="1" s="1"/>
  <c r="V42" i="1" s="1"/>
  <c r="W42" i="1" s="1"/>
  <c r="X42" i="1" s="1"/>
  <c r="Z42" i="1" s="1"/>
  <c r="R275" i="1"/>
  <c r="S275" i="1" s="1"/>
  <c r="T275" i="1" s="1"/>
  <c r="U275" i="1" s="1"/>
  <c r="V275" i="1" s="1"/>
  <c r="W275" i="1" s="1"/>
  <c r="X275" i="1" s="1"/>
  <c r="Z275" i="1" s="1"/>
  <c r="R276" i="1"/>
  <c r="S276" i="1" s="1"/>
  <c r="T276" i="1" s="1"/>
  <c r="U276" i="1" s="1"/>
  <c r="V276" i="1" s="1"/>
  <c r="W276" i="1" s="1"/>
  <c r="X276" i="1" s="1"/>
  <c r="Z276" i="1" s="1"/>
  <c r="R277" i="1"/>
  <c r="S277" i="1" s="1"/>
  <c r="T277" i="1" s="1"/>
  <c r="U277" i="1" s="1"/>
  <c r="V277" i="1" s="1"/>
  <c r="W277" i="1" s="1"/>
  <c r="X277" i="1" s="1"/>
  <c r="Z277" i="1" s="1"/>
  <c r="R43" i="1"/>
  <c r="S43" i="1" s="1"/>
  <c r="T43" i="1" s="1"/>
  <c r="U43" i="1" s="1"/>
  <c r="V43" i="1" s="1"/>
  <c r="W43" i="1" s="1"/>
  <c r="X43" i="1" s="1"/>
  <c r="Z43" i="1" s="1"/>
  <c r="R44" i="1"/>
  <c r="S44" i="1" s="1"/>
  <c r="T44" i="1" s="1"/>
  <c r="U44" i="1" s="1"/>
  <c r="V44" i="1" s="1"/>
  <c r="W44" i="1" s="1"/>
  <c r="X44" i="1" s="1"/>
  <c r="Z44" i="1" s="1"/>
  <c r="R45" i="1"/>
  <c r="S45" i="1" s="1"/>
  <c r="T45" i="1" s="1"/>
  <c r="U45" i="1" s="1"/>
  <c r="V45" i="1" s="1"/>
  <c r="W45" i="1" s="1"/>
  <c r="X45" i="1" s="1"/>
  <c r="Z45" i="1" s="1"/>
  <c r="R46" i="1"/>
  <c r="S46" i="1" s="1"/>
  <c r="T46" i="1" s="1"/>
  <c r="U46" i="1" s="1"/>
  <c r="V46" i="1" s="1"/>
  <c r="W46" i="1" s="1"/>
  <c r="X46" i="1" s="1"/>
  <c r="Z46" i="1" s="1"/>
  <c r="R47" i="1"/>
  <c r="S47" i="1" s="1"/>
  <c r="T47" i="1" s="1"/>
  <c r="U47" i="1" s="1"/>
  <c r="V47" i="1" s="1"/>
  <c r="W47" i="1" s="1"/>
  <c r="X47" i="1" s="1"/>
  <c r="Z47" i="1" s="1"/>
  <c r="R48" i="1"/>
  <c r="S48" i="1" s="1"/>
  <c r="T48" i="1" s="1"/>
  <c r="U48" i="1" s="1"/>
  <c r="V48" i="1" s="1"/>
  <c r="W48" i="1" s="1"/>
  <c r="X48" i="1" s="1"/>
  <c r="Z48" i="1" s="1"/>
  <c r="R49" i="1"/>
  <c r="S49" i="1" s="1"/>
  <c r="T49" i="1" s="1"/>
  <c r="U49" i="1" s="1"/>
  <c r="V49" i="1" s="1"/>
  <c r="W49" i="1" s="1"/>
  <c r="X49" i="1" s="1"/>
  <c r="Z49" i="1" s="1"/>
  <c r="R50" i="1"/>
  <c r="S50" i="1" s="1"/>
  <c r="T50" i="1" s="1"/>
  <c r="U50" i="1" s="1"/>
  <c r="V50" i="1" s="1"/>
  <c r="W50" i="1" s="1"/>
  <c r="X50" i="1" s="1"/>
  <c r="Z50" i="1" s="1"/>
  <c r="R51" i="1"/>
  <c r="S51" i="1" s="1"/>
  <c r="T51" i="1" s="1"/>
  <c r="U51" i="1" s="1"/>
  <c r="V51" i="1" s="1"/>
  <c r="W51" i="1" s="1"/>
  <c r="X51" i="1" s="1"/>
  <c r="Z51" i="1" s="1"/>
  <c r="R52" i="1"/>
  <c r="S52" i="1" s="1"/>
  <c r="T52" i="1" s="1"/>
  <c r="U52" i="1" s="1"/>
  <c r="V52" i="1" s="1"/>
  <c r="W52" i="1" s="1"/>
  <c r="X52" i="1" s="1"/>
  <c r="Z52" i="1" s="1"/>
  <c r="R53" i="1"/>
  <c r="S53" i="1" s="1"/>
  <c r="T53" i="1" s="1"/>
  <c r="U53" i="1" s="1"/>
  <c r="V53" i="1" s="1"/>
  <c r="W53" i="1" s="1"/>
  <c r="X53" i="1" s="1"/>
  <c r="Z53" i="1" s="1"/>
  <c r="R54" i="1"/>
  <c r="S54" i="1" s="1"/>
  <c r="T54" i="1" s="1"/>
  <c r="U54" i="1" s="1"/>
  <c r="V54" i="1" s="1"/>
  <c r="W54" i="1" s="1"/>
  <c r="X54" i="1" s="1"/>
  <c r="Z54" i="1" s="1"/>
  <c r="R55" i="1"/>
  <c r="S55" i="1" s="1"/>
  <c r="T55" i="1" s="1"/>
  <c r="U55" i="1" s="1"/>
  <c r="V55" i="1" s="1"/>
  <c r="W55" i="1" s="1"/>
  <c r="X55" i="1" s="1"/>
  <c r="Z55" i="1" s="1"/>
  <c r="R56" i="1"/>
  <c r="S56" i="1" s="1"/>
  <c r="T56" i="1" s="1"/>
  <c r="U56" i="1" s="1"/>
  <c r="V56" i="1" s="1"/>
  <c r="W56" i="1" s="1"/>
  <c r="X56" i="1" s="1"/>
  <c r="Z56" i="1" s="1"/>
  <c r="R57" i="1"/>
  <c r="S57" i="1" s="1"/>
  <c r="T57" i="1" s="1"/>
  <c r="U57" i="1" s="1"/>
  <c r="V57" i="1" s="1"/>
  <c r="W57" i="1" s="1"/>
  <c r="X57" i="1" s="1"/>
  <c r="Z57" i="1" s="1"/>
  <c r="R58" i="1"/>
  <c r="S58" i="1" s="1"/>
  <c r="T58" i="1" s="1"/>
  <c r="U58" i="1" s="1"/>
  <c r="V58" i="1" s="1"/>
  <c r="W58" i="1" s="1"/>
  <c r="X58" i="1" s="1"/>
  <c r="Z58" i="1" s="1"/>
  <c r="R59" i="1"/>
  <c r="S59" i="1" s="1"/>
  <c r="T59" i="1" s="1"/>
  <c r="U59" i="1" s="1"/>
  <c r="V59" i="1" s="1"/>
  <c r="W59" i="1" s="1"/>
  <c r="X59" i="1" s="1"/>
  <c r="Z59" i="1" s="1"/>
  <c r="R60" i="1"/>
  <c r="S60" i="1" s="1"/>
  <c r="T60" i="1" s="1"/>
  <c r="U60" i="1" s="1"/>
  <c r="V60" i="1" s="1"/>
  <c r="W60" i="1" s="1"/>
  <c r="X60" i="1" s="1"/>
  <c r="Z60" i="1" s="1"/>
  <c r="R61" i="1"/>
  <c r="S61" i="1" s="1"/>
  <c r="T61" i="1" s="1"/>
  <c r="U61" i="1" s="1"/>
  <c r="V61" i="1" s="1"/>
  <c r="W61" i="1" s="1"/>
  <c r="X61" i="1" s="1"/>
  <c r="Z61" i="1" s="1"/>
  <c r="R62" i="1"/>
  <c r="S62" i="1" s="1"/>
  <c r="T62" i="1" s="1"/>
  <c r="U62" i="1" s="1"/>
  <c r="V62" i="1" s="1"/>
  <c r="W62" i="1" s="1"/>
  <c r="X62" i="1" s="1"/>
  <c r="Z62" i="1" s="1"/>
  <c r="R63" i="1"/>
  <c r="S63" i="1" s="1"/>
  <c r="T63" i="1" s="1"/>
  <c r="U63" i="1" s="1"/>
  <c r="V63" i="1" s="1"/>
  <c r="W63" i="1" s="1"/>
  <c r="X63" i="1" s="1"/>
  <c r="Z63" i="1" s="1"/>
  <c r="R64" i="1"/>
  <c r="S64" i="1" s="1"/>
  <c r="T64" i="1" s="1"/>
  <c r="U64" i="1" s="1"/>
  <c r="V64" i="1" s="1"/>
  <c r="W64" i="1" s="1"/>
  <c r="X64" i="1" s="1"/>
  <c r="Z64" i="1" s="1"/>
  <c r="R65" i="1"/>
  <c r="S65" i="1" s="1"/>
  <c r="T65" i="1" s="1"/>
  <c r="U65" i="1" s="1"/>
  <c r="V65" i="1" s="1"/>
  <c r="W65" i="1" s="1"/>
  <c r="X65" i="1" s="1"/>
  <c r="Z65" i="1" s="1"/>
  <c r="R66" i="1"/>
  <c r="S66" i="1" s="1"/>
  <c r="T66" i="1" s="1"/>
  <c r="U66" i="1" s="1"/>
  <c r="V66" i="1" s="1"/>
  <c r="W66" i="1" s="1"/>
  <c r="X66" i="1" s="1"/>
  <c r="Z66" i="1" s="1"/>
  <c r="R67" i="1"/>
  <c r="S67" i="1" s="1"/>
  <c r="T67" i="1" s="1"/>
  <c r="U67" i="1" s="1"/>
  <c r="V67" i="1" s="1"/>
  <c r="W67" i="1" s="1"/>
  <c r="X67" i="1" s="1"/>
  <c r="Z67" i="1" s="1"/>
  <c r="R68" i="1"/>
  <c r="S68" i="1" s="1"/>
  <c r="T68" i="1" s="1"/>
  <c r="U68" i="1" s="1"/>
  <c r="V68" i="1" s="1"/>
  <c r="W68" i="1" s="1"/>
  <c r="X68" i="1" s="1"/>
  <c r="Z68" i="1" s="1"/>
  <c r="R69" i="1"/>
  <c r="S69" i="1" s="1"/>
  <c r="T69" i="1" s="1"/>
  <c r="U69" i="1" s="1"/>
  <c r="V69" i="1" s="1"/>
  <c r="W69" i="1" s="1"/>
  <c r="X69" i="1" s="1"/>
  <c r="Z69" i="1" s="1"/>
  <c r="R70" i="1"/>
  <c r="S70" i="1" s="1"/>
  <c r="T70" i="1" s="1"/>
  <c r="U70" i="1" s="1"/>
  <c r="V70" i="1" s="1"/>
  <c r="W70" i="1" s="1"/>
  <c r="X70" i="1" s="1"/>
  <c r="Z70" i="1" s="1"/>
  <c r="R71" i="1"/>
  <c r="S71" i="1" s="1"/>
  <c r="T71" i="1" s="1"/>
  <c r="U71" i="1" s="1"/>
  <c r="V71" i="1" s="1"/>
  <c r="W71" i="1" s="1"/>
  <c r="X71" i="1" s="1"/>
  <c r="Z71" i="1" s="1"/>
  <c r="R278" i="1"/>
  <c r="S278" i="1" s="1"/>
  <c r="T278" i="1" s="1"/>
  <c r="U278" i="1" s="1"/>
  <c r="V278" i="1" s="1"/>
  <c r="W278" i="1" s="1"/>
  <c r="X278" i="1" s="1"/>
  <c r="Z278" i="1" s="1"/>
  <c r="R279" i="1"/>
  <c r="S279" i="1" s="1"/>
  <c r="T279" i="1" s="1"/>
  <c r="U279" i="1" s="1"/>
  <c r="V279" i="1" s="1"/>
  <c r="W279" i="1" s="1"/>
  <c r="X279" i="1" s="1"/>
  <c r="Z279" i="1" s="1"/>
  <c r="R72" i="1"/>
  <c r="S72" i="1" s="1"/>
  <c r="T72" i="1" s="1"/>
  <c r="U72" i="1" s="1"/>
  <c r="V72" i="1" s="1"/>
  <c r="W72" i="1" s="1"/>
  <c r="X72" i="1" s="1"/>
  <c r="Z72" i="1" s="1"/>
  <c r="R73" i="1"/>
  <c r="S73" i="1" s="1"/>
  <c r="T73" i="1" s="1"/>
  <c r="U73" i="1" s="1"/>
  <c r="V73" i="1" s="1"/>
  <c r="W73" i="1" s="1"/>
  <c r="X73" i="1" s="1"/>
  <c r="Z73" i="1" s="1"/>
  <c r="R74" i="1"/>
  <c r="S74" i="1" s="1"/>
  <c r="T74" i="1" s="1"/>
  <c r="U74" i="1" s="1"/>
  <c r="V74" i="1" s="1"/>
  <c r="W74" i="1" s="1"/>
  <c r="X74" i="1" s="1"/>
  <c r="Z74" i="1" s="1"/>
  <c r="R75" i="1"/>
  <c r="S75" i="1" s="1"/>
  <c r="T75" i="1" s="1"/>
  <c r="U75" i="1" s="1"/>
  <c r="V75" i="1" s="1"/>
  <c r="W75" i="1" s="1"/>
  <c r="X75" i="1" s="1"/>
  <c r="Z75" i="1" s="1"/>
  <c r="R76" i="1"/>
  <c r="S76" i="1" s="1"/>
  <c r="T76" i="1" s="1"/>
  <c r="U76" i="1" s="1"/>
  <c r="V76" i="1" s="1"/>
  <c r="W76" i="1" s="1"/>
  <c r="X76" i="1" s="1"/>
  <c r="Z76" i="1" s="1"/>
  <c r="R77" i="1"/>
  <c r="S77" i="1" s="1"/>
  <c r="T77" i="1" s="1"/>
  <c r="U77" i="1" s="1"/>
  <c r="V77" i="1" s="1"/>
  <c r="W77" i="1" s="1"/>
  <c r="X77" i="1" s="1"/>
  <c r="Z77" i="1" s="1"/>
  <c r="R78" i="1"/>
  <c r="S78" i="1" s="1"/>
  <c r="T78" i="1" s="1"/>
  <c r="U78" i="1" s="1"/>
  <c r="V78" i="1" s="1"/>
  <c r="W78" i="1" s="1"/>
  <c r="X78" i="1" s="1"/>
  <c r="Z78" i="1" s="1"/>
  <c r="R79" i="1"/>
  <c r="S79" i="1" s="1"/>
  <c r="T79" i="1" s="1"/>
  <c r="U79" i="1" s="1"/>
  <c r="V79" i="1" s="1"/>
  <c r="W79" i="1" s="1"/>
  <c r="X79" i="1" s="1"/>
  <c r="Z79" i="1" s="1"/>
  <c r="R80" i="1"/>
  <c r="S80" i="1" s="1"/>
  <c r="T80" i="1" s="1"/>
  <c r="U80" i="1" s="1"/>
  <c r="V80" i="1" s="1"/>
  <c r="W80" i="1" s="1"/>
  <c r="X80" i="1" s="1"/>
  <c r="Z80" i="1" s="1"/>
  <c r="R81" i="1"/>
  <c r="S81" i="1" s="1"/>
  <c r="T81" i="1" s="1"/>
  <c r="U81" i="1" s="1"/>
  <c r="V81" i="1" s="1"/>
  <c r="W81" i="1" s="1"/>
  <c r="X81" i="1" s="1"/>
  <c r="Z81" i="1" s="1"/>
  <c r="R82" i="1"/>
  <c r="S82" i="1" s="1"/>
  <c r="T82" i="1" s="1"/>
  <c r="U82" i="1" s="1"/>
  <c r="V82" i="1" s="1"/>
  <c r="W82" i="1" s="1"/>
  <c r="X82" i="1" s="1"/>
  <c r="Z82" i="1" s="1"/>
  <c r="R83" i="1"/>
  <c r="S83" i="1" s="1"/>
  <c r="T83" i="1" s="1"/>
  <c r="U83" i="1" s="1"/>
  <c r="V83" i="1" s="1"/>
  <c r="W83" i="1" s="1"/>
  <c r="X83" i="1" s="1"/>
  <c r="Z83" i="1" s="1"/>
  <c r="R84" i="1"/>
  <c r="S84" i="1" s="1"/>
  <c r="T84" i="1" s="1"/>
  <c r="U84" i="1" s="1"/>
  <c r="V84" i="1" s="1"/>
  <c r="W84" i="1" s="1"/>
  <c r="X84" i="1" s="1"/>
  <c r="Z84" i="1" s="1"/>
  <c r="R85" i="1"/>
  <c r="S85" i="1" s="1"/>
  <c r="T85" i="1" s="1"/>
  <c r="U85" i="1" s="1"/>
  <c r="V85" i="1" s="1"/>
  <c r="W85" i="1" s="1"/>
  <c r="X85" i="1" s="1"/>
  <c r="Z85" i="1" s="1"/>
  <c r="R86" i="1"/>
  <c r="S86" i="1" s="1"/>
  <c r="T86" i="1" s="1"/>
  <c r="U86" i="1" s="1"/>
  <c r="V86" i="1" s="1"/>
  <c r="W86" i="1" s="1"/>
  <c r="X86" i="1" s="1"/>
  <c r="R87" i="1"/>
  <c r="S87" i="1" s="1"/>
  <c r="T87" i="1" s="1"/>
  <c r="U87" i="1" s="1"/>
  <c r="V87" i="1" s="1"/>
  <c r="W87" i="1" s="1"/>
  <c r="X87" i="1" s="1"/>
  <c r="Z87" i="1" s="1"/>
  <c r="R88" i="1"/>
  <c r="S88" i="1" s="1"/>
  <c r="T88" i="1" s="1"/>
  <c r="U88" i="1" s="1"/>
  <c r="V88" i="1" s="1"/>
  <c r="W88" i="1" s="1"/>
  <c r="X88" i="1" s="1"/>
  <c r="Z88" i="1" s="1"/>
  <c r="R89" i="1"/>
  <c r="S89" i="1" s="1"/>
  <c r="T89" i="1" s="1"/>
  <c r="U89" i="1" s="1"/>
  <c r="V89" i="1" s="1"/>
  <c r="W89" i="1" s="1"/>
  <c r="X89" i="1" s="1"/>
  <c r="Z89" i="1" s="1"/>
  <c r="R90" i="1"/>
  <c r="S90" i="1" s="1"/>
  <c r="T90" i="1" s="1"/>
  <c r="U90" i="1" s="1"/>
  <c r="V90" i="1" s="1"/>
  <c r="W90" i="1" s="1"/>
  <c r="X90" i="1" s="1"/>
  <c r="Z90" i="1" s="1"/>
  <c r="R91" i="1"/>
  <c r="S91" i="1" s="1"/>
  <c r="T91" i="1" s="1"/>
  <c r="U91" i="1" s="1"/>
  <c r="V91" i="1" s="1"/>
  <c r="W91" i="1" s="1"/>
  <c r="X91" i="1" s="1"/>
  <c r="Z91" i="1" s="1"/>
  <c r="R92" i="1"/>
  <c r="S92" i="1" s="1"/>
  <c r="T92" i="1" s="1"/>
  <c r="U92" i="1" s="1"/>
  <c r="V92" i="1" s="1"/>
  <c r="W92" i="1" s="1"/>
  <c r="X92" i="1" s="1"/>
  <c r="Z92" i="1" s="1"/>
  <c r="R93" i="1"/>
  <c r="S93" i="1" s="1"/>
  <c r="T93" i="1" s="1"/>
  <c r="U93" i="1" s="1"/>
  <c r="V93" i="1" s="1"/>
  <c r="W93" i="1" s="1"/>
  <c r="X93" i="1" s="1"/>
  <c r="Z93" i="1" s="1"/>
  <c r="R94" i="1"/>
  <c r="S94" i="1" s="1"/>
  <c r="T94" i="1" s="1"/>
  <c r="U94" i="1" s="1"/>
  <c r="V94" i="1" s="1"/>
  <c r="W94" i="1" s="1"/>
  <c r="X94" i="1" s="1"/>
  <c r="Z94" i="1" s="1"/>
  <c r="R95" i="1"/>
  <c r="S95" i="1" s="1"/>
  <c r="T95" i="1" s="1"/>
  <c r="U95" i="1" s="1"/>
  <c r="V95" i="1" s="1"/>
  <c r="W95" i="1" s="1"/>
  <c r="X95" i="1" s="1"/>
  <c r="Z95" i="1" s="1"/>
  <c r="R96" i="1"/>
  <c r="S96" i="1" s="1"/>
  <c r="T96" i="1" s="1"/>
  <c r="U96" i="1" s="1"/>
  <c r="V96" i="1" s="1"/>
  <c r="W96" i="1" s="1"/>
  <c r="X96" i="1" s="1"/>
  <c r="Z96" i="1" s="1"/>
  <c r="R97" i="1"/>
  <c r="S97" i="1" s="1"/>
  <c r="T97" i="1" s="1"/>
  <c r="U97" i="1" s="1"/>
  <c r="V97" i="1" s="1"/>
  <c r="W97" i="1" s="1"/>
  <c r="X97" i="1" s="1"/>
  <c r="Z97" i="1" s="1"/>
  <c r="R98" i="1"/>
  <c r="S98" i="1" s="1"/>
  <c r="T98" i="1" s="1"/>
  <c r="U98" i="1" s="1"/>
  <c r="V98" i="1" s="1"/>
  <c r="W98" i="1" s="1"/>
  <c r="X98" i="1" s="1"/>
  <c r="Z98" i="1" s="1"/>
  <c r="R99" i="1"/>
  <c r="S99" i="1" s="1"/>
  <c r="T99" i="1" s="1"/>
  <c r="U99" i="1" s="1"/>
  <c r="V99" i="1" s="1"/>
  <c r="W99" i="1" s="1"/>
  <c r="X99" i="1" s="1"/>
  <c r="Z99" i="1" s="1"/>
  <c r="R10" i="1"/>
  <c r="S10" i="1" s="1"/>
  <c r="T10" i="1" s="1"/>
  <c r="U10" i="1" s="1"/>
  <c r="V10" i="1" s="1"/>
  <c r="W10" i="1" s="1"/>
  <c r="X10" i="1" s="1"/>
  <c r="Z10" i="1" s="1"/>
  <c r="R280" i="1"/>
  <c r="S280" i="1" s="1"/>
  <c r="T280" i="1" s="1"/>
  <c r="U280" i="1" s="1"/>
  <c r="V280" i="1" s="1"/>
  <c r="W280" i="1" s="1"/>
  <c r="X280" i="1" s="1"/>
  <c r="Z280" i="1" s="1"/>
  <c r="R281" i="1"/>
  <c r="S281" i="1" s="1"/>
  <c r="T281" i="1" s="1"/>
  <c r="U281" i="1" s="1"/>
  <c r="V281" i="1" s="1"/>
  <c r="W281" i="1" s="1"/>
  <c r="X281" i="1" s="1"/>
  <c r="Z281" i="1" s="1"/>
  <c r="R282" i="1"/>
  <c r="S282" i="1" s="1"/>
  <c r="T282" i="1" s="1"/>
  <c r="U282" i="1" s="1"/>
  <c r="V282" i="1" s="1"/>
  <c r="W282" i="1" s="1"/>
  <c r="X282" i="1" s="1"/>
  <c r="Z282" i="1" s="1"/>
  <c r="R283" i="1"/>
  <c r="S283" i="1" s="1"/>
  <c r="T283" i="1" s="1"/>
  <c r="U283" i="1" s="1"/>
  <c r="V283" i="1" s="1"/>
  <c r="W283" i="1" s="1"/>
  <c r="X283" i="1" s="1"/>
  <c r="Z283" i="1" s="1"/>
  <c r="R284" i="1"/>
  <c r="S284" i="1" s="1"/>
  <c r="T284" i="1" s="1"/>
  <c r="U284" i="1" s="1"/>
  <c r="V284" i="1" s="1"/>
  <c r="W284" i="1" s="1"/>
  <c r="X284" i="1" s="1"/>
  <c r="Z284" i="1" s="1"/>
  <c r="R285" i="1"/>
  <c r="S285" i="1" s="1"/>
  <c r="T285" i="1" s="1"/>
  <c r="U285" i="1" s="1"/>
  <c r="V285" i="1" s="1"/>
  <c r="W285" i="1" s="1"/>
  <c r="X285" i="1" s="1"/>
  <c r="Z285" i="1" s="1"/>
  <c r="R286" i="1"/>
  <c r="S286" i="1" s="1"/>
  <c r="T286" i="1" s="1"/>
  <c r="U286" i="1" s="1"/>
  <c r="V286" i="1" s="1"/>
  <c r="W286" i="1" s="1"/>
  <c r="X286" i="1" s="1"/>
  <c r="Z286" i="1" s="1"/>
  <c r="R100" i="1"/>
  <c r="S100" i="1" s="1"/>
  <c r="T100" i="1" s="1"/>
  <c r="U100" i="1" s="1"/>
  <c r="V100" i="1" s="1"/>
  <c r="W100" i="1" s="1"/>
  <c r="X100" i="1" s="1"/>
  <c r="Z100" i="1" s="1"/>
  <c r="R101" i="1"/>
  <c r="S101" i="1" s="1"/>
  <c r="T101" i="1" s="1"/>
  <c r="U101" i="1" s="1"/>
  <c r="V101" i="1" s="1"/>
  <c r="W101" i="1" s="1"/>
  <c r="X101" i="1" s="1"/>
  <c r="Z101" i="1" s="1"/>
  <c r="R102" i="1"/>
  <c r="S102" i="1" s="1"/>
  <c r="T102" i="1" s="1"/>
  <c r="U102" i="1" s="1"/>
  <c r="V102" i="1" s="1"/>
  <c r="W102" i="1" s="1"/>
  <c r="X102" i="1" s="1"/>
  <c r="Z102" i="1" s="1"/>
  <c r="R103" i="1"/>
  <c r="S103" i="1" s="1"/>
  <c r="T103" i="1" s="1"/>
  <c r="U103" i="1" s="1"/>
  <c r="V103" i="1" s="1"/>
  <c r="W103" i="1" s="1"/>
  <c r="X103" i="1" s="1"/>
  <c r="Z103" i="1" s="1"/>
  <c r="R118" i="1"/>
  <c r="S118" i="1" s="1"/>
  <c r="T118" i="1" s="1"/>
  <c r="U118" i="1" s="1"/>
  <c r="V118" i="1" s="1"/>
  <c r="W118" i="1" s="1"/>
  <c r="X118" i="1" s="1"/>
  <c r="Z118" i="1" s="1"/>
  <c r="R119" i="1"/>
  <c r="S119" i="1" s="1"/>
  <c r="T119" i="1" s="1"/>
  <c r="U119" i="1" s="1"/>
  <c r="V119" i="1" s="1"/>
  <c r="W119" i="1" s="1"/>
  <c r="X119" i="1" s="1"/>
  <c r="Z119" i="1" s="1"/>
  <c r="R120" i="1"/>
  <c r="S120" i="1" s="1"/>
  <c r="T120" i="1" s="1"/>
  <c r="U120" i="1" s="1"/>
  <c r="V120" i="1" s="1"/>
  <c r="W120" i="1" s="1"/>
  <c r="X120" i="1" s="1"/>
  <c r="Z120" i="1" s="1"/>
  <c r="R121" i="1"/>
  <c r="S121" i="1" s="1"/>
  <c r="T121" i="1" s="1"/>
  <c r="U121" i="1" s="1"/>
  <c r="V121" i="1" s="1"/>
  <c r="W121" i="1" s="1"/>
  <c r="X121" i="1" s="1"/>
  <c r="Z121" i="1" s="1"/>
  <c r="R11" i="1"/>
  <c r="S11" i="1" s="1"/>
  <c r="T11" i="1" s="1"/>
  <c r="U11" i="1" s="1"/>
  <c r="V11" i="1" s="1"/>
  <c r="W11" i="1" s="1"/>
  <c r="X11" i="1" s="1"/>
  <c r="Z11" i="1" s="1"/>
  <c r="R14" i="1"/>
  <c r="S14" i="1" s="1"/>
  <c r="T14" i="1" s="1"/>
  <c r="U14" i="1" s="1"/>
  <c r="V14" i="1" s="1"/>
  <c r="W14" i="1" s="1"/>
  <c r="X14" i="1" s="1"/>
  <c r="Z14" i="1" s="1"/>
  <c r="R15" i="1"/>
  <c r="S15" i="1" s="1"/>
  <c r="T15" i="1" s="1"/>
  <c r="U15" i="1" s="1"/>
  <c r="V15" i="1" s="1"/>
  <c r="W15" i="1" s="1"/>
  <c r="X15" i="1" s="1"/>
  <c r="Z15" i="1" s="1"/>
  <c r="R16" i="1"/>
  <c r="S16" i="1" s="1"/>
  <c r="T16" i="1" s="1"/>
  <c r="U16" i="1" s="1"/>
  <c r="V16" i="1" s="1"/>
  <c r="W16" i="1" s="1"/>
  <c r="X16" i="1" s="1"/>
  <c r="Z16" i="1" s="1"/>
  <c r="R17" i="1"/>
  <c r="S17" i="1" s="1"/>
  <c r="T17" i="1" s="1"/>
  <c r="U17" i="1" s="1"/>
  <c r="V17" i="1" s="1"/>
  <c r="W17" i="1" s="1"/>
  <c r="X17" i="1" s="1"/>
  <c r="Z17" i="1" s="1"/>
  <c r="R18" i="1"/>
  <c r="S18" i="1" s="1"/>
  <c r="T18" i="1" s="1"/>
  <c r="U18" i="1" s="1"/>
  <c r="V18" i="1" s="1"/>
  <c r="W18" i="1" s="1"/>
  <c r="X18" i="1" s="1"/>
  <c r="Z18" i="1" s="1"/>
  <c r="R19" i="1"/>
  <c r="S19" i="1" s="1"/>
  <c r="T19" i="1" s="1"/>
  <c r="U19" i="1" s="1"/>
  <c r="V19" i="1" s="1"/>
  <c r="W19" i="1" s="1"/>
  <c r="X19" i="1" s="1"/>
  <c r="Z19" i="1" s="1"/>
  <c r="R20" i="1"/>
  <c r="S20" i="1" s="1"/>
  <c r="T20" i="1" s="1"/>
  <c r="U20" i="1" s="1"/>
  <c r="V20" i="1" s="1"/>
  <c r="W20" i="1" s="1"/>
  <c r="X20" i="1" s="1"/>
  <c r="Z20" i="1" s="1"/>
  <c r="R287" i="1"/>
  <c r="S287" i="1" s="1"/>
  <c r="T287" i="1" s="1"/>
  <c r="U287" i="1" s="1"/>
  <c r="V287" i="1" s="1"/>
  <c r="W287" i="1" s="1"/>
  <c r="X287" i="1" s="1"/>
  <c r="Z287" i="1" s="1"/>
  <c r="R288" i="1"/>
  <c r="S288" i="1" s="1"/>
  <c r="T288" i="1" s="1"/>
  <c r="U288" i="1" s="1"/>
  <c r="V288" i="1" s="1"/>
  <c r="W288" i="1" s="1"/>
  <c r="X288" i="1" s="1"/>
  <c r="Z288" i="1" s="1"/>
  <c r="R289" i="1"/>
  <c r="S289" i="1" s="1"/>
  <c r="T289" i="1" s="1"/>
  <c r="U289" i="1" s="1"/>
  <c r="V289" i="1" s="1"/>
  <c r="W289" i="1" s="1"/>
  <c r="X289" i="1" s="1"/>
  <c r="Z289" i="1" s="1"/>
  <c r="R133" i="1"/>
  <c r="S133" i="1" s="1"/>
  <c r="T133" i="1" s="1"/>
  <c r="U133" i="1" s="1"/>
  <c r="V133" i="1" s="1"/>
  <c r="W133" i="1" s="1"/>
  <c r="X133" i="1" s="1"/>
  <c r="Z133" i="1" s="1"/>
  <c r="R134" i="1"/>
  <c r="S134" i="1" s="1"/>
  <c r="T134" i="1" s="1"/>
  <c r="U134" i="1" s="1"/>
  <c r="V134" i="1" s="1"/>
  <c r="W134" i="1" s="1"/>
  <c r="X134" i="1" s="1"/>
  <c r="Z134" i="1" s="1"/>
  <c r="R104" i="1"/>
  <c r="S104" i="1" s="1"/>
  <c r="T104" i="1" s="1"/>
  <c r="U104" i="1" s="1"/>
  <c r="V104" i="1" s="1"/>
  <c r="W104" i="1" s="1"/>
  <c r="X104" i="1" s="1"/>
  <c r="Z104" i="1" s="1"/>
  <c r="R105" i="1"/>
  <c r="S105" i="1" s="1"/>
  <c r="T105" i="1" s="1"/>
  <c r="U105" i="1" s="1"/>
  <c r="V105" i="1" s="1"/>
  <c r="W105" i="1" s="1"/>
  <c r="X105" i="1" s="1"/>
  <c r="Z105" i="1" s="1"/>
  <c r="R106" i="1"/>
  <c r="S106" i="1" s="1"/>
  <c r="T106" i="1" s="1"/>
  <c r="U106" i="1" s="1"/>
  <c r="V106" i="1" s="1"/>
  <c r="W106" i="1" s="1"/>
  <c r="X106" i="1" s="1"/>
  <c r="Z106" i="1" s="1"/>
  <c r="R107" i="1"/>
  <c r="S107" i="1" s="1"/>
  <c r="T107" i="1" s="1"/>
  <c r="U107" i="1" s="1"/>
  <c r="V107" i="1" s="1"/>
  <c r="W107" i="1" s="1"/>
  <c r="X107" i="1" s="1"/>
  <c r="Z107" i="1" s="1"/>
  <c r="R108" i="1"/>
  <c r="S108" i="1" s="1"/>
  <c r="T108" i="1" s="1"/>
  <c r="U108" i="1" s="1"/>
  <c r="V108" i="1" s="1"/>
  <c r="W108" i="1" s="1"/>
  <c r="X108" i="1" s="1"/>
  <c r="Z108" i="1" s="1"/>
  <c r="R290" i="1"/>
  <c r="S290" i="1" s="1"/>
  <c r="T290" i="1" s="1"/>
  <c r="U290" i="1" s="1"/>
  <c r="V290" i="1" s="1"/>
  <c r="W290" i="1" s="1"/>
  <c r="X290" i="1" s="1"/>
  <c r="Z290" i="1" s="1"/>
  <c r="R291" i="1"/>
  <c r="S291" i="1" s="1"/>
  <c r="T291" i="1" s="1"/>
  <c r="U291" i="1" s="1"/>
  <c r="V291" i="1" s="1"/>
  <c r="W291" i="1" s="1"/>
  <c r="X291" i="1" s="1"/>
  <c r="Z291" i="1" s="1"/>
  <c r="R21" i="1"/>
  <c r="S21" i="1" s="1"/>
  <c r="T21" i="1" s="1"/>
  <c r="U21" i="1" s="1"/>
  <c r="V21" i="1" s="1"/>
  <c r="W21" i="1" s="1"/>
  <c r="X21" i="1" s="1"/>
  <c r="Z21" i="1" s="1"/>
  <c r="R22" i="1"/>
  <c r="S22" i="1" s="1"/>
  <c r="T22" i="1" s="1"/>
  <c r="U22" i="1" s="1"/>
  <c r="V22" i="1" s="1"/>
  <c r="W22" i="1" s="1"/>
  <c r="X22" i="1" s="1"/>
  <c r="Z22" i="1" s="1"/>
  <c r="R23" i="1"/>
  <c r="S23" i="1" s="1"/>
  <c r="T23" i="1" s="1"/>
  <c r="U23" i="1" s="1"/>
  <c r="V23" i="1" s="1"/>
  <c r="W23" i="1" s="1"/>
  <c r="X23" i="1" s="1"/>
  <c r="Z23" i="1" s="1"/>
  <c r="R24" i="1"/>
  <c r="S24" i="1" s="1"/>
  <c r="T24" i="1" s="1"/>
  <c r="U24" i="1" s="1"/>
  <c r="V24" i="1" s="1"/>
  <c r="W24" i="1" s="1"/>
  <c r="X24" i="1" s="1"/>
  <c r="Z24" i="1" s="1"/>
  <c r="R25" i="1"/>
  <c r="S25" i="1" s="1"/>
  <c r="T25" i="1" s="1"/>
  <c r="U25" i="1" s="1"/>
  <c r="V25" i="1" s="1"/>
  <c r="W25" i="1" s="1"/>
  <c r="X25" i="1" s="1"/>
  <c r="Z25" i="1" s="1"/>
  <c r="R26" i="1"/>
  <c r="S26" i="1" s="1"/>
  <c r="T26" i="1" s="1"/>
  <c r="U26" i="1" s="1"/>
  <c r="V26" i="1" s="1"/>
  <c r="W26" i="1" s="1"/>
  <c r="X26" i="1" s="1"/>
  <c r="R27" i="1"/>
  <c r="S27" i="1" s="1"/>
  <c r="T27" i="1" s="1"/>
  <c r="U27" i="1" s="1"/>
  <c r="V27" i="1" s="1"/>
  <c r="W27" i="1" s="1"/>
  <c r="X27" i="1" s="1"/>
  <c r="Z27" i="1" s="1"/>
  <c r="R28" i="1"/>
  <c r="S28" i="1" s="1"/>
  <c r="T28" i="1" s="1"/>
  <c r="U28" i="1" s="1"/>
  <c r="V28" i="1" s="1"/>
  <c r="W28" i="1" s="1"/>
  <c r="X28" i="1" s="1"/>
  <c r="Z28" i="1" s="1"/>
  <c r="R29" i="1"/>
  <c r="S29" i="1" s="1"/>
  <c r="T29" i="1" s="1"/>
  <c r="U29" i="1" s="1"/>
  <c r="V29" i="1" s="1"/>
  <c r="W29" i="1" s="1"/>
  <c r="X29" i="1" s="1"/>
  <c r="Z29" i="1" s="1"/>
  <c r="R30" i="1"/>
  <c r="S30" i="1" s="1"/>
  <c r="T30" i="1" s="1"/>
  <c r="U30" i="1" s="1"/>
  <c r="V30" i="1" s="1"/>
  <c r="W30" i="1" s="1"/>
  <c r="X30" i="1" s="1"/>
  <c r="Z30" i="1" s="1"/>
  <c r="R109" i="1"/>
  <c r="S109" i="1" s="1"/>
  <c r="T109" i="1" s="1"/>
  <c r="U109" i="1" s="1"/>
  <c r="V109" i="1" s="1"/>
  <c r="W109" i="1" s="1"/>
  <c r="X109" i="1" s="1"/>
  <c r="Z109" i="1" s="1"/>
  <c r="R110" i="1"/>
  <c r="S110" i="1" s="1"/>
  <c r="T110" i="1" s="1"/>
  <c r="U110" i="1" s="1"/>
  <c r="V110" i="1" s="1"/>
  <c r="W110" i="1" s="1"/>
  <c r="X110" i="1" s="1"/>
  <c r="Z110" i="1" s="1"/>
  <c r="R154" i="1"/>
  <c r="S154" i="1" s="1"/>
  <c r="T154" i="1" s="1"/>
  <c r="U154" i="1" s="1"/>
  <c r="V154" i="1" s="1"/>
  <c r="W154" i="1" s="1"/>
  <c r="X154" i="1" s="1"/>
  <c r="Z154" i="1" s="1"/>
  <c r="R111" i="1"/>
  <c r="S111" i="1" s="1"/>
  <c r="T111" i="1" s="1"/>
  <c r="U111" i="1" s="1"/>
  <c r="V111" i="1" s="1"/>
  <c r="W111" i="1" s="1"/>
  <c r="X111" i="1" s="1"/>
  <c r="Z111" i="1" s="1"/>
  <c r="R112" i="1"/>
  <c r="S112" i="1" s="1"/>
  <c r="T112" i="1" s="1"/>
  <c r="U112" i="1" s="1"/>
  <c r="V112" i="1" s="1"/>
  <c r="W112" i="1" s="1"/>
  <c r="X112" i="1" s="1"/>
  <c r="Z112" i="1" s="1"/>
  <c r="R157" i="1"/>
  <c r="S157" i="1" s="1"/>
  <c r="T157" i="1" s="1"/>
  <c r="U157" i="1" s="1"/>
  <c r="V157" i="1" s="1"/>
  <c r="W157" i="1" s="1"/>
  <c r="X157" i="1" s="1"/>
  <c r="Z157" i="1" s="1"/>
  <c r="R113" i="1"/>
  <c r="S113" i="1" s="1"/>
  <c r="T113" i="1" s="1"/>
  <c r="U113" i="1" s="1"/>
  <c r="V113" i="1" s="1"/>
  <c r="W113" i="1" s="1"/>
  <c r="X113" i="1" s="1"/>
  <c r="Z113" i="1" s="1"/>
  <c r="R114" i="1"/>
  <c r="S114" i="1" s="1"/>
  <c r="T114" i="1" s="1"/>
  <c r="U114" i="1" s="1"/>
  <c r="V114" i="1" s="1"/>
  <c r="W114" i="1" s="1"/>
  <c r="X114" i="1" s="1"/>
  <c r="Z114" i="1" s="1"/>
  <c r="R115" i="1"/>
  <c r="S115" i="1" s="1"/>
  <c r="T115" i="1" s="1"/>
  <c r="U115" i="1" s="1"/>
  <c r="V115" i="1" s="1"/>
  <c r="W115" i="1" s="1"/>
  <c r="X115" i="1" s="1"/>
  <c r="Z115" i="1" s="1"/>
  <c r="R116" i="1"/>
  <c r="S116" i="1" s="1"/>
  <c r="T116" i="1" s="1"/>
  <c r="U116" i="1" s="1"/>
  <c r="V116" i="1" s="1"/>
  <c r="W116" i="1" s="1"/>
  <c r="X116" i="1" s="1"/>
  <c r="Z116" i="1" s="1"/>
  <c r="R162" i="1"/>
  <c r="S162" i="1" s="1"/>
  <c r="T162" i="1" s="1"/>
  <c r="U162" i="1" s="1"/>
  <c r="V162" i="1" s="1"/>
  <c r="W162" i="1" s="1"/>
  <c r="X162" i="1" s="1"/>
  <c r="Z162" i="1" s="1"/>
  <c r="R117" i="1"/>
  <c r="S117" i="1" s="1"/>
  <c r="T117" i="1" s="1"/>
  <c r="U117" i="1" s="1"/>
  <c r="V117" i="1" s="1"/>
  <c r="W117" i="1" s="1"/>
  <c r="X117" i="1" s="1"/>
  <c r="Z117" i="1" s="1"/>
  <c r="R122" i="1"/>
  <c r="S122" i="1" s="1"/>
  <c r="T122" i="1" s="1"/>
  <c r="U122" i="1" s="1"/>
  <c r="V122" i="1" s="1"/>
  <c r="W122" i="1" s="1"/>
  <c r="X122" i="1" s="1"/>
  <c r="Z122" i="1" s="1"/>
  <c r="R123" i="1"/>
  <c r="S123" i="1" s="1"/>
  <c r="T123" i="1" s="1"/>
  <c r="U123" i="1" s="1"/>
  <c r="V123" i="1" s="1"/>
  <c r="W123" i="1" s="1"/>
  <c r="X123" i="1" s="1"/>
  <c r="Z123" i="1" s="1"/>
  <c r="R166" i="1"/>
  <c r="S166" i="1" s="1"/>
  <c r="T166" i="1" s="1"/>
  <c r="U166" i="1" s="1"/>
  <c r="V166" i="1" s="1"/>
  <c r="W166" i="1" s="1"/>
  <c r="X166" i="1" s="1"/>
  <c r="Z166" i="1" s="1"/>
  <c r="R124" i="1"/>
  <c r="S124" i="1" s="1"/>
  <c r="T124" i="1" s="1"/>
  <c r="U124" i="1" s="1"/>
  <c r="V124" i="1" s="1"/>
  <c r="W124" i="1" s="1"/>
  <c r="X124" i="1" s="1"/>
  <c r="Z124" i="1" s="1"/>
  <c r="R125" i="1"/>
  <c r="S125" i="1" s="1"/>
  <c r="T125" i="1" s="1"/>
  <c r="U125" i="1" s="1"/>
  <c r="V125" i="1" s="1"/>
  <c r="W125" i="1" s="1"/>
  <c r="X125" i="1" s="1"/>
  <c r="Z125" i="1" s="1"/>
  <c r="R126" i="1"/>
  <c r="S126" i="1" s="1"/>
  <c r="T126" i="1" s="1"/>
  <c r="U126" i="1" s="1"/>
  <c r="V126" i="1" s="1"/>
  <c r="W126" i="1" s="1"/>
  <c r="X126" i="1" s="1"/>
  <c r="Z126" i="1" s="1"/>
  <c r="R127" i="1"/>
  <c r="S127" i="1" s="1"/>
  <c r="T127" i="1" s="1"/>
  <c r="U127" i="1" s="1"/>
  <c r="V127" i="1" s="1"/>
  <c r="W127" i="1" s="1"/>
  <c r="X127" i="1" s="1"/>
  <c r="Z127" i="1" s="1"/>
  <c r="R171" i="1"/>
  <c r="S171" i="1" s="1"/>
  <c r="T171" i="1" s="1"/>
  <c r="U171" i="1" s="1"/>
  <c r="V171" i="1" s="1"/>
  <c r="W171" i="1" s="1"/>
  <c r="X171" i="1" s="1"/>
  <c r="Z171" i="1" s="1"/>
  <c r="R128" i="1"/>
  <c r="S128" i="1" s="1"/>
  <c r="T128" i="1" s="1"/>
  <c r="U128" i="1" s="1"/>
  <c r="V128" i="1" s="1"/>
  <c r="W128" i="1" s="1"/>
  <c r="X128" i="1" s="1"/>
  <c r="Z128" i="1" s="1"/>
  <c r="R129" i="1"/>
  <c r="S129" i="1" s="1"/>
  <c r="T129" i="1" s="1"/>
  <c r="U129" i="1" s="1"/>
  <c r="V129" i="1" s="1"/>
  <c r="W129" i="1" s="1"/>
  <c r="X129" i="1" s="1"/>
  <c r="Z129" i="1" s="1"/>
  <c r="R130" i="1"/>
  <c r="S130" i="1" s="1"/>
  <c r="T130" i="1" s="1"/>
  <c r="U130" i="1" s="1"/>
  <c r="V130" i="1" s="1"/>
  <c r="W130" i="1" s="1"/>
  <c r="X130" i="1" s="1"/>
  <c r="Z130" i="1" s="1"/>
  <c r="R131" i="1"/>
  <c r="S131" i="1" s="1"/>
  <c r="T131" i="1" s="1"/>
  <c r="U131" i="1" s="1"/>
  <c r="V131" i="1" s="1"/>
  <c r="W131" i="1" s="1"/>
  <c r="X131" i="1" s="1"/>
  <c r="Z131" i="1" s="1"/>
  <c r="R176" i="1"/>
  <c r="S176" i="1" s="1"/>
  <c r="T176" i="1" s="1"/>
  <c r="U176" i="1" s="1"/>
  <c r="V176" i="1" s="1"/>
  <c r="W176" i="1" s="1"/>
  <c r="X176" i="1" s="1"/>
  <c r="Z176" i="1" s="1"/>
  <c r="R132" i="1"/>
  <c r="S132" i="1" s="1"/>
  <c r="T132" i="1" s="1"/>
  <c r="U132" i="1" s="1"/>
  <c r="V132" i="1" s="1"/>
  <c r="W132" i="1" s="1"/>
  <c r="X132" i="1" s="1"/>
  <c r="Z132" i="1" s="1"/>
  <c r="R135" i="1"/>
  <c r="S135" i="1" s="1"/>
  <c r="T135" i="1" s="1"/>
  <c r="U135" i="1" s="1"/>
  <c r="V135" i="1" s="1"/>
  <c r="W135" i="1" s="1"/>
  <c r="X135" i="1" s="1"/>
  <c r="Z135" i="1" s="1"/>
  <c r="R136" i="1"/>
  <c r="S136" i="1" s="1"/>
  <c r="T136" i="1" s="1"/>
  <c r="U136" i="1" s="1"/>
  <c r="V136" i="1" s="1"/>
  <c r="W136" i="1" s="1"/>
  <c r="X136" i="1" s="1"/>
  <c r="Z136" i="1" s="1"/>
  <c r="R180" i="1"/>
  <c r="S180" i="1" s="1"/>
  <c r="T180" i="1" s="1"/>
  <c r="U180" i="1" s="1"/>
  <c r="V180" i="1" s="1"/>
  <c r="W180" i="1" s="1"/>
  <c r="X180" i="1" s="1"/>
  <c r="Z180" i="1" s="1"/>
  <c r="R137" i="1"/>
  <c r="S137" i="1" s="1"/>
  <c r="T137" i="1" s="1"/>
  <c r="U137" i="1" s="1"/>
  <c r="V137" i="1" s="1"/>
  <c r="W137" i="1" s="1"/>
  <c r="X137" i="1" s="1"/>
  <c r="Z137" i="1" s="1"/>
  <c r="R138" i="1"/>
  <c r="S138" i="1" s="1"/>
  <c r="T138" i="1" s="1"/>
  <c r="U138" i="1" s="1"/>
  <c r="V138" i="1" s="1"/>
  <c r="W138" i="1" s="1"/>
  <c r="X138" i="1" s="1"/>
  <c r="Z138" i="1" s="1"/>
  <c r="R139" i="1"/>
  <c r="S139" i="1" s="1"/>
  <c r="T139" i="1" s="1"/>
  <c r="U139" i="1" s="1"/>
  <c r="V139" i="1" s="1"/>
  <c r="W139" i="1" s="1"/>
  <c r="X139" i="1" s="1"/>
  <c r="Z139" i="1" s="1"/>
  <c r="R140" i="1"/>
  <c r="S140" i="1" s="1"/>
  <c r="T140" i="1" s="1"/>
  <c r="U140" i="1" s="1"/>
  <c r="V140" i="1" s="1"/>
  <c r="W140" i="1" s="1"/>
  <c r="X140" i="1" s="1"/>
  <c r="Z140" i="1" s="1"/>
  <c r="R141" i="1"/>
  <c r="S141" i="1" s="1"/>
  <c r="T141" i="1" s="1"/>
  <c r="U141" i="1" s="1"/>
  <c r="V141" i="1" s="1"/>
  <c r="W141" i="1" s="1"/>
  <c r="X141" i="1" s="1"/>
  <c r="Z141" i="1" s="1"/>
  <c r="R142" i="1"/>
  <c r="S142" i="1" s="1"/>
  <c r="T142" i="1" s="1"/>
  <c r="U142" i="1" s="1"/>
  <c r="V142" i="1" s="1"/>
  <c r="W142" i="1" s="1"/>
  <c r="X142" i="1" s="1"/>
  <c r="Z142" i="1" s="1"/>
  <c r="R143" i="1"/>
  <c r="S143" i="1" s="1"/>
  <c r="T143" i="1" s="1"/>
  <c r="U143" i="1" s="1"/>
  <c r="V143" i="1" s="1"/>
  <c r="W143" i="1" s="1"/>
  <c r="X143" i="1" s="1"/>
  <c r="Z143" i="1" s="1"/>
  <c r="R144" i="1"/>
  <c r="S144" i="1" s="1"/>
  <c r="T144" i="1" s="1"/>
  <c r="U144" i="1" s="1"/>
  <c r="V144" i="1" s="1"/>
  <c r="W144" i="1" s="1"/>
  <c r="X144" i="1" s="1"/>
  <c r="R145" i="1"/>
  <c r="S145" i="1" s="1"/>
  <c r="T145" i="1" s="1"/>
  <c r="U145" i="1" s="1"/>
  <c r="V145" i="1" s="1"/>
  <c r="W145" i="1" s="1"/>
  <c r="X145" i="1" s="1"/>
  <c r="Z145" i="1" s="1"/>
  <c r="R190" i="1"/>
  <c r="S190" i="1" s="1"/>
  <c r="T190" i="1" s="1"/>
  <c r="U190" i="1" s="1"/>
  <c r="V190" i="1" s="1"/>
  <c r="W190" i="1" s="1"/>
  <c r="X190" i="1" s="1"/>
  <c r="Z190" i="1" s="1"/>
  <c r="R146" i="1"/>
  <c r="S146" i="1" s="1"/>
  <c r="T146" i="1" s="1"/>
  <c r="U146" i="1" s="1"/>
  <c r="V146" i="1" s="1"/>
  <c r="W146" i="1" s="1"/>
  <c r="X146" i="1" s="1"/>
  <c r="Z146" i="1" s="1"/>
  <c r="R147" i="1"/>
  <c r="S147" i="1" s="1"/>
  <c r="T147" i="1" s="1"/>
  <c r="U147" i="1" s="1"/>
  <c r="V147" i="1" s="1"/>
  <c r="W147" i="1" s="1"/>
  <c r="X147" i="1" s="1"/>
  <c r="Z147" i="1" s="1"/>
  <c r="R193" i="1"/>
  <c r="S193" i="1" s="1"/>
  <c r="T193" i="1" s="1"/>
  <c r="U193" i="1" s="1"/>
  <c r="V193" i="1" s="1"/>
  <c r="W193" i="1" s="1"/>
  <c r="X193" i="1" s="1"/>
  <c r="Z193" i="1" s="1"/>
  <c r="R148" i="1"/>
  <c r="S148" i="1" s="1"/>
  <c r="T148" i="1" s="1"/>
  <c r="U148" i="1" s="1"/>
  <c r="V148" i="1" s="1"/>
  <c r="W148" i="1" s="1"/>
  <c r="X148" i="1" s="1"/>
  <c r="Z148" i="1" s="1"/>
  <c r="R149" i="1"/>
  <c r="S149" i="1" s="1"/>
  <c r="T149" i="1" s="1"/>
  <c r="U149" i="1" s="1"/>
  <c r="V149" i="1" s="1"/>
  <c r="W149" i="1" s="1"/>
  <c r="X149" i="1" s="1"/>
  <c r="Z149" i="1" s="1"/>
  <c r="R150" i="1"/>
  <c r="S150" i="1" s="1"/>
  <c r="T150" i="1" s="1"/>
  <c r="U150" i="1" s="1"/>
  <c r="V150" i="1" s="1"/>
  <c r="W150" i="1" s="1"/>
  <c r="X150" i="1" s="1"/>
  <c r="Z150" i="1" s="1"/>
  <c r="R151" i="1"/>
  <c r="S151" i="1" s="1"/>
  <c r="T151" i="1" s="1"/>
  <c r="U151" i="1" s="1"/>
  <c r="V151" i="1" s="1"/>
  <c r="W151" i="1" s="1"/>
  <c r="X151" i="1" s="1"/>
  <c r="Z151" i="1" s="1"/>
  <c r="R198" i="1"/>
  <c r="S198" i="1" s="1"/>
  <c r="T198" i="1" s="1"/>
  <c r="U198" i="1" s="1"/>
  <c r="V198" i="1" s="1"/>
  <c r="W198" i="1" s="1"/>
  <c r="X198" i="1" s="1"/>
  <c r="Z198" i="1" s="1"/>
  <c r="R199" i="1"/>
  <c r="S199" i="1" s="1"/>
  <c r="T199" i="1" s="1"/>
  <c r="U199" i="1" s="1"/>
  <c r="V199" i="1" s="1"/>
  <c r="W199" i="1" s="1"/>
  <c r="X199" i="1" s="1"/>
  <c r="Z199" i="1" s="1"/>
  <c r="R152" i="1"/>
  <c r="S152" i="1" s="1"/>
  <c r="T152" i="1" s="1"/>
  <c r="U152" i="1" s="1"/>
  <c r="V152" i="1" s="1"/>
  <c r="W152" i="1" s="1"/>
  <c r="X152" i="1" s="1"/>
  <c r="Z152" i="1" s="1"/>
  <c r="R153" i="1"/>
  <c r="S153" i="1" s="1"/>
  <c r="T153" i="1" s="1"/>
  <c r="U153" i="1" s="1"/>
  <c r="V153" i="1" s="1"/>
  <c r="W153" i="1" s="1"/>
  <c r="X153" i="1" s="1"/>
  <c r="Z153" i="1" s="1"/>
  <c r="R155" i="1"/>
  <c r="S155" i="1" s="1"/>
  <c r="T155" i="1" s="1"/>
  <c r="U155" i="1" s="1"/>
  <c r="V155" i="1" s="1"/>
  <c r="W155" i="1" s="1"/>
  <c r="X155" i="1" s="1"/>
  <c r="Z155" i="1" s="1"/>
  <c r="R156" i="1"/>
  <c r="S156" i="1" s="1"/>
  <c r="T156" i="1" s="1"/>
  <c r="U156" i="1" s="1"/>
  <c r="V156" i="1" s="1"/>
  <c r="W156" i="1" s="1"/>
  <c r="X156" i="1" s="1"/>
  <c r="Z156" i="1" s="1"/>
  <c r="R158" i="1"/>
  <c r="S158" i="1" s="1"/>
  <c r="T158" i="1" s="1"/>
  <c r="U158" i="1" s="1"/>
  <c r="V158" i="1" s="1"/>
  <c r="W158" i="1" s="1"/>
  <c r="X158" i="1" s="1"/>
  <c r="Z158" i="1" s="1"/>
  <c r="R205" i="1"/>
  <c r="S205" i="1" s="1"/>
  <c r="T205" i="1" s="1"/>
  <c r="U205" i="1" s="1"/>
  <c r="V205" i="1" s="1"/>
  <c r="W205" i="1" s="1"/>
  <c r="X205" i="1" s="1"/>
  <c r="Z205" i="1" s="1"/>
  <c r="R159" i="1"/>
  <c r="S159" i="1" s="1"/>
  <c r="T159" i="1" s="1"/>
  <c r="U159" i="1" s="1"/>
  <c r="V159" i="1" s="1"/>
  <c r="W159" i="1" s="1"/>
  <c r="X159" i="1" s="1"/>
  <c r="Z159" i="1" s="1"/>
  <c r="R160" i="1"/>
  <c r="S160" i="1" s="1"/>
  <c r="T160" i="1" s="1"/>
  <c r="U160" i="1" s="1"/>
  <c r="V160" i="1" s="1"/>
  <c r="W160" i="1" s="1"/>
  <c r="X160" i="1" s="1"/>
  <c r="Z160" i="1" s="1"/>
  <c r="R161" i="1"/>
  <c r="S161" i="1" s="1"/>
  <c r="T161" i="1" s="1"/>
  <c r="U161" i="1" s="1"/>
  <c r="V161" i="1" s="1"/>
  <c r="W161" i="1" s="1"/>
  <c r="X161" i="1" s="1"/>
  <c r="Z161" i="1" s="1"/>
  <c r="R163" i="1"/>
  <c r="S163" i="1" s="1"/>
  <c r="T163" i="1" s="1"/>
  <c r="U163" i="1" s="1"/>
  <c r="V163" i="1" s="1"/>
  <c r="W163" i="1" s="1"/>
  <c r="X163" i="1" s="1"/>
  <c r="Z163" i="1" s="1"/>
  <c r="R210" i="1"/>
  <c r="S210" i="1" s="1"/>
  <c r="T210" i="1" s="1"/>
  <c r="U210" i="1" s="1"/>
  <c r="V210" i="1" s="1"/>
  <c r="W210" i="1" s="1"/>
  <c r="X210" i="1" s="1"/>
  <c r="Z210" i="1" s="1"/>
  <c r="R164" i="1"/>
  <c r="S164" i="1" s="1"/>
  <c r="T164" i="1" s="1"/>
  <c r="U164" i="1" s="1"/>
  <c r="V164" i="1" s="1"/>
  <c r="W164" i="1" s="1"/>
  <c r="X164" i="1" s="1"/>
  <c r="Z164" i="1" s="1"/>
  <c r="R165" i="1"/>
  <c r="S165" i="1" s="1"/>
  <c r="T165" i="1" s="1"/>
  <c r="U165" i="1" s="1"/>
  <c r="V165" i="1" s="1"/>
  <c r="W165" i="1" s="1"/>
  <c r="X165" i="1" s="1"/>
  <c r="Z165" i="1" s="1"/>
  <c r="R167" i="1"/>
  <c r="S167" i="1" s="1"/>
  <c r="T167" i="1" s="1"/>
  <c r="U167" i="1" s="1"/>
  <c r="V167" i="1" s="1"/>
  <c r="W167" i="1" s="1"/>
  <c r="X167" i="1" s="1"/>
  <c r="Z167" i="1" s="1"/>
  <c r="R168" i="1"/>
  <c r="S168" i="1" s="1"/>
  <c r="T168" i="1" s="1"/>
  <c r="U168" i="1" s="1"/>
  <c r="V168" i="1" s="1"/>
  <c r="W168" i="1" s="1"/>
  <c r="X168" i="1" s="1"/>
  <c r="Z168" i="1" s="1"/>
  <c r="R169" i="1"/>
  <c r="S169" i="1" s="1"/>
  <c r="T169" i="1" s="1"/>
  <c r="U169" i="1" s="1"/>
  <c r="V169" i="1" s="1"/>
  <c r="W169" i="1" s="1"/>
  <c r="X169" i="1" s="1"/>
  <c r="Z169" i="1" s="1"/>
  <c r="R170" i="1"/>
  <c r="S170" i="1" s="1"/>
  <c r="T170" i="1" s="1"/>
  <c r="U170" i="1" s="1"/>
  <c r="V170" i="1" s="1"/>
  <c r="W170" i="1" s="1"/>
  <c r="X170" i="1" s="1"/>
  <c r="Z170" i="1" s="1"/>
  <c r="R172" i="1"/>
  <c r="S172" i="1" s="1"/>
  <c r="T172" i="1" s="1"/>
  <c r="U172" i="1" s="1"/>
  <c r="V172" i="1" s="1"/>
  <c r="W172" i="1" s="1"/>
  <c r="X172" i="1" s="1"/>
  <c r="Z172" i="1" s="1"/>
  <c r="R173" i="1"/>
  <c r="S173" i="1" s="1"/>
  <c r="T173" i="1" s="1"/>
  <c r="U173" i="1" s="1"/>
  <c r="V173" i="1" s="1"/>
  <c r="W173" i="1" s="1"/>
  <c r="X173" i="1" s="1"/>
  <c r="Z173" i="1" s="1"/>
  <c r="R219" i="1"/>
  <c r="S219" i="1" s="1"/>
  <c r="T219" i="1" s="1"/>
  <c r="U219" i="1" s="1"/>
  <c r="V219" i="1" s="1"/>
  <c r="W219" i="1" s="1"/>
  <c r="X219" i="1" s="1"/>
  <c r="Z219" i="1" s="1"/>
  <c r="R174" i="1"/>
  <c r="S174" i="1" s="1"/>
  <c r="T174" i="1" s="1"/>
  <c r="U174" i="1" s="1"/>
  <c r="V174" i="1" s="1"/>
  <c r="W174" i="1" s="1"/>
  <c r="X174" i="1" s="1"/>
  <c r="Z174" i="1" s="1"/>
  <c r="R175" i="1"/>
  <c r="S175" i="1" s="1"/>
  <c r="T175" i="1" s="1"/>
  <c r="U175" i="1" s="1"/>
  <c r="V175" i="1" s="1"/>
  <c r="W175" i="1" s="1"/>
  <c r="X175" i="1" s="1"/>
  <c r="Z175" i="1" s="1"/>
  <c r="R177" i="1"/>
  <c r="S177" i="1" s="1"/>
  <c r="T177" i="1" s="1"/>
  <c r="U177" i="1" s="1"/>
  <c r="V177" i="1" s="1"/>
  <c r="W177" i="1" s="1"/>
  <c r="X177" i="1" s="1"/>
  <c r="Z177" i="1" s="1"/>
  <c r="R178" i="1"/>
  <c r="S178" i="1" s="1"/>
  <c r="T178" i="1" s="1"/>
  <c r="U178" i="1" s="1"/>
  <c r="V178" i="1" s="1"/>
  <c r="W178" i="1" s="1"/>
  <c r="X178" i="1" s="1"/>
  <c r="Z178" i="1" s="1"/>
  <c r="R179" i="1"/>
  <c r="S179" i="1" s="1"/>
  <c r="T179" i="1" s="1"/>
  <c r="U179" i="1" s="1"/>
  <c r="V179" i="1" s="1"/>
  <c r="W179" i="1" s="1"/>
  <c r="X179" i="1" s="1"/>
  <c r="Z179" i="1" s="1"/>
  <c r="R181" i="1"/>
  <c r="S181" i="1" s="1"/>
  <c r="T181" i="1" s="1"/>
  <c r="U181" i="1" s="1"/>
  <c r="V181" i="1" s="1"/>
  <c r="W181" i="1" s="1"/>
  <c r="X181" i="1" s="1"/>
  <c r="Z181" i="1" s="1"/>
  <c r="R227" i="1"/>
  <c r="S227" i="1" s="1"/>
  <c r="T227" i="1" s="1"/>
  <c r="U227" i="1" s="1"/>
  <c r="V227" i="1" s="1"/>
  <c r="W227" i="1" s="1"/>
  <c r="X227" i="1" s="1"/>
  <c r="Z227" i="1" s="1"/>
  <c r="R182" i="1"/>
  <c r="S182" i="1" s="1"/>
  <c r="T182" i="1" s="1"/>
  <c r="U182" i="1" s="1"/>
  <c r="V182" i="1" s="1"/>
  <c r="W182" i="1" s="1"/>
  <c r="X182" i="1" s="1"/>
  <c r="Z182" i="1" s="1"/>
  <c r="R183" i="1"/>
  <c r="S183" i="1" s="1"/>
  <c r="T183" i="1" s="1"/>
  <c r="U183" i="1" s="1"/>
  <c r="V183" i="1" s="1"/>
  <c r="W183" i="1" s="1"/>
  <c r="X183" i="1" s="1"/>
  <c r="Z183" i="1" s="1"/>
  <c r="R230" i="1"/>
  <c r="S230" i="1" s="1"/>
  <c r="T230" i="1" s="1"/>
  <c r="U230" i="1" s="1"/>
  <c r="V230" i="1" s="1"/>
  <c r="W230" i="1" s="1"/>
  <c r="X230" i="1" s="1"/>
  <c r="Z230" i="1" s="1"/>
  <c r="R231" i="1"/>
  <c r="S231" i="1" s="1"/>
  <c r="T231" i="1" s="1"/>
  <c r="U231" i="1" s="1"/>
  <c r="V231" i="1" s="1"/>
  <c r="W231" i="1" s="1"/>
  <c r="X231" i="1" s="1"/>
  <c r="Z231" i="1" s="1"/>
  <c r="R232" i="1"/>
  <c r="S232" i="1" s="1"/>
  <c r="T232" i="1" s="1"/>
  <c r="U232" i="1" s="1"/>
  <c r="V232" i="1" s="1"/>
  <c r="W232" i="1" s="1"/>
  <c r="X232" i="1" s="1"/>
  <c r="Z232" i="1" s="1"/>
  <c r="R233" i="1"/>
  <c r="S233" i="1" s="1"/>
  <c r="T233" i="1" s="1"/>
  <c r="U233" i="1" s="1"/>
  <c r="V233" i="1" s="1"/>
  <c r="W233" i="1" s="1"/>
  <c r="X233" i="1" s="1"/>
  <c r="Z233" i="1" s="1"/>
  <c r="R234" i="1"/>
  <c r="S234" i="1" s="1"/>
  <c r="T234" i="1" s="1"/>
  <c r="U234" i="1" s="1"/>
  <c r="V234" i="1" s="1"/>
  <c r="W234" i="1" s="1"/>
  <c r="X234" i="1" s="1"/>
  <c r="Z234" i="1" s="1"/>
  <c r="R184" i="1"/>
  <c r="S184" i="1" s="1"/>
  <c r="T184" i="1" s="1"/>
  <c r="U184" i="1" s="1"/>
  <c r="V184" i="1" s="1"/>
  <c r="W184" i="1" s="1"/>
  <c r="X184" i="1" s="1"/>
  <c r="Z184" i="1" s="1"/>
  <c r="R185" i="1"/>
  <c r="S185" i="1" s="1"/>
  <c r="T185" i="1" s="1"/>
  <c r="U185" i="1" s="1"/>
  <c r="V185" i="1" s="1"/>
  <c r="W185" i="1" s="1"/>
  <c r="X185" i="1" s="1"/>
  <c r="Z185" i="1" s="1"/>
  <c r="R186" i="1"/>
  <c r="S186" i="1" s="1"/>
  <c r="T186" i="1" s="1"/>
  <c r="U186" i="1" s="1"/>
  <c r="V186" i="1" s="1"/>
  <c r="W186" i="1" s="1"/>
  <c r="X186" i="1" s="1"/>
  <c r="Z186" i="1" s="1"/>
  <c r="R187" i="1"/>
  <c r="S187" i="1" s="1"/>
  <c r="T187" i="1" s="1"/>
  <c r="U187" i="1" s="1"/>
  <c r="V187" i="1" s="1"/>
  <c r="W187" i="1" s="1"/>
  <c r="X187" i="1" s="1"/>
  <c r="Z187" i="1" s="1"/>
  <c r="R188" i="1"/>
  <c r="S188" i="1" s="1"/>
  <c r="T188" i="1" s="1"/>
  <c r="U188" i="1" s="1"/>
  <c r="V188" i="1" s="1"/>
  <c r="W188" i="1" s="1"/>
  <c r="X188" i="1" s="1"/>
  <c r="Z188" i="1" s="1"/>
  <c r="R189" i="1"/>
  <c r="S189" i="1" s="1"/>
  <c r="T189" i="1" s="1"/>
  <c r="U189" i="1" s="1"/>
  <c r="V189" i="1" s="1"/>
  <c r="W189" i="1" s="1"/>
  <c r="X189" i="1" s="1"/>
  <c r="Z189" i="1" s="1"/>
  <c r="R241" i="1"/>
  <c r="S241" i="1" s="1"/>
  <c r="T241" i="1" s="1"/>
  <c r="U241" i="1" s="1"/>
  <c r="V241" i="1" s="1"/>
  <c r="W241" i="1" s="1"/>
  <c r="X241" i="1" s="1"/>
  <c r="Z241" i="1" s="1"/>
  <c r="R242" i="1"/>
  <c r="S242" i="1" s="1"/>
  <c r="T242" i="1" s="1"/>
  <c r="U242" i="1" s="1"/>
  <c r="V242" i="1" s="1"/>
  <c r="W242" i="1" s="1"/>
  <c r="X242" i="1" s="1"/>
  <c r="Z242" i="1" s="1"/>
  <c r="R243" i="1"/>
  <c r="S243" i="1" s="1"/>
  <c r="T243" i="1" s="1"/>
  <c r="U243" i="1" s="1"/>
  <c r="V243" i="1" s="1"/>
  <c r="W243" i="1" s="1"/>
  <c r="X243" i="1" s="1"/>
  <c r="Z243" i="1" s="1"/>
  <c r="R244" i="1"/>
  <c r="S244" i="1" s="1"/>
  <c r="T244" i="1" s="1"/>
  <c r="U244" i="1" s="1"/>
  <c r="V244" i="1" s="1"/>
  <c r="W244" i="1" s="1"/>
  <c r="X244" i="1" s="1"/>
  <c r="Z244" i="1" s="1"/>
  <c r="R245" i="1"/>
  <c r="S245" i="1" s="1"/>
  <c r="T245" i="1" s="1"/>
  <c r="U245" i="1" s="1"/>
  <c r="V245" i="1" s="1"/>
  <c r="W245" i="1" s="1"/>
  <c r="X245" i="1" s="1"/>
  <c r="Z245" i="1" s="1"/>
  <c r="R246" i="1"/>
  <c r="S246" i="1" s="1"/>
  <c r="T246" i="1" s="1"/>
  <c r="U246" i="1" s="1"/>
  <c r="V246" i="1" s="1"/>
  <c r="W246" i="1" s="1"/>
  <c r="X246" i="1" s="1"/>
  <c r="Z246" i="1" s="1"/>
  <c r="R247" i="1"/>
  <c r="S247" i="1" s="1"/>
  <c r="T247" i="1" s="1"/>
  <c r="U247" i="1" s="1"/>
  <c r="V247" i="1" s="1"/>
  <c r="W247" i="1" s="1"/>
  <c r="X247" i="1" s="1"/>
  <c r="Z247" i="1" s="1"/>
  <c r="R248" i="1"/>
  <c r="S248" i="1" s="1"/>
  <c r="T248" i="1" s="1"/>
  <c r="U248" i="1" s="1"/>
  <c r="V248" i="1" s="1"/>
  <c r="W248" i="1" s="1"/>
  <c r="X248" i="1" s="1"/>
  <c r="Z248" i="1" s="1"/>
  <c r="R249" i="1"/>
  <c r="S249" i="1" s="1"/>
  <c r="T249" i="1" s="1"/>
  <c r="U249" i="1" s="1"/>
  <c r="V249" i="1" s="1"/>
  <c r="W249" i="1" s="1"/>
  <c r="X249" i="1" s="1"/>
  <c r="Z249" i="1" s="1"/>
  <c r="R250" i="1"/>
  <c r="S250" i="1" s="1"/>
  <c r="T250" i="1" s="1"/>
  <c r="U250" i="1" s="1"/>
  <c r="V250" i="1" s="1"/>
  <c r="W250" i="1" s="1"/>
  <c r="X250" i="1" s="1"/>
  <c r="Z250" i="1" s="1"/>
  <c r="R251" i="1"/>
  <c r="S251" i="1" s="1"/>
  <c r="T251" i="1" s="1"/>
  <c r="U251" i="1" s="1"/>
  <c r="V251" i="1" s="1"/>
  <c r="W251" i="1" s="1"/>
  <c r="X251" i="1" s="1"/>
  <c r="Z251" i="1" s="1"/>
  <c r="R252" i="1"/>
  <c r="S252" i="1" s="1"/>
  <c r="T252" i="1" s="1"/>
  <c r="U252" i="1" s="1"/>
  <c r="V252" i="1" s="1"/>
  <c r="W252" i="1" s="1"/>
  <c r="X252" i="1" s="1"/>
  <c r="Z252" i="1" s="1"/>
  <c r="R253" i="1"/>
  <c r="S253" i="1" s="1"/>
  <c r="T253" i="1" s="1"/>
  <c r="U253" i="1" s="1"/>
  <c r="V253" i="1" s="1"/>
  <c r="W253" i="1" s="1"/>
  <c r="X253" i="1" s="1"/>
  <c r="Z253" i="1" s="1"/>
  <c r="R254" i="1"/>
  <c r="S254" i="1" s="1"/>
  <c r="T254" i="1" s="1"/>
  <c r="U254" i="1" s="1"/>
  <c r="V254" i="1" s="1"/>
  <c r="W254" i="1" s="1"/>
  <c r="X254" i="1" s="1"/>
  <c r="Z254" i="1" s="1"/>
  <c r="R255" i="1"/>
  <c r="S255" i="1" s="1"/>
  <c r="T255" i="1" s="1"/>
  <c r="U255" i="1" s="1"/>
  <c r="V255" i="1" s="1"/>
  <c r="W255" i="1" s="1"/>
  <c r="X255" i="1" s="1"/>
  <c r="Z255" i="1" s="1"/>
  <c r="R256" i="1"/>
  <c r="S256" i="1" s="1"/>
  <c r="T256" i="1" s="1"/>
  <c r="U256" i="1" s="1"/>
  <c r="V256" i="1" s="1"/>
  <c r="W256" i="1" s="1"/>
  <c r="X256" i="1" s="1"/>
  <c r="Z256" i="1" s="1"/>
  <c r="R257" i="1"/>
  <c r="S257" i="1" s="1"/>
  <c r="T257" i="1" s="1"/>
  <c r="U257" i="1" s="1"/>
  <c r="V257" i="1" s="1"/>
  <c r="W257" i="1" s="1"/>
  <c r="X257" i="1" s="1"/>
  <c r="Z257" i="1" s="1"/>
  <c r="R258" i="1"/>
  <c r="S258" i="1" s="1"/>
  <c r="T258" i="1" s="1"/>
  <c r="U258" i="1" s="1"/>
  <c r="V258" i="1" s="1"/>
  <c r="W258" i="1" s="1"/>
  <c r="X258" i="1" s="1"/>
  <c r="Z258" i="1" s="1"/>
  <c r="R259" i="1"/>
  <c r="S259" i="1" s="1"/>
  <c r="T259" i="1" s="1"/>
  <c r="U259" i="1" s="1"/>
  <c r="V259" i="1" s="1"/>
  <c r="W259" i="1" s="1"/>
  <c r="X259" i="1" s="1"/>
  <c r="Z259" i="1" s="1"/>
  <c r="R260" i="1"/>
  <c r="S260" i="1" s="1"/>
  <c r="T260" i="1" s="1"/>
  <c r="U260" i="1" s="1"/>
  <c r="V260" i="1" s="1"/>
  <c r="W260" i="1" s="1"/>
  <c r="X260" i="1" s="1"/>
  <c r="Z260" i="1" s="1"/>
  <c r="R261" i="1"/>
  <c r="S261" i="1" s="1"/>
  <c r="T261" i="1" s="1"/>
  <c r="U261" i="1" s="1"/>
  <c r="V261" i="1" s="1"/>
  <c r="W261" i="1" s="1"/>
  <c r="X261" i="1" s="1"/>
  <c r="Z261" i="1" s="1"/>
  <c r="R262" i="1"/>
  <c r="S262" i="1" s="1"/>
  <c r="T262" i="1" s="1"/>
  <c r="U262" i="1" s="1"/>
  <c r="V262" i="1" s="1"/>
  <c r="W262" i="1" s="1"/>
  <c r="X262" i="1" s="1"/>
  <c r="Z262" i="1" s="1"/>
  <c r="R191" i="1"/>
  <c r="S191" i="1" s="1"/>
  <c r="T191" i="1" s="1"/>
  <c r="U191" i="1" s="1"/>
  <c r="V191" i="1" s="1"/>
  <c r="W191" i="1" s="1"/>
  <c r="X191" i="1" s="1"/>
  <c r="Z191" i="1" s="1"/>
  <c r="R192" i="1"/>
  <c r="S192" i="1" s="1"/>
  <c r="T192" i="1" s="1"/>
  <c r="U192" i="1" s="1"/>
  <c r="V192" i="1" s="1"/>
  <c r="W192" i="1" s="1"/>
  <c r="X192" i="1" s="1"/>
  <c r="Z192" i="1" s="1"/>
  <c r="R194" i="1"/>
  <c r="S194" i="1" s="1"/>
  <c r="T194" i="1" s="1"/>
  <c r="U194" i="1" s="1"/>
  <c r="V194" i="1" s="1"/>
  <c r="W194" i="1" s="1"/>
  <c r="X194" i="1" s="1"/>
  <c r="Z194" i="1" s="1"/>
  <c r="R195" i="1"/>
  <c r="S195" i="1" s="1"/>
  <c r="T195" i="1" s="1"/>
  <c r="U195" i="1" s="1"/>
  <c r="V195" i="1" s="1"/>
  <c r="W195" i="1" s="1"/>
  <c r="X195" i="1" s="1"/>
  <c r="Z195" i="1" s="1"/>
  <c r="R196" i="1"/>
  <c r="S196" i="1" s="1"/>
  <c r="T196" i="1" s="1"/>
  <c r="U196" i="1" s="1"/>
  <c r="V196" i="1" s="1"/>
  <c r="W196" i="1" s="1"/>
  <c r="X196" i="1" s="1"/>
  <c r="Z196" i="1" s="1"/>
  <c r="R197" i="1"/>
  <c r="S197" i="1" s="1"/>
  <c r="T197" i="1" s="1"/>
  <c r="U197" i="1" s="1"/>
  <c r="V197" i="1" s="1"/>
  <c r="W197" i="1" s="1"/>
  <c r="X197" i="1" s="1"/>
  <c r="Z197" i="1" s="1"/>
  <c r="R200" i="1"/>
  <c r="S200" i="1" s="1"/>
  <c r="T200" i="1" s="1"/>
  <c r="U200" i="1" s="1"/>
  <c r="V200" i="1" s="1"/>
  <c r="W200" i="1" s="1"/>
  <c r="X200" i="1" s="1"/>
  <c r="Z200" i="1" s="1"/>
  <c r="R270" i="1"/>
  <c r="S270" i="1" s="1"/>
  <c r="T270" i="1" s="1"/>
  <c r="U270" i="1" s="1"/>
  <c r="V270" i="1" s="1"/>
  <c r="W270" i="1" s="1"/>
  <c r="X270" i="1" s="1"/>
  <c r="Z270" i="1" s="1"/>
  <c r="R201" i="1"/>
  <c r="S201" i="1" s="1"/>
  <c r="T201" i="1" s="1"/>
  <c r="U201" i="1" s="1"/>
  <c r="V201" i="1" s="1"/>
  <c r="W201" i="1" s="1"/>
  <c r="X201" i="1" s="1"/>
  <c r="Z201" i="1" s="1"/>
  <c r="R292" i="1"/>
  <c r="S292" i="1" s="1"/>
  <c r="T292" i="1" s="1"/>
  <c r="U292" i="1" s="1"/>
  <c r="V292" i="1" s="1"/>
  <c r="W292" i="1" s="1"/>
  <c r="X292" i="1" s="1"/>
  <c r="Z292" i="1" s="1"/>
  <c r="R293" i="1"/>
  <c r="S293" i="1" s="1"/>
  <c r="T293" i="1" s="1"/>
  <c r="U293" i="1" s="1"/>
  <c r="V293" i="1" s="1"/>
  <c r="W293" i="1" s="1"/>
  <c r="X293" i="1" s="1"/>
  <c r="Z293" i="1" s="1"/>
  <c r="R294" i="1"/>
  <c r="S294" i="1" s="1"/>
  <c r="T294" i="1" s="1"/>
  <c r="U294" i="1" s="1"/>
  <c r="V294" i="1" s="1"/>
  <c r="W294" i="1" s="1"/>
  <c r="X294" i="1" s="1"/>
  <c r="Z294" i="1" s="1"/>
  <c r="R295" i="1"/>
  <c r="S295" i="1" s="1"/>
  <c r="T295" i="1" s="1"/>
  <c r="U295" i="1" s="1"/>
  <c r="V295" i="1" s="1"/>
  <c r="W295" i="1" s="1"/>
  <c r="X295" i="1" s="1"/>
  <c r="Z295" i="1" s="1"/>
  <c r="R296" i="1"/>
  <c r="S296" i="1" s="1"/>
  <c r="T296" i="1" s="1"/>
  <c r="U296" i="1" s="1"/>
  <c r="V296" i="1" s="1"/>
  <c r="W296" i="1" s="1"/>
  <c r="X296" i="1" s="1"/>
  <c r="Z296" i="1" s="1"/>
  <c r="R297" i="1"/>
  <c r="S297" i="1" s="1"/>
  <c r="T297" i="1" s="1"/>
  <c r="U297" i="1" s="1"/>
  <c r="V297" i="1" s="1"/>
  <c r="W297" i="1" s="1"/>
  <c r="X297" i="1" s="1"/>
  <c r="Z297" i="1" s="1"/>
  <c r="R298" i="1"/>
  <c r="S298" i="1" s="1"/>
  <c r="T298" i="1" s="1"/>
  <c r="U298" i="1" s="1"/>
  <c r="V298" i="1" s="1"/>
  <c r="W298" i="1" s="1"/>
  <c r="X298" i="1" s="1"/>
  <c r="Z298" i="1" s="1"/>
  <c r="R299" i="1"/>
  <c r="S299" i="1" s="1"/>
  <c r="T299" i="1" s="1"/>
  <c r="U299" i="1" s="1"/>
  <c r="V299" i="1" s="1"/>
  <c r="W299" i="1" s="1"/>
  <c r="X299" i="1" s="1"/>
  <c r="Z299" i="1" s="1"/>
  <c r="R300" i="1"/>
  <c r="S300" i="1" s="1"/>
  <c r="T300" i="1" s="1"/>
  <c r="U300" i="1" s="1"/>
  <c r="V300" i="1" s="1"/>
  <c r="W300" i="1" s="1"/>
  <c r="X300" i="1" s="1"/>
  <c r="Z300" i="1" s="1"/>
  <c r="R301" i="1"/>
  <c r="S301" i="1" s="1"/>
  <c r="T301" i="1" s="1"/>
  <c r="U301" i="1" s="1"/>
  <c r="V301" i="1" s="1"/>
  <c r="W301" i="1" s="1"/>
  <c r="X301" i="1" s="1"/>
  <c r="Z301" i="1" s="1"/>
  <c r="R302" i="1"/>
  <c r="S302" i="1" s="1"/>
  <c r="T302" i="1" s="1"/>
  <c r="U302" i="1" s="1"/>
  <c r="V302" i="1" s="1"/>
  <c r="W302" i="1" s="1"/>
  <c r="X302" i="1" s="1"/>
  <c r="Z302" i="1" s="1"/>
  <c r="R303" i="1"/>
  <c r="S303" i="1" s="1"/>
  <c r="T303" i="1" s="1"/>
  <c r="U303" i="1" s="1"/>
  <c r="V303" i="1" s="1"/>
  <c r="W303" i="1" s="1"/>
  <c r="X303" i="1" s="1"/>
  <c r="Z303" i="1" s="1"/>
  <c r="R304" i="1"/>
  <c r="S304" i="1" s="1"/>
  <c r="T304" i="1" s="1"/>
  <c r="U304" i="1" s="1"/>
  <c r="V304" i="1" s="1"/>
  <c r="W304" i="1" s="1"/>
  <c r="X304" i="1" s="1"/>
  <c r="Z304" i="1" s="1"/>
  <c r="R305" i="1"/>
  <c r="S305" i="1" s="1"/>
  <c r="T305" i="1" s="1"/>
  <c r="U305" i="1" s="1"/>
  <c r="V305" i="1" s="1"/>
  <c r="W305" i="1" s="1"/>
  <c r="X305" i="1" s="1"/>
  <c r="Z305" i="1" s="1"/>
  <c r="R306" i="1"/>
  <c r="S306" i="1" s="1"/>
  <c r="T306" i="1" s="1"/>
  <c r="U306" i="1" s="1"/>
  <c r="V306" i="1" s="1"/>
  <c r="W306" i="1" s="1"/>
  <c r="X306" i="1" s="1"/>
  <c r="Z306" i="1" s="1"/>
  <c r="R307" i="1"/>
  <c r="S307" i="1" s="1"/>
  <c r="T307" i="1" s="1"/>
  <c r="U307" i="1" s="1"/>
  <c r="V307" i="1" s="1"/>
  <c r="W307" i="1" s="1"/>
  <c r="X307" i="1" s="1"/>
  <c r="Z307" i="1" s="1"/>
  <c r="R308" i="1"/>
  <c r="S308" i="1" s="1"/>
  <c r="T308" i="1" s="1"/>
  <c r="U308" i="1" s="1"/>
  <c r="V308" i="1" s="1"/>
  <c r="W308" i="1" s="1"/>
  <c r="X308" i="1" s="1"/>
  <c r="Z308" i="1" s="1"/>
  <c r="R309" i="1"/>
  <c r="S309" i="1" s="1"/>
  <c r="T309" i="1" s="1"/>
  <c r="U309" i="1" s="1"/>
  <c r="V309" i="1" s="1"/>
  <c r="W309" i="1" s="1"/>
  <c r="X309" i="1" s="1"/>
  <c r="Z309" i="1" s="1"/>
  <c r="R310" i="1"/>
  <c r="S310" i="1" s="1"/>
  <c r="T310" i="1" s="1"/>
  <c r="U310" i="1" s="1"/>
  <c r="V310" i="1" s="1"/>
  <c r="W310" i="1" s="1"/>
  <c r="X310" i="1" s="1"/>
  <c r="Z310" i="1" s="1"/>
  <c r="R311" i="1"/>
  <c r="S311" i="1" s="1"/>
  <c r="T311" i="1" s="1"/>
  <c r="U311" i="1" s="1"/>
  <c r="V311" i="1" s="1"/>
  <c r="W311" i="1" s="1"/>
  <c r="X311" i="1" s="1"/>
  <c r="Z311" i="1" s="1"/>
  <c r="R312" i="1"/>
  <c r="S312" i="1" s="1"/>
  <c r="T312" i="1" s="1"/>
  <c r="U312" i="1" s="1"/>
  <c r="V312" i="1" s="1"/>
  <c r="W312" i="1" s="1"/>
  <c r="X312" i="1" s="1"/>
  <c r="Z312" i="1" s="1"/>
  <c r="R313" i="1"/>
  <c r="S313" i="1" s="1"/>
  <c r="T313" i="1" s="1"/>
  <c r="U313" i="1" s="1"/>
  <c r="V313" i="1" s="1"/>
  <c r="W313" i="1" s="1"/>
  <c r="X313" i="1" s="1"/>
  <c r="Z313" i="1" s="1"/>
  <c r="R314" i="1"/>
  <c r="S314" i="1" s="1"/>
  <c r="T314" i="1" s="1"/>
  <c r="U314" i="1" s="1"/>
  <c r="V314" i="1" s="1"/>
  <c r="W314" i="1" s="1"/>
  <c r="X314" i="1" s="1"/>
  <c r="Z314" i="1" s="1"/>
  <c r="R315" i="1"/>
  <c r="S315" i="1" s="1"/>
  <c r="T315" i="1" s="1"/>
  <c r="U315" i="1" s="1"/>
  <c r="V315" i="1" s="1"/>
  <c r="W315" i="1" s="1"/>
  <c r="X315" i="1" s="1"/>
  <c r="Z315" i="1" s="1"/>
  <c r="R316" i="1"/>
  <c r="S316" i="1" s="1"/>
  <c r="T316" i="1" s="1"/>
  <c r="U316" i="1" s="1"/>
  <c r="V316" i="1" s="1"/>
  <c r="W316" i="1" s="1"/>
  <c r="X316" i="1" s="1"/>
  <c r="Z316" i="1" s="1"/>
  <c r="R317" i="1"/>
  <c r="S317" i="1" s="1"/>
  <c r="T317" i="1" s="1"/>
  <c r="U317" i="1" s="1"/>
  <c r="V317" i="1" s="1"/>
  <c r="W317" i="1" s="1"/>
  <c r="X317" i="1" s="1"/>
  <c r="Z317" i="1" s="1"/>
  <c r="R318" i="1"/>
  <c r="S318" i="1" s="1"/>
  <c r="T318" i="1" s="1"/>
  <c r="U318" i="1" s="1"/>
  <c r="V318" i="1" s="1"/>
  <c r="W318" i="1" s="1"/>
  <c r="X318" i="1" s="1"/>
  <c r="Z318" i="1" s="1"/>
  <c r="R319" i="1"/>
  <c r="S319" i="1" s="1"/>
  <c r="T319" i="1" s="1"/>
  <c r="U319" i="1" s="1"/>
  <c r="V319" i="1" s="1"/>
  <c r="W319" i="1" s="1"/>
  <c r="X319" i="1" s="1"/>
  <c r="Z319" i="1" s="1"/>
  <c r="R320" i="1"/>
  <c r="S320" i="1" s="1"/>
  <c r="T320" i="1" s="1"/>
  <c r="U320" i="1" s="1"/>
  <c r="V320" i="1" s="1"/>
  <c r="W320" i="1" s="1"/>
  <c r="X320" i="1" s="1"/>
  <c r="Z320" i="1" s="1"/>
  <c r="R202" i="1"/>
  <c r="S202" i="1" s="1"/>
  <c r="T202" i="1" s="1"/>
  <c r="U202" i="1" s="1"/>
  <c r="V202" i="1" s="1"/>
  <c r="W202" i="1" s="1"/>
  <c r="X202" i="1" s="1"/>
  <c r="Z202" i="1" s="1"/>
  <c r="R203" i="1"/>
  <c r="S203" i="1" s="1"/>
  <c r="T203" i="1" s="1"/>
  <c r="U203" i="1" s="1"/>
  <c r="V203" i="1" s="1"/>
  <c r="W203" i="1" s="1"/>
  <c r="X203" i="1" s="1"/>
  <c r="Z203" i="1" s="1"/>
  <c r="R204" i="1"/>
  <c r="S204" i="1" s="1"/>
  <c r="T204" i="1" s="1"/>
  <c r="U204" i="1" s="1"/>
  <c r="V204" i="1" s="1"/>
  <c r="W204" i="1" s="1"/>
  <c r="X204" i="1" s="1"/>
  <c r="Z204" i="1" s="1"/>
  <c r="R206" i="1"/>
  <c r="S206" i="1" s="1"/>
  <c r="T206" i="1" s="1"/>
  <c r="U206" i="1" s="1"/>
  <c r="V206" i="1" s="1"/>
  <c r="W206" i="1" s="1"/>
  <c r="X206" i="1" s="1"/>
  <c r="Z206" i="1" s="1"/>
  <c r="R207" i="1"/>
  <c r="S207" i="1" s="1"/>
  <c r="T207" i="1" s="1"/>
  <c r="U207" i="1" s="1"/>
  <c r="V207" i="1" s="1"/>
  <c r="W207" i="1" s="1"/>
  <c r="X207" i="1" s="1"/>
  <c r="Z207" i="1" s="1"/>
  <c r="R208" i="1"/>
  <c r="S208" i="1" s="1"/>
  <c r="T208" i="1" s="1"/>
  <c r="U208" i="1" s="1"/>
  <c r="V208" i="1" s="1"/>
  <c r="W208" i="1" s="1"/>
  <c r="X208" i="1" s="1"/>
  <c r="Z208" i="1" s="1"/>
  <c r="R209" i="1"/>
  <c r="S209" i="1" s="1"/>
  <c r="T209" i="1" s="1"/>
  <c r="U209" i="1" s="1"/>
  <c r="V209" i="1" s="1"/>
  <c r="W209" i="1" s="1"/>
  <c r="X209" i="1" s="1"/>
  <c r="Z209" i="1" s="1"/>
  <c r="R211" i="1"/>
  <c r="S211" i="1" s="1"/>
  <c r="T211" i="1" s="1"/>
  <c r="U211" i="1" s="1"/>
  <c r="V211" i="1" s="1"/>
  <c r="W211" i="1" s="1"/>
  <c r="X211" i="1" s="1"/>
  <c r="Z211" i="1" s="1"/>
  <c r="R212" i="1"/>
  <c r="S212" i="1" s="1"/>
  <c r="T212" i="1" s="1"/>
  <c r="U212" i="1" s="1"/>
  <c r="V212" i="1" s="1"/>
  <c r="W212" i="1" s="1"/>
  <c r="X212" i="1" s="1"/>
  <c r="Z212" i="1" s="1"/>
  <c r="R213" i="1"/>
  <c r="S213" i="1" s="1"/>
  <c r="T213" i="1" s="1"/>
  <c r="U213" i="1" s="1"/>
  <c r="V213" i="1" s="1"/>
  <c r="W213" i="1" s="1"/>
  <c r="X213" i="1" s="1"/>
  <c r="Z213" i="1" s="1"/>
  <c r="R214" i="1"/>
  <c r="S214" i="1" s="1"/>
  <c r="T214" i="1" s="1"/>
  <c r="U214" i="1" s="1"/>
  <c r="V214" i="1" s="1"/>
  <c r="W214" i="1" s="1"/>
  <c r="X214" i="1" s="1"/>
  <c r="Z214" i="1" s="1"/>
  <c r="R215" i="1"/>
  <c r="S215" i="1" s="1"/>
  <c r="T215" i="1" s="1"/>
  <c r="U215" i="1" s="1"/>
  <c r="V215" i="1" s="1"/>
  <c r="W215" i="1" s="1"/>
  <c r="X215" i="1" s="1"/>
  <c r="Z215" i="1" s="1"/>
  <c r="R216" i="1"/>
  <c r="S216" i="1" s="1"/>
  <c r="T216" i="1" s="1"/>
  <c r="U216" i="1" s="1"/>
  <c r="V216" i="1" s="1"/>
  <c r="W216" i="1" s="1"/>
  <c r="X216" i="1" s="1"/>
  <c r="Z216" i="1" s="1"/>
  <c r="R217" i="1"/>
  <c r="S217" i="1" s="1"/>
  <c r="T217" i="1" s="1"/>
  <c r="U217" i="1" s="1"/>
  <c r="V217" i="1" s="1"/>
  <c r="W217" i="1" s="1"/>
  <c r="X217" i="1" s="1"/>
  <c r="Z217" i="1" s="1"/>
  <c r="R218" i="1"/>
  <c r="S218" i="1" s="1"/>
  <c r="T218" i="1" s="1"/>
  <c r="U218" i="1" s="1"/>
  <c r="V218" i="1" s="1"/>
  <c r="W218" i="1" s="1"/>
  <c r="X218" i="1" s="1"/>
  <c r="Z218" i="1" s="1"/>
  <c r="R220" i="1"/>
  <c r="S220" i="1" s="1"/>
  <c r="T220" i="1" s="1"/>
  <c r="U220" i="1" s="1"/>
  <c r="V220" i="1" s="1"/>
  <c r="W220" i="1" s="1"/>
  <c r="X220" i="1" s="1"/>
  <c r="Z220" i="1" s="1"/>
  <c r="R221" i="1"/>
  <c r="S221" i="1" s="1"/>
  <c r="T221" i="1" s="1"/>
  <c r="U221" i="1" s="1"/>
  <c r="V221" i="1" s="1"/>
  <c r="W221" i="1" s="1"/>
  <c r="X221" i="1" s="1"/>
  <c r="Z221" i="1" s="1"/>
  <c r="R223" i="1"/>
  <c r="S223" i="1" s="1"/>
  <c r="T223" i="1" s="1"/>
  <c r="U223" i="1" s="1"/>
  <c r="V223" i="1" s="1"/>
  <c r="W223" i="1" s="1"/>
  <c r="X223" i="1" s="1"/>
  <c r="Z223" i="1" s="1"/>
  <c r="R224" i="1"/>
  <c r="S224" i="1" s="1"/>
  <c r="T224" i="1" s="1"/>
  <c r="U224" i="1" s="1"/>
  <c r="V224" i="1" s="1"/>
  <c r="W224" i="1" s="1"/>
  <c r="X224" i="1" s="1"/>
  <c r="Z224" i="1" s="1"/>
  <c r="R225" i="1"/>
  <c r="S225" i="1" s="1"/>
  <c r="T225" i="1" s="1"/>
  <c r="U225" i="1" s="1"/>
  <c r="V225" i="1" s="1"/>
  <c r="W225" i="1" s="1"/>
  <c r="X225" i="1" s="1"/>
  <c r="Z225" i="1" s="1"/>
  <c r="R321" i="1"/>
  <c r="S321" i="1" s="1"/>
  <c r="T321" i="1" s="1"/>
  <c r="U321" i="1" s="1"/>
  <c r="V321" i="1" s="1"/>
  <c r="W321" i="1" s="1"/>
  <c r="X321" i="1" s="1"/>
  <c r="Z321" i="1" s="1"/>
  <c r="R322" i="1"/>
  <c r="S322" i="1" s="1"/>
  <c r="T322" i="1" s="1"/>
  <c r="U322" i="1" s="1"/>
  <c r="V322" i="1" s="1"/>
  <c r="W322" i="1" s="1"/>
  <c r="X322" i="1" s="1"/>
  <c r="Z322" i="1" s="1"/>
  <c r="R323" i="1"/>
  <c r="S323" i="1" s="1"/>
  <c r="T323" i="1" s="1"/>
  <c r="U323" i="1" s="1"/>
  <c r="V323" i="1" s="1"/>
  <c r="W323" i="1" s="1"/>
  <c r="X323" i="1" s="1"/>
  <c r="Z323" i="1" s="1"/>
  <c r="R324" i="1"/>
  <c r="S324" i="1" s="1"/>
  <c r="T324" i="1" s="1"/>
  <c r="U324" i="1" s="1"/>
  <c r="V324" i="1" s="1"/>
  <c r="W324" i="1" s="1"/>
  <c r="X324" i="1" s="1"/>
  <c r="Z324" i="1" s="1"/>
  <c r="R325" i="1"/>
  <c r="S325" i="1" s="1"/>
  <c r="T325" i="1" s="1"/>
  <c r="U325" i="1" s="1"/>
  <c r="V325" i="1" s="1"/>
  <c r="W325" i="1" s="1"/>
  <c r="X325" i="1" s="1"/>
  <c r="Z325" i="1" s="1"/>
  <c r="P30" i="1"/>
  <c r="O30" i="1"/>
  <c r="M30" i="1"/>
  <c r="J30" i="1"/>
  <c r="L30" i="1" s="1"/>
  <c r="P28" i="1"/>
  <c r="O28" i="1"/>
  <c r="M28" i="1"/>
  <c r="J28" i="1"/>
  <c r="L28" i="1" s="1"/>
  <c r="P26" i="1"/>
  <c r="O26" i="1"/>
  <c r="M26" i="1"/>
  <c r="J26" i="1"/>
  <c r="L26" i="1" s="1"/>
  <c r="P24" i="1"/>
  <c r="O24" i="1"/>
  <c r="M24" i="1"/>
  <c r="J24" i="1"/>
  <c r="L24" i="1" s="1"/>
  <c r="P22" i="1"/>
  <c r="O22" i="1"/>
  <c r="M22" i="1"/>
  <c r="J22" i="1"/>
  <c r="L22" i="1" s="1"/>
  <c r="P289" i="1"/>
  <c r="O289" i="1"/>
  <c r="M289" i="1"/>
  <c r="J289" i="1"/>
  <c r="L289" i="1" s="1"/>
  <c r="O121" i="1"/>
  <c r="P121" i="1" s="1"/>
  <c r="M121" i="1"/>
  <c r="J121" i="1"/>
  <c r="L121" i="1" s="1"/>
  <c r="P285" i="1"/>
  <c r="O285" i="1"/>
  <c r="M285" i="1"/>
  <c r="J285" i="1"/>
  <c r="L285" i="1" s="1"/>
  <c r="P284" i="1"/>
  <c r="O284" i="1"/>
  <c r="M284" i="1"/>
  <c r="J284" i="1"/>
  <c r="L284" i="1" s="1"/>
  <c r="P282" i="1"/>
  <c r="O282" i="1"/>
  <c r="M282" i="1"/>
  <c r="J282" i="1"/>
  <c r="L282" i="1" s="1"/>
  <c r="P95" i="1"/>
  <c r="O95" i="1"/>
  <c r="M95" i="1"/>
  <c r="J95" i="1"/>
  <c r="L95" i="1" s="1"/>
  <c r="P93" i="1"/>
  <c r="O93" i="1"/>
  <c r="M93" i="1"/>
  <c r="J93" i="1"/>
  <c r="L93" i="1" s="1"/>
  <c r="P91" i="1"/>
  <c r="O91" i="1"/>
  <c r="M91" i="1"/>
  <c r="J91" i="1"/>
  <c r="L91" i="1" s="1"/>
  <c r="P89" i="1"/>
  <c r="O89" i="1"/>
  <c r="M89" i="1"/>
  <c r="J89" i="1"/>
  <c r="L89" i="1" s="1"/>
  <c r="P87" i="1"/>
  <c r="O87" i="1"/>
  <c r="M87" i="1"/>
  <c r="J87" i="1"/>
  <c r="L87" i="1" s="1"/>
  <c r="P85" i="1"/>
  <c r="O85" i="1"/>
  <c r="M85" i="1"/>
  <c r="J85" i="1"/>
  <c r="L85" i="1" s="1"/>
  <c r="P83" i="1"/>
  <c r="O83" i="1"/>
  <c r="M83" i="1"/>
  <c r="J83" i="1"/>
  <c r="L83" i="1" s="1"/>
  <c r="P81" i="1"/>
  <c r="O81" i="1"/>
  <c r="M81" i="1"/>
  <c r="J81" i="1"/>
  <c r="L81" i="1" s="1"/>
  <c r="P79" i="1"/>
  <c r="O79" i="1"/>
  <c r="M79" i="1"/>
  <c r="J79" i="1"/>
  <c r="L79" i="1" s="1"/>
  <c r="P77" i="1"/>
  <c r="O77" i="1"/>
  <c r="M77" i="1"/>
  <c r="J77" i="1"/>
  <c r="L77" i="1" s="1"/>
  <c r="P75" i="1"/>
  <c r="O75" i="1"/>
  <c r="M75" i="1"/>
  <c r="J75" i="1"/>
  <c r="L75" i="1" s="1"/>
  <c r="P73" i="1"/>
  <c r="O73" i="1"/>
  <c r="M73" i="1"/>
  <c r="J73" i="1"/>
  <c r="L73" i="1" s="1"/>
  <c r="P279" i="1"/>
  <c r="M279" i="1"/>
  <c r="J279" i="1"/>
  <c r="L279" i="1" s="1"/>
  <c r="P71" i="1"/>
  <c r="O71" i="1"/>
  <c r="M71" i="1"/>
  <c r="J71" i="1"/>
  <c r="L71" i="1" s="1"/>
  <c r="P68" i="1"/>
  <c r="O68" i="1"/>
  <c r="M68" i="1"/>
  <c r="J68" i="1"/>
  <c r="L68" i="1" s="1"/>
  <c r="P57" i="1"/>
  <c r="O57" i="1"/>
  <c r="M57" i="1"/>
  <c r="J57" i="1"/>
  <c r="L57" i="1" s="1"/>
  <c r="P54" i="1"/>
  <c r="O54" i="1"/>
  <c r="M54" i="1"/>
  <c r="J54" i="1"/>
  <c r="L54" i="1" s="1"/>
  <c r="P51" i="1"/>
  <c r="O51" i="1"/>
  <c r="M51" i="1"/>
  <c r="J51" i="1"/>
  <c r="L51" i="1" s="1"/>
  <c r="P48" i="1"/>
  <c r="O48" i="1"/>
  <c r="M48" i="1"/>
  <c r="J48" i="1"/>
  <c r="L48" i="1" s="1"/>
  <c r="P45" i="1"/>
  <c r="O45" i="1"/>
  <c r="M45" i="1"/>
  <c r="J45" i="1"/>
  <c r="L45" i="1" s="1"/>
  <c r="I10" i="1"/>
  <c r="I11" i="1"/>
  <c r="I14" i="1"/>
  <c r="I15" i="1"/>
  <c r="I16" i="1"/>
  <c r="I17" i="1"/>
  <c r="I18" i="1"/>
  <c r="I19" i="1"/>
  <c r="I20" i="1"/>
  <c r="I325" i="1"/>
  <c r="E320" i="1"/>
  <c r="E318" i="1"/>
  <c r="E316" i="1"/>
  <c r="E314" i="1"/>
  <c r="E312" i="1"/>
  <c r="E310" i="1"/>
  <c r="E308" i="1"/>
  <c r="E306" i="1"/>
  <c r="E304" i="1"/>
  <c r="E302" i="1"/>
  <c r="E300" i="1"/>
  <c r="E298" i="1"/>
  <c r="E30" i="1"/>
  <c r="E28" i="1"/>
  <c r="E26" i="1"/>
  <c r="E24" i="1"/>
  <c r="E22" i="1"/>
  <c r="E291" i="1"/>
  <c r="E108" i="1"/>
  <c r="E106" i="1"/>
  <c r="E289" i="1"/>
  <c r="E121" i="1"/>
  <c r="E103" i="1"/>
  <c r="E101" i="1"/>
  <c r="E285" i="1"/>
  <c r="E284" i="1"/>
  <c r="E282" i="1"/>
  <c r="E99" i="1"/>
  <c r="E97" i="1"/>
  <c r="E95" i="1"/>
  <c r="E93" i="1"/>
  <c r="E91" i="1"/>
  <c r="E89" i="1"/>
  <c r="E87" i="1"/>
  <c r="E85" i="1"/>
  <c r="E83" i="1"/>
  <c r="E81" i="1"/>
  <c r="E79" i="1"/>
  <c r="E77" i="1"/>
  <c r="E75" i="1"/>
  <c r="E73" i="1"/>
  <c r="E279" i="1"/>
  <c r="E71" i="1"/>
  <c r="E70" i="1"/>
  <c r="E68" i="1"/>
  <c r="E67" i="1"/>
  <c r="E65" i="1"/>
  <c r="E64" i="1"/>
  <c r="E61" i="1"/>
  <c r="E60" i="1"/>
  <c r="E57" i="1"/>
  <c r="E56" i="1"/>
  <c r="E54" i="1"/>
  <c r="E53" i="1"/>
  <c r="E51" i="1"/>
  <c r="E50" i="1"/>
  <c r="E48" i="1"/>
  <c r="E47" i="1"/>
  <c r="E45" i="1"/>
  <c r="H30" i="1"/>
  <c r="I30" i="1" s="1"/>
  <c r="H28" i="1"/>
  <c r="I28" i="1" s="1"/>
  <c r="H26" i="1"/>
  <c r="I26" i="1" s="1"/>
  <c r="H24" i="1"/>
  <c r="I24" i="1" s="1"/>
  <c r="H22" i="1"/>
  <c r="I22" i="1" s="1"/>
  <c r="H289" i="1"/>
  <c r="I289" i="1" s="1"/>
  <c r="H121" i="1"/>
  <c r="I121" i="1" s="1"/>
  <c r="H285" i="1"/>
  <c r="I285" i="1" s="1"/>
  <c r="H284" i="1"/>
  <c r="I284" i="1" s="1"/>
  <c r="H282" i="1"/>
  <c r="I282" i="1" s="1"/>
  <c r="H95" i="1"/>
  <c r="I95" i="1" s="1"/>
  <c r="H93" i="1"/>
  <c r="I93" i="1" s="1"/>
  <c r="H91" i="1"/>
  <c r="I91" i="1" s="1"/>
  <c r="H89" i="1"/>
  <c r="I89" i="1" s="1"/>
  <c r="H87" i="1"/>
  <c r="I87" i="1" s="1"/>
  <c r="H85" i="1"/>
  <c r="I85" i="1" s="1"/>
  <c r="H83" i="1"/>
  <c r="I83" i="1" s="1"/>
  <c r="H81" i="1"/>
  <c r="I81" i="1" s="1"/>
  <c r="H79" i="1"/>
  <c r="I79" i="1" s="1"/>
  <c r="H77" i="1"/>
  <c r="I77" i="1" s="1"/>
  <c r="H75" i="1"/>
  <c r="I75" i="1" s="1"/>
  <c r="H73" i="1"/>
  <c r="I73" i="1" s="1"/>
  <c r="H279" i="1"/>
  <c r="I279" i="1" s="1"/>
  <c r="H71" i="1"/>
  <c r="I71" i="1" s="1"/>
  <c r="H68" i="1"/>
  <c r="I68" i="1" s="1"/>
  <c r="H57" i="1"/>
  <c r="I57" i="1" s="1"/>
  <c r="H54" i="1"/>
  <c r="I54" i="1" s="1"/>
  <c r="H48" i="1"/>
  <c r="I48" i="1" s="1"/>
  <c r="H45" i="1"/>
  <c r="I45" i="1" s="1"/>
  <c r="H51" i="1"/>
  <c r="I51" i="1" s="1"/>
  <c r="E25" i="3" l="1"/>
  <c r="Z144" i="1"/>
  <c r="E24" i="3"/>
  <c r="Z86" i="1"/>
  <c r="O308" i="1"/>
  <c r="P308" i="1"/>
  <c r="O309" i="1"/>
  <c r="P309" i="1"/>
  <c r="O310" i="1"/>
  <c r="P310" i="1"/>
  <c r="O311" i="1"/>
  <c r="P311" i="1"/>
  <c r="O312" i="1"/>
  <c r="P312" i="1"/>
  <c r="O313" i="1"/>
  <c r="P313" i="1"/>
  <c r="O314" i="1"/>
  <c r="P314" i="1"/>
  <c r="O315" i="1"/>
  <c r="P315" i="1"/>
  <c r="O316" i="1"/>
  <c r="P316" i="1"/>
  <c r="O302" i="1"/>
  <c r="P302" i="1"/>
  <c r="O303" i="1"/>
  <c r="P303" i="1"/>
  <c r="O304" i="1"/>
  <c r="P304" i="1"/>
  <c r="O305" i="1"/>
  <c r="P305" i="1"/>
  <c r="O306" i="1"/>
  <c r="P306" i="1"/>
  <c r="M320" i="1"/>
  <c r="M318" i="1"/>
  <c r="M316" i="1"/>
  <c r="M314" i="1"/>
  <c r="M312" i="1"/>
  <c r="M310" i="1"/>
  <c r="M308" i="1"/>
  <c r="M306" i="1"/>
  <c r="M304" i="1"/>
  <c r="M302" i="1"/>
  <c r="M300" i="1"/>
  <c r="M299" i="1"/>
  <c r="L299" i="1"/>
  <c r="M298" i="1"/>
  <c r="P42" i="1"/>
  <c r="O42" i="1"/>
  <c r="M42" i="1"/>
  <c r="J42" i="1"/>
  <c r="L42" i="1" s="1"/>
  <c r="M274" i="1"/>
  <c r="L274" i="1"/>
  <c r="M272" i="1"/>
  <c r="L272" i="1"/>
  <c r="M269" i="1"/>
  <c r="L269" i="1"/>
  <c r="M267" i="1"/>
  <c r="L267" i="1"/>
  <c r="M265" i="1"/>
  <c r="L265" i="1"/>
  <c r="M263" i="1"/>
  <c r="L263" i="1"/>
  <c r="M239" i="1"/>
  <c r="L239" i="1"/>
  <c r="M237" i="1"/>
  <c r="L237" i="1"/>
  <c r="M235" i="1"/>
  <c r="L235" i="1"/>
  <c r="M228" i="1"/>
  <c r="L228" i="1"/>
  <c r="E32" i="1" l="1"/>
  <c r="E12" i="1"/>
  <c r="E13" i="1"/>
  <c r="E33" i="1"/>
  <c r="E34" i="1"/>
  <c r="E35" i="1"/>
  <c r="E36" i="1"/>
  <c r="E37" i="1"/>
  <c r="E38" i="1"/>
  <c r="E226" i="1"/>
  <c r="E228" i="1"/>
  <c r="E229" i="1"/>
  <c r="E235" i="1"/>
  <c r="E236" i="1"/>
  <c r="E237" i="1"/>
  <c r="E238" i="1"/>
  <c r="E239" i="1"/>
  <c r="E240" i="1"/>
  <c r="E263" i="1"/>
  <c r="E264" i="1"/>
  <c r="E265" i="1"/>
  <c r="E266" i="1"/>
  <c r="E267" i="1"/>
  <c r="E268" i="1"/>
  <c r="E269" i="1"/>
  <c r="E271" i="1"/>
  <c r="E272" i="1"/>
  <c r="E273" i="1"/>
  <c r="E274" i="1"/>
  <c r="E40" i="1"/>
  <c r="E41" i="1"/>
  <c r="E39" i="1"/>
  <c r="E42" i="1"/>
  <c r="E275" i="1"/>
  <c r="E276" i="1"/>
  <c r="E277" i="1"/>
  <c r="E43" i="1"/>
  <c r="E44" i="1"/>
  <c r="E46" i="1"/>
  <c r="E49" i="1"/>
  <c r="E52" i="1"/>
  <c r="E55" i="1"/>
  <c r="E58" i="1"/>
  <c r="E59" i="1"/>
  <c r="E62" i="1"/>
  <c r="E63" i="1"/>
  <c r="E66" i="1"/>
  <c r="E69" i="1"/>
  <c r="E278" i="1"/>
  <c r="E72" i="1"/>
  <c r="E74" i="1"/>
  <c r="E76" i="1"/>
  <c r="E78" i="1"/>
  <c r="E80" i="1"/>
  <c r="E82" i="1"/>
  <c r="E84" i="1"/>
  <c r="E86" i="1"/>
  <c r="E88" i="1"/>
  <c r="E90" i="1"/>
  <c r="E92" i="1"/>
  <c r="E94" i="1"/>
  <c r="E96" i="1"/>
  <c r="E98" i="1"/>
  <c r="E10" i="1"/>
  <c r="E280" i="1"/>
  <c r="E281" i="1"/>
  <c r="E283" i="1"/>
  <c r="E286" i="1"/>
  <c r="E100" i="1"/>
  <c r="E102" i="1"/>
  <c r="E118" i="1"/>
  <c r="E119" i="1"/>
  <c r="E120" i="1"/>
  <c r="E11" i="1"/>
  <c r="E14" i="1"/>
  <c r="E15" i="1"/>
  <c r="E16" i="1"/>
  <c r="E17" i="1"/>
  <c r="E18" i="1"/>
  <c r="E19" i="1"/>
  <c r="E20" i="1"/>
  <c r="E287" i="1"/>
  <c r="E288" i="1"/>
  <c r="E133" i="1"/>
  <c r="E134" i="1"/>
  <c r="E104" i="1"/>
  <c r="E105" i="1"/>
  <c r="E107" i="1"/>
  <c r="E290" i="1"/>
  <c r="E21" i="1"/>
  <c r="E23" i="1"/>
  <c r="E25" i="1"/>
  <c r="E27" i="1"/>
  <c r="E29" i="1"/>
  <c r="E109" i="1"/>
  <c r="E110" i="1"/>
  <c r="E154" i="1"/>
  <c r="E111" i="1"/>
  <c r="E112" i="1"/>
  <c r="E157" i="1"/>
  <c r="E113" i="1"/>
  <c r="E114" i="1"/>
  <c r="E115" i="1"/>
  <c r="E116" i="1"/>
  <c r="E162" i="1"/>
  <c r="E117" i="1"/>
  <c r="E122" i="1"/>
  <c r="E123" i="1"/>
  <c r="E166" i="1"/>
  <c r="E124" i="1"/>
  <c r="E125" i="1"/>
  <c r="E126" i="1"/>
  <c r="E127" i="1"/>
  <c r="E171" i="1"/>
  <c r="E128" i="1"/>
  <c r="E129" i="1"/>
  <c r="E130" i="1"/>
  <c r="E131" i="1"/>
  <c r="E176" i="1"/>
  <c r="E132" i="1"/>
  <c r="E135" i="1"/>
  <c r="E136" i="1"/>
  <c r="E180" i="1"/>
  <c r="E137" i="1"/>
  <c r="E138" i="1"/>
  <c r="E139" i="1"/>
  <c r="E140" i="1"/>
  <c r="E141" i="1"/>
  <c r="E142" i="1"/>
  <c r="E143" i="1"/>
  <c r="E144" i="1"/>
  <c r="E145" i="1"/>
  <c r="E190" i="1"/>
  <c r="E146" i="1"/>
  <c r="E147" i="1"/>
  <c r="E193" i="1"/>
  <c r="E148" i="1"/>
  <c r="E149" i="1"/>
  <c r="E150" i="1"/>
  <c r="E151" i="1"/>
  <c r="E198" i="1"/>
  <c r="E199" i="1"/>
  <c r="E152" i="1"/>
  <c r="E153" i="1"/>
  <c r="E155" i="1"/>
  <c r="E156" i="1"/>
  <c r="E158" i="1"/>
  <c r="E205" i="1"/>
  <c r="E159" i="1"/>
  <c r="E160" i="1"/>
  <c r="E161" i="1"/>
  <c r="E163" i="1"/>
  <c r="E210" i="1"/>
  <c r="E164" i="1"/>
  <c r="E165" i="1"/>
  <c r="E167" i="1"/>
  <c r="E168" i="1"/>
  <c r="E169" i="1"/>
  <c r="E170" i="1"/>
  <c r="E172" i="1"/>
  <c r="E173" i="1"/>
  <c r="E219" i="1"/>
  <c r="E174" i="1"/>
  <c r="E175" i="1"/>
  <c r="E177" i="1"/>
  <c r="E178" i="1"/>
  <c r="E179" i="1"/>
  <c r="E181" i="1"/>
  <c r="E182" i="1"/>
  <c r="E227" i="1"/>
  <c r="E183" i="1"/>
  <c r="E230" i="1"/>
  <c r="E231" i="1"/>
  <c r="E232" i="1"/>
  <c r="E233" i="1"/>
  <c r="E234" i="1"/>
  <c r="E184" i="1"/>
  <c r="E185" i="1"/>
  <c r="E186" i="1"/>
  <c r="E187" i="1"/>
  <c r="E188" i="1"/>
  <c r="E18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191" i="1"/>
  <c r="E192" i="1"/>
  <c r="E194" i="1"/>
  <c r="E195" i="1"/>
  <c r="E196" i="1"/>
  <c r="E197" i="1"/>
  <c r="E200" i="1"/>
  <c r="E270" i="1"/>
  <c r="E201" i="1"/>
  <c r="E292" i="1"/>
  <c r="E293" i="1"/>
  <c r="E294" i="1"/>
  <c r="E295" i="1"/>
  <c r="E296" i="1"/>
  <c r="E297" i="1"/>
  <c r="E299" i="1"/>
  <c r="E301" i="1"/>
  <c r="E303" i="1"/>
  <c r="E305" i="1"/>
  <c r="E307" i="1"/>
  <c r="E309" i="1"/>
  <c r="E311" i="1"/>
  <c r="E313" i="1"/>
  <c r="E315" i="1"/>
  <c r="E317" i="1"/>
  <c r="E202" i="1"/>
  <c r="E203" i="1"/>
  <c r="E204" i="1"/>
  <c r="E206" i="1"/>
  <c r="E207" i="1"/>
  <c r="E208" i="1"/>
  <c r="E209" i="1"/>
  <c r="E211" i="1"/>
  <c r="E212" i="1"/>
  <c r="E213" i="1"/>
  <c r="E214" i="1"/>
  <c r="E215" i="1"/>
  <c r="E216" i="1"/>
  <c r="E217" i="1"/>
  <c r="E218" i="1"/>
  <c r="E220" i="1"/>
  <c r="E221" i="1"/>
  <c r="E223" i="1"/>
  <c r="E224" i="1"/>
  <c r="E225" i="1"/>
  <c r="E321" i="1"/>
  <c r="E322" i="1"/>
  <c r="E323" i="1"/>
  <c r="E324" i="1"/>
  <c r="E325" i="1"/>
  <c r="P277" i="1"/>
  <c r="O277" i="1"/>
  <c r="P276" i="1"/>
  <c r="O276" i="1"/>
  <c r="P275" i="1"/>
  <c r="O275" i="1"/>
  <c r="M10" i="1"/>
  <c r="P110" i="1"/>
  <c r="O110" i="1"/>
  <c r="P109" i="1"/>
  <c r="O109" i="1"/>
  <c r="P112" i="1"/>
  <c r="O112" i="1"/>
  <c r="P111" i="1"/>
  <c r="O111" i="1"/>
  <c r="P116" i="1"/>
  <c r="O116" i="1"/>
  <c r="P115" i="1"/>
  <c r="O115" i="1"/>
  <c r="P114" i="1"/>
  <c r="O114" i="1"/>
  <c r="P113" i="1"/>
  <c r="O113" i="1"/>
  <c r="P123" i="1"/>
  <c r="O123" i="1"/>
  <c r="P122" i="1"/>
  <c r="O122" i="1"/>
  <c r="P117" i="1"/>
  <c r="O117" i="1"/>
  <c r="P127" i="1"/>
  <c r="O127" i="1"/>
  <c r="P126" i="1"/>
  <c r="O126" i="1"/>
  <c r="P125" i="1"/>
  <c r="O125" i="1"/>
  <c r="P124" i="1"/>
  <c r="O124" i="1"/>
  <c r="P128" i="1"/>
  <c r="O128" i="1"/>
  <c r="P129" i="1"/>
  <c r="O129" i="1"/>
  <c r="P131" i="1"/>
  <c r="O131" i="1"/>
  <c r="P130" i="1"/>
  <c r="O130" i="1"/>
  <c r="P136" i="1"/>
  <c r="O136" i="1"/>
  <c r="P135" i="1"/>
  <c r="O135" i="1"/>
  <c r="P132" i="1"/>
  <c r="O132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47" i="1"/>
  <c r="O147" i="1"/>
  <c r="P146" i="1"/>
  <c r="O146" i="1"/>
  <c r="P148" i="1"/>
  <c r="O148" i="1"/>
  <c r="P158" i="1"/>
  <c r="O158" i="1"/>
  <c r="P156" i="1"/>
  <c r="O156" i="1"/>
  <c r="P155" i="1"/>
  <c r="O155" i="1"/>
  <c r="P153" i="1"/>
  <c r="O153" i="1"/>
  <c r="P159" i="1"/>
  <c r="O159" i="1"/>
  <c r="P160" i="1"/>
  <c r="O160" i="1"/>
  <c r="P173" i="1"/>
  <c r="O173" i="1"/>
  <c r="P172" i="1"/>
  <c r="O172" i="1"/>
  <c r="P170" i="1"/>
  <c r="O170" i="1"/>
  <c r="P169" i="1"/>
  <c r="O169" i="1"/>
  <c r="P168" i="1"/>
  <c r="O168" i="1"/>
  <c r="P178" i="1"/>
  <c r="O178" i="1"/>
  <c r="P177" i="1"/>
  <c r="O177" i="1"/>
  <c r="P175" i="1"/>
  <c r="O175" i="1"/>
  <c r="P174" i="1"/>
  <c r="O174" i="1"/>
  <c r="P179" i="1"/>
  <c r="O179" i="1"/>
  <c r="P183" i="1"/>
  <c r="O183" i="1"/>
  <c r="P182" i="1"/>
  <c r="O182" i="1"/>
  <c r="P181" i="1"/>
  <c r="P167" i="1"/>
  <c r="P165" i="1"/>
  <c r="P164" i="1"/>
  <c r="P163" i="1"/>
  <c r="P161" i="1"/>
  <c r="P152" i="1"/>
  <c r="P151" i="1"/>
  <c r="P150" i="1"/>
  <c r="P149" i="1"/>
  <c r="O181" i="1"/>
  <c r="O167" i="1"/>
  <c r="O165" i="1"/>
  <c r="O164" i="1"/>
  <c r="O163" i="1"/>
  <c r="O161" i="1"/>
  <c r="O152" i="1"/>
  <c r="O150" i="1"/>
  <c r="O151" i="1"/>
  <c r="O149" i="1"/>
  <c r="E31" i="1"/>
  <c r="H31" i="1"/>
  <c r="I31" i="1" s="1"/>
  <c r="J31" i="1"/>
  <c r="L31" i="1" s="1"/>
  <c r="M31" i="1"/>
  <c r="O31" i="1"/>
  <c r="P31" i="1"/>
  <c r="H33" i="1"/>
  <c r="I33" i="1" s="1"/>
  <c r="J33" i="1"/>
  <c r="L33" i="1" s="1"/>
  <c r="M33" i="1"/>
  <c r="O33" i="1"/>
  <c r="P33" i="1"/>
  <c r="H35" i="1"/>
  <c r="I35" i="1" s="1"/>
  <c r="J35" i="1"/>
  <c r="L35" i="1" s="1"/>
  <c r="M35" i="1"/>
  <c r="O35" i="1"/>
  <c r="P35" i="1"/>
  <c r="H37" i="1"/>
  <c r="I37" i="1" s="1"/>
  <c r="J37" i="1"/>
  <c r="L37" i="1" s="1"/>
  <c r="M37" i="1"/>
  <c r="O37" i="1"/>
  <c r="P37" i="1"/>
  <c r="H226" i="1"/>
  <c r="I226" i="1" s="1"/>
  <c r="L226" i="1"/>
  <c r="M226" i="1"/>
  <c r="O226" i="1"/>
  <c r="P226" i="1"/>
  <c r="H229" i="1"/>
  <c r="I229" i="1" s="1"/>
  <c r="L229" i="1"/>
  <c r="M229" i="1"/>
  <c r="O229" i="1"/>
  <c r="P229" i="1"/>
  <c r="H236" i="1"/>
  <c r="I236" i="1" s="1"/>
  <c r="L236" i="1"/>
  <c r="M236" i="1"/>
  <c r="O236" i="1"/>
  <c r="P236" i="1"/>
  <c r="H238" i="1"/>
  <c r="I238" i="1" s="1"/>
  <c r="L238" i="1"/>
  <c r="M238" i="1"/>
  <c r="O238" i="1"/>
  <c r="P238" i="1"/>
  <c r="H240" i="1"/>
  <c r="I240" i="1" s="1"/>
  <c r="L240" i="1"/>
  <c r="M240" i="1"/>
  <c r="O240" i="1"/>
  <c r="P240" i="1"/>
  <c r="H264" i="1"/>
  <c r="I264" i="1" s="1"/>
  <c r="L264" i="1"/>
  <c r="M264" i="1"/>
  <c r="O264" i="1"/>
  <c r="P264" i="1"/>
  <c r="H266" i="1"/>
  <c r="I266" i="1" s="1"/>
  <c r="L266" i="1"/>
  <c r="M266" i="1"/>
  <c r="O266" i="1"/>
  <c r="P266" i="1"/>
  <c r="H268" i="1"/>
  <c r="I268" i="1" s="1"/>
  <c r="L268" i="1"/>
  <c r="M268" i="1"/>
  <c r="O268" i="1"/>
  <c r="P268" i="1"/>
  <c r="H271" i="1"/>
  <c r="I271" i="1" s="1"/>
  <c r="L271" i="1"/>
  <c r="M271" i="1"/>
  <c r="O271" i="1"/>
  <c r="P271" i="1"/>
  <c r="H273" i="1"/>
  <c r="I273" i="1" s="1"/>
  <c r="L273" i="1"/>
  <c r="M273" i="1"/>
  <c r="O273" i="1"/>
  <c r="P273" i="1"/>
  <c r="H39" i="1"/>
  <c r="I39" i="1" s="1"/>
  <c r="J39" i="1"/>
  <c r="L39" i="1" s="1"/>
  <c r="M39" i="1"/>
  <c r="O39" i="1"/>
  <c r="P39" i="1"/>
  <c r="H275" i="1"/>
  <c r="I275" i="1" s="1"/>
  <c r="J275" i="1"/>
  <c r="L275" i="1" s="1"/>
  <c r="M275" i="1"/>
  <c r="H276" i="1"/>
  <c r="I276" i="1" s="1"/>
  <c r="J276" i="1"/>
  <c r="L276" i="1" s="1"/>
  <c r="M276" i="1"/>
  <c r="H277" i="1"/>
  <c r="I277" i="1" s="1"/>
  <c r="J277" i="1"/>
  <c r="L277" i="1" s="1"/>
  <c r="M277" i="1"/>
  <c r="H43" i="1"/>
  <c r="I43" i="1" s="1"/>
  <c r="J43" i="1"/>
  <c r="L43" i="1" s="1"/>
  <c r="M43" i="1"/>
  <c r="O43" i="1"/>
  <c r="P43" i="1"/>
  <c r="H46" i="1"/>
  <c r="I46" i="1" s="1"/>
  <c r="J46" i="1"/>
  <c r="L46" i="1" s="1"/>
  <c r="M46" i="1"/>
  <c r="O46" i="1"/>
  <c r="P46" i="1"/>
  <c r="H49" i="1"/>
  <c r="I49" i="1" s="1"/>
  <c r="J49" i="1"/>
  <c r="L49" i="1" s="1"/>
  <c r="M49" i="1"/>
  <c r="O49" i="1"/>
  <c r="P49" i="1"/>
  <c r="H52" i="1"/>
  <c r="I52" i="1" s="1"/>
  <c r="J52" i="1"/>
  <c r="L52" i="1" s="1"/>
  <c r="M52" i="1"/>
  <c r="O52" i="1"/>
  <c r="P52" i="1"/>
  <c r="H55" i="1"/>
  <c r="I55" i="1" s="1"/>
  <c r="J55" i="1"/>
  <c r="L55" i="1" s="1"/>
  <c r="M55" i="1"/>
  <c r="O55" i="1"/>
  <c r="P55" i="1"/>
  <c r="H58" i="1"/>
  <c r="I58" i="1" s="1"/>
  <c r="J58" i="1"/>
  <c r="L58" i="1" s="1"/>
  <c r="M58" i="1"/>
  <c r="O58" i="1"/>
  <c r="P58" i="1"/>
  <c r="H59" i="1"/>
  <c r="I59" i="1" s="1"/>
  <c r="J59" i="1"/>
  <c r="L59" i="1" s="1"/>
  <c r="M59" i="1"/>
  <c r="O59" i="1"/>
  <c r="P59" i="1"/>
  <c r="H62" i="1"/>
  <c r="I62" i="1" s="1"/>
  <c r="J62" i="1"/>
  <c r="L62" i="1" s="1"/>
  <c r="M62" i="1"/>
  <c r="O62" i="1"/>
  <c r="P62" i="1"/>
  <c r="H63" i="1"/>
  <c r="I63" i="1" s="1"/>
  <c r="J63" i="1"/>
  <c r="L63" i="1" s="1"/>
  <c r="M63" i="1"/>
  <c r="O63" i="1"/>
  <c r="P63" i="1"/>
  <c r="H66" i="1"/>
  <c r="I66" i="1" s="1"/>
  <c r="J66" i="1"/>
  <c r="L66" i="1" s="1"/>
  <c r="M66" i="1"/>
  <c r="O66" i="1"/>
  <c r="P66" i="1"/>
  <c r="H69" i="1"/>
  <c r="I69" i="1" s="1"/>
  <c r="J69" i="1"/>
  <c r="L69" i="1" s="1"/>
  <c r="M69" i="1"/>
  <c r="O69" i="1"/>
  <c r="P69" i="1"/>
  <c r="H278" i="1"/>
  <c r="I278" i="1" s="1"/>
  <c r="J278" i="1"/>
  <c r="L278" i="1" s="1"/>
  <c r="M278" i="1"/>
  <c r="P278" i="1"/>
  <c r="H72" i="1"/>
  <c r="I72" i="1" s="1"/>
  <c r="J72" i="1"/>
  <c r="L72" i="1" s="1"/>
  <c r="M72" i="1"/>
  <c r="O72" i="1"/>
  <c r="P72" i="1"/>
  <c r="H74" i="1"/>
  <c r="I74" i="1" s="1"/>
  <c r="J74" i="1"/>
  <c r="L74" i="1" s="1"/>
  <c r="M74" i="1"/>
  <c r="O74" i="1"/>
  <c r="P74" i="1"/>
  <c r="H76" i="1"/>
  <c r="I76" i="1" s="1"/>
  <c r="J76" i="1"/>
  <c r="L76" i="1" s="1"/>
  <c r="M76" i="1"/>
  <c r="O76" i="1"/>
  <c r="P76" i="1"/>
  <c r="H78" i="1"/>
  <c r="I78" i="1" s="1"/>
  <c r="J78" i="1"/>
  <c r="L78" i="1" s="1"/>
  <c r="M78" i="1"/>
  <c r="O78" i="1"/>
  <c r="P78" i="1"/>
  <c r="H80" i="1"/>
  <c r="I80" i="1" s="1"/>
  <c r="J80" i="1"/>
  <c r="L80" i="1" s="1"/>
  <c r="M80" i="1"/>
  <c r="O80" i="1"/>
  <c r="P80" i="1"/>
  <c r="H82" i="1"/>
  <c r="I82" i="1" s="1"/>
  <c r="J82" i="1"/>
  <c r="L82" i="1" s="1"/>
  <c r="M82" i="1"/>
  <c r="O82" i="1"/>
  <c r="P82" i="1"/>
  <c r="H84" i="1"/>
  <c r="I84" i="1" s="1"/>
  <c r="J84" i="1"/>
  <c r="L84" i="1" s="1"/>
  <c r="M84" i="1"/>
  <c r="O84" i="1"/>
  <c r="P84" i="1"/>
  <c r="H86" i="1"/>
  <c r="I86" i="1" s="1"/>
  <c r="J86" i="1"/>
  <c r="L86" i="1" s="1"/>
  <c r="M86" i="1"/>
  <c r="O86" i="1"/>
  <c r="P86" i="1"/>
  <c r="H88" i="1"/>
  <c r="I88" i="1" s="1"/>
  <c r="J88" i="1"/>
  <c r="L88" i="1" s="1"/>
  <c r="M88" i="1"/>
  <c r="O88" i="1"/>
  <c r="P88" i="1"/>
  <c r="H90" i="1"/>
  <c r="I90" i="1" s="1"/>
  <c r="J90" i="1"/>
  <c r="L90" i="1" s="1"/>
  <c r="M90" i="1"/>
  <c r="O90" i="1"/>
  <c r="P90" i="1"/>
  <c r="H92" i="1"/>
  <c r="I92" i="1" s="1"/>
  <c r="J92" i="1"/>
  <c r="L92" i="1" s="1"/>
  <c r="M92" i="1"/>
  <c r="O92" i="1"/>
  <c r="P92" i="1"/>
  <c r="H94" i="1"/>
  <c r="I94" i="1" s="1"/>
  <c r="J94" i="1"/>
  <c r="L94" i="1" s="1"/>
  <c r="M94" i="1"/>
  <c r="O94" i="1"/>
  <c r="P94" i="1"/>
  <c r="H96" i="1"/>
  <c r="I96" i="1" s="1"/>
  <c r="J96" i="1"/>
  <c r="L96" i="1" s="1"/>
  <c r="M96" i="1"/>
  <c r="O96" i="1"/>
  <c r="P96" i="1"/>
  <c r="H98" i="1"/>
  <c r="I98" i="1" s="1"/>
  <c r="J98" i="1"/>
  <c r="L98" i="1" s="1"/>
  <c r="M98" i="1"/>
  <c r="O98" i="1"/>
  <c r="P98" i="1"/>
  <c r="L10" i="1"/>
  <c r="H280" i="1"/>
  <c r="I280" i="1" s="1"/>
  <c r="J280" i="1"/>
  <c r="L280" i="1" s="1"/>
  <c r="M280" i="1"/>
  <c r="O280" i="1"/>
  <c r="P280" i="1"/>
  <c r="H281" i="1"/>
  <c r="I281" i="1" s="1"/>
  <c r="J281" i="1"/>
  <c r="L281" i="1" s="1"/>
  <c r="M281" i="1"/>
  <c r="O281" i="1"/>
  <c r="P281" i="1"/>
  <c r="H283" i="1"/>
  <c r="I283" i="1" s="1"/>
  <c r="J283" i="1"/>
  <c r="L283" i="1" s="1"/>
  <c r="M283" i="1"/>
  <c r="O283" i="1"/>
  <c r="P283" i="1"/>
  <c r="H286" i="1"/>
  <c r="I286" i="1" s="1"/>
  <c r="J286" i="1"/>
  <c r="L286" i="1" s="1"/>
  <c r="M286" i="1"/>
  <c r="O286" i="1"/>
  <c r="P286" i="1"/>
  <c r="H100" i="1"/>
  <c r="I100" i="1" s="1"/>
  <c r="J100" i="1"/>
  <c r="L100" i="1" s="1"/>
  <c r="M100" i="1"/>
  <c r="O100" i="1"/>
  <c r="P100" i="1"/>
  <c r="H102" i="1"/>
  <c r="I102" i="1" s="1"/>
  <c r="J102" i="1"/>
  <c r="L102" i="1" s="1"/>
  <c r="M102" i="1"/>
  <c r="O102" i="1"/>
  <c r="P102" i="1"/>
  <c r="L11" i="1"/>
  <c r="M11" i="1"/>
  <c r="O11" i="1"/>
  <c r="P11" i="1"/>
  <c r="L14" i="1"/>
  <c r="M14" i="1"/>
  <c r="O14" i="1"/>
  <c r="P14" i="1"/>
  <c r="L15" i="1"/>
  <c r="M15" i="1"/>
  <c r="O15" i="1"/>
  <c r="P15" i="1"/>
  <c r="L16" i="1"/>
  <c r="M16" i="1"/>
  <c r="O16" i="1"/>
  <c r="P16" i="1"/>
  <c r="L17" i="1"/>
  <c r="M17" i="1"/>
  <c r="O17" i="1"/>
  <c r="P17" i="1"/>
  <c r="L18" i="1"/>
  <c r="M18" i="1"/>
  <c r="O18" i="1"/>
  <c r="P18" i="1"/>
  <c r="L19" i="1"/>
  <c r="M19" i="1"/>
  <c r="O19" i="1"/>
  <c r="P19" i="1"/>
  <c r="L20" i="1"/>
  <c r="M20" i="1"/>
  <c r="O20" i="1"/>
  <c r="P20" i="1"/>
  <c r="H287" i="1"/>
  <c r="I287" i="1" s="1"/>
  <c r="J287" i="1"/>
  <c r="L287" i="1" s="1"/>
  <c r="M287" i="1"/>
  <c r="O287" i="1"/>
  <c r="P287" i="1"/>
  <c r="H288" i="1"/>
  <c r="I288" i="1" s="1"/>
  <c r="J288" i="1"/>
  <c r="L288" i="1" s="1"/>
  <c r="M288" i="1"/>
  <c r="O288" i="1"/>
  <c r="P288" i="1"/>
  <c r="H104" i="1"/>
  <c r="I104" i="1" s="1"/>
  <c r="J104" i="1"/>
  <c r="L104" i="1" s="1"/>
  <c r="M104" i="1"/>
  <c r="O104" i="1"/>
  <c r="P104" i="1"/>
  <c r="H105" i="1"/>
  <c r="I105" i="1" s="1"/>
  <c r="J105" i="1"/>
  <c r="L105" i="1" s="1"/>
  <c r="M105" i="1"/>
  <c r="O105" i="1"/>
  <c r="P105" i="1"/>
  <c r="H107" i="1"/>
  <c r="I107" i="1" s="1"/>
  <c r="J107" i="1"/>
  <c r="L107" i="1" s="1"/>
  <c r="M107" i="1"/>
  <c r="O107" i="1"/>
  <c r="P107" i="1"/>
  <c r="H290" i="1"/>
  <c r="I290" i="1" s="1"/>
  <c r="J290" i="1"/>
  <c r="L290" i="1" s="1"/>
  <c r="M290" i="1"/>
  <c r="H21" i="1"/>
  <c r="I21" i="1" s="1"/>
  <c r="J21" i="1"/>
  <c r="L21" i="1" s="1"/>
  <c r="M21" i="1"/>
  <c r="O21" i="1"/>
  <c r="P21" i="1"/>
  <c r="H23" i="1"/>
  <c r="I23" i="1" s="1"/>
  <c r="J23" i="1"/>
  <c r="L23" i="1" s="1"/>
  <c r="M23" i="1"/>
  <c r="O23" i="1"/>
  <c r="P23" i="1"/>
  <c r="H25" i="1"/>
  <c r="I25" i="1" s="1"/>
  <c r="J25" i="1"/>
  <c r="L25" i="1" s="1"/>
  <c r="M25" i="1"/>
  <c r="O25" i="1"/>
  <c r="P25" i="1"/>
  <c r="H27" i="1"/>
  <c r="I27" i="1" s="1"/>
  <c r="J27" i="1"/>
  <c r="L27" i="1" s="1"/>
  <c r="M27" i="1"/>
  <c r="O27" i="1"/>
  <c r="P27" i="1"/>
  <c r="H29" i="1"/>
  <c r="I29" i="1" s="1"/>
  <c r="J29" i="1"/>
  <c r="L29" i="1" s="1"/>
  <c r="M29" i="1"/>
  <c r="O29" i="1"/>
  <c r="P29" i="1"/>
  <c r="H109" i="1"/>
  <c r="I109" i="1" s="1"/>
  <c r="L109" i="1"/>
  <c r="M109" i="1"/>
  <c r="H110" i="1"/>
  <c r="I110" i="1" s="1"/>
  <c r="L110" i="1"/>
  <c r="M110" i="1"/>
  <c r="H111" i="1"/>
  <c r="I111" i="1" s="1"/>
  <c r="L111" i="1"/>
  <c r="M111" i="1"/>
  <c r="H112" i="1"/>
  <c r="I112" i="1" s="1"/>
  <c r="L112" i="1"/>
  <c r="M112" i="1"/>
  <c r="H113" i="1"/>
  <c r="I113" i="1" s="1"/>
  <c r="L113" i="1"/>
  <c r="M113" i="1"/>
  <c r="H114" i="1"/>
  <c r="I114" i="1" s="1"/>
  <c r="L114" i="1"/>
  <c r="M114" i="1"/>
  <c r="H115" i="1"/>
  <c r="I115" i="1" s="1"/>
  <c r="L115" i="1"/>
  <c r="M115" i="1"/>
  <c r="H116" i="1"/>
  <c r="I116" i="1" s="1"/>
  <c r="L116" i="1"/>
  <c r="M116" i="1"/>
  <c r="H117" i="1"/>
  <c r="I117" i="1" s="1"/>
  <c r="L117" i="1"/>
  <c r="M117" i="1"/>
  <c r="H122" i="1"/>
  <c r="I122" i="1" s="1"/>
  <c r="L122" i="1"/>
  <c r="M122" i="1"/>
  <c r="H123" i="1"/>
  <c r="I123" i="1" s="1"/>
  <c r="L123" i="1"/>
  <c r="M123" i="1"/>
  <c r="H124" i="1"/>
  <c r="I124" i="1" s="1"/>
  <c r="L124" i="1"/>
  <c r="M124" i="1"/>
  <c r="H125" i="1"/>
  <c r="I125" i="1" s="1"/>
  <c r="L125" i="1"/>
  <c r="M125" i="1"/>
  <c r="H126" i="1"/>
  <c r="I126" i="1" s="1"/>
  <c r="L126" i="1"/>
  <c r="M126" i="1"/>
  <c r="H127" i="1"/>
  <c r="I127" i="1" s="1"/>
  <c r="L127" i="1"/>
  <c r="M127" i="1"/>
  <c r="H128" i="1"/>
  <c r="I128" i="1" s="1"/>
  <c r="L128" i="1"/>
  <c r="M128" i="1"/>
  <c r="H129" i="1"/>
  <c r="I129" i="1" s="1"/>
  <c r="L129" i="1"/>
  <c r="M129" i="1"/>
  <c r="H130" i="1"/>
  <c r="I130" i="1" s="1"/>
  <c r="L130" i="1"/>
  <c r="M130" i="1"/>
  <c r="H131" i="1"/>
  <c r="I131" i="1" s="1"/>
  <c r="L131" i="1"/>
  <c r="M131" i="1"/>
  <c r="H132" i="1"/>
  <c r="I132" i="1" s="1"/>
  <c r="L132" i="1"/>
  <c r="M132" i="1"/>
  <c r="H135" i="1"/>
  <c r="I135" i="1" s="1"/>
  <c r="L135" i="1"/>
  <c r="M135" i="1"/>
  <c r="H136" i="1"/>
  <c r="I136" i="1" s="1"/>
  <c r="L136" i="1"/>
  <c r="M136" i="1"/>
  <c r="H137" i="1"/>
  <c r="I137" i="1" s="1"/>
  <c r="L137" i="1"/>
  <c r="M137" i="1"/>
  <c r="H138" i="1"/>
  <c r="I138" i="1" s="1"/>
  <c r="L138" i="1"/>
  <c r="M138" i="1"/>
  <c r="H139" i="1"/>
  <c r="I139" i="1" s="1"/>
  <c r="L139" i="1"/>
  <c r="M139" i="1"/>
  <c r="H140" i="1"/>
  <c r="I140" i="1" s="1"/>
  <c r="L140" i="1"/>
  <c r="M140" i="1"/>
  <c r="H141" i="1"/>
  <c r="I141" i="1" s="1"/>
  <c r="L141" i="1"/>
  <c r="M141" i="1"/>
  <c r="H142" i="1"/>
  <c r="I142" i="1" s="1"/>
  <c r="L142" i="1"/>
  <c r="M142" i="1"/>
  <c r="H143" i="1"/>
  <c r="I143" i="1" s="1"/>
  <c r="L143" i="1"/>
  <c r="M143" i="1"/>
  <c r="H144" i="1"/>
  <c r="I144" i="1" s="1"/>
  <c r="L144" i="1"/>
  <c r="M144" i="1"/>
  <c r="H145" i="1"/>
  <c r="I145" i="1" s="1"/>
  <c r="L145" i="1"/>
  <c r="M145" i="1"/>
  <c r="H146" i="1"/>
  <c r="I146" i="1" s="1"/>
  <c r="L146" i="1"/>
  <c r="M146" i="1"/>
  <c r="H147" i="1"/>
  <c r="I147" i="1" s="1"/>
  <c r="L147" i="1"/>
  <c r="M147" i="1"/>
  <c r="H148" i="1"/>
  <c r="I148" i="1" s="1"/>
  <c r="L148" i="1"/>
  <c r="M148" i="1"/>
  <c r="H149" i="1"/>
  <c r="I149" i="1" s="1"/>
  <c r="L149" i="1"/>
  <c r="H150" i="1"/>
  <c r="I150" i="1" s="1"/>
  <c r="L150" i="1"/>
  <c r="M150" i="1"/>
  <c r="H151" i="1"/>
  <c r="I151" i="1" s="1"/>
  <c r="L151" i="1"/>
  <c r="M151" i="1"/>
  <c r="H152" i="1"/>
  <c r="I152" i="1" s="1"/>
  <c r="L152" i="1"/>
  <c r="M152" i="1"/>
  <c r="H153" i="1"/>
  <c r="I153" i="1" s="1"/>
  <c r="L153" i="1"/>
  <c r="M153" i="1"/>
  <c r="H155" i="1"/>
  <c r="I155" i="1" s="1"/>
  <c r="L155" i="1"/>
  <c r="M155" i="1"/>
  <c r="H156" i="1"/>
  <c r="I156" i="1" s="1"/>
  <c r="L156" i="1"/>
  <c r="M156" i="1"/>
  <c r="H158" i="1"/>
  <c r="I158" i="1" s="1"/>
  <c r="L158" i="1"/>
  <c r="M158" i="1"/>
  <c r="H159" i="1"/>
  <c r="I159" i="1" s="1"/>
  <c r="L159" i="1"/>
  <c r="M159" i="1"/>
  <c r="H160" i="1"/>
  <c r="I160" i="1" s="1"/>
  <c r="L160" i="1"/>
  <c r="M160" i="1"/>
  <c r="H161" i="1"/>
  <c r="I161" i="1" s="1"/>
  <c r="L161" i="1"/>
  <c r="M161" i="1"/>
  <c r="H163" i="1"/>
  <c r="I163" i="1" s="1"/>
  <c r="L163" i="1"/>
  <c r="M163" i="1"/>
  <c r="H164" i="1"/>
  <c r="I164" i="1" s="1"/>
  <c r="L164" i="1"/>
  <c r="M164" i="1"/>
  <c r="H165" i="1"/>
  <c r="I165" i="1" s="1"/>
  <c r="L165" i="1"/>
  <c r="M165" i="1"/>
  <c r="H167" i="1"/>
  <c r="I167" i="1" s="1"/>
  <c r="L167" i="1"/>
  <c r="M167" i="1"/>
  <c r="H168" i="1"/>
  <c r="I168" i="1" s="1"/>
  <c r="L168" i="1"/>
  <c r="M168" i="1"/>
  <c r="H169" i="1"/>
  <c r="I169" i="1" s="1"/>
  <c r="L169" i="1"/>
  <c r="M169" i="1"/>
  <c r="H170" i="1"/>
  <c r="I170" i="1" s="1"/>
  <c r="L170" i="1"/>
  <c r="M170" i="1"/>
  <c r="H172" i="1"/>
  <c r="I172" i="1" s="1"/>
  <c r="L172" i="1"/>
  <c r="M172" i="1"/>
  <c r="H173" i="1"/>
  <c r="I173" i="1" s="1"/>
  <c r="L173" i="1"/>
  <c r="M173" i="1"/>
  <c r="H174" i="1"/>
  <c r="I174" i="1" s="1"/>
  <c r="L174" i="1"/>
  <c r="M174" i="1"/>
  <c r="H175" i="1"/>
  <c r="I175" i="1" s="1"/>
  <c r="L175" i="1"/>
  <c r="M175" i="1"/>
  <c r="H177" i="1"/>
  <c r="I177" i="1" s="1"/>
  <c r="L177" i="1"/>
  <c r="M177" i="1"/>
  <c r="H178" i="1"/>
  <c r="I178" i="1" s="1"/>
  <c r="L178" i="1"/>
  <c r="M178" i="1"/>
  <c r="H179" i="1"/>
  <c r="I179" i="1" s="1"/>
  <c r="L179" i="1"/>
  <c r="M179" i="1"/>
  <c r="H181" i="1"/>
  <c r="I181" i="1" s="1"/>
  <c r="L181" i="1"/>
  <c r="M181" i="1"/>
  <c r="H182" i="1"/>
  <c r="I182" i="1" s="1"/>
  <c r="L182" i="1"/>
  <c r="M182" i="1"/>
  <c r="H183" i="1"/>
  <c r="I183" i="1" s="1"/>
  <c r="L183" i="1"/>
  <c r="M183" i="1"/>
  <c r="H184" i="1"/>
  <c r="I184" i="1" s="1"/>
  <c r="L184" i="1"/>
  <c r="M184" i="1"/>
  <c r="O184" i="1"/>
  <c r="P184" i="1"/>
  <c r="H185" i="1"/>
  <c r="I185" i="1" s="1"/>
  <c r="L185" i="1"/>
  <c r="M185" i="1"/>
  <c r="O185" i="1"/>
  <c r="P185" i="1"/>
  <c r="H186" i="1"/>
  <c r="I186" i="1" s="1"/>
  <c r="L186" i="1"/>
  <c r="M186" i="1"/>
  <c r="O186" i="1"/>
  <c r="P186" i="1"/>
  <c r="H187" i="1"/>
  <c r="I187" i="1" s="1"/>
  <c r="L187" i="1"/>
  <c r="M187" i="1"/>
  <c r="O187" i="1"/>
  <c r="P187" i="1"/>
  <c r="H188" i="1"/>
  <c r="I188" i="1" s="1"/>
  <c r="L188" i="1"/>
  <c r="M188" i="1"/>
  <c r="O188" i="1"/>
  <c r="P188" i="1"/>
  <c r="H189" i="1"/>
  <c r="I189" i="1" s="1"/>
  <c r="L189" i="1"/>
  <c r="M189" i="1"/>
  <c r="O189" i="1"/>
  <c r="P189" i="1"/>
  <c r="H191" i="1"/>
  <c r="I191" i="1" s="1"/>
  <c r="L191" i="1"/>
  <c r="M191" i="1"/>
  <c r="O191" i="1"/>
  <c r="P191" i="1"/>
  <c r="H192" i="1"/>
  <c r="I192" i="1" s="1"/>
  <c r="L192" i="1"/>
  <c r="M192" i="1"/>
  <c r="P192" i="1"/>
  <c r="H194" i="1"/>
  <c r="I194" i="1" s="1"/>
  <c r="L194" i="1"/>
  <c r="M194" i="1"/>
  <c r="O194" i="1"/>
  <c r="P194" i="1"/>
  <c r="H195" i="1"/>
  <c r="I195" i="1" s="1"/>
  <c r="L195" i="1"/>
  <c r="M195" i="1"/>
  <c r="O195" i="1"/>
  <c r="P195" i="1"/>
  <c r="H196" i="1"/>
  <c r="I196" i="1" s="1"/>
  <c r="L196" i="1"/>
  <c r="M196" i="1"/>
  <c r="O196" i="1"/>
  <c r="P196" i="1"/>
  <c r="H197" i="1"/>
  <c r="I197" i="1" s="1"/>
  <c r="L197" i="1"/>
  <c r="M197" i="1"/>
  <c r="O197" i="1"/>
  <c r="P197" i="1"/>
  <c r="H200" i="1"/>
  <c r="I200" i="1" s="1"/>
  <c r="L200" i="1"/>
  <c r="M200" i="1"/>
  <c r="O200" i="1"/>
  <c r="P200" i="1"/>
  <c r="H201" i="1"/>
  <c r="I201" i="1" s="1"/>
  <c r="L201" i="1"/>
  <c r="M201" i="1"/>
  <c r="O201" i="1"/>
  <c r="P201" i="1"/>
  <c r="H292" i="1"/>
  <c r="I292" i="1" s="1"/>
  <c r="L292" i="1"/>
  <c r="M292" i="1"/>
  <c r="O292" i="1"/>
  <c r="P292" i="1"/>
  <c r="H293" i="1"/>
  <c r="I293" i="1" s="1"/>
  <c r="L293" i="1"/>
  <c r="M293" i="1"/>
  <c r="O293" i="1"/>
  <c r="P293" i="1"/>
  <c r="H294" i="1"/>
  <c r="I294" i="1" s="1"/>
  <c r="L294" i="1"/>
  <c r="M294" i="1"/>
  <c r="O294" i="1"/>
  <c r="P294" i="1"/>
  <c r="H295" i="1"/>
  <c r="I295" i="1" s="1"/>
  <c r="L295" i="1"/>
  <c r="M295" i="1"/>
  <c r="O295" i="1"/>
  <c r="P295" i="1"/>
  <c r="H296" i="1"/>
  <c r="I296" i="1" s="1"/>
  <c r="L296" i="1"/>
  <c r="M296" i="1"/>
  <c r="O296" i="1"/>
  <c r="P296" i="1"/>
  <c r="H297" i="1"/>
  <c r="I297" i="1" s="1"/>
  <c r="L297" i="1"/>
  <c r="M297" i="1"/>
  <c r="O297" i="1"/>
  <c r="P297" i="1"/>
  <c r="H299" i="1"/>
  <c r="I299" i="1" s="1"/>
  <c r="O299" i="1"/>
  <c r="P299" i="1"/>
  <c r="H301" i="1"/>
  <c r="I301" i="1" s="1"/>
  <c r="L301" i="1"/>
  <c r="M301" i="1"/>
  <c r="O301" i="1"/>
  <c r="P301" i="1"/>
  <c r="H303" i="1"/>
  <c r="I303" i="1" s="1"/>
  <c r="L303" i="1"/>
  <c r="M303" i="1"/>
  <c r="H305" i="1"/>
  <c r="I305" i="1" s="1"/>
  <c r="L305" i="1"/>
  <c r="M305" i="1"/>
  <c r="H307" i="1"/>
  <c r="I307" i="1" s="1"/>
  <c r="L307" i="1"/>
  <c r="M307" i="1"/>
  <c r="O307" i="1"/>
  <c r="P307" i="1"/>
  <c r="H309" i="1"/>
  <c r="I309" i="1" s="1"/>
  <c r="L309" i="1"/>
  <c r="M309" i="1"/>
  <c r="H311" i="1"/>
  <c r="I311" i="1" s="1"/>
  <c r="L311" i="1"/>
  <c r="M311" i="1"/>
  <c r="H313" i="1"/>
  <c r="I313" i="1" s="1"/>
  <c r="L313" i="1"/>
  <c r="M313" i="1"/>
  <c r="H315" i="1"/>
  <c r="I315" i="1" s="1"/>
  <c r="L315" i="1"/>
  <c r="M315" i="1"/>
  <c r="H317" i="1"/>
  <c r="I317" i="1" s="1"/>
  <c r="L317" i="1"/>
  <c r="M317" i="1"/>
  <c r="O317" i="1"/>
  <c r="P317" i="1"/>
  <c r="H319" i="1"/>
  <c r="I319" i="1" s="1"/>
  <c r="L319" i="1"/>
  <c r="M319" i="1"/>
  <c r="O319" i="1"/>
  <c r="P319" i="1"/>
  <c r="H202" i="1"/>
  <c r="I202" i="1" s="1"/>
  <c r="L202" i="1"/>
  <c r="M202" i="1"/>
  <c r="O202" i="1"/>
  <c r="P202" i="1"/>
  <c r="H203" i="1"/>
  <c r="I203" i="1" s="1"/>
  <c r="L203" i="1"/>
  <c r="M203" i="1"/>
  <c r="O203" i="1"/>
  <c r="P203" i="1"/>
  <c r="H204" i="1"/>
  <c r="I204" i="1" s="1"/>
  <c r="L204" i="1"/>
  <c r="M204" i="1"/>
  <c r="O204" i="1"/>
  <c r="P204" i="1"/>
  <c r="H206" i="1"/>
  <c r="I206" i="1" s="1"/>
  <c r="L206" i="1"/>
  <c r="M206" i="1"/>
  <c r="O206" i="1"/>
  <c r="P206" i="1"/>
  <c r="H207" i="1"/>
  <c r="I207" i="1" s="1"/>
  <c r="L207" i="1"/>
  <c r="M207" i="1"/>
  <c r="O207" i="1"/>
  <c r="P207" i="1"/>
  <c r="H208" i="1"/>
  <c r="I208" i="1" s="1"/>
  <c r="L208" i="1"/>
  <c r="M208" i="1"/>
  <c r="O208" i="1"/>
  <c r="P208" i="1"/>
  <c r="H209" i="1"/>
  <c r="I209" i="1" s="1"/>
  <c r="L209" i="1"/>
  <c r="M209" i="1"/>
  <c r="O209" i="1"/>
  <c r="P209" i="1"/>
  <c r="H211" i="1"/>
  <c r="I211" i="1" s="1"/>
  <c r="L211" i="1"/>
  <c r="M211" i="1"/>
  <c r="O211" i="1"/>
  <c r="P211" i="1"/>
  <c r="H212" i="1"/>
  <c r="I212" i="1" s="1"/>
  <c r="L212" i="1"/>
  <c r="M212" i="1"/>
  <c r="O212" i="1"/>
  <c r="P212" i="1"/>
  <c r="H213" i="1"/>
  <c r="I213" i="1" s="1"/>
  <c r="L213" i="1"/>
  <c r="M213" i="1"/>
  <c r="O213" i="1"/>
  <c r="P213" i="1"/>
  <c r="H214" i="1"/>
  <c r="I214" i="1" s="1"/>
  <c r="L214" i="1"/>
  <c r="M214" i="1"/>
  <c r="O214" i="1"/>
  <c r="P214" i="1"/>
  <c r="H215" i="1"/>
  <c r="I215" i="1" s="1"/>
  <c r="L215" i="1"/>
  <c r="M215" i="1"/>
  <c r="O215" i="1"/>
  <c r="P215" i="1"/>
  <c r="H216" i="1"/>
  <c r="I216" i="1" s="1"/>
  <c r="L216" i="1"/>
  <c r="M216" i="1"/>
  <c r="O216" i="1"/>
  <c r="P216" i="1"/>
  <c r="H217" i="1"/>
  <c r="I217" i="1" s="1"/>
  <c r="L217" i="1"/>
  <c r="M217" i="1"/>
  <c r="O217" i="1"/>
  <c r="P217" i="1"/>
  <c r="H218" i="1"/>
  <c r="I218" i="1" s="1"/>
  <c r="L218" i="1"/>
  <c r="M218" i="1"/>
  <c r="O218" i="1"/>
  <c r="P218" i="1"/>
  <c r="H220" i="1"/>
  <c r="I220" i="1" s="1"/>
  <c r="L220" i="1"/>
  <c r="M220" i="1"/>
  <c r="O220" i="1"/>
  <c r="P220" i="1"/>
  <c r="H221" i="1"/>
  <c r="I221" i="1" s="1"/>
  <c r="L221" i="1"/>
  <c r="M221" i="1"/>
  <c r="O221" i="1"/>
  <c r="P221" i="1"/>
  <c r="H223" i="1"/>
  <c r="I223" i="1" s="1"/>
  <c r="L223" i="1"/>
  <c r="M223" i="1"/>
  <c r="O223" i="1"/>
  <c r="P223" i="1"/>
  <c r="H224" i="1"/>
  <c r="I224" i="1" s="1"/>
  <c r="L224" i="1"/>
  <c r="M224" i="1"/>
  <c r="O224" i="1"/>
  <c r="P224" i="1"/>
  <c r="H225" i="1"/>
  <c r="I225" i="1" s="1"/>
  <c r="L225" i="1"/>
  <c r="M225" i="1"/>
  <c r="O225" i="1"/>
  <c r="P225" i="1"/>
  <c r="H322" i="1"/>
  <c r="I322" i="1" s="1"/>
  <c r="L322" i="1"/>
  <c r="M322" i="1"/>
  <c r="O322" i="1"/>
  <c r="P322" i="1"/>
  <c r="H323" i="1"/>
  <c r="I323" i="1" s="1"/>
  <c r="L323" i="1"/>
  <c r="M323" i="1"/>
  <c r="O323" i="1"/>
  <c r="P323" i="1"/>
  <c r="H324" i="1"/>
  <c r="I324" i="1" s="1"/>
  <c r="L324" i="1"/>
  <c r="M324" i="1"/>
  <c r="O324" i="1"/>
  <c r="P324" i="1"/>
  <c r="E5" i="1"/>
  <c r="E6" i="1"/>
  <c r="E7" i="1"/>
  <c r="E8" i="1"/>
  <c r="E9" i="1"/>
  <c r="H5" i="1"/>
  <c r="I5" i="1" s="1"/>
  <c r="H6" i="1"/>
  <c r="I6" i="1" s="1"/>
  <c r="H7" i="1"/>
  <c r="I7" i="1" s="1"/>
  <c r="H8" i="1"/>
  <c r="I8" i="1" s="1"/>
  <c r="H9" i="1"/>
  <c r="I9" i="1" s="1"/>
  <c r="H32" i="1"/>
  <c r="I32" i="1" s="1"/>
  <c r="H12" i="1"/>
  <c r="I12" i="1" s="1"/>
  <c r="H13" i="1"/>
  <c r="I13" i="1" s="1"/>
  <c r="H34" i="1"/>
  <c r="I34" i="1" s="1"/>
  <c r="H36" i="1"/>
  <c r="I36" i="1" s="1"/>
  <c r="H38" i="1"/>
  <c r="I38" i="1" s="1"/>
  <c r="H228" i="1"/>
  <c r="I228" i="1" s="1"/>
  <c r="H235" i="1"/>
  <c r="I235" i="1" s="1"/>
  <c r="H237" i="1"/>
  <c r="I237" i="1" s="1"/>
  <c r="H239" i="1"/>
  <c r="I239" i="1" s="1"/>
  <c r="H263" i="1"/>
  <c r="I263" i="1" s="1"/>
  <c r="H265" i="1"/>
  <c r="I265" i="1" s="1"/>
  <c r="H267" i="1"/>
  <c r="I267" i="1" s="1"/>
  <c r="H269" i="1"/>
  <c r="I269" i="1" s="1"/>
  <c r="H272" i="1"/>
  <c r="I272" i="1" s="1"/>
  <c r="H274" i="1"/>
  <c r="I274" i="1" s="1"/>
  <c r="H40" i="1"/>
  <c r="I40" i="1" s="1"/>
  <c r="H41" i="1"/>
  <c r="I41" i="1" s="1"/>
  <c r="H42" i="1"/>
  <c r="I42" i="1" s="1"/>
  <c r="H44" i="1"/>
  <c r="I44" i="1" s="1"/>
  <c r="H47" i="1"/>
  <c r="I47" i="1" s="1"/>
  <c r="H50" i="1"/>
  <c r="I50" i="1" s="1"/>
  <c r="H53" i="1"/>
  <c r="I53" i="1" s="1"/>
  <c r="H56" i="1"/>
  <c r="I56" i="1" s="1"/>
  <c r="H60" i="1"/>
  <c r="I60" i="1" s="1"/>
  <c r="H61" i="1"/>
  <c r="I61" i="1" s="1"/>
  <c r="H64" i="1"/>
  <c r="I64" i="1" s="1"/>
  <c r="H65" i="1"/>
  <c r="I65" i="1" s="1"/>
  <c r="H67" i="1"/>
  <c r="I67" i="1" s="1"/>
  <c r="H70" i="1"/>
  <c r="I70" i="1" s="1"/>
  <c r="H97" i="1"/>
  <c r="I97" i="1" s="1"/>
  <c r="H99" i="1"/>
  <c r="I99" i="1" s="1"/>
  <c r="H101" i="1"/>
  <c r="I101" i="1" s="1"/>
  <c r="H103" i="1"/>
  <c r="I103" i="1" s="1"/>
  <c r="H118" i="1"/>
  <c r="I118" i="1" s="1"/>
  <c r="H119" i="1"/>
  <c r="I119" i="1" s="1"/>
  <c r="H120" i="1"/>
  <c r="I120" i="1" s="1"/>
  <c r="H133" i="1"/>
  <c r="I133" i="1" s="1"/>
  <c r="H134" i="1"/>
  <c r="I134" i="1" s="1"/>
  <c r="H106" i="1"/>
  <c r="I106" i="1" s="1"/>
  <c r="H108" i="1"/>
  <c r="I108" i="1" s="1"/>
  <c r="H291" i="1"/>
  <c r="I291" i="1" s="1"/>
  <c r="H154" i="1"/>
  <c r="I154" i="1" s="1"/>
  <c r="H157" i="1"/>
  <c r="I157" i="1" s="1"/>
  <c r="H162" i="1"/>
  <c r="I162" i="1" s="1"/>
  <c r="H166" i="1"/>
  <c r="I166" i="1" s="1"/>
  <c r="H171" i="1"/>
  <c r="I171" i="1" s="1"/>
  <c r="H176" i="1"/>
  <c r="I176" i="1" s="1"/>
  <c r="H180" i="1"/>
  <c r="I180" i="1" s="1"/>
  <c r="H190" i="1"/>
  <c r="I190" i="1" s="1"/>
  <c r="H193" i="1"/>
  <c r="I193" i="1" s="1"/>
  <c r="H198" i="1"/>
  <c r="I198" i="1" s="1"/>
  <c r="H199" i="1"/>
  <c r="I199" i="1" s="1"/>
  <c r="H205" i="1"/>
  <c r="I205" i="1" s="1"/>
  <c r="H210" i="1"/>
  <c r="I210" i="1" s="1"/>
  <c r="H219" i="1"/>
  <c r="I219" i="1" s="1"/>
  <c r="H227" i="1"/>
  <c r="I227" i="1" s="1"/>
  <c r="H230" i="1"/>
  <c r="I230" i="1" s="1"/>
  <c r="H231" i="1"/>
  <c r="I231" i="1" s="1"/>
  <c r="H232" i="1"/>
  <c r="I232" i="1" s="1"/>
  <c r="H233" i="1"/>
  <c r="I233" i="1" s="1"/>
  <c r="H234" i="1"/>
  <c r="I234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70" i="1"/>
  <c r="I270" i="1" s="1"/>
  <c r="H298" i="1"/>
  <c r="I298" i="1" s="1"/>
  <c r="H300" i="1"/>
  <c r="I300" i="1" s="1"/>
  <c r="H302" i="1"/>
  <c r="I302" i="1" s="1"/>
  <c r="H304" i="1"/>
  <c r="I304" i="1" s="1"/>
  <c r="H306" i="1"/>
  <c r="I306" i="1" s="1"/>
  <c r="H308" i="1"/>
  <c r="I308" i="1" s="1"/>
  <c r="H310" i="1"/>
  <c r="I310" i="1" s="1"/>
  <c r="H312" i="1"/>
  <c r="I312" i="1" s="1"/>
  <c r="H314" i="1"/>
  <c r="I314" i="1" s="1"/>
  <c r="H316" i="1"/>
  <c r="I316" i="1" s="1"/>
  <c r="H318" i="1"/>
  <c r="I318" i="1" s="1"/>
  <c r="H320" i="1"/>
  <c r="I320" i="1" s="1"/>
  <c r="H321" i="1"/>
  <c r="I321" i="1" s="1"/>
  <c r="H4" i="1"/>
  <c r="E4" i="1"/>
  <c r="R4" i="1"/>
  <c r="S4" i="1" s="1"/>
  <c r="T4" i="1" s="1"/>
  <c r="U4" i="1" s="1"/>
  <c r="V4" i="1" s="1"/>
  <c r="W4" i="1" s="1"/>
  <c r="X4" i="1" s="1"/>
  <c r="Z4" i="1" s="1"/>
  <c r="J291" i="1" l="1"/>
  <c r="L291" i="1" s="1"/>
  <c r="O40" i="1"/>
  <c r="P40" i="1" s="1"/>
  <c r="O41" i="1"/>
  <c r="P41" i="1" s="1"/>
  <c r="O133" i="1"/>
  <c r="P133" i="1" s="1"/>
  <c r="O134" i="1"/>
  <c r="P134" i="1" s="1"/>
  <c r="O120" i="1"/>
  <c r="P120" i="1" s="1"/>
  <c r="J41" i="1"/>
  <c r="L41" i="1" s="1"/>
  <c r="J40" i="1"/>
  <c r="L40" i="1" s="1"/>
  <c r="J134" i="1"/>
  <c r="L134" i="1" s="1"/>
  <c r="J133" i="1"/>
  <c r="L133" i="1" s="1"/>
  <c r="J120" i="1"/>
  <c r="L120" i="1" s="1"/>
  <c r="P228" i="1"/>
  <c r="P235" i="1"/>
  <c r="P237" i="1"/>
  <c r="P239" i="1"/>
  <c r="P263" i="1"/>
  <c r="P265" i="1"/>
  <c r="P267" i="1"/>
  <c r="P269" i="1"/>
  <c r="P272" i="1"/>
  <c r="P274" i="1"/>
  <c r="O228" i="1"/>
  <c r="O235" i="1"/>
  <c r="O237" i="1"/>
  <c r="O239" i="1"/>
  <c r="O263" i="1"/>
  <c r="O265" i="1"/>
  <c r="O267" i="1"/>
  <c r="O269" i="1"/>
  <c r="O272" i="1"/>
  <c r="O274" i="1"/>
  <c r="P320" i="1"/>
  <c r="O320" i="1"/>
  <c r="P318" i="1"/>
  <c r="O318" i="1"/>
  <c r="P300" i="1"/>
  <c r="P298" i="1"/>
  <c r="O298" i="1"/>
  <c r="O300" i="1"/>
  <c r="J298" i="1"/>
  <c r="L298" i="1" s="1"/>
  <c r="J300" i="1"/>
  <c r="L300" i="1" s="1"/>
  <c r="J302" i="1"/>
  <c r="L302" i="1" s="1"/>
  <c r="J304" i="1"/>
  <c r="L304" i="1" s="1"/>
  <c r="J306" i="1"/>
  <c r="L306" i="1" s="1"/>
  <c r="J308" i="1"/>
  <c r="L308" i="1" s="1"/>
  <c r="J310" i="1"/>
  <c r="L310" i="1" s="1"/>
  <c r="J312" i="1"/>
  <c r="L312" i="1" s="1"/>
  <c r="J314" i="1"/>
  <c r="L314" i="1" s="1"/>
  <c r="J316" i="1"/>
  <c r="L316" i="1" s="1"/>
  <c r="J318" i="1"/>
  <c r="L318" i="1" s="1"/>
  <c r="J320" i="1"/>
  <c r="L320" i="1" s="1"/>
  <c r="P32" i="1"/>
  <c r="O32" i="1"/>
  <c r="J32" i="1"/>
  <c r="L32" i="1" s="1"/>
  <c r="M32" i="1"/>
  <c r="P5" i="1"/>
  <c r="P6" i="1"/>
  <c r="P7" i="1"/>
  <c r="P8" i="1"/>
  <c r="P9" i="1"/>
  <c r="P12" i="1"/>
  <c r="P13" i="1"/>
  <c r="P4" i="1"/>
  <c r="O4" i="1"/>
  <c r="O5" i="1"/>
  <c r="O6" i="1"/>
  <c r="O7" i="1"/>
  <c r="O8" i="1"/>
  <c r="O9" i="1"/>
  <c r="O12" i="1"/>
  <c r="O13" i="1"/>
  <c r="J4" i="1"/>
  <c r="L4" i="1" s="1"/>
  <c r="J5" i="1"/>
  <c r="L5" i="1" s="1"/>
  <c r="J6" i="1"/>
  <c r="L6" i="1" s="1"/>
  <c r="J7" i="1"/>
  <c r="L7" i="1" s="1"/>
  <c r="J8" i="1"/>
  <c r="L8" i="1" s="1"/>
  <c r="J9" i="1"/>
  <c r="L9" i="1" s="1"/>
  <c r="J12" i="1"/>
  <c r="L12" i="1" s="1"/>
  <c r="J13" i="1"/>
  <c r="L13" i="1" s="1"/>
  <c r="P106" i="1"/>
  <c r="P108" i="1"/>
  <c r="O106" i="1"/>
  <c r="O108" i="1"/>
  <c r="J106" i="1"/>
  <c r="L106" i="1" s="1"/>
  <c r="J108" i="1"/>
  <c r="L108" i="1" s="1"/>
  <c r="P97" i="1"/>
  <c r="P99" i="1"/>
  <c r="O97" i="1"/>
  <c r="O99" i="1"/>
  <c r="J97" i="1"/>
  <c r="L97" i="1" s="1"/>
  <c r="J99" i="1"/>
  <c r="L99" i="1" s="1"/>
  <c r="P64" i="1"/>
  <c r="P60" i="1"/>
  <c r="P44" i="1"/>
  <c r="P47" i="1"/>
  <c r="P50" i="1"/>
  <c r="P53" i="1"/>
  <c r="P56" i="1"/>
  <c r="P61" i="1"/>
  <c r="P65" i="1"/>
  <c r="P67" i="1"/>
  <c r="P70" i="1"/>
  <c r="O44" i="1"/>
  <c r="O47" i="1"/>
  <c r="O50" i="1"/>
  <c r="O53" i="1"/>
  <c r="O56" i="1"/>
  <c r="O61" i="1"/>
  <c r="O60" i="1"/>
  <c r="O65" i="1"/>
  <c r="O64" i="1"/>
  <c r="O67" i="1"/>
  <c r="O70" i="1"/>
  <c r="J44" i="1"/>
  <c r="L44" i="1" s="1"/>
  <c r="J47" i="1"/>
  <c r="L47" i="1" s="1"/>
  <c r="J50" i="1"/>
  <c r="L50" i="1" s="1"/>
  <c r="J53" i="1"/>
  <c r="L53" i="1" s="1"/>
  <c r="J56" i="1"/>
  <c r="L56" i="1" s="1"/>
  <c r="J61" i="1"/>
  <c r="L61" i="1" s="1"/>
  <c r="J60" i="1"/>
  <c r="L60" i="1" s="1"/>
  <c r="J65" i="1"/>
  <c r="L65" i="1" s="1"/>
  <c r="J64" i="1"/>
  <c r="L64" i="1" s="1"/>
  <c r="J67" i="1"/>
  <c r="L67" i="1" s="1"/>
  <c r="J70" i="1"/>
  <c r="L70" i="1" s="1"/>
  <c r="O101" i="1"/>
  <c r="P101" i="1"/>
  <c r="O103" i="1"/>
  <c r="P103" i="1"/>
  <c r="O34" i="1"/>
  <c r="P34" i="1"/>
  <c r="O36" i="1"/>
  <c r="P36" i="1"/>
  <c r="O38" i="1"/>
  <c r="P38" i="1"/>
  <c r="J34" i="1"/>
  <c r="L34" i="1" s="1"/>
  <c r="J36" i="1"/>
  <c r="L36" i="1" s="1"/>
  <c r="J38" i="1"/>
  <c r="L38" i="1" s="1"/>
  <c r="J101" i="1"/>
  <c r="L101" i="1" s="1"/>
  <c r="J103" i="1"/>
  <c r="L103" i="1" s="1"/>
  <c r="M227" i="1" l="1"/>
  <c r="M219" i="1"/>
  <c r="M210" i="1"/>
  <c r="M205" i="1"/>
  <c r="M199" i="1"/>
  <c r="M198" i="1"/>
  <c r="M149" i="1"/>
  <c r="M193" i="1"/>
  <c r="M190" i="1"/>
  <c r="M180" i="1"/>
  <c r="M176" i="1"/>
  <c r="M171" i="1"/>
  <c r="M166" i="1"/>
  <c r="M162" i="1"/>
  <c r="M157" i="1"/>
  <c r="M154" i="1"/>
  <c r="M270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34" i="1"/>
  <c r="M233" i="1"/>
  <c r="M232" i="1"/>
  <c r="M231" i="1"/>
  <c r="M230" i="1"/>
  <c r="M321" i="1"/>
  <c r="M118" i="1"/>
  <c r="M119" i="1"/>
  <c r="M291" i="1"/>
  <c r="M134" i="1"/>
  <c r="M133" i="1"/>
  <c r="M120" i="1"/>
  <c r="M41" i="1"/>
  <c r="M40" i="1"/>
  <c r="M13" i="1"/>
  <c r="M12" i="1"/>
  <c r="M9" i="1"/>
  <c r="M8" i="1"/>
  <c r="M7" i="1"/>
  <c r="M6" i="1"/>
  <c r="M5" i="1"/>
  <c r="M4" i="1"/>
  <c r="M108" i="1"/>
  <c r="M106" i="1"/>
  <c r="M99" i="1"/>
  <c r="M97" i="1"/>
  <c r="M70" i="1"/>
  <c r="M67" i="1"/>
  <c r="M64" i="1"/>
  <c r="M65" i="1"/>
  <c r="M60" i="1"/>
  <c r="M61" i="1"/>
  <c r="M56" i="1"/>
  <c r="M53" i="1"/>
  <c r="M50" i="1"/>
  <c r="M47" i="1"/>
  <c r="M44" i="1"/>
  <c r="M103" i="1"/>
  <c r="M101" i="1"/>
  <c r="M38" i="1"/>
  <c r="M36" i="1"/>
  <c r="M34" i="1"/>
  <c r="M325" i="1"/>
</calcChain>
</file>

<file path=xl/sharedStrings.xml><?xml version="1.0" encoding="utf-8"?>
<sst xmlns="http://schemas.openxmlformats.org/spreadsheetml/2006/main" count="2171" uniqueCount="956">
  <si>
    <r>
      <rPr>
        <b/>
        <sz val="16"/>
        <color theme="1"/>
        <rFont val="Calibri"/>
        <family val="2"/>
      </rPr>
      <t>Catalogue</t>
    </r>
    <r>
      <rPr>
        <sz val="16"/>
        <color theme="1"/>
        <rFont val="Calibri"/>
        <family val="2"/>
        <charset val="1"/>
      </rPr>
      <t xml:space="preserve">
</t>
    </r>
    <r>
      <rPr>
        <b/>
        <sz val="16"/>
        <color theme="1"/>
        <rFont val="Calibri"/>
        <family val="2"/>
      </rPr>
      <t>Liste des produits</t>
    </r>
    <r>
      <rPr>
        <sz val="16"/>
        <color theme="1"/>
        <rFont val="Calibri"/>
        <family val="2"/>
        <charset val="1"/>
      </rPr>
      <t xml:space="preserve">
V2026-06-30</t>
    </r>
  </si>
  <si>
    <r>
      <rPr>
        <u/>
        <sz val="16"/>
        <color theme="1"/>
        <rFont val="Calibri"/>
        <family val="2"/>
      </rPr>
      <t>Matériaux</t>
    </r>
    <r>
      <rPr>
        <sz val="16"/>
        <color theme="1"/>
        <rFont val="Calibri"/>
        <family val="2"/>
      </rPr>
      <t xml:space="preserve">
Cabinet en contreplaqué haut de gamme
Porte en HDF + Moulure Shaker en bois de bouleau</t>
    </r>
  </si>
  <si>
    <t xml:space="preserve">514-820-0773
ventes@dilamco.com
Salle de montre à Dorval ouvert du lundi au samedi
</t>
  </si>
  <si>
    <t>internal_code</t>
  </si>
  <si>
    <t>Should Ignore</t>
  </si>
  <si>
    <t>Don't know what it is</t>
  </si>
  <si>
    <t>Too complicated to put on website</t>
  </si>
  <si>
    <t>visible</t>
  </si>
  <si>
    <t>question</t>
  </si>
  <si>
    <t>External Code / Code externe</t>
  </si>
  <si>
    <t>Finish / Finition</t>
  </si>
  <si>
    <t>Cabinet en contreplaqué</t>
  </si>
  <si>
    <t>category</t>
  </si>
  <si>
    <t>sub_category</t>
  </si>
  <si>
    <t>Category / Catégorie</t>
  </si>
  <si>
    <t>Sub Category / 
Sous-Catégorie</t>
  </si>
  <si>
    <t>name</t>
  </si>
  <si>
    <t>Full name / Nom complet</t>
  </si>
  <si>
    <t>short_name</t>
  </si>
  <si>
    <t>Retail Price Yihai (cad)</t>
  </si>
  <si>
    <t>Cost (material) (usd)</t>
  </si>
  <si>
    <t>Cost (material) (cad)</t>
  </si>
  <si>
    <t>Cost (material + duty) (cad)</t>
  </si>
  <si>
    <t>Cost (material + duty + boat) (cad)</t>
  </si>
  <si>
    <t>Cost (material + duty + boat + warehouse) (cad)</t>
  </si>
  <si>
    <t>Cost (material + duty + boat + warehouse + waste) (cad)</t>
  </si>
  <si>
    <t>Cost (total) (cad)</t>
  </si>
  <si>
    <t>Margin</t>
  </si>
  <si>
    <t>Price (CAD) / Prix (CAD)</t>
  </si>
  <si>
    <t>Width / Largeur</t>
  </si>
  <si>
    <t>Height / Hauteur</t>
  </si>
  <si>
    <t>Depth / Profondeur</t>
  </si>
  <si>
    <t>Doors / Portes</t>
  </si>
  <si>
    <t>Drawers / Tiroirs</t>
  </si>
  <si>
    <t>S8-B12</t>
  </si>
  <si>
    <t>DRDOBC12</t>
  </si>
  <si>
    <t>Porte en HDF + Moulure Shaker en bois de bouleau</t>
  </si>
  <si>
    <t>base-cabinet-standard</t>
  </si>
  <si>
    <t>Armoire de cuisine du bas avec 1 tiroir et 1 porte</t>
  </si>
  <si>
    <t>S8-B12-muf</t>
  </si>
  <si>
    <t>S8-B15</t>
  </si>
  <si>
    <t>DRDOBC15</t>
  </si>
  <si>
    <t>S8-B15-muf</t>
  </si>
  <si>
    <t>S8-B18</t>
  </si>
  <si>
    <t>DRDOBC18</t>
  </si>
  <si>
    <t>S8-B18-muf</t>
  </si>
  <si>
    <t>S8-Garbage Bin</t>
  </si>
  <si>
    <t>GARBAGE-BIN</t>
  </si>
  <si>
    <t>accessories</t>
  </si>
  <si>
    <t>garbage-bin</t>
  </si>
  <si>
    <t>Poubelle en plastique</t>
  </si>
  <si>
    <t>N/A</t>
  </si>
  <si>
    <t>S8-ROD15</t>
  </si>
  <si>
    <t>right price ?</t>
  </si>
  <si>
    <t>ROD15</t>
  </si>
  <si>
    <t>roll-out-drawer</t>
  </si>
  <si>
    <t>Tiroir coulissant</t>
  </si>
  <si>
    <t>S8-B21</t>
  </si>
  <si>
    <t>DRDOBC21</t>
  </si>
  <si>
    <t>S8-B21-muf</t>
  </si>
  <si>
    <t>S8-ROD18</t>
  </si>
  <si>
    <t>ROD18</t>
  </si>
  <si>
    <t>S8-ROD21</t>
  </si>
  <si>
    <t>ROD21</t>
  </si>
  <si>
    <t>S8-ROD24</t>
  </si>
  <si>
    <t>ROD24</t>
  </si>
  <si>
    <t>S8-ROD27</t>
  </si>
  <si>
    <t>ROD27</t>
  </si>
  <si>
    <t>S8-ROD30</t>
  </si>
  <si>
    <t>ROD30</t>
  </si>
  <si>
    <t>S8-ROD33</t>
  </si>
  <si>
    <t>ROD33</t>
  </si>
  <si>
    <t>S8-ROD36</t>
  </si>
  <si>
    <t>ROD36</t>
  </si>
  <si>
    <t>S8-VDB1221</t>
  </si>
  <si>
    <t>VDRBC1221</t>
  </si>
  <si>
    <t>bathroom-base-cabinet-drawer</t>
  </si>
  <si>
    <t>Armoire de salle de bain avec 3 tiroirs</t>
  </si>
  <si>
    <t>S8-VDB1221-muf</t>
  </si>
  <si>
    <t>S8-VDB1521</t>
  </si>
  <si>
    <t>VDRBC1521</t>
  </si>
  <si>
    <t>S8-VDB1521-muf</t>
  </si>
  <si>
    <t>S8-VDB1821</t>
  </si>
  <si>
    <t>VDRBC1821</t>
  </si>
  <si>
    <t>S8-VDB1821-muf</t>
  </si>
  <si>
    <t>S8-VS2421</t>
  </si>
  <si>
    <t>VSBC2421</t>
  </si>
  <si>
    <t>bathroom-base-cabinet-sink</t>
  </si>
  <si>
    <t>Vanité de salle de bain à 2 portes</t>
  </si>
  <si>
    <t>S8-VS2421-muf</t>
  </si>
  <si>
    <t>S8-VS3021</t>
  </si>
  <si>
    <t>VSBC3021</t>
  </si>
  <si>
    <t>S8-VS3021-muf</t>
  </si>
  <si>
    <t>S8-B18-PO</t>
  </si>
  <si>
    <t>DRGBBC18</t>
  </si>
  <si>
    <t>base-cabinet-garbage-pull-out</t>
  </si>
  <si>
    <t>Armoire de cuisine du bas avec tiroir à déchets coulissant</t>
  </si>
  <si>
    <t>S8-B18-PO-muf</t>
  </si>
  <si>
    <t>S8-BBC42</t>
  </si>
  <si>
    <t>BCBC42</t>
  </si>
  <si>
    <t>base-cabinet-corner</t>
  </si>
  <si>
    <t>Armoire de cuisine du bas coin mort</t>
  </si>
  <si>
    <t>S8-BBC42-muf</t>
  </si>
  <si>
    <t>S8-BBC45</t>
  </si>
  <si>
    <t>BCBC45</t>
  </si>
  <si>
    <t>S8-BBC45-muf</t>
  </si>
  <si>
    <t>S8-BBC48</t>
  </si>
  <si>
    <t>BCBC48</t>
  </si>
  <si>
    <t>S8-BBC48-muf</t>
  </si>
  <si>
    <t>S8-BMC27</t>
  </si>
  <si>
    <t>MBC</t>
  </si>
  <si>
    <t>base-microwave-cabinet</t>
  </si>
  <si>
    <t>Armoire de cuisine du bas avec espace micro-ondes et 1 tiroir</t>
  </si>
  <si>
    <t>S8-BM33*6</t>
  </si>
  <si>
    <t>moldings</t>
  </si>
  <si>
    <t>S8-BM96</t>
  </si>
  <si>
    <t>S8-BMC27-muf</t>
  </si>
  <si>
    <t>S8-DB12</t>
  </si>
  <si>
    <t>DRBC12</t>
  </si>
  <si>
    <t>base-cabinet-drawer</t>
  </si>
  <si>
    <t>Armoire de cuisine du bas avec 3 tiroirs</t>
  </si>
  <si>
    <t>S8-DB12-muf</t>
  </si>
  <si>
    <t>S8-DB12-2-muf</t>
  </si>
  <si>
    <t>DRBC12-2</t>
  </si>
  <si>
    <t>Armoire de cuisine du bas avec 2 tiroirs</t>
  </si>
  <si>
    <t>S8-DB15</t>
  </si>
  <si>
    <t>DRBC15</t>
  </si>
  <si>
    <t>S8-DB15-muf</t>
  </si>
  <si>
    <t>S8-DB15-2-muf</t>
  </si>
  <si>
    <t>DRBC15-2</t>
  </si>
  <si>
    <t>S8-DB18</t>
  </si>
  <si>
    <t>DRBC18</t>
  </si>
  <si>
    <t>S8-DB18-muf</t>
  </si>
  <si>
    <t>S8-DB18-2-muf</t>
  </si>
  <si>
    <t>DRBC18-2</t>
  </si>
  <si>
    <t>S8-DB21</t>
  </si>
  <si>
    <t>DRBC21</t>
  </si>
  <si>
    <t>S8-DB21-muf</t>
  </si>
  <si>
    <t>S8-DB21-2-muf</t>
  </si>
  <si>
    <t>DRBC21-2</t>
  </si>
  <si>
    <t>S8-DB24</t>
  </si>
  <si>
    <t>DRBC24</t>
  </si>
  <si>
    <t>S8-DB24-muf</t>
  </si>
  <si>
    <t>S8-DB24-2-muf</t>
  </si>
  <si>
    <t>DRBC24-2</t>
  </si>
  <si>
    <t>S8-DB27</t>
  </si>
  <si>
    <t>DRBC27</t>
  </si>
  <si>
    <t>S8-DB27-2</t>
  </si>
  <si>
    <t>DRBC27-2</t>
  </si>
  <si>
    <t>S8-DB27-2-muf</t>
  </si>
  <si>
    <t>S8-DB27-muf</t>
  </si>
  <si>
    <t>S8-DB30</t>
  </si>
  <si>
    <t>DRBC30</t>
  </si>
  <si>
    <t>S8-DB30-2</t>
  </si>
  <si>
    <t>DRBC30-2</t>
  </si>
  <si>
    <t>S8-DB30-2-muf</t>
  </si>
  <si>
    <t>S8-DB30-muf</t>
  </si>
  <si>
    <t>S8-DB33</t>
  </si>
  <si>
    <t>DRBC33</t>
  </si>
  <si>
    <t>S8-DB33-muf</t>
  </si>
  <si>
    <t>S8-DB33-2-muf</t>
  </si>
  <si>
    <t>DRBC33-2</t>
  </si>
  <si>
    <t>S8-DB36</t>
  </si>
  <si>
    <t>DRBC36</t>
  </si>
  <si>
    <t>S8-DB36-muf</t>
  </si>
  <si>
    <t>S8-DB36-2-muf</t>
  </si>
  <si>
    <t>DRBC36-2</t>
  </si>
  <si>
    <t>S8-FB09</t>
  </si>
  <si>
    <t>DOBC09</t>
  </si>
  <si>
    <t>Armoire de cuisine du bas avec 1 porte</t>
  </si>
  <si>
    <t>S8-FB09-muf</t>
  </si>
  <si>
    <t>S8-FB12</t>
  </si>
  <si>
    <t>DOBC12</t>
  </si>
  <si>
    <t>S8-FB12-muf</t>
  </si>
  <si>
    <t>S8-FB15</t>
  </si>
  <si>
    <t>DOBC15</t>
  </si>
  <si>
    <t>S8-FB15-muf</t>
  </si>
  <si>
    <t>S8-FB18</t>
  </si>
  <si>
    <t>DOBC18</t>
  </si>
  <si>
    <t>S8-FB18-muf</t>
  </si>
  <si>
    <t>S8-FB21</t>
  </si>
  <si>
    <t>DOBC21</t>
  </si>
  <si>
    <t>S8-FB21-muf</t>
  </si>
  <si>
    <t>S8-FB24</t>
  </si>
  <si>
    <t>DOBC24</t>
  </si>
  <si>
    <t>Armoire de cuisine du bas avec 2 portes</t>
  </si>
  <si>
    <t>S8-FB24-muf</t>
  </si>
  <si>
    <t>S8-FB27</t>
  </si>
  <si>
    <t>DOBC27</t>
  </si>
  <si>
    <t>S8-FB27-muf</t>
  </si>
  <si>
    <t>S8-FB30</t>
  </si>
  <si>
    <t>DOBC30</t>
  </si>
  <si>
    <t>S8-FB30-muf</t>
  </si>
  <si>
    <t>S8-FB33</t>
  </si>
  <si>
    <t>DOBC33</t>
  </si>
  <si>
    <t>S8-FB33-muf</t>
  </si>
  <si>
    <t>S8-FB36</t>
  </si>
  <si>
    <t>DOBC36</t>
  </si>
  <si>
    <t>S8-FB36-muf</t>
  </si>
  <si>
    <t>S8-FB39</t>
  </si>
  <si>
    <t>DOBC39</t>
  </si>
  <si>
    <t>S8-FB39-muf</t>
  </si>
  <si>
    <t>S8-FB42</t>
  </si>
  <si>
    <t>DOBC42</t>
  </si>
  <si>
    <t>S8-FB42-muf</t>
  </si>
  <si>
    <t>S8-FSB33*19.75(10-1/8)</t>
  </si>
  <si>
    <t>FSBC33</t>
  </si>
  <si>
    <t>base-cabinet-farmhouse-sink</t>
  </si>
  <si>
    <t>Armoire de cuisine du bas pour évier farmhouse</t>
  </si>
  <si>
    <t>S8-FSB33*19.75(10-1/8)-muf</t>
  </si>
  <si>
    <t>S8-FSB36*19.75(10-1/8)</t>
  </si>
  <si>
    <t>FSBC36</t>
  </si>
  <si>
    <t>S8-FSB36*19.75(10-1/8)-muf</t>
  </si>
  <si>
    <t>S8-LS3309</t>
  </si>
  <si>
    <t>CBC3309</t>
  </si>
  <si>
    <t>Armoire de cuisine du bas coin 90º</t>
  </si>
  <si>
    <t>S8-LS3309-muf</t>
  </si>
  <si>
    <t>S8-LS3612</t>
  </si>
  <si>
    <t>CBC3612</t>
  </si>
  <si>
    <t>S8-LS3612-muf</t>
  </si>
  <si>
    <t>S8-SP06</t>
  </si>
  <si>
    <t>DRSPBC06</t>
  </si>
  <si>
    <t>base-cabinet-spice-rack-pull-out</t>
  </si>
  <si>
    <t>Armoire de cuisine du bas avec range-épices coulissant</t>
  </si>
  <si>
    <t>S8-SP09</t>
  </si>
  <si>
    <t>DRSPBC09</t>
  </si>
  <si>
    <t>S8-SP09-muf</t>
  </si>
  <si>
    <t>S8-SP12</t>
  </si>
  <si>
    <t>DRSPBC12</t>
  </si>
  <si>
    <t>S8-SP12-muf</t>
  </si>
  <si>
    <t>S8-W0930</t>
  </si>
  <si>
    <t>DOWC0930</t>
  </si>
  <si>
    <t>wall-cabinet</t>
  </si>
  <si>
    <t>standard</t>
  </si>
  <si>
    <t>Armoire de cuisine du haut à 1 porte</t>
  </si>
  <si>
    <t>S8-W0936</t>
  </si>
  <si>
    <t>DOWC0936</t>
  </si>
  <si>
    <t>S8-W1230</t>
  </si>
  <si>
    <t>DOWC1230</t>
  </si>
  <si>
    <t>S8-W1236</t>
  </si>
  <si>
    <t>DOWC1236</t>
  </si>
  <si>
    <t>S8-W1248</t>
  </si>
  <si>
    <t>DOWC1248</t>
  </si>
  <si>
    <t>S8-W1436</t>
  </si>
  <si>
    <t>DOWC1436</t>
  </si>
  <si>
    <t>S8-W1530</t>
  </si>
  <si>
    <t>DOWC1530</t>
  </si>
  <si>
    <t>S8-W1536</t>
  </si>
  <si>
    <t>DOWC1536</t>
  </si>
  <si>
    <t>S8-W1548</t>
  </si>
  <si>
    <t>DOWC1548</t>
  </si>
  <si>
    <t>S8-OC33X103.5</t>
  </si>
  <si>
    <t>utility-cabinet-oven</t>
  </si>
  <si>
    <t>OC33X103.5</t>
  </si>
  <si>
    <t>S8-OC-DB30 DRAWER</t>
  </si>
  <si>
    <t>OC-DB30 DRAWER</t>
  </si>
  <si>
    <t>S8-OCM8</t>
  </si>
  <si>
    <t>OCM</t>
  </si>
  <si>
    <t>Moulure de coin extérieur</t>
  </si>
  <si>
    <t>S8-OCM8-muf</t>
  </si>
  <si>
    <t>S8-W1830</t>
  </si>
  <si>
    <t>DOWC1830</t>
  </si>
  <si>
    <t>S8-W1836</t>
  </si>
  <si>
    <t>DOWC1836</t>
  </si>
  <si>
    <t>S8-W1848</t>
  </si>
  <si>
    <t>DOWC1848</t>
  </si>
  <si>
    <t>S8-W2036</t>
  </si>
  <si>
    <t>DOWC2036</t>
  </si>
  <si>
    <t>S8-W2130</t>
  </si>
  <si>
    <t>DOWC2130</t>
  </si>
  <si>
    <t>S8-W2136</t>
  </si>
  <si>
    <t>DOWC2136</t>
  </si>
  <si>
    <t>S8-W2148</t>
  </si>
  <si>
    <t>DOWC2148</t>
  </si>
  <si>
    <t>S8-W2336</t>
  </si>
  <si>
    <t>DOWC2336</t>
  </si>
  <si>
    <t>S8-W2430</t>
  </si>
  <si>
    <t>DOWC2430</t>
  </si>
  <si>
    <t>Armoire de cuisine du haut à 2 portes</t>
  </si>
  <si>
    <t>S8-W2436</t>
  </si>
  <si>
    <t>DOWC2436</t>
  </si>
  <si>
    <t>S8-W2448</t>
  </si>
  <si>
    <t>DOWC2448</t>
  </si>
  <si>
    <t>S8-SM1.5</t>
  </si>
  <si>
    <t>S8-SM1.5X120</t>
  </si>
  <si>
    <t>S8-W2730</t>
  </si>
  <si>
    <t>DOWC2730</t>
  </si>
  <si>
    <t>S8-W2736</t>
  </si>
  <si>
    <t>DOWC2736</t>
  </si>
  <si>
    <t>S8-W2748</t>
  </si>
  <si>
    <t>DOWC2748</t>
  </si>
  <si>
    <t>S8-W3012</t>
  </si>
  <si>
    <t>DOWC3012</t>
  </si>
  <si>
    <t>S8-W3015</t>
  </si>
  <si>
    <t>DOWC3015</t>
  </si>
  <si>
    <t>S8-W3018</t>
  </si>
  <si>
    <t>DOWC3018</t>
  </si>
  <si>
    <t>S8-W3021</t>
  </si>
  <si>
    <t>DOWC3021</t>
  </si>
  <si>
    <t>S8-W3024</t>
  </si>
  <si>
    <t>DOWC3024</t>
  </si>
  <si>
    <t>S8-W3027</t>
  </si>
  <si>
    <t>DOWC3027</t>
  </si>
  <si>
    <t>S8-W3030</t>
  </si>
  <si>
    <t>DOWC3030</t>
  </si>
  <si>
    <t>S8-W3036</t>
  </si>
  <si>
    <t>DOWC3036</t>
  </si>
  <si>
    <t>S8-W3042</t>
  </si>
  <si>
    <t>DOWC3042</t>
  </si>
  <si>
    <t>S8-W3048</t>
  </si>
  <si>
    <t>DOWC3048</t>
  </si>
  <si>
    <t>S8-W30X19.5</t>
  </si>
  <si>
    <t>DOWC30-19.5</t>
  </si>
  <si>
    <t>S8-W33.51227</t>
  </si>
  <si>
    <t>DOWRC33.5-12</t>
  </si>
  <si>
    <t>upper-refrigerator</t>
  </si>
  <si>
    <t>Armoire de cuisine du haut à 2 portes pour dessus de réfrigérateur</t>
  </si>
  <si>
    <t>S8-W33.51827</t>
  </si>
  <si>
    <t>DOWRC33.5-18</t>
  </si>
  <si>
    <t>S8-W33.52027</t>
  </si>
  <si>
    <t>DOWRC33.5-20</t>
  </si>
  <si>
    <t>S8-W33.5X30X27</t>
  </si>
  <si>
    <t>DOWRC33.5-30</t>
  </si>
  <si>
    <t>S8-W3312</t>
  </si>
  <si>
    <t>DOWC3312</t>
  </si>
  <si>
    <t>S8-W0936-Door</t>
  </si>
  <si>
    <t>wall-cabinet-standard</t>
  </si>
  <si>
    <t>W0936-Door</t>
  </si>
  <si>
    <t>S8-W3318</t>
  </si>
  <si>
    <t>DOWC3318</t>
  </si>
  <si>
    <t>S8-W3330</t>
  </si>
  <si>
    <t>DOWC3330</t>
  </si>
  <si>
    <t>S8-W1236-Door</t>
  </si>
  <si>
    <t>W1236-Door</t>
  </si>
  <si>
    <t>S8-W3336</t>
  </si>
  <si>
    <t>DOWC3336</t>
  </si>
  <si>
    <t>S8-W3348</t>
  </si>
  <si>
    <t>DOWC3348</t>
  </si>
  <si>
    <t>S8-W33X19.5</t>
  </si>
  <si>
    <t>DOWRC33-19.5</t>
  </si>
  <si>
    <t>S8-W36.51227</t>
  </si>
  <si>
    <t>DOWRC36.5-12</t>
  </si>
  <si>
    <t>S8-W1536-Door</t>
  </si>
  <si>
    <t>W1536-Door</t>
  </si>
  <si>
    <t>S8-W36.51827</t>
  </si>
  <si>
    <t>DOWRC36.5-18</t>
  </si>
  <si>
    <t>S8-W36.5X20X27</t>
  </si>
  <si>
    <t>DOWRC36.5-20</t>
  </si>
  <si>
    <t>S8-W36.5X30X27</t>
  </si>
  <si>
    <t>DOWRC36.5-30</t>
  </si>
  <si>
    <t>S8-W1836-Door</t>
  </si>
  <si>
    <t>W1836-Door</t>
  </si>
  <si>
    <t>S8-W36.5X31.5X27</t>
  </si>
  <si>
    <t>DOWRC36.5-31.5</t>
  </si>
  <si>
    <t>S8-W3612</t>
  </si>
  <si>
    <t>DOWC3612</t>
  </si>
  <si>
    <t>S8-W3618</t>
  </si>
  <si>
    <t>DOWC3618</t>
  </si>
  <si>
    <t>S8-W3624</t>
  </si>
  <si>
    <t>DOWC3624</t>
  </si>
  <si>
    <t>S8-W2136-Door</t>
  </si>
  <si>
    <t>W2136-Door</t>
  </si>
  <si>
    <t>S8-W3630</t>
  </si>
  <si>
    <t>DOWC3630</t>
  </si>
  <si>
    <t>S8-W3636</t>
  </si>
  <si>
    <t>DOWC3636</t>
  </si>
  <si>
    <t>S8-W3642</t>
  </si>
  <si>
    <t>DOWC3642</t>
  </si>
  <si>
    <t>S8-W3648</t>
  </si>
  <si>
    <t>DOWC3648</t>
  </si>
  <si>
    <t>S8-W2436-Door</t>
  </si>
  <si>
    <t>W2436-Door</t>
  </si>
  <si>
    <t>S8-W36X19.5</t>
  </si>
  <si>
    <t>DOWC36-19.5</t>
  </si>
  <si>
    <t>S8-W3930</t>
  </si>
  <si>
    <t>DOWC3930</t>
  </si>
  <si>
    <t>S8-W3936</t>
  </si>
  <si>
    <t>DOWC3936</t>
  </si>
  <si>
    <t>S8-W2736-Door</t>
  </si>
  <si>
    <t>W2736-Door</t>
  </si>
  <si>
    <t>S8-W39X20X27</t>
  </si>
  <si>
    <t>DOWRC3920</t>
  </si>
  <si>
    <t>S8-W4230</t>
  </si>
  <si>
    <t>DOWC4230</t>
  </si>
  <si>
    <t>S8-W4236</t>
  </si>
  <si>
    <t>DOWC4236</t>
  </si>
  <si>
    <t>S8-WBC3030</t>
  </si>
  <si>
    <t>BCWC3030</t>
  </si>
  <si>
    <t>corner</t>
  </si>
  <si>
    <t>Armoire de cuisine du haut coin mort</t>
  </si>
  <si>
    <t>S8-WBC3036</t>
  </si>
  <si>
    <t>BCWC3036</t>
  </si>
  <si>
    <t>S8-WBC3330</t>
  </si>
  <si>
    <t>left or right ?</t>
  </si>
  <si>
    <t>BCWC3330</t>
  </si>
  <si>
    <t>S8-WBC3336</t>
  </si>
  <si>
    <t>BCWC3336</t>
  </si>
  <si>
    <t>S8-WBC3630</t>
  </si>
  <si>
    <t>BCWC3630</t>
  </si>
  <si>
    <t>S8-WBC3636</t>
  </si>
  <si>
    <t>BCWC3636</t>
  </si>
  <si>
    <t>S8-W3036-Door</t>
  </si>
  <si>
    <t>W3036-Door</t>
  </si>
  <si>
    <t>S8-WBL2430</t>
  </si>
  <si>
    <t>MWC2430</t>
  </si>
  <si>
    <t>microwave</t>
  </si>
  <si>
    <t>Armoire de cuisine du haut avec espace micro-ondes et 2 portes</t>
  </si>
  <si>
    <t>S8-WBL2436</t>
  </si>
  <si>
    <t>MWC2436</t>
  </si>
  <si>
    <t>S8-W3067.518</t>
  </si>
  <si>
    <t>W3067.518</t>
  </si>
  <si>
    <t>S8-WBL2730</t>
  </si>
  <si>
    <t>MWC2730</t>
  </si>
  <si>
    <t>S8-WBL2736</t>
  </si>
  <si>
    <t>MWC2736</t>
  </si>
  <si>
    <t>S8-WBL2748</t>
  </si>
  <si>
    <t>MWC2748</t>
  </si>
  <si>
    <t>S8-WDC2430</t>
  </si>
  <si>
    <t>CDWC2430</t>
  </si>
  <si>
    <t>Armoire de cuisine du haut coin 45º</t>
  </si>
  <si>
    <t>S8-W33.52027-Frameless</t>
  </si>
  <si>
    <t>W33.52027-Frameless</t>
  </si>
  <si>
    <t>S8-W33.521</t>
  </si>
  <si>
    <t>W33.521</t>
  </si>
  <si>
    <t>S8-WDC2436</t>
  </si>
  <si>
    <t>CDWC2436</t>
  </si>
  <si>
    <t>S8-WDC2448</t>
  </si>
  <si>
    <t>CDWC2448</t>
  </si>
  <si>
    <t>S8-WP129327</t>
  </si>
  <si>
    <t>PUC1293</t>
  </si>
  <si>
    <t>utility-cabinet</t>
  </si>
  <si>
    <t>pantry</t>
  </si>
  <si>
    <t>Armoire de cuisine garde-manger</t>
  </si>
  <si>
    <t>S8-WP159327</t>
  </si>
  <si>
    <t>PUC1593</t>
  </si>
  <si>
    <t>S8-WP188427</t>
  </si>
  <si>
    <t>PUC1884</t>
  </si>
  <si>
    <t>S8-W3336-Door</t>
  </si>
  <si>
    <t>W3336-Door</t>
  </si>
  <si>
    <t>S8-WP189027</t>
  </si>
  <si>
    <t>PUC1890</t>
  </si>
  <si>
    <t>S8-WP189327</t>
  </si>
  <si>
    <t>PUC1893</t>
  </si>
  <si>
    <t>S8-WP18X91.527</t>
  </si>
  <si>
    <t>PUC18-91.5</t>
  </si>
  <si>
    <t>S8-WP248427</t>
  </si>
  <si>
    <t>PUC2484</t>
  </si>
  <si>
    <t>S8-W36.52027-Frameless</t>
  </si>
  <si>
    <t>W36.52027-Frameless</t>
  </si>
  <si>
    <t>S8-WP249027</t>
  </si>
  <si>
    <t>PUC2490</t>
  </si>
  <si>
    <t>S8-WP2491.5X27</t>
  </si>
  <si>
    <t>PUC24-91.5</t>
  </si>
  <si>
    <t>S8-WP249327</t>
  </si>
  <si>
    <t>PUC2493</t>
  </si>
  <si>
    <t>S8-WP249627</t>
  </si>
  <si>
    <t>PUC2496</t>
  </si>
  <si>
    <t>S8-WP24X103.5</t>
  </si>
  <si>
    <t>PUC24-103.5</t>
  </si>
  <si>
    <t>S8-WP2791.5X27</t>
  </si>
  <si>
    <t>PUC27-91.5</t>
  </si>
  <si>
    <t>S8-WP279327</t>
  </si>
  <si>
    <t>PUC2793</t>
  </si>
  <si>
    <t>S8-WP279627</t>
  </si>
  <si>
    <t>PUC2796</t>
  </si>
  <si>
    <t>S8-W3636-Door</t>
  </si>
  <si>
    <t>W3636-Door</t>
  </si>
  <si>
    <t>S8-WP308427</t>
  </si>
  <si>
    <t>PUC3084</t>
  </si>
  <si>
    <t>S8-WP309027</t>
  </si>
  <si>
    <t>PUC3090</t>
  </si>
  <si>
    <t>chene blanc pour wall ?</t>
  </si>
  <si>
    <t>S8-WP309327</t>
  </si>
  <si>
    <t>PUC3093</t>
  </si>
  <si>
    <t>S8-WP309627</t>
  </si>
  <si>
    <t>PUC3096</t>
  </si>
  <si>
    <t>S8-WP30X103.5</t>
  </si>
  <si>
    <t>PUC30-103.5</t>
  </si>
  <si>
    <t>S8-BDD12.75*36</t>
  </si>
  <si>
    <t>DDBC12.75-36</t>
  </si>
  <si>
    <t>fillers-panels-moldings</t>
  </si>
  <si>
    <t>dummy-door</t>
  </si>
  <si>
    <t>Fausse porte pour armoire de cuisine du bas</t>
  </si>
  <si>
    <t>S8-W42.518</t>
  </si>
  <si>
    <t>W42.518</t>
  </si>
  <si>
    <t>S8-BDD12.75*36-muf</t>
  </si>
  <si>
    <t>S8-BDD21.75*36</t>
  </si>
  <si>
    <t>DDBC21.75-36</t>
  </si>
  <si>
    <t>S8-WBC2730</t>
  </si>
  <si>
    <t>wall-blind-corner</t>
  </si>
  <si>
    <t>WBC2730</t>
  </si>
  <si>
    <t>S8-WBC2736</t>
  </si>
  <si>
    <t>WBC2736</t>
  </si>
  <si>
    <t>S8-WBC2736-Door</t>
  </si>
  <si>
    <t>WBC2736-Door</t>
  </si>
  <si>
    <t>S8-WBC2748-L</t>
  </si>
  <si>
    <t>WBC2748-L</t>
  </si>
  <si>
    <t>S8-WBC2748-R</t>
  </si>
  <si>
    <t>WBC2748-R</t>
  </si>
  <si>
    <t>S8-BDD21.75*36-muf</t>
  </si>
  <si>
    <t>S8-BDD24.75*36</t>
  </si>
  <si>
    <t>DDBC24.75-36</t>
  </si>
  <si>
    <t>S8-BDD24.75*36-muf</t>
  </si>
  <si>
    <t>S8-BDD2430</t>
  </si>
  <si>
    <t>DDBC24-30</t>
  </si>
  <si>
    <t>S8-BDD2430-muf</t>
  </si>
  <si>
    <t>S8-BDD25.75*36</t>
  </si>
  <si>
    <t>DDBC25.75-36</t>
  </si>
  <si>
    <t>S8-WBC3648-L</t>
  </si>
  <si>
    <t>WBC3648-L</t>
  </si>
  <si>
    <t>S8-WBC3648-R</t>
  </si>
  <si>
    <t>WBC3648-R</t>
  </si>
  <si>
    <t>S8-WBCT1530</t>
  </si>
  <si>
    <t>wall-blind-corner-tall</t>
  </si>
  <si>
    <t>WBCT1530</t>
  </si>
  <si>
    <t>S8-WBCT1536</t>
  </si>
  <si>
    <t>WBCT1536</t>
  </si>
  <si>
    <t>S8-WBCT1830</t>
  </si>
  <si>
    <t>WBCT1830</t>
  </si>
  <si>
    <t>S8-WBCT1836</t>
  </si>
  <si>
    <t>WBCT1836</t>
  </si>
  <si>
    <t>S8-WBCT2130</t>
  </si>
  <si>
    <t>WBCT2130</t>
  </si>
  <si>
    <t>S8-WBCT2136</t>
  </si>
  <si>
    <t>WBCT2136</t>
  </si>
  <si>
    <t>S8-WBCT2136-Door</t>
  </si>
  <si>
    <t>WBCT2136-Door</t>
  </si>
  <si>
    <t>S8-WBCT2148-L</t>
  </si>
  <si>
    <t>WBCT2148-L</t>
  </si>
  <si>
    <t>S8-WBCT2148-R</t>
  </si>
  <si>
    <t>WBCT2148-R</t>
  </si>
  <si>
    <t>S8-WBCT2430</t>
  </si>
  <si>
    <t>WBCT2430</t>
  </si>
  <si>
    <t>S8-WBCT2436</t>
  </si>
  <si>
    <t>WBCT2436</t>
  </si>
  <si>
    <t>S8-WBCT2436-Door</t>
  </si>
  <si>
    <t>WBCT2436-Door</t>
  </si>
  <si>
    <t>S8-WBCT2448-L</t>
  </si>
  <si>
    <t>WBCT2448-L</t>
  </si>
  <si>
    <t>S8-WBCT2448-R</t>
  </si>
  <si>
    <t>WBCT2448-R</t>
  </si>
  <si>
    <t>S8-WBCT2730</t>
  </si>
  <si>
    <t>WBCT2730</t>
  </si>
  <si>
    <t>S8-WBCT2736</t>
  </si>
  <si>
    <t>WBCT2736</t>
  </si>
  <si>
    <t>S8-WBCT3030</t>
  </si>
  <si>
    <t>WBCT3030</t>
  </si>
  <si>
    <t>S8-WBCT3036</t>
  </si>
  <si>
    <t>WBCT3036</t>
  </si>
  <si>
    <t>S8-WBCT3336</t>
  </si>
  <si>
    <t>WBCT3336</t>
  </si>
  <si>
    <t>S8-WBCT3636</t>
  </si>
  <si>
    <t>WBCT3636</t>
  </si>
  <si>
    <t>S8-BDD25.75*36-muf</t>
  </si>
  <si>
    <t>S8-BDD2730</t>
  </si>
  <si>
    <t>DDBC27-30</t>
  </si>
  <si>
    <t>S8-BDD2730-muf</t>
  </si>
  <si>
    <t>S8-BDD3030</t>
  </si>
  <si>
    <t>DDBC30-30</t>
  </si>
  <si>
    <t>S8-BDD3030-muf</t>
  </si>
  <si>
    <t>S8-BDD3330</t>
  </si>
  <si>
    <t>DDBC33-30</t>
  </si>
  <si>
    <t>S8-BDD3330-muf</t>
  </si>
  <si>
    <t>S8-WDC2436-Door</t>
  </si>
  <si>
    <t>wall-cabinet-corner-45deg</t>
  </si>
  <si>
    <t>WDC2436-Door</t>
  </si>
  <si>
    <t>S8-BDD37.5x36</t>
  </si>
  <si>
    <t>DDBC37.5-36</t>
  </si>
  <si>
    <t>S8-BDD37.5x36-muf</t>
  </si>
  <si>
    <t>S8-BDD49.75*36</t>
  </si>
  <si>
    <t>DDBC49.75-36</t>
  </si>
  <si>
    <t>S8-BDD49.75*36-muf</t>
  </si>
  <si>
    <t>S8-CM2.5X120</t>
  </si>
  <si>
    <t>CM2.5-120</t>
  </si>
  <si>
    <t>Moulure de couronne pour armoires de cuisine</t>
  </si>
  <si>
    <t>S8-CM2.5X126</t>
  </si>
  <si>
    <t>CM2.5-126</t>
  </si>
  <si>
    <t>S8-CM2.5X96</t>
  </si>
  <si>
    <t>CM2.5-96</t>
  </si>
  <si>
    <t>S8-DWR336</t>
  </si>
  <si>
    <t>DWP</t>
  </si>
  <si>
    <t>return-panels-appliance</t>
  </si>
  <si>
    <t>Panneau latéral pour lave-vaisselle</t>
  </si>
  <si>
    <t>S8-DWR336-muf</t>
  </si>
  <si>
    <t>S8-IBP9618</t>
  </si>
  <si>
    <t>IBP9618</t>
  </si>
  <si>
    <t>island-back-panel</t>
  </si>
  <si>
    <t>Panneau arrière d'îlot</t>
  </si>
  <si>
    <t>S8-IBP9636</t>
  </si>
  <si>
    <t>IBP9636</t>
  </si>
  <si>
    <t>S8-IBP9636-muf</t>
  </si>
  <si>
    <t>S8-ISP25.75X36</t>
  </si>
  <si>
    <t>ISP25.75-36</t>
  </si>
  <si>
    <t>island-side-panel</t>
  </si>
  <si>
    <t>Panneau de côté d'îlot</t>
  </si>
  <si>
    <t>S8-ISP2436-muf</t>
  </si>
  <si>
    <t>ISP2436</t>
  </si>
  <si>
    <t>S8-ISP2536-muf</t>
  </si>
  <si>
    <t>ISP2536</t>
  </si>
  <si>
    <t>S8-ISP37.75X36</t>
  </si>
  <si>
    <t>ISP37.75-36</t>
  </si>
  <si>
    <t>S8-RRP103.527 3/4</t>
  </si>
  <si>
    <t>RP103.5-27-0.75</t>
  </si>
  <si>
    <t>Panneau latéral pour réfrigérateur</t>
  </si>
  <si>
    <t>S8-RRP9627 7/8</t>
  </si>
  <si>
    <t>RP96-27-0.875</t>
  </si>
  <si>
    <t>S8-RRP9625-muf</t>
  </si>
  <si>
    <t>dimensions</t>
  </si>
  <si>
    <t>RP9625</t>
  </si>
  <si>
    <t>S8-TK8</t>
  </si>
  <si>
    <t>TK</t>
  </si>
  <si>
    <t>panels</t>
  </si>
  <si>
    <t>Coup-de-pied</t>
  </si>
  <si>
    <t>S8-TK8-muf</t>
  </si>
  <si>
    <t>S8-WDD12.75*36</t>
  </si>
  <si>
    <t>DDWC12.75-36</t>
  </si>
  <si>
    <t>Fausse porte pour armoire de cuisine du haut</t>
  </si>
  <si>
    <t>S8-WDD12.75*48</t>
  </si>
  <si>
    <t>DDWC12.75-48</t>
  </si>
  <si>
    <t>S8-WEP1330</t>
  </si>
  <si>
    <t>WEP1330</t>
  </si>
  <si>
    <t>wall-end-panel</t>
  </si>
  <si>
    <t>Panneau pour armoires de cuisine du haut</t>
  </si>
  <si>
    <t>S8-WEP1336</t>
  </si>
  <si>
    <t>WEP1336</t>
  </si>
  <si>
    <t>S8-WEP1348</t>
  </si>
  <si>
    <t>WEP1349</t>
  </si>
  <si>
    <t>S8-WF1.5120</t>
  </si>
  <si>
    <t>TF1.5-120</t>
  </si>
  <si>
    <t>fillers-base-wall-tall</t>
  </si>
  <si>
    <t>Filler pleine hauteur pour armoire de cuisine</t>
  </si>
  <si>
    <t>S8-WF1.5120-muf</t>
  </si>
  <si>
    <t>S8-WF1.596</t>
  </si>
  <si>
    <t>TF1.5-96</t>
  </si>
  <si>
    <t>S8-WF1.596-muf</t>
  </si>
  <si>
    <t>S8-WF330</t>
  </si>
  <si>
    <t>WF330</t>
  </si>
  <si>
    <t>S8-WF330-muf</t>
  </si>
  <si>
    <t>S8-WF336</t>
  </si>
  <si>
    <t>WF336</t>
  </si>
  <si>
    <t>S8-WF336-muf</t>
  </si>
  <si>
    <t>S8-WF342</t>
  </si>
  <si>
    <t>WF342</t>
  </si>
  <si>
    <t>S8-WF342-muf</t>
  </si>
  <si>
    <t>S8-WF348</t>
  </si>
  <si>
    <t>WF348</t>
  </si>
  <si>
    <t>S8-WF348-muf</t>
  </si>
  <si>
    <t>S8-WF396</t>
  </si>
  <si>
    <t>TF396</t>
  </si>
  <si>
    <t>S8-WF396-muf</t>
  </si>
  <si>
    <t>S8-WF3X120</t>
  </si>
  <si>
    <t>TF3-120</t>
  </si>
  <si>
    <t>S8-WF3X120-muf</t>
  </si>
  <si>
    <t>S8-WF6*126</t>
  </si>
  <si>
    <t>TF6-126</t>
  </si>
  <si>
    <t>S8-WF6*126-muf</t>
  </si>
  <si>
    <t>S8-WF636</t>
  </si>
  <si>
    <t>WF636</t>
  </si>
  <si>
    <t>S8-WF636-muf</t>
  </si>
  <si>
    <t>S8-WF696</t>
  </si>
  <si>
    <t>TF696</t>
  </si>
  <si>
    <t>S8-WF696-muf</t>
  </si>
  <si>
    <t>S8-WF6X120</t>
  </si>
  <si>
    <t>TF6-120</t>
  </si>
  <si>
    <t>S8-WF6X120-muf</t>
  </si>
  <si>
    <t>S8-WP30X91.5X27-DOORS</t>
  </si>
  <si>
    <t>utility-cabinet-pantry</t>
  </si>
  <si>
    <t>WP30X91.5X27-DOORS</t>
  </si>
  <si>
    <t>S8-WPDD13.75*37.5</t>
  </si>
  <si>
    <t>les dimensions semble pettie</t>
  </si>
  <si>
    <t>DDUC13.75-37.5</t>
  </si>
  <si>
    <t>Fausse porte pour garde-manger</t>
  </si>
  <si>
    <t>S8-WPDD13.75*39</t>
  </si>
  <si>
    <t>DDUC13.75-39</t>
  </si>
  <si>
    <t>S8-WPDD13.75*49.5</t>
  </si>
  <si>
    <t>DDUC13.75-49.5</t>
  </si>
  <si>
    <t>S8-美式铰链</t>
  </si>
  <si>
    <t>HINGE</t>
  </si>
  <si>
    <t>american-style-hinge</t>
  </si>
  <si>
    <t>美式铰链</t>
  </si>
  <si>
    <t>slug</t>
  </si>
  <si>
    <t>parent</t>
  </si>
  <si>
    <t>name_fr</t>
  </si>
  <si>
    <t>base-cabinet</t>
  </si>
  <si>
    <t>Coin</t>
  </si>
  <si>
    <t>Tiroir</t>
  </si>
  <si>
    <t>Évier farmhouse</t>
  </si>
  <si>
    <t>Tiroir à déchets</t>
  </si>
  <si>
    <t>Range-épices coulissant</t>
  </si>
  <si>
    <t>Standard</t>
  </si>
  <si>
    <t>base-cabinet-standard-pull-out</t>
  </si>
  <si>
    <t>Standard coulissant</t>
  </si>
  <si>
    <t>Micro-ondes</t>
  </si>
  <si>
    <t>bathroom-base-cabinet</t>
  </si>
  <si>
    <t>Évier</t>
  </si>
  <si>
    <t>Fausse porte</t>
  </si>
  <si>
    <t>Fillers bas/mural/haut</t>
  </si>
  <si>
    <t>Moulures</t>
  </si>
  <si>
    <t>Panneaux</t>
  </si>
  <si>
    <t>Panneau latéral pour électros</t>
  </si>
  <si>
    <t>oven</t>
  </si>
  <si>
    <t>Four</t>
  </si>
  <si>
    <t>Garde-manger</t>
  </si>
  <si>
    <t>Dessus du réfrigérateur</t>
  </si>
  <si>
    <t>Poubelle</t>
  </si>
  <si>
    <t>Accessoires</t>
  </si>
  <si>
    <t>Charnières</t>
  </si>
  <si>
    <t>Armoire du bas</t>
  </si>
  <si>
    <t>Armoire de salle de bain</t>
  </si>
  <si>
    <t>drawer-bottom-side</t>
  </si>
  <si>
    <t>Côté dessous tiroir</t>
  </si>
  <si>
    <t>Fillers, panneaux &amp; moulures</t>
  </si>
  <si>
    <t>Panneau mural</t>
  </si>
  <si>
    <t>Armoire utilitaire</t>
  </si>
  <si>
    <t>Coin aveugle mural</t>
  </si>
  <si>
    <t>Coin aveugle mural haut</t>
  </si>
  <si>
    <t>wall-blind-left</t>
  </si>
  <si>
    <t>Coin aveugle gauche</t>
  </si>
  <si>
    <t>Armoire murale</t>
  </si>
  <si>
    <t>wall-dummy-door</t>
  </si>
  <si>
    <t>Fausse porte murale</t>
  </si>
  <si>
    <t>Panneau d'extrémité mural</t>
  </si>
  <si>
    <t>wall-pantry-dummy-door</t>
  </si>
  <si>
    <t>Fausse porte murale/garde-manger</t>
  </si>
  <si>
    <t>Position</t>
  </si>
  <si>
    <t>Estimation</t>
  </si>
  <si>
    <t>Type</t>
  </si>
  <si>
    <t>Bas gauche micro-ondes</t>
  </si>
  <si>
    <t>24"</t>
  </si>
  <si>
    <t>2 portes</t>
  </si>
  <si>
    <t>Base évier</t>
  </si>
  <si>
    <t>30" à 36"</t>
  </si>
  <si>
    <t>Base coin / angle</t>
  </si>
  <si>
    <t>36" x 36"</t>
  </si>
  <si>
    <t>porte angle</t>
  </si>
  <si>
    <t>Base tiroirs droite du four</t>
  </si>
  <si>
    <t>15" à 18"</t>
  </si>
  <si>
    <t>3 tiroirs</t>
  </si>
  <si>
    <t>Mural gauche</t>
  </si>
  <si>
    <t>1-2 portes</t>
  </si>
  <si>
    <t>Mural au-dessus micro-ondes</t>
  </si>
  <si>
    <t>Mural coin</t>
  </si>
  <si>
    <t>24" x 24" ou 27" x 27"</t>
  </si>
  <si>
    <t>Muraux au-dessus hotte</t>
  </si>
  <si>
    <t>2 × 12" à 15"</t>
  </si>
  <si>
    <t>1 porte chaque</t>
  </si>
  <si>
    <t>Mural entre hotte/frigo</t>
  </si>
  <si>
    <t>12"</t>
  </si>
  <si>
    <t>1 porte</t>
  </si>
  <si>
    <t>Mural au-dessus frigo</t>
  </si>
  <si>
    <t>30" x 12" ou 30" x 15"</t>
  </si>
  <si>
    <t>fridge panel</t>
  </si>
  <si>
    <t>toe kick</t>
  </si>
  <si>
    <t>cuisine 10x10, jai dis 5000$ au bonhomme, pis jetait trop cher, yavais trouver moisn cher</t>
  </si>
  <si>
    <t>donc 250$/pi lineraire c trop cher</t>
  </si>
  <si>
    <t>comptoir</t>
  </si>
  <si>
    <t>$pi/2</t>
  </si>
  <si>
    <t xml:space="preserve">vanités blanches ou autre 72po? </t>
  </si>
  <si>
    <t>Armoire de salle de bain avec 3 tiroirs (12")</t>
  </si>
  <si>
    <t>Armoire de salle de bain avec 3 tiroirs (15")</t>
  </si>
  <si>
    <t>Armoire de salle de bain avec 3 tiroirs (18")</t>
  </si>
  <si>
    <t>Vanité de salle de bain à 2 portes (24")</t>
  </si>
  <si>
    <t>Vanité de salle de bain à 2 portes (30")</t>
  </si>
  <si>
    <t>ilot 6pi x 3pi</t>
  </si>
  <si>
    <t>Armoire de cuisine du bas avec 2 portes (36")</t>
  </si>
  <si>
    <t>comptoir avec overhang (18pi2)</t>
  </si>
  <si>
    <t>Panneau arrière d'îlot (96" x 36")</t>
  </si>
  <si>
    <t>Panneau de côté d'îlot (25" x 36")</t>
  </si>
  <si>
    <t xml:space="preserve">Module du bas </t>
  </si>
  <si>
    <t>1 module de coin</t>
  </si>
  <si>
    <t>1 module 15 pouces 3 tiroirs</t>
  </si>
  <si>
    <t>1 module 12 pouces ( 1 porte)</t>
  </si>
  <si>
    <t>1 modules 30 pouces (2 portes)</t>
  </si>
  <si>
    <t>1 module 24 pouces ( 2 portes)</t>
  </si>
  <si>
    <t>hinge</t>
  </si>
  <si>
    <t>plafond de 8pi, 36pouce de hauteur</t>
  </si>
  <si>
    <t>I am looking for 300 inch upper and lower and a island 60 by 120 inch</t>
  </si>
  <si>
    <t>ft</t>
  </si>
  <si>
    <t>cost</t>
  </si>
  <si>
    <t>price</t>
  </si>
  <si>
    <t>margin</t>
  </si>
  <si>
    <t xml:space="preserve">B15 : </t>
  </si>
  <si>
    <t>Armoire de cuisine du bas avec 1 porte (15")</t>
  </si>
  <si>
    <t>3DB15 : 3 tiroirs, 15" de large</t>
  </si>
  <si>
    <t>Armoire de cuisine du bas avec 3 tiroirs (15")</t>
  </si>
  <si>
    <t>SB42</t>
  </si>
  <si>
    <t>Armoire de cuisine du bas avec 2 portes (42")</t>
  </si>
  <si>
    <t>W3018</t>
  </si>
  <si>
    <t>Armoire de cuisine du haut à 2 portes (30" x 18")</t>
  </si>
  <si>
    <t>W3318</t>
  </si>
  <si>
    <t>Armoire de cuisine du haut à 2 portes (33" x 18")</t>
  </si>
  <si>
    <t>W3030</t>
  </si>
  <si>
    <t>Armoire de cuisine du haut à 2 portes (30" x 30")</t>
  </si>
  <si>
    <t>shaker blanc</t>
  </si>
  <si>
    <t>B15</t>
  </si>
  <si>
    <t>3DB15</t>
  </si>
  <si>
    <t>chene blanc</t>
  </si>
  <si>
    <t>kelly ann durand</t>
  </si>
  <si>
    <t>Cabinet</t>
  </si>
  <si>
    <t>Largeur estimée</t>
  </si>
  <si>
    <t>Garde-manger pleine hauteur</t>
  </si>
  <si>
    <t>Armoire de cuisine garde-manger (24" x 91.5")</t>
  </si>
  <si>
    <t>Cabinet réfrigérateur</t>
  </si>
  <si>
    <t>36"</t>
  </si>
  <si>
    <t>Armoire de cuisine du haut à 2 portes pour dessus de réfrigérateur (36.5" x 18")</t>
  </si>
  <si>
    <t>Bloc de 3 tiroirs</t>
  </si>
  <si>
    <t>30"</t>
  </si>
  <si>
    <t>Armoire de cuisine du bas avec 3 tiroirs (30")</t>
  </si>
  <si>
    <t>Cuisinière</t>
  </si>
  <si>
    <t>xxx</t>
  </si>
  <si>
    <t>1 port1</t>
  </si>
  <si>
    <t>12``</t>
  </si>
  <si>
    <t>coin 90</t>
  </si>
  <si>
    <t>36``</t>
  </si>
  <si>
    <t>Armoire de cuisine du bas coin 90º (36")</t>
  </si>
  <si>
    <t>Blind corner (retour)</t>
  </si>
  <si>
    <t>42"</t>
  </si>
  <si>
    <t>Cabinet évier</t>
  </si>
  <si>
    <t>Armoire de cuisine du bas avec 2 portes (30")</t>
  </si>
  <si>
    <t>Bloc 3 tiroirs</t>
  </si>
  <si>
    <t>18"</t>
  </si>
  <si>
    <t>Au-dessus des tiroirs</t>
  </si>
  <si>
    <t>Au-dessus de la hotte</t>
  </si>
  <si>
    <t>À droite de la hotte</t>
  </si>
  <si>
    <t>Dernier mural</t>
  </si>
  <si>
    <t>Armoire de cuisine du haut à 1 porte (21" x 30")</t>
  </si>
  <si>
    <t>ilot</t>
  </si>
  <si>
    <t>Largeur</t>
  </si>
  <si>
    <t>Armoire de cuisine du bas avec tiroir à déchets coulissant (18")</t>
  </si>
  <si>
    <t>Base porte</t>
  </si>
  <si>
    <t>Armoire de cuisine du bas avec espace micro-ondes et 1 tiroir (27")</t>
  </si>
  <si>
    <t>Disons une cuisine de 10x12 avec un ilot central de 6x4 avec des comptoir en quartz</t>
  </si>
  <si>
    <t>armore</t>
  </si>
  <si>
    <t>tony</t>
  </si>
  <si>
    <t>2 cabinet</t>
  </si>
  <si>
    <t>armoires</t>
  </si>
  <si>
    <t>assemblage</t>
  </si>
  <si>
    <t>installation</t>
  </si>
  <si>
    <t>livraison</t>
  </si>
  <si>
    <t>42in wide island</t>
  </si>
  <si>
    <t>24 depth</t>
  </si>
  <si>
    <t xml:space="preserve">comptoir : </t>
  </si>
  <si>
    <t>$/pi2</t>
  </si>
  <si>
    <t>pour le vendant du comptoir</t>
  </si>
  <si>
    <t>electricité ??????</t>
  </si>
  <si>
    <t>couleur ??? Texter amy</t>
  </si>
  <si>
    <t>Armoire de cuisine du bas avec 1 porte (15") et tiroir coulissant interne</t>
  </si>
  <si>
    <t>mur droite</t>
  </si>
  <si>
    <t>pi</t>
  </si>
  <si>
    <t>mur fond</t>
  </si>
  <si>
    <t>prix</t>
  </si>
  <si>
    <t>marg</t>
  </si>
  <si>
    <t>marge</t>
  </si>
  <si>
    <t>Comptoir ilot</t>
  </si>
  <si>
    <t>pi2</t>
  </si>
  <si>
    <t>compoir mur doirt</t>
  </si>
  <si>
    <t>comptoir mur fond</t>
  </si>
  <si>
    <t>armoire + comptoir</t>
  </si>
  <si>
    <t>mur gauche</t>
  </si>
  <si>
    <t>9x2</t>
  </si>
  <si>
    <t>BLANC</t>
  </si>
  <si>
    <t>1 fois base 15</t>
  </si>
  <si>
    <t>2 fois base 21</t>
  </si>
  <si>
    <t>Armoire de cuisine du bas avec 1 porte (21")</t>
  </si>
  <si>
    <t xml:space="preserve">1 fois base 24 </t>
  </si>
  <si>
    <t>Armoire de cuisine du bas avec 2 portes (24")</t>
  </si>
  <si>
    <t>CHENE BLANC</t>
  </si>
  <si>
    <t xml:space="preserve">Mur cabinets </t>
  </si>
  <si>
    <t>2 fois  18×30 or 32</t>
  </si>
  <si>
    <t>Armoire de cuisine du haut à 1 porte (18" x 30")</t>
  </si>
  <si>
    <t xml:space="preserve">1 fois 24×30 or 32 </t>
  </si>
  <si>
    <t>Armoire de cuisine du haut à 2 portes (24" x 30")</t>
  </si>
  <si>
    <t xml:space="preserve">1 fois 30x18 Oven/ fur </t>
  </si>
  <si>
    <t>1 fois 33x18 fridge</t>
  </si>
  <si>
    <t>Armoire de cuisine du haut à 2 portes pour dessus de réfrigérateur (33.5" x 18")</t>
  </si>
  <si>
    <t>Panneau latéral pour réfrigérateur (96" x 27" x 0.875")</t>
  </si>
  <si>
    <t>Maz</t>
  </si>
  <si>
    <t>Couleur</t>
  </si>
  <si>
    <t>Produit</t>
  </si>
  <si>
    <t>Hauteur</t>
  </si>
  <si>
    <t>Profondeur</t>
  </si>
  <si>
    <t>Prix unitaire</t>
  </si>
  <si>
    <t>Qté</t>
  </si>
  <si>
    <t>Prix total</t>
  </si>
  <si>
    <t>Chêne blanc</t>
  </si>
  <si>
    <t>Blanc</t>
  </si>
  <si>
    <t>panneau fin d'armoires</t>
  </si>
  <si>
    <t>Assemblage</t>
  </si>
  <si>
    <t>Emballage pour livraison</t>
  </si>
  <si>
    <t>Livraison (Ville St-Laurent)</t>
  </si>
  <si>
    <t>le cost</t>
  </si>
  <si>
    <t>Total</t>
  </si>
  <si>
    <t>compoir mur gauche</t>
  </si>
  <si>
    <t>Client name</t>
  </si>
  <si>
    <t>Malik</t>
  </si>
  <si>
    <t>Armoires</t>
  </si>
  <si>
    <t>comptoir d'Armoire</t>
  </si>
  <si>
    <t>compoir mur droit</t>
  </si>
  <si>
    <t>42in x 24 in</t>
  </si>
  <si>
    <t>Alexandre</t>
  </si>
  <si>
    <t>8ft ilot</t>
  </si>
  <si>
    <t>in</t>
  </si>
  <si>
    <t>Sarah</t>
  </si>
  <si>
    <t>mur haut</t>
  </si>
  <si>
    <t>compoir mur haut</t>
  </si>
  <si>
    <t>pi lineaire</t>
  </si>
  <si>
    <t>Bonnie</t>
  </si>
  <si>
    <t>margin %</t>
  </si>
  <si>
    <t xml:space="preserve">assemblage et installation </t>
  </si>
  <si>
    <t>escalier</t>
  </si>
  <si>
    <t xml:space="preserve"> $</t>
  </si>
  <si>
    <t>Assemblage et installation $</t>
  </si>
  <si>
    <t>Livraison $450.00</t>
  </si>
  <si>
    <t>Comptoir $2200.</t>
  </si>
  <si>
    <t>Aussi escalier $5800</t>
  </si>
  <si>
    <t>qty</t>
  </si>
  <si>
    <t>cost unitaire</t>
  </si>
  <si>
    <t>prix unitaire</t>
  </si>
  <si>
    <t>Armoire de cuisine du bas avec 2 portes (33")</t>
  </si>
  <si>
    <t>Armoire de cuisine du haut à 2 portes (30" x 36")</t>
  </si>
  <si>
    <t>Armoire de cuisine du haut à 2 portes (33" x 30")</t>
  </si>
  <si>
    <t>Armoire de cuisine garde-manger (18" x 90")</t>
  </si>
  <si>
    <t>Panneau latéral pour réfrigérateur (103.5" x 27" x 0.75")</t>
  </si>
  <si>
    <t>Filler pleine hauteur pour armoire de cuisine (6" x 96")</t>
  </si>
  <si>
    <t>Fausse porte pour armoire de cuisine du bas (25.75" x 36")</t>
  </si>
  <si>
    <t>Panneau pour armoires de cuisine du haut (13" x 36")</t>
  </si>
  <si>
    <t>Armoire de cuisine du haut à 1 porte (12" x 48")</t>
  </si>
  <si>
    <t>Robin</t>
  </si>
  <si>
    <t>450-601-7961</t>
  </si>
  <si>
    <t>Estimation par yihai</t>
  </si>
  <si>
    <t xml:space="preserve"> </t>
  </si>
  <si>
    <t>cost armoire</t>
  </si>
  <si>
    <t>prix armoire</t>
  </si>
  <si>
    <t>cost pi lin</t>
  </si>
  <si>
    <t>prix pi lin</t>
  </si>
  <si>
    <t>cost assemblage &amp; installation</t>
  </si>
  <si>
    <t>prix assemblage &amp; installaiotn</t>
  </si>
  <si>
    <t>Pierre Maurice</t>
  </si>
  <si>
    <t>514-518-1222</t>
  </si>
  <si>
    <t>nb</t>
  </si>
  <si>
    <t>assembly price/unit</t>
  </si>
  <si>
    <t>assembly total</t>
  </si>
  <si>
    <t>tall cabinet</t>
  </si>
  <si>
    <t>base</t>
  </si>
  <si>
    <t>upper</t>
  </si>
  <si>
    <t>custom tall</t>
  </si>
  <si>
    <t>custom short island</t>
  </si>
  <si>
    <t>Son prix live</t>
  </si>
  <si>
    <t>Assembly</t>
  </si>
  <si>
    <t>Livraison</t>
  </si>
  <si>
    <t>nouveau prix</t>
  </si>
  <si>
    <t>discount sil vient chercher demain</t>
  </si>
  <si>
    <t>prix avec discount</t>
  </si>
  <si>
    <t>nb de ppi lineaire</t>
  </si>
  <si>
    <t>$/pi lineaire</t>
  </si>
  <si>
    <t>marge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</si>
</sst>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;[Red]\-&quot;$&quot;#,##0"/>
    <numFmt numFmtId="165" formatCode="&quot;$&quot;#,##0.00;[Red]\-&quot;$&quot;#,##0.00"/>
    <numFmt numFmtId="166" formatCode="_-&quot;$&quot;* #,##0.00_-;\-&quot;$&quot;* #,##0.00_-;_-&quot;$&quot;* &quot;-&quot;??_-;_-@_-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name val="DejaVu Sans"/>
      <family val="2"/>
    </font>
    <font>
      <sz val="8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080809"/>
      <name val="Segoe UI Historic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</font>
    <font>
      <u/>
      <sz val="11"/>
      <color theme="1"/>
      <name val="Calibri"/>
      <family val="2"/>
      <charset val="1"/>
    </font>
    <font>
      <u/>
      <sz val="11"/>
      <color theme="1"/>
      <name val="Calibri"/>
      <family val="2"/>
    </font>
    <font>
      <sz val="16"/>
      <color theme="1"/>
      <name val="Calibri"/>
      <family val="2"/>
      <charset val="1"/>
    </font>
    <font>
      <b/>
      <sz val="16"/>
      <color theme="1"/>
      <name val="Calibri"/>
      <family val="2"/>
    </font>
    <font>
      <sz val="16"/>
      <color theme="1"/>
      <name val="Calibri"/>
      <family val="2"/>
    </font>
    <font>
      <sz val="14"/>
      <color theme="1"/>
      <name val="Calibri"/>
      <family val="2"/>
    </font>
    <font>
      <u/>
      <sz val="16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4472C4"/>
        <bgColor rgb="FF666699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5">
    <xf numFmtId="0" fontId="0" fillId="0" borderId="0"/>
    <xf numFmtId="166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</cellStyleXfs>
  <cellXfs count="4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166" fontId="1" fillId="2" borderId="1" xfId="1" applyFont="1" applyFill="1" applyBorder="1" applyAlignment="1">
      <alignment horizontal="center" vertical="center" wrapText="1"/>
    </xf>
    <xf numFmtId="166" fontId="2" fillId="0" borderId="1" xfId="1" applyFont="1" applyBorder="1" applyAlignment="1">
      <alignment vertical="center"/>
    </xf>
    <xf numFmtId="166" fontId="0" fillId="0" borderId="0" xfId="1" applyFont="1"/>
    <xf numFmtId="9" fontId="1" fillId="2" borderId="1" xfId="2" applyFont="1" applyFill="1" applyBorder="1" applyAlignment="1">
      <alignment horizontal="center" vertical="center" wrapText="1"/>
    </xf>
    <xf numFmtId="9" fontId="2" fillId="0" borderId="1" xfId="2" applyFont="1" applyBorder="1" applyAlignment="1">
      <alignment vertical="center"/>
    </xf>
    <xf numFmtId="9" fontId="0" fillId="0" borderId="0" xfId="2" applyFont="1"/>
    <xf numFmtId="166" fontId="0" fillId="0" borderId="0" xfId="0" applyNumberFormat="1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7" fillId="0" borderId="0" xfId="0" applyFont="1"/>
    <xf numFmtId="0" fontId="10" fillId="0" borderId="0" xfId="0" applyFont="1"/>
    <xf numFmtId="166" fontId="10" fillId="0" borderId="0" xfId="1" applyFont="1"/>
    <xf numFmtId="0" fontId="0" fillId="4" borderId="0" xfId="0" applyFill="1"/>
    <xf numFmtId="0" fontId="11" fillId="0" borderId="0" xfId="0" applyFont="1"/>
    <xf numFmtId="0" fontId="12" fillId="0" borderId="0" xfId="0" applyFont="1"/>
    <xf numFmtId="166" fontId="2" fillId="0" borderId="2" xfId="1" applyFont="1" applyFill="1" applyBorder="1" applyAlignment="1">
      <alignment vertical="center"/>
    </xf>
    <xf numFmtId="166" fontId="2" fillId="0" borderId="0" xfId="1" applyFont="1" applyFill="1" applyBorder="1" applyAlignment="1">
      <alignment vertical="center"/>
    </xf>
    <xf numFmtId="166" fontId="0" fillId="4" borderId="0" xfId="0" applyNumberFormat="1" applyFill="1"/>
    <xf numFmtId="166" fontId="2" fillId="0" borderId="0" xfId="1" applyFont="1" applyBorder="1" applyAlignment="1">
      <alignment vertical="center"/>
    </xf>
    <xf numFmtId="165" fontId="0" fillId="0" borderId="0" xfId="0" applyNumberFormat="1"/>
    <xf numFmtId="164" fontId="0" fillId="0" borderId="0" xfId="0" applyNumberFormat="1"/>
    <xf numFmtId="2" fontId="0" fillId="0" borderId="0" xfId="0" applyNumberFormat="1"/>
    <xf numFmtId="0" fontId="16" fillId="0" borderId="0" xfId="0" applyFont="1" applyAlignment="1">
      <alignment horizontal="left" vertical="top" wrapText="1"/>
    </xf>
    <xf numFmtId="0" fontId="0" fillId="0" borderId="0" xfId="0" applyAlignment="1">
      <alignment horizontal="right"/>
    </xf>
    <xf numFmtId="0" fontId="8" fillId="5" borderId="0" xfId="3" applyAlignment="1">
      <alignment horizontal="center" wrapText="1"/>
    </xf>
    <xf numFmtId="0" fontId="9" fillId="6" borderId="0" xfId="4" applyAlignment="1">
      <alignment horizontal="center"/>
    </xf>
    <xf numFmtId="0" fontId="15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right" wrapText="1"/>
    </xf>
    <xf numFmtId="0" fontId="0" fillId="0" borderId="3" xfId="0" applyBorder="1" applyAlignment="1">
      <alignment horizontal="right"/>
    </xf>
    <xf numFmtId="0" fontId="16" fillId="0" borderId="3" xfId="0" applyFont="1" applyBorder="1" applyAlignment="1">
      <alignment horizontal="center" vertical="top" wrapText="1"/>
    </xf>
  </cellXfs>
  <cellStyles count="5">
    <cellStyle name="Monétaire" xfId="1" builtinId="4"/>
    <cellStyle name="Neutre" xfId="4" builtinId="28"/>
    <cellStyle name="Normal" xfId="0" builtinId="0"/>
    <cellStyle name="Pourcentage" xfId="2" builtinId="5"/>
    <cellStyle name="Satisfaisant" xfId="3" builtinId="26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jpeg"/><Relationship Id="rId13" Type="http://schemas.openxmlformats.org/officeDocument/2006/relationships/image" Target="../media/image15.jpeg"/><Relationship Id="rId18" Type="http://schemas.openxmlformats.org/officeDocument/2006/relationships/image" Target="../media/image20.png"/><Relationship Id="rId3" Type="http://schemas.openxmlformats.org/officeDocument/2006/relationships/image" Target="../media/image5.png"/><Relationship Id="rId7" Type="http://schemas.openxmlformats.org/officeDocument/2006/relationships/image" Target="../media/image9.jpeg"/><Relationship Id="rId12" Type="http://schemas.openxmlformats.org/officeDocument/2006/relationships/image" Target="../media/image14.jpeg"/><Relationship Id="rId17" Type="http://schemas.openxmlformats.org/officeDocument/2006/relationships/image" Target="../media/image19.png"/><Relationship Id="rId2" Type="http://schemas.openxmlformats.org/officeDocument/2006/relationships/image" Target="../media/image4.jpeg"/><Relationship Id="rId16" Type="http://schemas.openxmlformats.org/officeDocument/2006/relationships/image" Target="../media/image18.png"/><Relationship Id="rId20" Type="http://schemas.openxmlformats.org/officeDocument/2006/relationships/image" Target="../media/image22.png"/><Relationship Id="rId1" Type="http://schemas.openxmlformats.org/officeDocument/2006/relationships/image" Target="../media/image3.jpeg"/><Relationship Id="rId6" Type="http://schemas.openxmlformats.org/officeDocument/2006/relationships/image" Target="../media/image8.png"/><Relationship Id="rId11" Type="http://schemas.openxmlformats.org/officeDocument/2006/relationships/image" Target="../media/image13.jpeg"/><Relationship Id="rId5" Type="http://schemas.openxmlformats.org/officeDocument/2006/relationships/image" Target="../media/image7.png"/><Relationship Id="rId15" Type="http://schemas.openxmlformats.org/officeDocument/2006/relationships/image" Target="../media/image17.png"/><Relationship Id="rId10" Type="http://schemas.openxmlformats.org/officeDocument/2006/relationships/image" Target="../media/image12.jpeg"/><Relationship Id="rId19" Type="http://schemas.openxmlformats.org/officeDocument/2006/relationships/image" Target="../media/image21.png"/><Relationship Id="rId4" Type="http://schemas.openxmlformats.org/officeDocument/2006/relationships/image" Target="../media/image6.png"/><Relationship Id="rId9" Type="http://schemas.openxmlformats.org/officeDocument/2006/relationships/image" Target="../media/image11.png"/><Relationship Id="rId14" Type="http://schemas.openxmlformats.org/officeDocument/2006/relationships/image" Target="../media/image16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370470</xdr:colOff>
      <xdr:row>1</xdr:row>
      <xdr:rowOff>144102</xdr:rowOff>
    </xdr:from>
    <xdr:to>
      <xdr:col>30</xdr:col>
      <xdr:colOff>769327</xdr:colOff>
      <xdr:row>1</xdr:row>
      <xdr:rowOff>410308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85AB2-45AF-1114-D6E5-F4629D749EC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316" t="23365" r="7164" b="20943"/>
        <a:stretch>
          <a:fillRect/>
        </a:stretch>
      </xdr:blipFill>
      <xdr:spPr>
        <a:xfrm>
          <a:off x="16313855" y="334602"/>
          <a:ext cx="1087587" cy="2662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0</xdr:row>
      <xdr:rowOff>266700</xdr:rowOff>
    </xdr:from>
    <xdr:to>
      <xdr:col>13</xdr:col>
      <xdr:colOff>257595</xdr:colOff>
      <xdr:row>32</xdr:row>
      <xdr:rowOff>143721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CAC1CF6-3884-4139-A37E-2F04D3C0ED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266700"/>
          <a:ext cx="3010320" cy="605874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365729</xdr:colOff>
      <xdr:row>32</xdr:row>
      <xdr:rowOff>38100</xdr:rowOff>
    </xdr:from>
    <xdr:to>
      <xdr:col>11</xdr:col>
      <xdr:colOff>557833</xdr:colOff>
      <xdr:row>43</xdr:row>
      <xdr:rowOff>117524</xdr:rowOff>
    </xdr:to>
    <xdr:pic>
      <xdr:nvPicPr>
        <xdr:cNvPr id="2" name="Picture 1" descr="Aucune description disponible.">
          <a:extLst>
            <a:ext uri="{FF2B5EF4-FFF2-40B4-BE49-F238E27FC236}">
              <a16:creationId xmlns:a16="http://schemas.microsoft.com/office/drawing/2014/main" id="{0EBCB91D-206F-02D3-E911-C10A2CB34B9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111" t="31412" r="23055" b="33237"/>
        <a:stretch>
          <a:fillRect/>
        </a:stretch>
      </xdr:blipFill>
      <xdr:spPr bwMode="auto">
        <a:xfrm>
          <a:off x="5642579" y="6134100"/>
          <a:ext cx="4368196" cy="31274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40353</xdr:colOff>
      <xdr:row>47</xdr:row>
      <xdr:rowOff>156882</xdr:rowOff>
    </xdr:from>
    <xdr:to>
      <xdr:col>17</xdr:col>
      <xdr:colOff>495445</xdr:colOff>
      <xdr:row>79</xdr:row>
      <xdr:rowOff>136432</xdr:rowOff>
    </xdr:to>
    <xdr:pic>
      <xdr:nvPicPr>
        <xdr:cNvPr id="3" name="Picture 2" descr="Aucune description disponible.">
          <a:extLst>
            <a:ext uri="{FF2B5EF4-FFF2-40B4-BE49-F238E27FC236}">
              <a16:creationId xmlns:a16="http://schemas.microsoft.com/office/drawing/2014/main" id="{40E937B9-BC02-A67D-73CF-DFF33D3460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6200000">
          <a:off x="6990935" y="7897212"/>
          <a:ext cx="6075550" cy="104068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136</xdr:row>
      <xdr:rowOff>0</xdr:rowOff>
    </xdr:from>
    <xdr:to>
      <xdr:col>5</xdr:col>
      <xdr:colOff>304800</xdr:colOff>
      <xdr:row>137</xdr:row>
      <xdr:rowOff>114300</xdr:rowOff>
    </xdr:to>
    <xdr:sp macro="" textlink="">
      <xdr:nvSpPr>
        <xdr:cNvPr id="3075" name="AutoShape 3" descr="Full size image">
          <a:extLst>
            <a:ext uri="{FF2B5EF4-FFF2-40B4-BE49-F238E27FC236}">
              <a16:creationId xmlns:a16="http://schemas.microsoft.com/office/drawing/2014/main" id="{61DBED85-8FBE-7066-88A1-C5AA316CA16E}"/>
            </a:ext>
          </a:extLst>
        </xdr:cNvPr>
        <xdr:cNvSpPr>
          <a:spLocks noChangeAspect="1" noChangeArrowheads="1"/>
        </xdr:cNvSpPr>
      </xdr:nvSpPr>
      <xdr:spPr bwMode="auto">
        <a:xfrm>
          <a:off x="6019800" y="2533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136</xdr:row>
      <xdr:rowOff>0</xdr:rowOff>
    </xdr:from>
    <xdr:to>
      <xdr:col>5</xdr:col>
      <xdr:colOff>304800</xdr:colOff>
      <xdr:row>137</xdr:row>
      <xdr:rowOff>114300</xdr:rowOff>
    </xdr:to>
    <xdr:sp macro="" textlink="">
      <xdr:nvSpPr>
        <xdr:cNvPr id="3076" name="AutoShape 4" descr="Full size image">
          <a:extLst>
            <a:ext uri="{FF2B5EF4-FFF2-40B4-BE49-F238E27FC236}">
              <a16:creationId xmlns:a16="http://schemas.microsoft.com/office/drawing/2014/main" id="{BED7049C-1114-F25D-3FD6-CCB1EBBF1122}"/>
            </a:ext>
          </a:extLst>
        </xdr:cNvPr>
        <xdr:cNvSpPr>
          <a:spLocks noChangeAspect="1" noChangeArrowheads="1"/>
        </xdr:cNvSpPr>
      </xdr:nvSpPr>
      <xdr:spPr bwMode="auto">
        <a:xfrm>
          <a:off x="6019800" y="2533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1277469</xdr:colOff>
      <xdr:row>134</xdr:row>
      <xdr:rowOff>117139</xdr:rowOff>
    </xdr:from>
    <xdr:to>
      <xdr:col>7</xdr:col>
      <xdr:colOff>521139</xdr:colOff>
      <xdr:row>154</xdr:row>
      <xdr:rowOff>141907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29F2BDC-B4B4-77C2-6954-7A775E390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28881" y="25072639"/>
          <a:ext cx="4292651" cy="3834768"/>
        </a:xfrm>
        <a:prstGeom prst="rect">
          <a:avLst/>
        </a:prstGeom>
      </xdr:spPr>
    </xdr:pic>
    <xdr:clientData/>
  </xdr:twoCellAnchor>
  <xdr:twoCellAnchor editAs="oneCell">
    <xdr:from>
      <xdr:col>7</xdr:col>
      <xdr:colOff>226451</xdr:colOff>
      <xdr:row>195</xdr:row>
      <xdr:rowOff>66259</xdr:rowOff>
    </xdr:from>
    <xdr:to>
      <xdr:col>17</xdr:col>
      <xdr:colOff>353724</xdr:colOff>
      <xdr:row>217</xdr:row>
      <xdr:rowOff>15325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590B9C6-8BB2-0536-B45A-4D6235725A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635494" y="41454455"/>
          <a:ext cx="6471751" cy="4140066"/>
        </a:xfrm>
        <a:prstGeom prst="rect">
          <a:avLst/>
        </a:prstGeom>
      </xdr:spPr>
    </xdr:pic>
    <xdr:clientData/>
  </xdr:twoCellAnchor>
  <xdr:twoCellAnchor editAs="oneCell">
    <xdr:from>
      <xdr:col>9</xdr:col>
      <xdr:colOff>157369</xdr:colOff>
      <xdr:row>209</xdr:row>
      <xdr:rowOff>115956</xdr:rowOff>
    </xdr:from>
    <xdr:to>
      <xdr:col>15</xdr:col>
      <xdr:colOff>46992</xdr:colOff>
      <xdr:row>221</xdr:row>
      <xdr:rowOff>20458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FD94C8D-AA9F-A51A-4DE6-85C80114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481891" y="44171152"/>
          <a:ext cx="3567102" cy="2190502"/>
        </a:xfrm>
        <a:prstGeom prst="rect">
          <a:avLst/>
        </a:prstGeom>
      </xdr:spPr>
    </xdr:pic>
    <xdr:clientData/>
  </xdr:twoCellAnchor>
  <xdr:twoCellAnchor editAs="oneCell">
    <xdr:from>
      <xdr:col>2</xdr:col>
      <xdr:colOff>1176131</xdr:colOff>
      <xdr:row>265</xdr:row>
      <xdr:rowOff>87190</xdr:rowOff>
    </xdr:from>
    <xdr:to>
      <xdr:col>9</xdr:col>
      <xdr:colOff>537541</xdr:colOff>
      <xdr:row>288</xdr:row>
      <xdr:rowOff>115956</xdr:rowOff>
    </xdr:to>
    <xdr:pic>
      <xdr:nvPicPr>
        <xdr:cNvPr id="8" name="Picture 7" descr="Aucune description disponible.">
          <a:extLst>
            <a:ext uri="{FF2B5EF4-FFF2-40B4-BE49-F238E27FC236}">
              <a16:creationId xmlns:a16="http://schemas.microsoft.com/office/drawing/2014/main" id="{AA5B19AA-AAD0-CF75-FE1B-2352169E1D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5522" y="54826951"/>
          <a:ext cx="5879823" cy="44102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122573</xdr:colOff>
      <xdr:row>292</xdr:row>
      <xdr:rowOff>49696</xdr:rowOff>
    </xdr:from>
    <xdr:to>
      <xdr:col>10</xdr:col>
      <xdr:colOff>517248</xdr:colOff>
      <xdr:row>316</xdr:row>
      <xdr:rowOff>99392</xdr:rowOff>
    </xdr:to>
    <xdr:pic>
      <xdr:nvPicPr>
        <xdr:cNvPr id="9" name="Picture 8" descr="Photo de produit de VANITÉS ET ARMOIRES DE CUISINE">
          <a:extLst>
            <a:ext uri="{FF2B5EF4-FFF2-40B4-BE49-F238E27FC236}">
              <a16:creationId xmlns:a16="http://schemas.microsoft.com/office/drawing/2014/main" id="{D498A234-C625-6C2B-D0B2-DE72B3D545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2030" y="59932957"/>
          <a:ext cx="6175936" cy="4621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140406</xdr:colOff>
      <xdr:row>318</xdr:row>
      <xdr:rowOff>140804</xdr:rowOff>
    </xdr:from>
    <xdr:to>
      <xdr:col>11</xdr:col>
      <xdr:colOff>285336</xdr:colOff>
      <xdr:row>346</xdr:row>
      <xdr:rowOff>26504</xdr:rowOff>
    </xdr:to>
    <xdr:pic>
      <xdr:nvPicPr>
        <xdr:cNvPr id="10" name="Picture 9" descr="Photo de produit de Armoires de cuisine LIQUIDATION">
          <a:extLst>
            <a:ext uri="{FF2B5EF4-FFF2-40B4-BE49-F238E27FC236}">
              <a16:creationId xmlns:a16="http://schemas.microsoft.com/office/drawing/2014/main" id="{9855CFEE-31FB-8F0F-E673-1DBFA9D331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9863" y="64977065"/>
          <a:ext cx="6539104" cy="5219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402990</xdr:colOff>
      <xdr:row>391</xdr:row>
      <xdr:rowOff>24848</xdr:rowOff>
    </xdr:from>
    <xdr:to>
      <xdr:col>8</xdr:col>
      <xdr:colOff>43932</xdr:colOff>
      <xdr:row>417</xdr:row>
      <xdr:rowOff>130409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DC9F706-9567-D0FB-92AD-D320C3429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250512" y="77624609"/>
          <a:ext cx="5546442" cy="5058561"/>
        </a:xfrm>
        <a:prstGeom prst="rect">
          <a:avLst/>
        </a:prstGeom>
      </xdr:spPr>
    </xdr:pic>
    <xdr:clientData/>
  </xdr:twoCellAnchor>
  <xdr:twoCellAnchor editAs="oneCell">
    <xdr:from>
      <xdr:col>4</xdr:col>
      <xdr:colOff>2758109</xdr:colOff>
      <xdr:row>423</xdr:row>
      <xdr:rowOff>122126</xdr:rowOff>
    </xdr:from>
    <xdr:to>
      <xdr:col>16</xdr:col>
      <xdr:colOff>200853</xdr:colOff>
      <xdr:row>441</xdr:row>
      <xdr:rowOff>52179</xdr:rowOff>
    </xdr:to>
    <xdr:pic>
      <xdr:nvPicPr>
        <xdr:cNvPr id="12" name="Picture 11" descr="Aucune description disponible.">
          <a:extLst>
            <a:ext uri="{FF2B5EF4-FFF2-40B4-BE49-F238E27FC236}">
              <a16:creationId xmlns:a16="http://schemas.microsoft.com/office/drawing/2014/main" id="{363E7DA7-40D8-102C-E933-229BC4E74F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68000" y="84008387"/>
          <a:ext cx="7465529" cy="33590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457613</xdr:colOff>
      <xdr:row>419</xdr:row>
      <xdr:rowOff>41411</xdr:rowOff>
    </xdr:from>
    <xdr:to>
      <xdr:col>8</xdr:col>
      <xdr:colOff>13668</xdr:colOff>
      <xdr:row>446</xdr:row>
      <xdr:rowOff>91108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2EBF627-671C-58B9-F9D2-2D68BBA014B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3369" b="12827"/>
        <a:stretch>
          <a:fillRect/>
        </a:stretch>
      </xdr:blipFill>
      <xdr:spPr bwMode="auto">
        <a:xfrm>
          <a:off x="6305135" y="83165672"/>
          <a:ext cx="5461555" cy="51931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73057</xdr:colOff>
      <xdr:row>448</xdr:row>
      <xdr:rowOff>1</xdr:rowOff>
    </xdr:from>
    <xdr:to>
      <xdr:col>12</xdr:col>
      <xdr:colOff>549965</xdr:colOff>
      <xdr:row>474</xdr:row>
      <xdr:rowOff>1</xdr:rowOff>
    </xdr:to>
    <xdr:pic>
      <xdr:nvPicPr>
        <xdr:cNvPr id="14" name="Picture 13" descr="Aucune description disponible.">
          <a:extLst>
            <a:ext uri="{FF2B5EF4-FFF2-40B4-BE49-F238E27FC236}">
              <a16:creationId xmlns:a16="http://schemas.microsoft.com/office/drawing/2014/main" id="{CF3C6FE3-149D-F40A-34D7-B8EB7328DC1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9392" b="21235"/>
        <a:stretch>
          <a:fillRect/>
        </a:stretch>
      </xdr:blipFill>
      <xdr:spPr bwMode="auto">
        <a:xfrm>
          <a:off x="9887948" y="88648762"/>
          <a:ext cx="4502256" cy="4953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631899</xdr:colOff>
      <xdr:row>495</xdr:row>
      <xdr:rowOff>184288</xdr:rowOff>
    </xdr:from>
    <xdr:to>
      <xdr:col>13</xdr:col>
      <xdr:colOff>283079</xdr:colOff>
      <xdr:row>518</xdr:row>
      <xdr:rowOff>176006</xdr:rowOff>
    </xdr:to>
    <xdr:pic>
      <xdr:nvPicPr>
        <xdr:cNvPr id="15" name="Picture 14" descr="Aucune description disponible.">
          <a:extLst>
            <a:ext uri="{FF2B5EF4-FFF2-40B4-BE49-F238E27FC236}">
              <a16:creationId xmlns:a16="http://schemas.microsoft.com/office/drawing/2014/main" id="{3FB8E838-FCD8-D8A6-2C94-92E6DE23D98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809" b="38689"/>
        <a:stretch>
          <a:fillRect/>
        </a:stretch>
      </xdr:blipFill>
      <xdr:spPr bwMode="auto">
        <a:xfrm>
          <a:off x="6479421" y="97786549"/>
          <a:ext cx="8621246" cy="43732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414130</xdr:colOff>
      <xdr:row>527</xdr:row>
      <xdr:rowOff>140805</xdr:rowOff>
    </xdr:from>
    <xdr:to>
      <xdr:col>4</xdr:col>
      <xdr:colOff>876264</xdr:colOff>
      <xdr:row>541</xdr:row>
      <xdr:rowOff>179283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ED16E820-A827-6C0F-FF0A-88115F191E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261652" y="104029566"/>
          <a:ext cx="2715004" cy="2705478"/>
        </a:xfrm>
        <a:prstGeom prst="rect">
          <a:avLst/>
        </a:prstGeom>
      </xdr:spPr>
    </xdr:pic>
    <xdr:clientData/>
  </xdr:twoCellAnchor>
  <xdr:twoCellAnchor editAs="oneCell">
    <xdr:from>
      <xdr:col>3</xdr:col>
      <xdr:colOff>864349</xdr:colOff>
      <xdr:row>580</xdr:row>
      <xdr:rowOff>190499</xdr:rowOff>
    </xdr:from>
    <xdr:to>
      <xdr:col>9</xdr:col>
      <xdr:colOff>505905</xdr:colOff>
      <xdr:row>604</xdr:row>
      <xdr:rowOff>138506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31CDE0B-762E-7467-E0FB-710BD2ECB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153045" y="110937260"/>
          <a:ext cx="4809903" cy="4520007"/>
        </a:xfrm>
        <a:prstGeom prst="rect">
          <a:avLst/>
        </a:prstGeom>
      </xdr:spPr>
    </xdr:pic>
    <xdr:clientData/>
  </xdr:twoCellAnchor>
  <xdr:twoCellAnchor editAs="oneCell">
    <xdr:from>
      <xdr:col>2</xdr:col>
      <xdr:colOff>91108</xdr:colOff>
      <xdr:row>581</xdr:row>
      <xdr:rowOff>16565</xdr:rowOff>
    </xdr:from>
    <xdr:to>
      <xdr:col>3</xdr:col>
      <xdr:colOff>627255</xdr:colOff>
      <xdr:row>592</xdr:row>
      <xdr:rowOff>35910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9CEB8A5-02A2-ECAD-7A18-00279916A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029738" y="110953826"/>
          <a:ext cx="1886213" cy="2114845"/>
        </a:xfrm>
        <a:prstGeom prst="rect">
          <a:avLst/>
        </a:prstGeom>
      </xdr:spPr>
    </xdr:pic>
    <xdr:clientData/>
  </xdr:twoCellAnchor>
  <xdr:twoCellAnchor editAs="oneCell">
    <xdr:from>
      <xdr:col>0</xdr:col>
      <xdr:colOff>267606</xdr:colOff>
      <xdr:row>617</xdr:row>
      <xdr:rowOff>74544</xdr:rowOff>
    </xdr:from>
    <xdr:to>
      <xdr:col>1</xdr:col>
      <xdr:colOff>1807915</xdr:colOff>
      <xdr:row>626</xdr:row>
      <xdr:rowOff>64543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F31DDF44-BA16-4339-8BA5-2113182B33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67606" y="117869805"/>
          <a:ext cx="3138852" cy="1704499"/>
        </a:xfrm>
        <a:prstGeom prst="rect">
          <a:avLst/>
        </a:prstGeom>
      </xdr:spPr>
    </xdr:pic>
    <xdr:clientData/>
  </xdr:twoCellAnchor>
  <xdr:twoCellAnchor editAs="oneCell">
    <xdr:from>
      <xdr:col>0</xdr:col>
      <xdr:colOff>223630</xdr:colOff>
      <xdr:row>608</xdr:row>
      <xdr:rowOff>54665</xdr:rowOff>
    </xdr:from>
    <xdr:to>
      <xdr:col>1</xdr:col>
      <xdr:colOff>2385392</xdr:colOff>
      <xdr:row>618</xdr:row>
      <xdr:rowOff>23335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63281D50-85D3-EAD0-417B-5FF86006D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23630" y="116135426"/>
          <a:ext cx="3760305" cy="1873670"/>
        </a:xfrm>
        <a:prstGeom prst="rect">
          <a:avLst/>
        </a:prstGeom>
      </xdr:spPr>
    </xdr:pic>
    <xdr:clientData/>
  </xdr:twoCellAnchor>
  <xdr:twoCellAnchor editAs="oneCell">
    <xdr:from>
      <xdr:col>7</xdr:col>
      <xdr:colOff>89230</xdr:colOff>
      <xdr:row>606</xdr:row>
      <xdr:rowOff>173935</xdr:rowOff>
    </xdr:from>
    <xdr:to>
      <xdr:col>11</xdr:col>
      <xdr:colOff>280103</xdr:colOff>
      <xdr:row>616</xdr:row>
      <xdr:rowOff>77801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C6FB4603-888E-B136-7E2B-A616DBCFB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1105100" y="115873696"/>
          <a:ext cx="2857873" cy="1808866"/>
        </a:xfrm>
        <a:prstGeom prst="rect">
          <a:avLst/>
        </a:prstGeom>
      </xdr:spPr>
    </xdr:pic>
    <xdr:clientData/>
  </xdr:twoCellAnchor>
  <xdr:twoCellAnchor editAs="oneCell">
    <xdr:from>
      <xdr:col>5</xdr:col>
      <xdr:colOff>770281</xdr:colOff>
      <xdr:row>618</xdr:row>
      <xdr:rowOff>182217</xdr:rowOff>
    </xdr:from>
    <xdr:to>
      <xdr:col>13</xdr:col>
      <xdr:colOff>508443</xdr:colOff>
      <xdr:row>629</xdr:row>
      <xdr:rowOff>77720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8863655-C766-AD14-3CD6-7FB8DC4B89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253868" y="118167978"/>
          <a:ext cx="5163271" cy="199100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295274</xdr:colOff>
      <xdr:row>5</xdr:row>
      <xdr:rowOff>104774</xdr:rowOff>
    </xdr:from>
    <xdr:to>
      <xdr:col>5</xdr:col>
      <xdr:colOff>247649</xdr:colOff>
      <xdr:row>30</xdr:row>
      <xdr:rowOff>189034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572D24-6768-4BB8-C5DD-E80C0BAB41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4" y="1057274"/>
          <a:ext cx="3000375" cy="48467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2:AE325"/>
  <sheetViews>
    <sheetView tabSelected="1" view="pageBreakPreview" topLeftCell="G1" zoomScale="85" zoomScaleNormal="85" zoomScaleSheetLayoutView="85" workbookViewId="0">
      <pane ySplit="3" topLeftCell="A23" activePane="bottomLeft" state="frozen"/>
      <selection pane="bottomLeft" activeCell="AF206" sqref="AF206"/>
    </sheetView>
  </sheetViews>
  <sheetFormatPr defaultColWidth="8.7109375" defaultRowHeight="15"/>
  <cols>
    <col min="1" max="1" width="22" hidden="1" customWidth="1"/>
    <col min="2" max="2" width="13.42578125" hidden="1" customWidth="1"/>
    <col min="3" max="3" width="11" hidden="1" customWidth="1"/>
    <col min="4" max="4" width="14.5703125" hidden="1" customWidth="1"/>
    <col min="5" max="6" width="9" hidden="1" customWidth="1"/>
    <col min="7" max="7" width="20.7109375" customWidth="1"/>
    <col min="8" max="8" width="13.85546875" customWidth="1"/>
    <col min="9" max="9" width="20" customWidth="1"/>
    <col min="10" max="10" width="19.85546875" hidden="1" customWidth="1"/>
    <col min="11" max="11" width="28.5703125" hidden="1" customWidth="1"/>
    <col min="12" max="12" width="25.7109375" customWidth="1"/>
    <col min="13" max="13" width="28.5703125" customWidth="1"/>
    <col min="14" max="14" width="57.140625" hidden="1" customWidth="1"/>
    <col min="15" max="15" width="70.28515625" bestFit="1" customWidth="1"/>
    <col min="16" max="16" width="39.7109375" customWidth="1"/>
    <col min="17" max="17" width="16.7109375" style="12" hidden="1" customWidth="1"/>
    <col min="18" max="18" width="15" style="12" hidden="1" customWidth="1"/>
    <col min="19" max="19" width="14.42578125" style="12" hidden="1" customWidth="1"/>
    <col min="20" max="20" width="14.7109375" style="12" hidden="1" customWidth="1"/>
    <col min="21" max="21" width="15.7109375" style="12" hidden="1" customWidth="1"/>
    <col min="22" max="22" width="19.28515625" style="12" hidden="1" customWidth="1"/>
    <col min="23" max="23" width="20.28515625" style="12" hidden="1" customWidth="1"/>
    <col min="24" max="24" width="15.42578125" style="12" hidden="1" customWidth="1"/>
    <col min="25" max="25" width="11.7109375" style="15" hidden="1" customWidth="1"/>
    <col min="26" max="26" width="15.42578125" style="12" customWidth="1"/>
    <col min="27" max="29" width="14.85546875" customWidth="1"/>
    <col min="30" max="30" width="10.28515625" customWidth="1"/>
    <col min="31" max="31" width="11.7109375" customWidth="1"/>
  </cols>
  <sheetData>
    <row r="2" spans="1:31" ht="99" customHeight="1">
      <c r="G2" s="37" t="s">
        <v>0</v>
      </c>
      <c r="H2" s="37"/>
      <c r="I2" s="37" t="s">
        <v>1</v>
      </c>
      <c r="J2" s="40"/>
      <c r="K2" s="40"/>
      <c r="L2" s="37"/>
      <c r="M2" s="37"/>
      <c r="O2" s="33"/>
      <c r="AA2" s="38" t="s">
        <v>2</v>
      </c>
      <c r="AB2" s="39"/>
      <c r="AC2" s="39"/>
      <c r="AD2" s="39"/>
      <c r="AE2" s="39"/>
    </row>
    <row r="3" spans="1:31" s="7" customFormat="1" ht="60">
      <c r="A3" s="5" t="s">
        <v>3</v>
      </c>
      <c r="B3" s="5" t="s">
        <v>4</v>
      </c>
      <c r="C3" s="5" t="s">
        <v>5</v>
      </c>
      <c r="D3" s="5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5" t="s">
        <v>11</v>
      </c>
      <c r="J3" s="5" t="s">
        <v>12</v>
      </c>
      <c r="K3" s="5" t="s">
        <v>13</v>
      </c>
      <c r="L3" s="6" t="s">
        <v>14</v>
      </c>
      <c r="M3" s="6" t="s">
        <v>15</v>
      </c>
      <c r="N3" s="5" t="s">
        <v>16</v>
      </c>
      <c r="O3" s="5" t="s">
        <v>17</v>
      </c>
      <c r="P3" s="5" t="s">
        <v>18</v>
      </c>
      <c r="Q3" s="10" t="s">
        <v>19</v>
      </c>
      <c r="R3" s="10" t="s">
        <v>20</v>
      </c>
      <c r="S3" s="10" t="s">
        <v>21</v>
      </c>
      <c r="T3" s="10" t="s">
        <v>22</v>
      </c>
      <c r="U3" s="10" t="s">
        <v>23</v>
      </c>
      <c r="V3" s="10" t="s">
        <v>24</v>
      </c>
      <c r="W3" s="10" t="s">
        <v>25</v>
      </c>
      <c r="X3" s="10" t="s">
        <v>26</v>
      </c>
      <c r="Y3" s="13" t="s">
        <v>27</v>
      </c>
      <c r="Z3" s="10" t="s">
        <v>28</v>
      </c>
      <c r="AA3" s="5" t="s">
        <v>29</v>
      </c>
      <c r="AB3" s="5" t="s">
        <v>30</v>
      </c>
      <c r="AC3" s="5" t="s">
        <v>31</v>
      </c>
      <c r="AD3" s="5" t="s">
        <v>32</v>
      </c>
      <c r="AE3" s="5" t="s">
        <v>33</v>
      </c>
    </row>
    <row r="4" spans="1:31" ht="15" hidden="1" customHeight="1">
      <c r="A4" s="2" t="s">
        <v>34</v>
      </c>
      <c r="B4" s="2" t="b">
        <v>1</v>
      </c>
      <c r="C4" s="2"/>
      <c r="D4" s="2"/>
      <c r="E4" s="2" t="b">
        <f t="shared" ref="E4:E9" si="0">IF(OR(B4=TRUE,C4=TRUE,D4=TRUE),FALSE,TRUE)</f>
        <v>0</v>
      </c>
      <c r="F4" s="2"/>
      <c r="G4" s="2" t="s">
        <v>35</v>
      </c>
      <c r="H4" s="2" t="str">
        <f t="shared" ref="H4:H9" si="1">IF(ISNUMBER(SEARCH("muf",A4)),"Chêne blanc","Blanc")</f>
        <v>Blanc</v>
      </c>
      <c r="I4" s="2" t="s">
        <v>36</v>
      </c>
      <c r="J4" s="2" t="str">
        <f>IFERROR(VLOOKUP(K4,Categories!$A$2:$C$41,2,FALSE()),"⚠ slug introuvable")</f>
        <v>base-cabinet</v>
      </c>
      <c r="K4" s="2" t="s">
        <v>37</v>
      </c>
      <c r="L4" s="2" t="str">
        <f>IFERROR(VLOOKUP(J4,Categories!$A$2:$C$41,3,FALSE()),"⚠ slug introuvable")</f>
        <v>Armoire du bas</v>
      </c>
      <c r="M4" s="2" t="str">
        <f>IFERROR(VLOOKUP(K4,Categories!$A$2:$C$41,3,FALSE()),"⚠ slug introuvable")</f>
        <v>Standard</v>
      </c>
      <c r="N4" s="2" t="s">
        <v>38</v>
      </c>
      <c r="O4" s="2" t="str">
        <f t="shared" ref="O4:O9" si="2">_xlfn.CONCAT(N4," (",AA4,""")")</f>
        <v>Armoire de cuisine du bas avec 1 tiroir et 1 porte (12")</v>
      </c>
      <c r="P4" s="2" t="str">
        <f t="shared" ref="P4:P9" si="3">_xlfn.CONCAT("1 tiroir et 1 porte"," (",AA4,""")")</f>
        <v>1 tiroir et 1 porte (12")</v>
      </c>
      <c r="Q4" s="11">
        <v>0</v>
      </c>
      <c r="R4" s="11">
        <f>Q4/11.25</f>
        <v>0</v>
      </c>
      <c r="S4" s="11">
        <f>R4*1.4</f>
        <v>0</v>
      </c>
      <c r="T4" s="11">
        <f>S4*1.1</f>
        <v>0</v>
      </c>
      <c r="U4" s="11">
        <f>T4*1.2</f>
        <v>0</v>
      </c>
      <c r="V4" s="11">
        <f>U4*1.2</f>
        <v>0</v>
      </c>
      <c r="W4" s="11">
        <f>V4*1.1</f>
        <v>0</v>
      </c>
      <c r="X4" s="11">
        <f>W4</f>
        <v>0</v>
      </c>
      <c r="Y4" s="14">
        <v>0.4</v>
      </c>
      <c r="Z4" s="11">
        <f t="shared" ref="Z4:Z9" si="4">X4/(1-Y4)</f>
        <v>0</v>
      </c>
      <c r="AA4" s="2">
        <v>12</v>
      </c>
      <c r="AB4" s="2">
        <v>34.5</v>
      </c>
      <c r="AC4" s="2">
        <v>24</v>
      </c>
      <c r="AD4" s="2">
        <v>1</v>
      </c>
      <c r="AE4" s="2">
        <v>1</v>
      </c>
    </row>
    <row r="5" spans="1:31" hidden="1">
      <c r="A5" s="2" t="s">
        <v>39</v>
      </c>
      <c r="B5" s="2" t="b">
        <v>1</v>
      </c>
      <c r="C5" s="2"/>
      <c r="D5" s="2"/>
      <c r="E5" s="2" t="b">
        <f t="shared" si="0"/>
        <v>0</v>
      </c>
      <c r="F5" s="2"/>
      <c r="G5" s="2" t="s">
        <v>35</v>
      </c>
      <c r="H5" s="2" t="str">
        <f t="shared" si="1"/>
        <v>Chêne blanc</v>
      </c>
      <c r="I5" s="2" t="str">
        <f t="shared" ref="I5:I9" si="5">_xlfn.CONCAT(G5,IF(H5="","",IF(H5="Blanc","-CW","-WWO")))</f>
        <v>DRDOBC12-WWO</v>
      </c>
      <c r="J5" s="2" t="str">
        <f>IFERROR(VLOOKUP(K5,Categories!$A$2:$C$41,2,FALSE()),"⚠ slug introuvable")</f>
        <v>base-cabinet</v>
      </c>
      <c r="K5" s="2" t="s">
        <v>37</v>
      </c>
      <c r="L5" s="2" t="str">
        <f>IFERROR(VLOOKUP(J5,Categories!$A$2:$C$41,3,FALSE()),"⚠ slug introuvable")</f>
        <v>Armoire du bas</v>
      </c>
      <c r="M5" s="2" t="str">
        <f>IFERROR(VLOOKUP(K5,Categories!$A$2:$C$41,3,FALSE()),"⚠ slug introuvable")</f>
        <v>Standard</v>
      </c>
      <c r="N5" s="2" t="s">
        <v>38</v>
      </c>
      <c r="O5" s="2" t="str">
        <f t="shared" si="2"/>
        <v>Armoire de cuisine du bas avec 1 tiroir et 1 porte (12")</v>
      </c>
      <c r="P5" s="2" t="str">
        <f t="shared" si="3"/>
        <v>1 tiroir et 1 porte (12")</v>
      </c>
      <c r="Q5" s="11">
        <v>0</v>
      </c>
      <c r="R5" s="11">
        <f t="shared" ref="R5:R9" si="6">Q5/11.25</f>
        <v>0</v>
      </c>
      <c r="S5" s="11">
        <f t="shared" ref="S5:S9" si="7">R5*1.4</f>
        <v>0</v>
      </c>
      <c r="T5" s="11">
        <f t="shared" ref="T5:T9" si="8">S5*1.1</f>
        <v>0</v>
      </c>
      <c r="U5" s="11">
        <f t="shared" ref="U5:V5" si="9">T5*1.2</f>
        <v>0</v>
      </c>
      <c r="V5" s="11">
        <f t="shared" si="9"/>
        <v>0</v>
      </c>
      <c r="W5" s="11">
        <f t="shared" ref="W5:W9" si="10">V5*1.1</f>
        <v>0</v>
      </c>
      <c r="X5" s="11">
        <f t="shared" ref="X5:X9" si="11">W5</f>
        <v>0</v>
      </c>
      <c r="Y5" s="14">
        <v>0.4</v>
      </c>
      <c r="Z5" s="11">
        <f t="shared" si="4"/>
        <v>0</v>
      </c>
      <c r="AA5" s="2">
        <v>12</v>
      </c>
      <c r="AB5" s="2">
        <v>34.5</v>
      </c>
      <c r="AC5" s="2">
        <v>24</v>
      </c>
      <c r="AD5" s="2">
        <v>1</v>
      </c>
      <c r="AE5" s="2">
        <v>1</v>
      </c>
    </row>
    <row r="6" spans="1:31" hidden="1">
      <c r="A6" s="2" t="s">
        <v>40</v>
      </c>
      <c r="B6" s="2" t="b">
        <v>1</v>
      </c>
      <c r="C6" s="2"/>
      <c r="D6" s="2"/>
      <c r="E6" s="2" t="b">
        <f t="shared" si="0"/>
        <v>0</v>
      </c>
      <c r="F6" s="2"/>
      <c r="G6" s="2" t="s">
        <v>41</v>
      </c>
      <c r="H6" s="2" t="str">
        <f t="shared" si="1"/>
        <v>Blanc</v>
      </c>
      <c r="I6" s="2" t="str">
        <f t="shared" si="5"/>
        <v>DRDOBC15-CW</v>
      </c>
      <c r="J6" s="2" t="str">
        <f>IFERROR(VLOOKUP(K6,Categories!$A$2:$C$41,2,FALSE()),"⚠ slug introuvable")</f>
        <v>base-cabinet</v>
      </c>
      <c r="K6" s="2" t="s">
        <v>37</v>
      </c>
      <c r="L6" s="2" t="str">
        <f>IFERROR(VLOOKUP(J6,Categories!$A$2:$C$41,3,FALSE()),"⚠ slug introuvable")</f>
        <v>Armoire du bas</v>
      </c>
      <c r="M6" s="2" t="str">
        <f>IFERROR(VLOOKUP(K6,Categories!$A$2:$C$41,3,FALSE()),"⚠ slug introuvable")</f>
        <v>Standard</v>
      </c>
      <c r="N6" s="2" t="s">
        <v>38</v>
      </c>
      <c r="O6" s="2" t="str">
        <f t="shared" si="2"/>
        <v>Armoire de cuisine du bas avec 1 tiroir et 1 porte (15")</v>
      </c>
      <c r="P6" s="2" t="str">
        <f t="shared" si="3"/>
        <v>1 tiroir et 1 porte (15")</v>
      </c>
      <c r="Q6" s="11">
        <v>0</v>
      </c>
      <c r="R6" s="11">
        <f t="shared" si="6"/>
        <v>0</v>
      </c>
      <c r="S6" s="11">
        <f t="shared" si="7"/>
        <v>0</v>
      </c>
      <c r="T6" s="11">
        <f t="shared" si="8"/>
        <v>0</v>
      </c>
      <c r="U6" s="11">
        <f t="shared" ref="U6:V6" si="12">T6*1.2</f>
        <v>0</v>
      </c>
      <c r="V6" s="11">
        <f t="shared" si="12"/>
        <v>0</v>
      </c>
      <c r="W6" s="11">
        <f t="shared" si="10"/>
        <v>0</v>
      </c>
      <c r="X6" s="11">
        <f t="shared" si="11"/>
        <v>0</v>
      </c>
      <c r="Y6" s="14">
        <v>0.4</v>
      </c>
      <c r="Z6" s="11">
        <f t="shared" si="4"/>
        <v>0</v>
      </c>
      <c r="AA6" s="2">
        <v>15</v>
      </c>
      <c r="AB6" s="2">
        <v>34.5</v>
      </c>
      <c r="AC6" s="2">
        <v>24</v>
      </c>
      <c r="AD6" s="2">
        <v>1</v>
      </c>
      <c r="AE6" s="2">
        <v>1</v>
      </c>
    </row>
    <row r="7" spans="1:31" hidden="1">
      <c r="A7" s="2" t="s">
        <v>42</v>
      </c>
      <c r="B7" s="2" t="b">
        <v>1</v>
      </c>
      <c r="C7" s="2"/>
      <c r="D7" s="2"/>
      <c r="E7" s="2" t="b">
        <f t="shared" si="0"/>
        <v>0</v>
      </c>
      <c r="F7" s="2"/>
      <c r="G7" s="2" t="s">
        <v>41</v>
      </c>
      <c r="H7" s="2" t="str">
        <f t="shared" si="1"/>
        <v>Chêne blanc</v>
      </c>
      <c r="I7" s="2" t="str">
        <f t="shared" si="5"/>
        <v>DRDOBC15-WWO</v>
      </c>
      <c r="J7" s="2" t="str">
        <f>IFERROR(VLOOKUP(K7,Categories!$A$2:$C$41,2,FALSE()),"⚠ slug introuvable")</f>
        <v>base-cabinet</v>
      </c>
      <c r="K7" s="2" t="s">
        <v>37</v>
      </c>
      <c r="L7" s="2" t="str">
        <f>IFERROR(VLOOKUP(J7,Categories!$A$2:$C$41,3,FALSE()),"⚠ slug introuvable")</f>
        <v>Armoire du bas</v>
      </c>
      <c r="M7" s="2" t="str">
        <f>IFERROR(VLOOKUP(K7,Categories!$A$2:$C$41,3,FALSE()),"⚠ slug introuvable")</f>
        <v>Standard</v>
      </c>
      <c r="N7" s="2" t="s">
        <v>38</v>
      </c>
      <c r="O7" s="2" t="str">
        <f t="shared" si="2"/>
        <v>Armoire de cuisine du bas avec 1 tiroir et 1 porte (15")</v>
      </c>
      <c r="P7" s="2" t="str">
        <f t="shared" si="3"/>
        <v>1 tiroir et 1 porte (15")</v>
      </c>
      <c r="Q7" s="11">
        <v>0</v>
      </c>
      <c r="R7" s="11">
        <f t="shared" si="6"/>
        <v>0</v>
      </c>
      <c r="S7" s="11">
        <f t="shared" si="7"/>
        <v>0</v>
      </c>
      <c r="T7" s="11">
        <f t="shared" si="8"/>
        <v>0</v>
      </c>
      <c r="U7" s="11">
        <f t="shared" ref="U7:V7" si="13">T7*1.2</f>
        <v>0</v>
      </c>
      <c r="V7" s="11">
        <f t="shared" si="13"/>
        <v>0</v>
      </c>
      <c r="W7" s="11">
        <f t="shared" si="10"/>
        <v>0</v>
      </c>
      <c r="X7" s="11">
        <f t="shared" si="11"/>
        <v>0</v>
      </c>
      <c r="Y7" s="14">
        <v>0.4</v>
      </c>
      <c r="Z7" s="11">
        <f t="shared" si="4"/>
        <v>0</v>
      </c>
      <c r="AA7" s="2">
        <v>15</v>
      </c>
      <c r="AB7" s="2">
        <v>34.5</v>
      </c>
      <c r="AC7" s="2">
        <v>24</v>
      </c>
      <c r="AD7" s="2">
        <v>1</v>
      </c>
      <c r="AE7" s="2">
        <v>1</v>
      </c>
    </row>
    <row r="8" spans="1:31" hidden="1">
      <c r="A8" s="2" t="s">
        <v>43</v>
      </c>
      <c r="B8" s="2" t="b">
        <v>1</v>
      </c>
      <c r="C8" s="2"/>
      <c r="D8" s="2"/>
      <c r="E8" s="2" t="b">
        <f t="shared" si="0"/>
        <v>0</v>
      </c>
      <c r="F8" s="2"/>
      <c r="G8" s="2" t="s">
        <v>44</v>
      </c>
      <c r="H8" s="2" t="str">
        <f t="shared" si="1"/>
        <v>Blanc</v>
      </c>
      <c r="I8" s="2" t="str">
        <f t="shared" si="5"/>
        <v>DRDOBC18-CW</v>
      </c>
      <c r="J8" s="2" t="str">
        <f>IFERROR(VLOOKUP(K8,Categories!$A$2:$C$41,2,FALSE()),"⚠ slug introuvable")</f>
        <v>base-cabinet</v>
      </c>
      <c r="K8" s="2" t="s">
        <v>37</v>
      </c>
      <c r="L8" s="2" t="str">
        <f>IFERROR(VLOOKUP(J8,Categories!$A$2:$C$41,3,FALSE()),"⚠ slug introuvable")</f>
        <v>Armoire du bas</v>
      </c>
      <c r="M8" s="2" t="str">
        <f>IFERROR(VLOOKUP(K8,Categories!$A$2:$C$41,3,FALSE()),"⚠ slug introuvable")</f>
        <v>Standard</v>
      </c>
      <c r="N8" s="2" t="s">
        <v>38</v>
      </c>
      <c r="O8" s="2" t="str">
        <f t="shared" si="2"/>
        <v>Armoire de cuisine du bas avec 1 tiroir et 1 porte (18")</v>
      </c>
      <c r="P8" s="2" t="str">
        <f t="shared" si="3"/>
        <v>1 tiroir et 1 porte (18")</v>
      </c>
      <c r="Q8" s="11">
        <v>0</v>
      </c>
      <c r="R8" s="11">
        <f t="shared" si="6"/>
        <v>0</v>
      </c>
      <c r="S8" s="11">
        <f t="shared" si="7"/>
        <v>0</v>
      </c>
      <c r="T8" s="11">
        <f t="shared" si="8"/>
        <v>0</v>
      </c>
      <c r="U8" s="11">
        <f t="shared" ref="U8:V8" si="14">T8*1.2</f>
        <v>0</v>
      </c>
      <c r="V8" s="11">
        <f t="shared" si="14"/>
        <v>0</v>
      </c>
      <c r="W8" s="11">
        <f t="shared" si="10"/>
        <v>0</v>
      </c>
      <c r="X8" s="11">
        <f t="shared" si="11"/>
        <v>0</v>
      </c>
      <c r="Y8" s="14">
        <v>0.4</v>
      </c>
      <c r="Z8" s="11">
        <f t="shared" si="4"/>
        <v>0</v>
      </c>
      <c r="AA8" s="2">
        <v>18</v>
      </c>
      <c r="AB8" s="2">
        <v>34.5</v>
      </c>
      <c r="AC8" s="2">
        <v>24</v>
      </c>
      <c r="AD8" s="2">
        <v>1</v>
      </c>
      <c r="AE8" s="2">
        <v>1</v>
      </c>
    </row>
    <row r="9" spans="1:31" hidden="1">
      <c r="A9" s="2" t="s">
        <v>45</v>
      </c>
      <c r="B9" s="2" t="b">
        <v>1</v>
      </c>
      <c r="C9" s="2"/>
      <c r="D9" s="2"/>
      <c r="E9" s="2" t="b">
        <f t="shared" si="0"/>
        <v>0</v>
      </c>
      <c r="F9" s="2"/>
      <c r="G9" s="2" t="s">
        <v>44</v>
      </c>
      <c r="H9" s="2" t="str">
        <f t="shared" si="1"/>
        <v>Chêne blanc</v>
      </c>
      <c r="I9" s="2" t="str">
        <f t="shared" si="5"/>
        <v>DRDOBC18-WWO</v>
      </c>
      <c r="J9" s="2" t="str">
        <f>IFERROR(VLOOKUP(K9,Categories!$A$2:$C$41,2,FALSE()),"⚠ slug introuvable")</f>
        <v>base-cabinet</v>
      </c>
      <c r="K9" s="2" t="s">
        <v>37</v>
      </c>
      <c r="L9" s="2" t="str">
        <f>IFERROR(VLOOKUP(J9,Categories!$A$2:$C$41,3,FALSE()),"⚠ slug introuvable")</f>
        <v>Armoire du bas</v>
      </c>
      <c r="M9" s="2" t="str">
        <f>IFERROR(VLOOKUP(K9,Categories!$A$2:$C$41,3,FALSE()),"⚠ slug introuvable")</f>
        <v>Standard</v>
      </c>
      <c r="N9" s="2" t="s">
        <v>38</v>
      </c>
      <c r="O9" s="2" t="str">
        <f t="shared" si="2"/>
        <v>Armoire de cuisine du bas avec 1 tiroir et 1 porte (18")</v>
      </c>
      <c r="P9" s="2" t="str">
        <f t="shared" si="3"/>
        <v>1 tiroir et 1 porte (18")</v>
      </c>
      <c r="Q9" s="11">
        <v>0</v>
      </c>
      <c r="R9" s="11">
        <f t="shared" si="6"/>
        <v>0</v>
      </c>
      <c r="S9" s="11">
        <f t="shared" si="7"/>
        <v>0</v>
      </c>
      <c r="T9" s="11">
        <f t="shared" si="8"/>
        <v>0</v>
      </c>
      <c r="U9" s="11">
        <f t="shared" ref="U9:V9" si="15">T9*1.2</f>
        <v>0</v>
      </c>
      <c r="V9" s="11">
        <f t="shared" si="15"/>
        <v>0</v>
      </c>
      <c r="W9" s="11">
        <f t="shared" si="10"/>
        <v>0</v>
      </c>
      <c r="X9" s="11">
        <f t="shared" si="11"/>
        <v>0</v>
      </c>
      <c r="Y9" s="14">
        <v>0.4</v>
      </c>
      <c r="Z9" s="11">
        <f t="shared" si="4"/>
        <v>0</v>
      </c>
      <c r="AA9" s="2">
        <v>18</v>
      </c>
      <c r="AB9" s="2">
        <v>34.5</v>
      </c>
      <c r="AC9" s="2">
        <v>24</v>
      </c>
      <c r="AD9" s="2">
        <v>1</v>
      </c>
      <c r="AE9" s="2">
        <v>1</v>
      </c>
    </row>
    <row r="10" spans="1:31">
      <c r="A10" s="2" t="s">
        <v>46</v>
      </c>
      <c r="B10" s="2"/>
      <c r="C10" s="2"/>
      <c r="D10" s="2"/>
      <c r="E10" s="2" t="b">
        <f t="shared" ref="E10:E73" si="16">IF(OR(B10=TRUE,C10=TRUE,D10=TRUE),FALSE,TRUE)</f>
        <v>1</v>
      </c>
      <c r="F10" s="2"/>
      <c r="G10" s="2" t="s">
        <v>47</v>
      </c>
      <c r="H10" s="2"/>
      <c r="I10" s="2" t="str">
        <f t="shared" ref="I10:I73" si="17">_xlfn.CONCAT(G10,IF(H10="","",IF(H10="Blanc","-CW","-WWO")))</f>
        <v>GARBAGE-BIN</v>
      </c>
      <c r="J10" s="2" t="s">
        <v>48</v>
      </c>
      <c r="K10" s="2" t="s">
        <v>49</v>
      </c>
      <c r="L10" s="2" t="str">
        <f>IFERROR(VLOOKUP(J10,Categories!$A$2:$C$41,3,FALSE()),"⚠ slug introuvable")</f>
        <v>Accessoires</v>
      </c>
      <c r="M10" s="2" t="str">
        <f>IFERROR(VLOOKUP(K10,Categories!$A$2:$C$41,3,FALSE()),"⚠ slug introuvable")</f>
        <v>Poubelle</v>
      </c>
      <c r="N10" s="2" t="s">
        <v>50</v>
      </c>
      <c r="O10" s="2" t="s">
        <v>50</v>
      </c>
      <c r="P10" s="2" t="s">
        <v>50</v>
      </c>
      <c r="Q10" s="11">
        <v>37</v>
      </c>
      <c r="R10" s="11">
        <f t="shared" ref="R10:R73" si="18">Q10/11.25</f>
        <v>3.2888888888888888</v>
      </c>
      <c r="S10" s="11">
        <f t="shared" ref="S10:S73" si="19">R10*1.4</f>
        <v>4.6044444444444439</v>
      </c>
      <c r="T10" s="11">
        <f t="shared" ref="T10:T73" si="20">S10*1.1</f>
        <v>5.0648888888888886</v>
      </c>
      <c r="U10" s="11">
        <f t="shared" ref="U10:V29" si="21">T10*1.2</f>
        <v>6.0778666666666661</v>
      </c>
      <c r="V10" s="11">
        <f t="shared" si="21"/>
        <v>7.2934399999999986</v>
      </c>
      <c r="W10" s="11">
        <f t="shared" ref="W10:W73" si="22">V10*1.1</f>
        <v>8.0227839999999997</v>
      </c>
      <c r="X10" s="11">
        <f t="shared" ref="X10:X73" si="23">W10</f>
        <v>8.0227839999999997</v>
      </c>
      <c r="Y10" s="14">
        <v>0.4</v>
      </c>
      <c r="Z10" s="11">
        <f t="shared" ref="Z10:Z73" si="24">X10/(1-Y10)</f>
        <v>13.371306666666667</v>
      </c>
      <c r="AA10" s="2"/>
      <c r="AB10" s="2"/>
      <c r="AC10" s="2"/>
      <c r="AD10" s="2" t="s">
        <v>51</v>
      </c>
      <c r="AE10" s="2" t="s">
        <v>51</v>
      </c>
    </row>
    <row r="11" spans="1:31" hidden="1">
      <c r="A11" s="2" t="s">
        <v>52</v>
      </c>
      <c r="B11" s="2"/>
      <c r="C11" s="2"/>
      <c r="D11" s="2" t="b">
        <v>1</v>
      </c>
      <c r="E11" s="2" t="b">
        <f t="shared" si="16"/>
        <v>0</v>
      </c>
      <c r="F11" s="4" t="s">
        <v>53</v>
      </c>
      <c r="G11" s="2" t="s">
        <v>54</v>
      </c>
      <c r="H11" s="2"/>
      <c r="I11" s="2" t="str">
        <f t="shared" si="17"/>
        <v>ROD15</v>
      </c>
      <c r="J11" s="2" t="s">
        <v>48</v>
      </c>
      <c r="K11" s="2" t="s">
        <v>55</v>
      </c>
      <c r="L11" s="2" t="str">
        <f>IFERROR(VLOOKUP(J11,Categories!$A$2:$C$41,3,FALSE()),"⚠ slug introuvable")</f>
        <v>Accessoires</v>
      </c>
      <c r="M11" s="2" t="str">
        <f>IFERROR(VLOOKUP(K11,Categories!$A$2:$C$41,3,FALSE()),"⚠ slug introuvable")</f>
        <v>Tiroir coulissant</v>
      </c>
      <c r="N11" s="2" t="s">
        <v>56</v>
      </c>
      <c r="O11" s="2" t="str">
        <f t="shared" ref="O11:O39" si="25">_xlfn.CONCAT(N11," (",AA11,""")")</f>
        <v>Tiroir coulissant (15")</v>
      </c>
      <c r="P11" s="2" t="str">
        <f>_xlfn.CONCAT(N11," (",AA11,""")")</f>
        <v>Tiroir coulissant (15")</v>
      </c>
      <c r="Q11" s="11">
        <v>800</v>
      </c>
      <c r="R11" s="11">
        <f t="shared" si="18"/>
        <v>71.111111111111114</v>
      </c>
      <c r="S11" s="11">
        <f t="shared" si="19"/>
        <v>99.555555555555557</v>
      </c>
      <c r="T11" s="11">
        <f t="shared" si="20"/>
        <v>109.51111111111112</v>
      </c>
      <c r="U11" s="11">
        <f t="shared" si="21"/>
        <v>131.41333333333333</v>
      </c>
      <c r="V11" s="11">
        <f t="shared" si="21"/>
        <v>157.696</v>
      </c>
      <c r="W11" s="11">
        <f t="shared" si="22"/>
        <v>173.46560000000002</v>
      </c>
      <c r="X11" s="11">
        <f t="shared" si="23"/>
        <v>173.46560000000002</v>
      </c>
      <c r="Y11" s="14">
        <v>0.4</v>
      </c>
      <c r="Z11" s="11">
        <f t="shared" si="24"/>
        <v>289.10933333333338</v>
      </c>
      <c r="AA11" s="2">
        <v>15</v>
      </c>
      <c r="AB11" s="4"/>
      <c r="AC11" s="4"/>
      <c r="AD11" s="2" t="s">
        <v>51</v>
      </c>
      <c r="AE11" s="2" t="s">
        <v>51</v>
      </c>
    </row>
    <row r="12" spans="1:31" hidden="1">
      <c r="A12" s="2" t="s">
        <v>57</v>
      </c>
      <c r="B12" s="2" t="b">
        <v>1</v>
      </c>
      <c r="C12" s="2"/>
      <c r="D12" s="2"/>
      <c r="E12" s="2" t="b">
        <f t="shared" si="16"/>
        <v>0</v>
      </c>
      <c r="F12" s="2"/>
      <c r="G12" s="2" t="s">
        <v>58</v>
      </c>
      <c r="H12" s="2" t="str">
        <f>IF(ISNUMBER(SEARCH("muf",A12)),"Chêne blanc","Blanc")</f>
        <v>Blanc</v>
      </c>
      <c r="I12" s="2" t="str">
        <f t="shared" si="17"/>
        <v>DRDOBC21-CW</v>
      </c>
      <c r="J12" s="2" t="str">
        <f>IFERROR(VLOOKUP(K12,Categories!$A$2:$C$41,2,FALSE()),"⚠ slug introuvable")</f>
        <v>base-cabinet</v>
      </c>
      <c r="K12" s="2" t="s">
        <v>37</v>
      </c>
      <c r="L12" s="2" t="str">
        <f>IFERROR(VLOOKUP(J12,Categories!$A$2:$C$41,3,FALSE()),"⚠ slug introuvable")</f>
        <v>Armoire du bas</v>
      </c>
      <c r="M12" s="2" t="str">
        <f>IFERROR(VLOOKUP(K12,Categories!$A$2:$C$41,3,FALSE()),"⚠ slug introuvable")</f>
        <v>Standard</v>
      </c>
      <c r="N12" s="2" t="s">
        <v>38</v>
      </c>
      <c r="O12" s="2" t="str">
        <f t="shared" si="25"/>
        <v>Armoire de cuisine du bas avec 1 tiroir et 1 porte (21")</v>
      </c>
      <c r="P12" s="2" t="str">
        <f>_xlfn.CONCAT("1 tiroir et 1 porte"," (",AA12,""")")</f>
        <v>1 tiroir et 1 porte (21")</v>
      </c>
      <c r="Q12" s="11">
        <v>0</v>
      </c>
      <c r="R12" s="11">
        <f t="shared" si="18"/>
        <v>0</v>
      </c>
      <c r="S12" s="11">
        <f t="shared" si="19"/>
        <v>0</v>
      </c>
      <c r="T12" s="11">
        <f t="shared" si="20"/>
        <v>0</v>
      </c>
      <c r="U12" s="11">
        <f t="shared" si="21"/>
        <v>0</v>
      </c>
      <c r="V12" s="11">
        <f t="shared" si="21"/>
        <v>0</v>
      </c>
      <c r="W12" s="11">
        <f t="shared" si="22"/>
        <v>0</v>
      </c>
      <c r="X12" s="11">
        <f t="shared" si="23"/>
        <v>0</v>
      </c>
      <c r="Y12" s="14">
        <v>0.4</v>
      </c>
      <c r="Z12" s="11">
        <f t="shared" si="24"/>
        <v>0</v>
      </c>
      <c r="AA12" s="2">
        <v>21</v>
      </c>
      <c r="AB12" s="2">
        <v>34.5</v>
      </c>
      <c r="AC12" s="2">
        <v>24</v>
      </c>
      <c r="AD12" s="2">
        <v>1</v>
      </c>
      <c r="AE12" s="2">
        <v>1</v>
      </c>
    </row>
    <row r="13" spans="1:31" hidden="1">
      <c r="A13" s="2" t="s">
        <v>59</v>
      </c>
      <c r="B13" s="2" t="b">
        <v>1</v>
      </c>
      <c r="C13" s="2"/>
      <c r="D13" s="2"/>
      <c r="E13" s="2" t="b">
        <f t="shared" si="16"/>
        <v>0</v>
      </c>
      <c r="F13" s="2"/>
      <c r="G13" s="2" t="s">
        <v>58</v>
      </c>
      <c r="H13" s="2" t="str">
        <f>IF(ISNUMBER(SEARCH("muf",A13)),"Chêne blanc","Blanc")</f>
        <v>Chêne blanc</v>
      </c>
      <c r="I13" s="2" t="str">
        <f t="shared" si="17"/>
        <v>DRDOBC21-WWO</v>
      </c>
      <c r="J13" s="2" t="str">
        <f>IFERROR(VLOOKUP(K13,Categories!$A$2:$C$41,2,FALSE()),"⚠ slug introuvable")</f>
        <v>base-cabinet</v>
      </c>
      <c r="K13" s="2" t="s">
        <v>37</v>
      </c>
      <c r="L13" s="2" t="str">
        <f>IFERROR(VLOOKUP(J13,Categories!$A$2:$C$41,3,FALSE()),"⚠ slug introuvable")</f>
        <v>Armoire du bas</v>
      </c>
      <c r="M13" s="2" t="str">
        <f>IFERROR(VLOOKUP(K13,Categories!$A$2:$C$41,3,FALSE()),"⚠ slug introuvable")</f>
        <v>Standard</v>
      </c>
      <c r="N13" s="2" t="s">
        <v>38</v>
      </c>
      <c r="O13" s="2" t="str">
        <f t="shared" si="25"/>
        <v>Armoire de cuisine du bas avec 1 tiroir et 1 porte (21")</v>
      </c>
      <c r="P13" s="2" t="str">
        <f>_xlfn.CONCAT("1 tiroir et 1 porte"," (",AA13,""")")</f>
        <v>1 tiroir et 1 porte (21")</v>
      </c>
      <c r="Q13" s="11">
        <v>0</v>
      </c>
      <c r="R13" s="11">
        <f t="shared" si="18"/>
        <v>0</v>
      </c>
      <c r="S13" s="11">
        <f t="shared" si="19"/>
        <v>0</v>
      </c>
      <c r="T13" s="11">
        <f t="shared" si="20"/>
        <v>0</v>
      </c>
      <c r="U13" s="11">
        <f t="shared" si="21"/>
        <v>0</v>
      </c>
      <c r="V13" s="11">
        <f t="shared" si="21"/>
        <v>0</v>
      </c>
      <c r="W13" s="11">
        <f t="shared" si="22"/>
        <v>0</v>
      </c>
      <c r="X13" s="11">
        <f t="shared" si="23"/>
        <v>0</v>
      </c>
      <c r="Y13" s="14">
        <v>0.4</v>
      </c>
      <c r="Z13" s="11">
        <f t="shared" si="24"/>
        <v>0</v>
      </c>
      <c r="AA13" s="2">
        <v>21</v>
      </c>
      <c r="AB13" s="2">
        <v>34.5</v>
      </c>
      <c r="AC13" s="2">
        <v>24</v>
      </c>
      <c r="AD13" s="2">
        <v>1</v>
      </c>
      <c r="AE13" s="2">
        <v>1</v>
      </c>
    </row>
    <row r="14" spans="1:31" hidden="1">
      <c r="A14" s="2" t="s">
        <v>60</v>
      </c>
      <c r="B14" s="2"/>
      <c r="C14" s="2"/>
      <c r="D14" s="2" t="b">
        <v>1</v>
      </c>
      <c r="E14" s="2" t="b">
        <f t="shared" si="16"/>
        <v>0</v>
      </c>
      <c r="F14" s="4" t="s">
        <v>53</v>
      </c>
      <c r="G14" s="2" t="s">
        <v>61</v>
      </c>
      <c r="H14" s="2"/>
      <c r="I14" s="2" t="str">
        <f t="shared" si="17"/>
        <v>ROD18</v>
      </c>
      <c r="J14" s="2" t="s">
        <v>48</v>
      </c>
      <c r="K14" s="2" t="s">
        <v>55</v>
      </c>
      <c r="L14" s="2" t="str">
        <f>IFERROR(VLOOKUP(J14,Categories!$A$2:$C$41,3,FALSE()),"⚠ slug introuvable")</f>
        <v>Accessoires</v>
      </c>
      <c r="M14" s="2" t="str">
        <f>IFERROR(VLOOKUP(K14,Categories!$A$2:$C$41,3,FALSE()),"⚠ slug introuvable")</f>
        <v>Tiroir coulissant</v>
      </c>
      <c r="N14" s="2" t="s">
        <v>56</v>
      </c>
      <c r="O14" s="2" t="str">
        <f t="shared" si="25"/>
        <v>Tiroir coulissant (18")</v>
      </c>
      <c r="P14" s="2" t="str">
        <f t="shared" ref="P14:P20" si="26">_xlfn.CONCAT(N14," (",AA14,""")")</f>
        <v>Tiroir coulissant (18")</v>
      </c>
      <c r="Q14" s="11">
        <v>800</v>
      </c>
      <c r="R14" s="11">
        <f t="shared" si="18"/>
        <v>71.111111111111114</v>
      </c>
      <c r="S14" s="11">
        <f t="shared" si="19"/>
        <v>99.555555555555557</v>
      </c>
      <c r="T14" s="11">
        <f t="shared" si="20"/>
        <v>109.51111111111112</v>
      </c>
      <c r="U14" s="11">
        <f t="shared" si="21"/>
        <v>131.41333333333333</v>
      </c>
      <c r="V14" s="11">
        <f t="shared" si="21"/>
        <v>157.696</v>
      </c>
      <c r="W14" s="11">
        <f t="shared" si="22"/>
        <v>173.46560000000002</v>
      </c>
      <c r="X14" s="11">
        <f t="shared" si="23"/>
        <v>173.46560000000002</v>
      </c>
      <c r="Y14" s="14">
        <v>0.4</v>
      </c>
      <c r="Z14" s="11">
        <f t="shared" si="24"/>
        <v>289.10933333333338</v>
      </c>
      <c r="AA14" s="2">
        <v>18</v>
      </c>
      <c r="AB14" s="4"/>
      <c r="AC14" s="4"/>
      <c r="AD14" s="2" t="s">
        <v>51</v>
      </c>
      <c r="AE14" s="2" t="s">
        <v>51</v>
      </c>
    </row>
    <row r="15" spans="1:31" hidden="1">
      <c r="A15" s="2" t="s">
        <v>62</v>
      </c>
      <c r="B15" s="2"/>
      <c r="C15" s="2"/>
      <c r="D15" s="2" t="b">
        <v>1</v>
      </c>
      <c r="E15" s="2" t="b">
        <f t="shared" si="16"/>
        <v>0</v>
      </c>
      <c r="F15" s="4" t="s">
        <v>53</v>
      </c>
      <c r="G15" s="2" t="s">
        <v>63</v>
      </c>
      <c r="H15" s="2"/>
      <c r="I15" s="2" t="str">
        <f t="shared" si="17"/>
        <v>ROD21</v>
      </c>
      <c r="J15" s="2" t="s">
        <v>48</v>
      </c>
      <c r="K15" s="2" t="s">
        <v>55</v>
      </c>
      <c r="L15" s="2" t="str">
        <f>IFERROR(VLOOKUP(J15,Categories!$A$2:$C$41,3,FALSE()),"⚠ slug introuvable")</f>
        <v>Accessoires</v>
      </c>
      <c r="M15" s="2" t="str">
        <f>IFERROR(VLOOKUP(K15,Categories!$A$2:$C$41,3,FALSE()),"⚠ slug introuvable")</f>
        <v>Tiroir coulissant</v>
      </c>
      <c r="N15" s="2" t="s">
        <v>56</v>
      </c>
      <c r="O15" s="2" t="str">
        <f t="shared" si="25"/>
        <v>Tiroir coulissant (21")</v>
      </c>
      <c r="P15" s="2" t="str">
        <f t="shared" si="26"/>
        <v>Tiroir coulissant (21")</v>
      </c>
      <c r="Q15" s="11">
        <v>800</v>
      </c>
      <c r="R15" s="11">
        <f t="shared" si="18"/>
        <v>71.111111111111114</v>
      </c>
      <c r="S15" s="11">
        <f t="shared" si="19"/>
        <v>99.555555555555557</v>
      </c>
      <c r="T15" s="11">
        <f t="shared" si="20"/>
        <v>109.51111111111112</v>
      </c>
      <c r="U15" s="11">
        <f t="shared" si="21"/>
        <v>131.41333333333333</v>
      </c>
      <c r="V15" s="11">
        <f t="shared" si="21"/>
        <v>157.696</v>
      </c>
      <c r="W15" s="11">
        <f t="shared" si="22"/>
        <v>173.46560000000002</v>
      </c>
      <c r="X15" s="11">
        <f t="shared" si="23"/>
        <v>173.46560000000002</v>
      </c>
      <c r="Y15" s="14">
        <v>0.4</v>
      </c>
      <c r="Z15" s="11">
        <f t="shared" si="24"/>
        <v>289.10933333333338</v>
      </c>
      <c r="AA15" s="2">
        <v>21</v>
      </c>
      <c r="AB15" s="4"/>
      <c r="AC15" s="4"/>
      <c r="AD15" s="2" t="s">
        <v>51</v>
      </c>
      <c r="AE15" s="2" t="s">
        <v>51</v>
      </c>
    </row>
    <row r="16" spans="1:31" hidden="1">
      <c r="A16" s="2" t="s">
        <v>64</v>
      </c>
      <c r="B16" s="9"/>
      <c r="C16" s="9"/>
      <c r="D16" s="2" t="b">
        <v>1</v>
      </c>
      <c r="E16" s="2" t="b">
        <f t="shared" si="16"/>
        <v>0</v>
      </c>
      <c r="F16" s="4" t="s">
        <v>53</v>
      </c>
      <c r="G16" s="2" t="s">
        <v>65</v>
      </c>
      <c r="H16" s="2"/>
      <c r="I16" s="2" t="str">
        <f t="shared" si="17"/>
        <v>ROD24</v>
      </c>
      <c r="J16" s="2" t="s">
        <v>48</v>
      </c>
      <c r="K16" s="2" t="s">
        <v>55</v>
      </c>
      <c r="L16" s="2" t="str">
        <f>IFERROR(VLOOKUP(J16,Categories!$A$2:$C$41,3,FALSE()),"⚠ slug introuvable")</f>
        <v>Accessoires</v>
      </c>
      <c r="M16" s="2" t="str">
        <f>IFERROR(VLOOKUP(K16,Categories!$A$2:$C$41,3,FALSE()),"⚠ slug introuvable")</f>
        <v>Tiroir coulissant</v>
      </c>
      <c r="N16" s="2" t="s">
        <v>56</v>
      </c>
      <c r="O16" s="2" t="str">
        <f t="shared" si="25"/>
        <v>Tiroir coulissant (24")</v>
      </c>
      <c r="P16" s="2" t="str">
        <f t="shared" si="26"/>
        <v>Tiroir coulissant (24")</v>
      </c>
      <c r="Q16" s="11">
        <v>1000</v>
      </c>
      <c r="R16" s="11">
        <f t="shared" si="18"/>
        <v>88.888888888888886</v>
      </c>
      <c r="S16" s="11">
        <f t="shared" si="19"/>
        <v>124.44444444444443</v>
      </c>
      <c r="T16" s="11">
        <f t="shared" si="20"/>
        <v>136.88888888888889</v>
      </c>
      <c r="U16" s="11">
        <f t="shared" si="21"/>
        <v>164.26666666666665</v>
      </c>
      <c r="V16" s="11">
        <f t="shared" si="21"/>
        <v>197.11999999999998</v>
      </c>
      <c r="W16" s="11">
        <f t="shared" si="22"/>
        <v>216.83199999999999</v>
      </c>
      <c r="X16" s="11">
        <f t="shared" si="23"/>
        <v>216.83199999999999</v>
      </c>
      <c r="Y16" s="14">
        <v>0.4</v>
      </c>
      <c r="Z16" s="11">
        <f t="shared" si="24"/>
        <v>361.38666666666666</v>
      </c>
      <c r="AA16" s="2">
        <v>24</v>
      </c>
      <c r="AB16" s="4"/>
      <c r="AC16" s="4"/>
      <c r="AD16" s="2" t="s">
        <v>51</v>
      </c>
      <c r="AE16" s="2" t="s">
        <v>51</v>
      </c>
    </row>
    <row r="17" spans="1:31" hidden="1">
      <c r="A17" s="2" t="s">
        <v>66</v>
      </c>
      <c r="B17" s="2"/>
      <c r="C17" s="2"/>
      <c r="D17" s="2" t="b">
        <v>1</v>
      </c>
      <c r="E17" s="2" t="b">
        <f t="shared" si="16"/>
        <v>0</v>
      </c>
      <c r="F17" s="4" t="s">
        <v>53</v>
      </c>
      <c r="G17" s="2" t="s">
        <v>67</v>
      </c>
      <c r="H17" s="2"/>
      <c r="I17" s="2" t="str">
        <f t="shared" si="17"/>
        <v>ROD27</v>
      </c>
      <c r="J17" s="2" t="s">
        <v>48</v>
      </c>
      <c r="K17" s="2" t="s">
        <v>55</v>
      </c>
      <c r="L17" s="2" t="str">
        <f>IFERROR(VLOOKUP(J17,Categories!$A$2:$C$41,3,FALSE()),"⚠ slug introuvable")</f>
        <v>Accessoires</v>
      </c>
      <c r="M17" s="2" t="str">
        <f>IFERROR(VLOOKUP(K17,Categories!$A$2:$C$41,3,FALSE()),"⚠ slug introuvable")</f>
        <v>Tiroir coulissant</v>
      </c>
      <c r="N17" s="2" t="s">
        <v>56</v>
      </c>
      <c r="O17" s="2" t="str">
        <f t="shared" si="25"/>
        <v>Tiroir coulissant (27")</v>
      </c>
      <c r="P17" s="2" t="str">
        <f t="shared" si="26"/>
        <v>Tiroir coulissant (27")</v>
      </c>
      <c r="Q17" s="11">
        <v>1200</v>
      </c>
      <c r="R17" s="11">
        <f t="shared" si="18"/>
        <v>106.66666666666667</v>
      </c>
      <c r="S17" s="11">
        <f t="shared" si="19"/>
        <v>149.33333333333334</v>
      </c>
      <c r="T17" s="11">
        <f t="shared" si="20"/>
        <v>164.26666666666668</v>
      </c>
      <c r="U17" s="11">
        <f t="shared" si="21"/>
        <v>197.12</v>
      </c>
      <c r="V17" s="11">
        <f t="shared" si="21"/>
        <v>236.54399999999998</v>
      </c>
      <c r="W17" s="11">
        <f t="shared" si="22"/>
        <v>260.19839999999999</v>
      </c>
      <c r="X17" s="11">
        <f t="shared" si="23"/>
        <v>260.19839999999999</v>
      </c>
      <c r="Y17" s="14">
        <v>0.4</v>
      </c>
      <c r="Z17" s="11">
        <f t="shared" si="24"/>
        <v>433.66399999999999</v>
      </c>
      <c r="AA17" s="2">
        <v>27</v>
      </c>
      <c r="AB17" s="4"/>
      <c r="AC17" s="4"/>
      <c r="AD17" s="2" t="s">
        <v>51</v>
      </c>
      <c r="AE17" s="2" t="s">
        <v>51</v>
      </c>
    </row>
    <row r="18" spans="1:31" hidden="1">
      <c r="A18" s="2" t="s">
        <v>68</v>
      </c>
      <c r="B18" s="2"/>
      <c r="C18" s="2"/>
      <c r="D18" s="2" t="b">
        <v>1</v>
      </c>
      <c r="E18" s="2" t="b">
        <f t="shared" si="16"/>
        <v>0</v>
      </c>
      <c r="F18" s="4" t="s">
        <v>53</v>
      </c>
      <c r="G18" s="2" t="s">
        <v>69</v>
      </c>
      <c r="H18" s="2"/>
      <c r="I18" s="2" t="str">
        <f t="shared" si="17"/>
        <v>ROD30</v>
      </c>
      <c r="J18" s="2" t="s">
        <v>48</v>
      </c>
      <c r="K18" s="2" t="s">
        <v>55</v>
      </c>
      <c r="L18" s="2" t="str">
        <f>IFERROR(VLOOKUP(J18,Categories!$A$2:$C$41,3,FALSE()),"⚠ slug introuvable")</f>
        <v>Accessoires</v>
      </c>
      <c r="M18" s="2" t="str">
        <f>IFERROR(VLOOKUP(K18,Categories!$A$2:$C$41,3,FALSE()),"⚠ slug introuvable")</f>
        <v>Tiroir coulissant</v>
      </c>
      <c r="N18" s="2" t="s">
        <v>56</v>
      </c>
      <c r="O18" s="2" t="str">
        <f t="shared" si="25"/>
        <v>Tiroir coulissant (30")</v>
      </c>
      <c r="P18" s="2" t="str">
        <f t="shared" si="26"/>
        <v>Tiroir coulissant (30")</v>
      </c>
      <c r="Q18" s="11">
        <v>1200</v>
      </c>
      <c r="R18" s="11">
        <f t="shared" si="18"/>
        <v>106.66666666666667</v>
      </c>
      <c r="S18" s="11">
        <f t="shared" si="19"/>
        <v>149.33333333333334</v>
      </c>
      <c r="T18" s="11">
        <f t="shared" si="20"/>
        <v>164.26666666666668</v>
      </c>
      <c r="U18" s="11">
        <f t="shared" si="21"/>
        <v>197.12</v>
      </c>
      <c r="V18" s="11">
        <f t="shared" si="21"/>
        <v>236.54399999999998</v>
      </c>
      <c r="W18" s="11">
        <f t="shared" si="22"/>
        <v>260.19839999999999</v>
      </c>
      <c r="X18" s="11">
        <f t="shared" si="23"/>
        <v>260.19839999999999</v>
      </c>
      <c r="Y18" s="14">
        <v>0.4</v>
      </c>
      <c r="Z18" s="11">
        <f t="shared" si="24"/>
        <v>433.66399999999999</v>
      </c>
      <c r="AA18" s="2">
        <v>30</v>
      </c>
      <c r="AB18" s="4"/>
      <c r="AC18" s="4"/>
      <c r="AD18" s="2" t="s">
        <v>51</v>
      </c>
      <c r="AE18" s="2" t="s">
        <v>51</v>
      </c>
    </row>
    <row r="19" spans="1:31" hidden="1">
      <c r="A19" s="2" t="s">
        <v>70</v>
      </c>
      <c r="B19" s="2"/>
      <c r="C19" s="2"/>
      <c r="D19" s="2" t="b">
        <v>1</v>
      </c>
      <c r="E19" s="2" t="b">
        <f t="shared" si="16"/>
        <v>0</v>
      </c>
      <c r="F19" s="4" t="s">
        <v>53</v>
      </c>
      <c r="G19" s="2" t="s">
        <v>71</v>
      </c>
      <c r="H19" s="2"/>
      <c r="I19" s="2" t="str">
        <f t="shared" si="17"/>
        <v>ROD33</v>
      </c>
      <c r="J19" s="2" t="s">
        <v>48</v>
      </c>
      <c r="K19" s="2" t="s">
        <v>55</v>
      </c>
      <c r="L19" s="2" t="str">
        <f>IFERROR(VLOOKUP(J19,Categories!$A$2:$C$41,3,FALSE()),"⚠ slug introuvable")</f>
        <v>Accessoires</v>
      </c>
      <c r="M19" s="2" t="str">
        <f>IFERROR(VLOOKUP(K19,Categories!$A$2:$C$41,3,FALSE()),"⚠ slug introuvable")</f>
        <v>Tiroir coulissant</v>
      </c>
      <c r="N19" s="2" t="s">
        <v>56</v>
      </c>
      <c r="O19" s="2" t="str">
        <f t="shared" si="25"/>
        <v>Tiroir coulissant (33")</v>
      </c>
      <c r="P19" s="2" t="str">
        <f t="shared" si="26"/>
        <v>Tiroir coulissant (33")</v>
      </c>
      <c r="Q19" s="11">
        <v>1200</v>
      </c>
      <c r="R19" s="11">
        <f t="shared" si="18"/>
        <v>106.66666666666667</v>
      </c>
      <c r="S19" s="11">
        <f t="shared" si="19"/>
        <v>149.33333333333334</v>
      </c>
      <c r="T19" s="11">
        <f t="shared" si="20"/>
        <v>164.26666666666668</v>
      </c>
      <c r="U19" s="11">
        <f t="shared" si="21"/>
        <v>197.12</v>
      </c>
      <c r="V19" s="11">
        <f t="shared" si="21"/>
        <v>236.54399999999998</v>
      </c>
      <c r="W19" s="11">
        <f t="shared" si="22"/>
        <v>260.19839999999999</v>
      </c>
      <c r="X19" s="11">
        <f t="shared" si="23"/>
        <v>260.19839999999999</v>
      </c>
      <c r="Y19" s="14">
        <v>0.4</v>
      </c>
      <c r="Z19" s="11">
        <f t="shared" si="24"/>
        <v>433.66399999999999</v>
      </c>
      <c r="AA19" s="2">
        <v>33</v>
      </c>
      <c r="AB19" s="4"/>
      <c r="AC19" s="4"/>
      <c r="AD19" s="2" t="s">
        <v>51</v>
      </c>
      <c r="AE19" s="2" t="s">
        <v>51</v>
      </c>
    </row>
    <row r="20" spans="1:31" hidden="1">
      <c r="A20" s="2" t="s">
        <v>72</v>
      </c>
      <c r="B20" s="2"/>
      <c r="C20" s="2"/>
      <c r="D20" s="2" t="b">
        <v>1</v>
      </c>
      <c r="E20" s="2" t="b">
        <f t="shared" si="16"/>
        <v>0</v>
      </c>
      <c r="F20" s="4" t="s">
        <v>53</v>
      </c>
      <c r="G20" s="2" t="s">
        <v>73</v>
      </c>
      <c r="H20" s="2"/>
      <c r="I20" s="2" t="str">
        <f t="shared" si="17"/>
        <v>ROD36</v>
      </c>
      <c r="J20" s="2" t="s">
        <v>48</v>
      </c>
      <c r="K20" s="2" t="s">
        <v>55</v>
      </c>
      <c r="L20" s="2" t="str">
        <f>IFERROR(VLOOKUP(J20,Categories!$A$2:$C$41,3,FALSE()),"⚠ slug introuvable")</f>
        <v>Accessoires</v>
      </c>
      <c r="M20" s="2" t="str">
        <f>IFERROR(VLOOKUP(K20,Categories!$A$2:$C$41,3,FALSE()),"⚠ slug introuvable")</f>
        <v>Tiroir coulissant</v>
      </c>
      <c r="N20" s="2" t="s">
        <v>56</v>
      </c>
      <c r="O20" s="2" t="str">
        <f t="shared" si="25"/>
        <v>Tiroir coulissant (36")</v>
      </c>
      <c r="P20" s="2" t="str">
        <f t="shared" si="26"/>
        <v>Tiroir coulissant (36")</v>
      </c>
      <c r="Q20" s="11">
        <v>1200</v>
      </c>
      <c r="R20" s="11">
        <f t="shared" si="18"/>
        <v>106.66666666666667</v>
      </c>
      <c r="S20" s="11">
        <f t="shared" si="19"/>
        <v>149.33333333333334</v>
      </c>
      <c r="T20" s="11">
        <f t="shared" si="20"/>
        <v>164.26666666666668</v>
      </c>
      <c r="U20" s="11">
        <f t="shared" si="21"/>
        <v>197.12</v>
      </c>
      <c r="V20" s="11">
        <f t="shared" si="21"/>
        <v>236.54399999999998</v>
      </c>
      <c r="W20" s="11">
        <f t="shared" si="22"/>
        <v>260.19839999999999</v>
      </c>
      <c r="X20" s="11">
        <f t="shared" si="23"/>
        <v>260.19839999999999</v>
      </c>
      <c r="Y20" s="14">
        <v>0.4</v>
      </c>
      <c r="Z20" s="11">
        <f t="shared" si="24"/>
        <v>433.66399999999999</v>
      </c>
      <c r="AA20" s="2">
        <v>36</v>
      </c>
      <c r="AB20" s="4"/>
      <c r="AC20" s="4"/>
      <c r="AD20" s="2" t="s">
        <v>51</v>
      </c>
      <c r="AE20" s="2" t="s">
        <v>51</v>
      </c>
    </row>
    <row r="21" spans="1:31">
      <c r="A21" s="2" t="s">
        <v>74</v>
      </c>
      <c r="B21" s="2"/>
      <c r="C21" s="2"/>
      <c r="D21" s="2"/>
      <c r="E21" s="2" t="b">
        <f t="shared" si="16"/>
        <v>1</v>
      </c>
      <c r="F21" s="2"/>
      <c r="G21" s="2" t="s">
        <v>75</v>
      </c>
      <c r="H21" s="2" t="str">
        <f t="shared" ref="H21:H84" si="27">IF(ISNUMBER(SEARCH("muf",A21)),"Chêne blanc","Blanc")</f>
        <v>Blanc</v>
      </c>
      <c r="I21" s="2" t="str">
        <f t="shared" si="17"/>
        <v>VDRBC1221-CW</v>
      </c>
      <c r="J21" s="2" t="str">
        <f>IFERROR(VLOOKUP(K21,Categories!$A$2:$C$41,2,FALSE()),"⚠ slug introuvable")</f>
        <v>bathroom-base-cabinet</v>
      </c>
      <c r="K21" s="2" t="s">
        <v>76</v>
      </c>
      <c r="L21" s="2" t="str">
        <f>IFERROR(VLOOKUP(J21,Categories!$A$2:$C$41,3,FALSE()),"⚠ slug introuvable")</f>
        <v>Armoire de salle de bain</v>
      </c>
      <c r="M21" s="2" t="str">
        <f>IFERROR(VLOOKUP(K21,Categories!$A$2:$C$41,3,FALSE()),"⚠ slug introuvable")</f>
        <v>Tiroir</v>
      </c>
      <c r="N21" s="2" t="s">
        <v>77</v>
      </c>
      <c r="O21" s="2" t="str">
        <f t="shared" si="25"/>
        <v>Armoire de salle de bain avec 3 tiroirs (12")</v>
      </c>
      <c r="P21" s="2" t="str">
        <f t="shared" ref="P21:P26" si="28">_xlfn.CONCAT("3 tiroirs"," (",AA21,""")")</f>
        <v>3 tiroirs (12")</v>
      </c>
      <c r="Q21" s="11">
        <v>908</v>
      </c>
      <c r="R21" s="11">
        <f t="shared" si="18"/>
        <v>80.711111111111109</v>
      </c>
      <c r="S21" s="11">
        <f t="shared" si="19"/>
        <v>112.99555555555554</v>
      </c>
      <c r="T21" s="11">
        <f t="shared" si="20"/>
        <v>124.29511111111111</v>
      </c>
      <c r="U21" s="11">
        <f t="shared" si="21"/>
        <v>149.15413333333333</v>
      </c>
      <c r="V21" s="11">
        <f t="shared" si="21"/>
        <v>178.98496</v>
      </c>
      <c r="W21" s="11">
        <f t="shared" si="22"/>
        <v>196.88345600000002</v>
      </c>
      <c r="X21" s="11">
        <f t="shared" si="23"/>
        <v>196.88345600000002</v>
      </c>
      <c r="Y21" s="14">
        <v>0.4</v>
      </c>
      <c r="Z21" s="11">
        <f t="shared" si="24"/>
        <v>328.13909333333339</v>
      </c>
      <c r="AA21" s="2">
        <v>12</v>
      </c>
      <c r="AB21" s="2">
        <v>34.5</v>
      </c>
      <c r="AC21" s="2">
        <v>21</v>
      </c>
      <c r="AD21" s="2">
        <v>0</v>
      </c>
      <c r="AE21" s="2">
        <v>3</v>
      </c>
    </row>
    <row r="22" spans="1:31">
      <c r="A22" s="2" t="s">
        <v>78</v>
      </c>
      <c r="B22" s="2"/>
      <c r="C22" s="2"/>
      <c r="D22" s="2"/>
      <c r="E22" s="2" t="b">
        <f t="shared" si="16"/>
        <v>1</v>
      </c>
      <c r="F22" s="2"/>
      <c r="G22" s="2" t="s">
        <v>75</v>
      </c>
      <c r="H22" s="2" t="str">
        <f t="shared" si="27"/>
        <v>Chêne blanc</v>
      </c>
      <c r="I22" s="2" t="str">
        <f t="shared" si="17"/>
        <v>VDRBC1221-WWO</v>
      </c>
      <c r="J22" s="2" t="str">
        <f>IFERROR(VLOOKUP(K22,Categories!$A$2:$C$41,2,FALSE()),"⚠ slug introuvable")</f>
        <v>bathroom-base-cabinet</v>
      </c>
      <c r="K22" s="2" t="s">
        <v>76</v>
      </c>
      <c r="L22" s="2" t="str">
        <f>IFERROR(VLOOKUP(J22,Categories!$A$2:$C$41,3,FALSE()),"⚠ slug introuvable")</f>
        <v>Armoire de salle de bain</v>
      </c>
      <c r="M22" s="2" t="str">
        <f>IFERROR(VLOOKUP(K22,Categories!$A$2:$C$41,3,FALSE()),"⚠ slug introuvable")</f>
        <v>Tiroir</v>
      </c>
      <c r="N22" s="2" t="s">
        <v>77</v>
      </c>
      <c r="O22" s="2" t="str">
        <f t="shared" si="25"/>
        <v>Armoire de salle de bain avec 3 tiroirs (12")</v>
      </c>
      <c r="P22" s="2" t="str">
        <f t="shared" si="28"/>
        <v>3 tiroirs (12")</v>
      </c>
      <c r="Q22" s="11">
        <v>1098</v>
      </c>
      <c r="R22" s="11">
        <f t="shared" si="18"/>
        <v>97.6</v>
      </c>
      <c r="S22" s="11">
        <f t="shared" si="19"/>
        <v>136.63999999999999</v>
      </c>
      <c r="T22" s="11">
        <f t="shared" si="20"/>
        <v>150.304</v>
      </c>
      <c r="U22" s="11">
        <f t="shared" si="21"/>
        <v>180.3648</v>
      </c>
      <c r="V22" s="11">
        <f t="shared" si="21"/>
        <v>216.43776</v>
      </c>
      <c r="W22" s="11">
        <f t="shared" si="22"/>
        <v>238.08153600000003</v>
      </c>
      <c r="X22" s="11">
        <f t="shared" si="23"/>
        <v>238.08153600000003</v>
      </c>
      <c r="Y22" s="14">
        <v>0.4</v>
      </c>
      <c r="Z22" s="11">
        <f t="shared" si="24"/>
        <v>396.80256000000008</v>
      </c>
      <c r="AA22" s="2">
        <v>12</v>
      </c>
      <c r="AB22" s="2">
        <v>34.5</v>
      </c>
      <c r="AC22" s="2">
        <v>21</v>
      </c>
      <c r="AD22" s="2">
        <v>0</v>
      </c>
      <c r="AE22" s="2">
        <v>3</v>
      </c>
    </row>
    <row r="23" spans="1:31">
      <c r="A23" s="2" t="s">
        <v>79</v>
      </c>
      <c r="B23" s="2"/>
      <c r="C23" s="2"/>
      <c r="D23" s="2"/>
      <c r="E23" s="2" t="b">
        <f t="shared" si="16"/>
        <v>1</v>
      </c>
      <c r="F23" s="2"/>
      <c r="G23" s="2" t="s">
        <v>80</v>
      </c>
      <c r="H23" s="2" t="str">
        <f t="shared" si="27"/>
        <v>Blanc</v>
      </c>
      <c r="I23" s="2" t="str">
        <f t="shared" si="17"/>
        <v>VDRBC1521-CW</v>
      </c>
      <c r="J23" s="2" t="str">
        <f>IFERROR(VLOOKUP(K23,Categories!$A$2:$C$41,2,FALSE()),"⚠ slug introuvable")</f>
        <v>bathroom-base-cabinet</v>
      </c>
      <c r="K23" s="2" t="s">
        <v>76</v>
      </c>
      <c r="L23" s="2" t="str">
        <f>IFERROR(VLOOKUP(J23,Categories!$A$2:$C$41,3,FALSE()),"⚠ slug introuvable")</f>
        <v>Armoire de salle de bain</v>
      </c>
      <c r="M23" s="2" t="str">
        <f>IFERROR(VLOOKUP(K23,Categories!$A$2:$C$41,3,FALSE()),"⚠ slug introuvable")</f>
        <v>Tiroir</v>
      </c>
      <c r="N23" s="2" t="s">
        <v>77</v>
      </c>
      <c r="O23" s="2" t="str">
        <f t="shared" si="25"/>
        <v>Armoire de salle de bain avec 3 tiroirs (15")</v>
      </c>
      <c r="P23" s="2" t="str">
        <f t="shared" si="28"/>
        <v>3 tiroirs (15")</v>
      </c>
      <c r="Q23" s="11">
        <v>984</v>
      </c>
      <c r="R23" s="11">
        <f t="shared" si="18"/>
        <v>87.466666666666669</v>
      </c>
      <c r="S23" s="11">
        <f t="shared" si="19"/>
        <v>122.45333333333333</v>
      </c>
      <c r="T23" s="11">
        <f t="shared" si="20"/>
        <v>134.69866666666667</v>
      </c>
      <c r="U23" s="11">
        <f t="shared" si="21"/>
        <v>161.63839999999999</v>
      </c>
      <c r="V23" s="11">
        <f t="shared" si="21"/>
        <v>193.96607999999998</v>
      </c>
      <c r="W23" s="11">
        <f t="shared" si="22"/>
        <v>213.36268799999999</v>
      </c>
      <c r="X23" s="11">
        <f t="shared" si="23"/>
        <v>213.36268799999999</v>
      </c>
      <c r="Y23" s="14">
        <v>0.4</v>
      </c>
      <c r="Z23" s="11">
        <f t="shared" si="24"/>
        <v>355.60448000000002</v>
      </c>
      <c r="AA23" s="2">
        <v>15</v>
      </c>
      <c r="AB23" s="2">
        <v>34.5</v>
      </c>
      <c r="AC23" s="2">
        <v>21</v>
      </c>
      <c r="AD23" s="2">
        <v>0</v>
      </c>
      <c r="AE23" s="2">
        <v>3</v>
      </c>
    </row>
    <row r="24" spans="1:31">
      <c r="A24" s="2" t="s">
        <v>81</v>
      </c>
      <c r="B24" s="2"/>
      <c r="C24" s="2"/>
      <c r="D24" s="2"/>
      <c r="E24" s="2" t="b">
        <f t="shared" si="16"/>
        <v>1</v>
      </c>
      <c r="F24" s="2"/>
      <c r="G24" s="2" t="s">
        <v>80</v>
      </c>
      <c r="H24" s="2" t="str">
        <f t="shared" si="27"/>
        <v>Chêne blanc</v>
      </c>
      <c r="I24" s="2" t="str">
        <f t="shared" si="17"/>
        <v>VDRBC1521-WWO</v>
      </c>
      <c r="J24" s="2" t="str">
        <f>IFERROR(VLOOKUP(K24,Categories!$A$2:$C$41,2,FALSE()),"⚠ slug introuvable")</f>
        <v>bathroom-base-cabinet</v>
      </c>
      <c r="K24" s="2" t="s">
        <v>76</v>
      </c>
      <c r="L24" s="2" t="str">
        <f>IFERROR(VLOOKUP(J24,Categories!$A$2:$C$41,3,FALSE()),"⚠ slug introuvable")</f>
        <v>Armoire de salle de bain</v>
      </c>
      <c r="M24" s="2" t="str">
        <f>IFERROR(VLOOKUP(K24,Categories!$A$2:$C$41,3,FALSE()),"⚠ slug introuvable")</f>
        <v>Tiroir</v>
      </c>
      <c r="N24" s="2" t="s">
        <v>77</v>
      </c>
      <c r="O24" s="2" t="str">
        <f t="shared" si="25"/>
        <v>Armoire de salle de bain avec 3 tiroirs (15")</v>
      </c>
      <c r="P24" s="2" t="str">
        <f t="shared" si="28"/>
        <v>3 tiroirs (15")</v>
      </c>
      <c r="Q24" s="11">
        <v>1202</v>
      </c>
      <c r="R24" s="11">
        <f t="shared" si="18"/>
        <v>106.84444444444445</v>
      </c>
      <c r="S24" s="11">
        <f t="shared" si="19"/>
        <v>149.58222222222221</v>
      </c>
      <c r="T24" s="11">
        <f t="shared" si="20"/>
        <v>164.54044444444446</v>
      </c>
      <c r="U24" s="11">
        <f t="shared" si="21"/>
        <v>197.44853333333336</v>
      </c>
      <c r="V24" s="11">
        <f t="shared" si="21"/>
        <v>236.93824000000001</v>
      </c>
      <c r="W24" s="11">
        <f t="shared" si="22"/>
        <v>260.63206400000001</v>
      </c>
      <c r="X24" s="11">
        <f t="shared" si="23"/>
        <v>260.63206400000001</v>
      </c>
      <c r="Y24" s="14">
        <v>0.4</v>
      </c>
      <c r="Z24" s="11">
        <f t="shared" si="24"/>
        <v>434.38677333333339</v>
      </c>
      <c r="AA24" s="2">
        <v>15</v>
      </c>
      <c r="AB24" s="2">
        <v>34.5</v>
      </c>
      <c r="AC24" s="2">
        <v>21</v>
      </c>
      <c r="AD24" s="2">
        <v>0</v>
      </c>
      <c r="AE24" s="2">
        <v>3</v>
      </c>
    </row>
    <row r="25" spans="1:31">
      <c r="A25" s="2" t="s">
        <v>82</v>
      </c>
      <c r="B25" s="2"/>
      <c r="C25" s="2"/>
      <c r="D25" s="2"/>
      <c r="E25" s="2" t="b">
        <f t="shared" si="16"/>
        <v>1</v>
      </c>
      <c r="F25" s="2"/>
      <c r="G25" s="2" t="s">
        <v>83</v>
      </c>
      <c r="H25" s="2" t="str">
        <f t="shared" si="27"/>
        <v>Blanc</v>
      </c>
      <c r="I25" s="2" t="str">
        <f t="shared" si="17"/>
        <v>VDRBC1821-CW</v>
      </c>
      <c r="J25" s="2" t="str">
        <f>IFERROR(VLOOKUP(K25,Categories!$A$2:$C$41,2,FALSE()),"⚠ slug introuvable")</f>
        <v>bathroom-base-cabinet</v>
      </c>
      <c r="K25" s="2" t="s">
        <v>76</v>
      </c>
      <c r="L25" s="2" t="str">
        <f>IFERROR(VLOOKUP(J25,Categories!$A$2:$C$41,3,FALSE()),"⚠ slug introuvable")</f>
        <v>Armoire de salle de bain</v>
      </c>
      <c r="M25" s="2" t="str">
        <f>IFERROR(VLOOKUP(K25,Categories!$A$2:$C$41,3,FALSE()),"⚠ slug introuvable")</f>
        <v>Tiroir</v>
      </c>
      <c r="N25" s="2" t="s">
        <v>77</v>
      </c>
      <c r="O25" s="2" t="str">
        <f t="shared" si="25"/>
        <v>Armoire de salle de bain avec 3 tiroirs (18")</v>
      </c>
      <c r="P25" s="2" t="str">
        <f t="shared" si="28"/>
        <v>3 tiroirs (18")</v>
      </c>
      <c r="Q25" s="11">
        <v>1022</v>
      </c>
      <c r="R25" s="11">
        <f t="shared" si="18"/>
        <v>90.844444444444449</v>
      </c>
      <c r="S25" s="11">
        <f t="shared" si="19"/>
        <v>127.18222222222222</v>
      </c>
      <c r="T25" s="11">
        <f t="shared" si="20"/>
        <v>139.90044444444445</v>
      </c>
      <c r="U25" s="11">
        <f t="shared" si="21"/>
        <v>167.88053333333332</v>
      </c>
      <c r="V25" s="11">
        <f t="shared" si="21"/>
        <v>201.45663999999996</v>
      </c>
      <c r="W25" s="11">
        <f t="shared" si="22"/>
        <v>221.60230399999998</v>
      </c>
      <c r="X25" s="11">
        <f t="shared" si="23"/>
        <v>221.60230399999998</v>
      </c>
      <c r="Y25" s="14">
        <v>0.4</v>
      </c>
      <c r="Z25" s="11">
        <f t="shared" si="24"/>
        <v>369.33717333333328</v>
      </c>
      <c r="AA25" s="2">
        <v>18</v>
      </c>
      <c r="AB25" s="2">
        <v>34.5</v>
      </c>
      <c r="AC25" s="2">
        <v>21</v>
      </c>
      <c r="AD25" s="2">
        <v>0</v>
      </c>
      <c r="AE25" s="2">
        <v>3</v>
      </c>
    </row>
    <row r="26" spans="1:31">
      <c r="A26" s="2" t="s">
        <v>84</v>
      </c>
      <c r="B26" s="2"/>
      <c r="C26" s="2"/>
      <c r="D26" s="2"/>
      <c r="E26" s="2" t="b">
        <f t="shared" si="16"/>
        <v>1</v>
      </c>
      <c r="F26" s="2"/>
      <c r="G26" s="2" t="s">
        <v>83</v>
      </c>
      <c r="H26" s="2" t="str">
        <f t="shared" si="27"/>
        <v>Chêne blanc</v>
      </c>
      <c r="I26" s="2" t="str">
        <f t="shared" si="17"/>
        <v>VDRBC1821-WWO</v>
      </c>
      <c r="J26" s="2" t="str">
        <f>IFERROR(VLOOKUP(K26,Categories!$A$2:$C$41,2,FALSE()),"⚠ slug introuvable")</f>
        <v>bathroom-base-cabinet</v>
      </c>
      <c r="K26" s="2" t="s">
        <v>76</v>
      </c>
      <c r="L26" s="2" t="str">
        <f>IFERROR(VLOOKUP(J26,Categories!$A$2:$C$41,3,FALSE()),"⚠ slug introuvable")</f>
        <v>Armoire de salle de bain</v>
      </c>
      <c r="M26" s="2" t="str">
        <f>IFERROR(VLOOKUP(K26,Categories!$A$2:$C$41,3,FALSE()),"⚠ slug introuvable")</f>
        <v>Tiroir</v>
      </c>
      <c r="N26" s="2" t="s">
        <v>77</v>
      </c>
      <c r="O26" s="2" t="str">
        <f t="shared" si="25"/>
        <v>Armoire de salle de bain avec 3 tiroirs (18")</v>
      </c>
      <c r="P26" s="2" t="str">
        <f t="shared" si="28"/>
        <v>3 tiroirs (18")</v>
      </c>
      <c r="Q26" s="11">
        <v>1253</v>
      </c>
      <c r="R26" s="11">
        <f t="shared" si="18"/>
        <v>111.37777777777778</v>
      </c>
      <c r="S26" s="11">
        <f t="shared" si="19"/>
        <v>155.92888888888888</v>
      </c>
      <c r="T26" s="11">
        <f t="shared" si="20"/>
        <v>171.52177777777777</v>
      </c>
      <c r="U26" s="11">
        <f t="shared" si="21"/>
        <v>205.82613333333333</v>
      </c>
      <c r="V26" s="11">
        <f t="shared" si="21"/>
        <v>246.99135999999999</v>
      </c>
      <c r="W26" s="11">
        <f t="shared" si="22"/>
        <v>271.690496</v>
      </c>
      <c r="X26" s="11">
        <f t="shared" si="23"/>
        <v>271.690496</v>
      </c>
      <c r="Y26" s="14">
        <v>0.4</v>
      </c>
      <c r="Z26" s="11">
        <f>X26/(1-Y26)</f>
        <v>452.81749333333335</v>
      </c>
      <c r="AA26" s="2">
        <v>18</v>
      </c>
      <c r="AB26" s="2">
        <v>34.5</v>
      </c>
      <c r="AC26" s="2">
        <v>21</v>
      </c>
      <c r="AD26" s="2">
        <v>0</v>
      </c>
      <c r="AE26" s="2">
        <v>3</v>
      </c>
    </row>
    <row r="27" spans="1:31">
      <c r="A27" s="2" t="s">
        <v>85</v>
      </c>
      <c r="B27" s="2"/>
      <c r="C27" s="2"/>
      <c r="D27" s="2"/>
      <c r="E27" s="2" t="b">
        <f t="shared" si="16"/>
        <v>1</v>
      </c>
      <c r="F27" s="2"/>
      <c r="G27" s="2" t="s">
        <v>86</v>
      </c>
      <c r="H27" s="2" t="str">
        <f t="shared" si="27"/>
        <v>Blanc</v>
      </c>
      <c r="I27" s="2" t="str">
        <f t="shared" si="17"/>
        <v>VSBC2421-CW</v>
      </c>
      <c r="J27" s="2" t="str">
        <f>IFERROR(VLOOKUP(K27,Categories!$A$2:$C$41,2,FALSE()),"⚠ slug introuvable")</f>
        <v>bathroom-base-cabinet</v>
      </c>
      <c r="K27" s="2" t="s">
        <v>87</v>
      </c>
      <c r="L27" s="2" t="str">
        <f>IFERROR(VLOOKUP(J27,Categories!$A$2:$C$41,3,FALSE()),"⚠ slug introuvable")</f>
        <v>Armoire de salle de bain</v>
      </c>
      <c r="M27" s="2" t="str">
        <f>IFERROR(VLOOKUP(K27,Categories!$A$2:$C$41,3,FALSE()),"⚠ slug introuvable")</f>
        <v>Évier</v>
      </c>
      <c r="N27" s="2" t="s">
        <v>88</v>
      </c>
      <c r="O27" s="2" t="str">
        <f t="shared" si="25"/>
        <v>Vanité de salle de bain à 2 portes (24")</v>
      </c>
      <c r="P27" s="2" t="str">
        <f>_xlfn.CONCAT("Vanité"," (",AA27,""")")</f>
        <v>Vanité (24")</v>
      </c>
      <c r="Q27" s="11">
        <v>713</v>
      </c>
      <c r="R27" s="11">
        <f t="shared" si="18"/>
        <v>63.37777777777778</v>
      </c>
      <c r="S27" s="11">
        <f t="shared" si="19"/>
        <v>88.728888888888889</v>
      </c>
      <c r="T27" s="11">
        <f t="shared" si="20"/>
        <v>97.601777777777784</v>
      </c>
      <c r="U27" s="11">
        <f t="shared" si="21"/>
        <v>117.12213333333334</v>
      </c>
      <c r="V27" s="11">
        <f t="shared" si="21"/>
        <v>140.54656</v>
      </c>
      <c r="W27" s="11">
        <f t="shared" si="22"/>
        <v>154.60121600000002</v>
      </c>
      <c r="X27" s="11">
        <f t="shared" si="23"/>
        <v>154.60121600000002</v>
      </c>
      <c r="Y27" s="14">
        <v>0.4</v>
      </c>
      <c r="Z27" s="11">
        <f t="shared" si="24"/>
        <v>257.66869333333341</v>
      </c>
      <c r="AA27" s="2">
        <v>24</v>
      </c>
      <c r="AB27" s="2">
        <v>34.5</v>
      </c>
      <c r="AC27" s="2">
        <v>21</v>
      </c>
      <c r="AD27" s="2">
        <v>2</v>
      </c>
      <c r="AE27" s="2">
        <v>0</v>
      </c>
    </row>
    <row r="28" spans="1:31">
      <c r="A28" s="2" t="s">
        <v>89</v>
      </c>
      <c r="B28" s="2"/>
      <c r="C28" s="2"/>
      <c r="D28" s="2"/>
      <c r="E28" s="2" t="b">
        <f t="shared" si="16"/>
        <v>1</v>
      </c>
      <c r="F28" s="2"/>
      <c r="G28" s="2" t="s">
        <v>86</v>
      </c>
      <c r="H28" s="2" t="str">
        <f t="shared" si="27"/>
        <v>Chêne blanc</v>
      </c>
      <c r="I28" s="2" t="str">
        <f t="shared" si="17"/>
        <v>VSBC2421-WWO</v>
      </c>
      <c r="J28" s="2" t="str">
        <f>IFERROR(VLOOKUP(K28,Categories!$A$2:$C$41,2,FALSE()),"⚠ slug introuvable")</f>
        <v>bathroom-base-cabinet</v>
      </c>
      <c r="K28" s="2" t="s">
        <v>87</v>
      </c>
      <c r="L28" s="2" t="str">
        <f>IFERROR(VLOOKUP(J28,Categories!$A$2:$C$41,3,FALSE()),"⚠ slug introuvable")</f>
        <v>Armoire de salle de bain</v>
      </c>
      <c r="M28" s="2" t="str">
        <f>IFERROR(VLOOKUP(K28,Categories!$A$2:$C$41,3,FALSE()),"⚠ slug introuvable")</f>
        <v>Évier</v>
      </c>
      <c r="N28" s="2" t="s">
        <v>88</v>
      </c>
      <c r="O28" s="2" t="str">
        <f t="shared" si="25"/>
        <v>Vanité de salle de bain à 2 portes (24")</v>
      </c>
      <c r="P28" s="2" t="str">
        <f>_xlfn.CONCAT("Vanité"," (",AA28,""")")</f>
        <v>Vanité (24")</v>
      </c>
      <c r="Q28" s="11">
        <v>881</v>
      </c>
      <c r="R28" s="11">
        <f t="shared" si="18"/>
        <v>78.311111111111117</v>
      </c>
      <c r="S28" s="11">
        <f t="shared" si="19"/>
        <v>109.63555555555556</v>
      </c>
      <c r="T28" s="11">
        <f t="shared" si="20"/>
        <v>120.59911111111111</v>
      </c>
      <c r="U28" s="11">
        <f t="shared" si="21"/>
        <v>144.71893333333333</v>
      </c>
      <c r="V28" s="11">
        <f t="shared" si="21"/>
        <v>173.66271999999998</v>
      </c>
      <c r="W28" s="11">
        <f t="shared" si="22"/>
        <v>191.02899199999999</v>
      </c>
      <c r="X28" s="11">
        <f t="shared" si="23"/>
        <v>191.02899199999999</v>
      </c>
      <c r="Y28" s="14">
        <v>0.4</v>
      </c>
      <c r="Z28" s="11">
        <f t="shared" si="24"/>
        <v>318.3816533333333</v>
      </c>
      <c r="AA28" s="2">
        <v>24</v>
      </c>
      <c r="AB28" s="2">
        <v>34.5</v>
      </c>
      <c r="AC28" s="2">
        <v>21</v>
      </c>
      <c r="AD28" s="2">
        <v>2</v>
      </c>
      <c r="AE28" s="2">
        <v>0</v>
      </c>
    </row>
    <row r="29" spans="1:31">
      <c r="A29" s="2" t="s">
        <v>90</v>
      </c>
      <c r="B29" s="2"/>
      <c r="C29" s="2"/>
      <c r="D29" s="2"/>
      <c r="E29" s="2" t="b">
        <f t="shared" si="16"/>
        <v>1</v>
      </c>
      <c r="F29" s="2"/>
      <c r="G29" s="2" t="s">
        <v>91</v>
      </c>
      <c r="H29" s="2" t="str">
        <f t="shared" si="27"/>
        <v>Blanc</v>
      </c>
      <c r="I29" s="2" t="str">
        <f t="shared" si="17"/>
        <v>VSBC3021-CW</v>
      </c>
      <c r="J29" s="2" t="str">
        <f>IFERROR(VLOOKUP(K29,Categories!$A$2:$C$41,2,FALSE()),"⚠ slug introuvable")</f>
        <v>bathroom-base-cabinet</v>
      </c>
      <c r="K29" s="2" t="s">
        <v>87</v>
      </c>
      <c r="L29" s="2" t="str">
        <f>IFERROR(VLOOKUP(J29,Categories!$A$2:$C$41,3,FALSE()),"⚠ slug introuvable")</f>
        <v>Armoire de salle de bain</v>
      </c>
      <c r="M29" s="2" t="str">
        <f>IFERROR(VLOOKUP(K29,Categories!$A$2:$C$41,3,FALSE()),"⚠ slug introuvable")</f>
        <v>Évier</v>
      </c>
      <c r="N29" s="2" t="s">
        <v>88</v>
      </c>
      <c r="O29" s="2" t="str">
        <f t="shared" si="25"/>
        <v>Vanité de salle de bain à 2 portes (30")</v>
      </c>
      <c r="P29" s="2" t="str">
        <f>_xlfn.CONCAT("Vanité"," (",AA29,""")")</f>
        <v>Vanité (30")</v>
      </c>
      <c r="Q29" s="11">
        <v>813</v>
      </c>
      <c r="R29" s="11">
        <f t="shared" si="18"/>
        <v>72.266666666666666</v>
      </c>
      <c r="S29" s="11">
        <f t="shared" si="19"/>
        <v>101.17333333333333</v>
      </c>
      <c r="T29" s="11">
        <f t="shared" si="20"/>
        <v>111.29066666666668</v>
      </c>
      <c r="U29" s="11">
        <f t="shared" si="21"/>
        <v>133.5488</v>
      </c>
      <c r="V29" s="11">
        <f t="shared" si="21"/>
        <v>160.25855999999999</v>
      </c>
      <c r="W29" s="11">
        <f t="shared" si="22"/>
        <v>176.28441599999999</v>
      </c>
      <c r="X29" s="11">
        <f t="shared" si="23"/>
        <v>176.28441599999999</v>
      </c>
      <c r="Y29" s="14">
        <v>0.4</v>
      </c>
      <c r="Z29" s="11">
        <f t="shared" si="24"/>
        <v>293.80736000000002</v>
      </c>
      <c r="AA29" s="2">
        <v>30</v>
      </c>
      <c r="AB29" s="2">
        <v>34.5</v>
      </c>
      <c r="AC29" s="2">
        <v>21</v>
      </c>
      <c r="AD29" s="2">
        <v>2</v>
      </c>
      <c r="AE29" s="2">
        <v>0</v>
      </c>
    </row>
    <row r="30" spans="1:31">
      <c r="A30" s="2" t="s">
        <v>92</v>
      </c>
      <c r="B30" s="2"/>
      <c r="C30" s="2"/>
      <c r="D30" s="2"/>
      <c r="E30" s="2" t="b">
        <f t="shared" si="16"/>
        <v>1</v>
      </c>
      <c r="F30" s="2"/>
      <c r="G30" s="2" t="s">
        <v>91</v>
      </c>
      <c r="H30" s="2" t="str">
        <f t="shared" si="27"/>
        <v>Chêne blanc</v>
      </c>
      <c r="I30" s="2" t="str">
        <f t="shared" si="17"/>
        <v>VSBC3021-WWO</v>
      </c>
      <c r="J30" s="2" t="str">
        <f>IFERROR(VLOOKUP(K30,Categories!$A$2:$C$41,2,FALSE()),"⚠ slug introuvable")</f>
        <v>bathroom-base-cabinet</v>
      </c>
      <c r="K30" s="2" t="s">
        <v>87</v>
      </c>
      <c r="L30" s="2" t="str">
        <f>IFERROR(VLOOKUP(J30,Categories!$A$2:$C$41,3,FALSE()),"⚠ slug introuvable")</f>
        <v>Armoire de salle de bain</v>
      </c>
      <c r="M30" s="2" t="str">
        <f>IFERROR(VLOOKUP(K30,Categories!$A$2:$C$41,3,FALSE()),"⚠ slug introuvable")</f>
        <v>Évier</v>
      </c>
      <c r="N30" s="2" t="s">
        <v>88</v>
      </c>
      <c r="O30" s="2" t="str">
        <f t="shared" si="25"/>
        <v>Vanité de salle de bain à 2 portes (30")</v>
      </c>
      <c r="P30" s="2" t="str">
        <f>_xlfn.CONCAT("Vanité"," (",AA30,""")")</f>
        <v>Vanité (30")</v>
      </c>
      <c r="Q30" s="11">
        <v>1014</v>
      </c>
      <c r="R30" s="11">
        <f t="shared" si="18"/>
        <v>90.13333333333334</v>
      </c>
      <c r="S30" s="11">
        <f t="shared" si="19"/>
        <v>126.18666666666667</v>
      </c>
      <c r="T30" s="11">
        <f t="shared" si="20"/>
        <v>138.80533333333335</v>
      </c>
      <c r="U30" s="11">
        <f t="shared" ref="U30:V49" si="29">T30*1.2</f>
        <v>166.56640000000002</v>
      </c>
      <c r="V30" s="11">
        <f t="shared" si="29"/>
        <v>199.87968000000001</v>
      </c>
      <c r="W30" s="11">
        <f t="shared" si="22"/>
        <v>219.86764800000003</v>
      </c>
      <c r="X30" s="11">
        <f t="shared" si="23"/>
        <v>219.86764800000003</v>
      </c>
      <c r="Y30" s="14">
        <v>0.4</v>
      </c>
      <c r="Z30" s="11">
        <f t="shared" si="24"/>
        <v>366.44608000000005</v>
      </c>
      <c r="AA30" s="2">
        <v>30</v>
      </c>
      <c r="AB30" s="2">
        <v>34.5</v>
      </c>
      <c r="AC30" s="2">
        <v>21</v>
      </c>
      <c r="AD30" s="2">
        <v>2</v>
      </c>
      <c r="AE30" s="2">
        <v>0</v>
      </c>
    </row>
    <row r="31" spans="1:31">
      <c r="A31" s="2" t="s">
        <v>93</v>
      </c>
      <c r="B31" s="2"/>
      <c r="C31" s="2"/>
      <c r="D31" s="2"/>
      <c r="E31" s="2" t="b">
        <f t="shared" si="16"/>
        <v>1</v>
      </c>
      <c r="F31" s="2"/>
      <c r="G31" s="2" t="s">
        <v>94</v>
      </c>
      <c r="H31" s="2" t="str">
        <f t="shared" si="27"/>
        <v>Blanc</v>
      </c>
      <c r="I31" s="2" t="str">
        <f t="shared" si="17"/>
        <v>DRGBBC18-CW</v>
      </c>
      <c r="J31" s="2" t="str">
        <f>IFERROR(VLOOKUP(K31,Categories!$A$2:$C$41,2,FALSE()),"⚠ slug introuvable")</f>
        <v>base-cabinet</v>
      </c>
      <c r="K31" s="2" t="s">
        <v>95</v>
      </c>
      <c r="L31" s="2" t="str">
        <f>IFERROR(VLOOKUP(J31,Categories!$A$2:$C$41,3,FALSE()),"⚠ slug introuvable")</f>
        <v>Armoire du bas</v>
      </c>
      <c r="M31" s="2" t="str">
        <f>IFERROR(VLOOKUP(K31,Categories!$A$2:$C$41,3,FALSE()),"⚠ slug introuvable")</f>
        <v>Tiroir à déchets</v>
      </c>
      <c r="N31" s="2" t="s">
        <v>96</v>
      </c>
      <c r="O31" s="2" t="str">
        <f t="shared" si="25"/>
        <v>Armoire de cuisine du bas avec tiroir à déchets coulissant (18")</v>
      </c>
      <c r="P31" s="2" t="str">
        <f>_xlfn.CONCAT("Tiroir à déchets coulissant"," (",AA31,""")")</f>
        <v>Tiroir à déchets coulissant (18")</v>
      </c>
      <c r="Q31" s="11">
        <v>1075</v>
      </c>
      <c r="R31" s="11">
        <f t="shared" si="18"/>
        <v>95.555555555555557</v>
      </c>
      <c r="S31" s="11">
        <f t="shared" si="19"/>
        <v>133.77777777777777</v>
      </c>
      <c r="T31" s="11">
        <f t="shared" si="20"/>
        <v>147.15555555555557</v>
      </c>
      <c r="U31" s="11">
        <f t="shared" si="29"/>
        <v>176.58666666666667</v>
      </c>
      <c r="V31" s="11">
        <f t="shared" si="29"/>
        <v>211.904</v>
      </c>
      <c r="W31" s="11">
        <f t="shared" si="22"/>
        <v>233.09440000000001</v>
      </c>
      <c r="X31" s="11">
        <f t="shared" si="23"/>
        <v>233.09440000000001</v>
      </c>
      <c r="Y31" s="14">
        <v>0.4</v>
      </c>
      <c r="Z31" s="11">
        <f t="shared" si="24"/>
        <v>388.4906666666667</v>
      </c>
      <c r="AA31" s="2">
        <v>18</v>
      </c>
      <c r="AB31" s="2">
        <v>34.5</v>
      </c>
      <c r="AC31" s="2">
        <v>24</v>
      </c>
      <c r="AD31" s="2">
        <v>0</v>
      </c>
      <c r="AE31" s="2">
        <v>2</v>
      </c>
    </row>
    <row r="32" spans="1:31">
      <c r="A32" s="2" t="s">
        <v>97</v>
      </c>
      <c r="B32" s="2"/>
      <c r="C32" s="2"/>
      <c r="D32" s="2"/>
      <c r="E32" s="2" t="b">
        <f t="shared" si="16"/>
        <v>1</v>
      </c>
      <c r="F32" s="2"/>
      <c r="G32" s="2" t="s">
        <v>94</v>
      </c>
      <c r="H32" s="2" t="str">
        <f t="shared" si="27"/>
        <v>Chêne blanc</v>
      </c>
      <c r="I32" s="2" t="str">
        <f t="shared" si="17"/>
        <v>DRGBBC18-WWO</v>
      </c>
      <c r="J32" s="2" t="str">
        <f>IFERROR(VLOOKUP(K32,Categories!$A$2:$C$41,2,FALSE()),"⚠ slug introuvable")</f>
        <v>base-cabinet</v>
      </c>
      <c r="K32" s="2" t="s">
        <v>95</v>
      </c>
      <c r="L32" s="2" t="str">
        <f>IFERROR(VLOOKUP(J32,Categories!$A$2:$C$41,3,FALSE()),"⚠ slug introuvable")</f>
        <v>Armoire du bas</v>
      </c>
      <c r="M32" s="2" t="str">
        <f>IFERROR(VLOOKUP(K32,Categories!$A$2:$C$41,3,FALSE()),"⚠ slug introuvable")</f>
        <v>Tiroir à déchets</v>
      </c>
      <c r="N32" s="2" t="s">
        <v>96</v>
      </c>
      <c r="O32" s="2" t="str">
        <f t="shared" si="25"/>
        <v>Armoire de cuisine du bas avec tiroir à déchets coulissant (18")</v>
      </c>
      <c r="P32" s="2" t="str">
        <f>_xlfn.CONCAT("Tiroir à déchets coulissant"," (",AA32,""")")</f>
        <v>Tiroir à déchets coulissant (18")</v>
      </c>
      <c r="Q32" s="11">
        <v>1525.05</v>
      </c>
      <c r="R32" s="11">
        <f t="shared" si="18"/>
        <v>135.56</v>
      </c>
      <c r="S32" s="11">
        <f t="shared" si="19"/>
        <v>189.78399999999999</v>
      </c>
      <c r="T32" s="11">
        <f t="shared" si="20"/>
        <v>208.76240000000001</v>
      </c>
      <c r="U32" s="11">
        <f t="shared" si="29"/>
        <v>250.51488000000001</v>
      </c>
      <c r="V32" s="11">
        <f t="shared" si="29"/>
        <v>300.61785600000002</v>
      </c>
      <c r="W32" s="11">
        <f t="shared" si="22"/>
        <v>330.67964160000002</v>
      </c>
      <c r="X32" s="11">
        <f t="shared" si="23"/>
        <v>330.67964160000002</v>
      </c>
      <c r="Y32" s="14">
        <v>0.4</v>
      </c>
      <c r="Z32" s="11">
        <f t="shared" si="24"/>
        <v>551.13273600000002</v>
      </c>
      <c r="AA32" s="2">
        <v>18</v>
      </c>
      <c r="AB32" s="2">
        <v>34.5</v>
      </c>
      <c r="AC32" s="2">
        <v>24</v>
      </c>
      <c r="AD32" s="2">
        <v>0</v>
      </c>
      <c r="AE32" s="2">
        <v>2</v>
      </c>
    </row>
    <row r="33" spans="1:31">
      <c r="A33" s="2" t="s">
        <v>98</v>
      </c>
      <c r="B33" s="2"/>
      <c r="C33" s="2"/>
      <c r="D33" s="2"/>
      <c r="E33" s="2" t="b">
        <f t="shared" si="16"/>
        <v>1</v>
      </c>
      <c r="F33" s="2"/>
      <c r="G33" s="2" t="s">
        <v>99</v>
      </c>
      <c r="H33" s="2" t="str">
        <f t="shared" si="27"/>
        <v>Blanc</v>
      </c>
      <c r="I33" s="2" t="str">
        <f t="shared" si="17"/>
        <v>BCBC42-CW</v>
      </c>
      <c r="J33" s="2" t="str">
        <f>IFERROR(VLOOKUP(K33,Categories!$A$2:$C$41,2,FALSE()),"⚠ slug introuvable")</f>
        <v>base-cabinet</v>
      </c>
      <c r="K33" s="2" t="s">
        <v>100</v>
      </c>
      <c r="L33" s="2" t="str">
        <f>IFERROR(VLOOKUP(J33,Categories!$A$2:$C$41,3,FALSE()),"⚠ slug introuvable")</f>
        <v>Armoire du bas</v>
      </c>
      <c r="M33" s="2" t="str">
        <f>IFERROR(VLOOKUP(K33,Categories!$A$2:$C$41,3,FALSE()),"⚠ slug introuvable")</f>
        <v>Coin</v>
      </c>
      <c r="N33" s="2" t="s">
        <v>101</v>
      </c>
      <c r="O33" s="2" t="str">
        <f t="shared" si="25"/>
        <v>Armoire de cuisine du bas coin mort (42")</v>
      </c>
      <c r="P33" s="2" t="str">
        <f t="shared" ref="P33:P38" si="30">_xlfn.CONCAT("Coin mort"," (",AA33,""")")</f>
        <v>Coin mort (42")</v>
      </c>
      <c r="Q33" s="11">
        <v>1076</v>
      </c>
      <c r="R33" s="11">
        <f t="shared" si="18"/>
        <v>95.644444444444446</v>
      </c>
      <c r="S33" s="11">
        <f t="shared" si="19"/>
        <v>133.90222222222221</v>
      </c>
      <c r="T33" s="11">
        <f t="shared" si="20"/>
        <v>147.29244444444444</v>
      </c>
      <c r="U33" s="11">
        <f t="shared" si="29"/>
        <v>176.75093333333334</v>
      </c>
      <c r="V33" s="11">
        <f t="shared" si="29"/>
        <v>212.10112000000001</v>
      </c>
      <c r="W33" s="11">
        <f t="shared" si="22"/>
        <v>233.31123200000002</v>
      </c>
      <c r="X33" s="11">
        <f t="shared" si="23"/>
        <v>233.31123200000002</v>
      </c>
      <c r="Y33" s="14">
        <v>0.4</v>
      </c>
      <c r="Z33" s="11">
        <f t="shared" si="24"/>
        <v>388.8520533333334</v>
      </c>
      <c r="AA33" s="2">
        <v>42</v>
      </c>
      <c r="AB33" s="2">
        <v>34.5</v>
      </c>
      <c r="AC33" s="2">
        <v>24</v>
      </c>
      <c r="AD33" s="2">
        <v>1</v>
      </c>
      <c r="AE33" s="2">
        <v>0</v>
      </c>
    </row>
    <row r="34" spans="1:31">
      <c r="A34" s="2" t="s">
        <v>102</v>
      </c>
      <c r="B34" s="2"/>
      <c r="C34" s="2"/>
      <c r="D34" s="2"/>
      <c r="E34" s="2" t="b">
        <f t="shared" si="16"/>
        <v>1</v>
      </c>
      <c r="F34" s="2"/>
      <c r="G34" s="2" t="s">
        <v>99</v>
      </c>
      <c r="H34" s="2" t="str">
        <f t="shared" si="27"/>
        <v>Chêne blanc</v>
      </c>
      <c r="I34" s="2" t="str">
        <f t="shared" si="17"/>
        <v>BCBC42-WWO</v>
      </c>
      <c r="J34" s="2" t="str">
        <f>IFERROR(VLOOKUP(K34,Categories!$A$2:$C$41,2,FALSE()),"⚠ slug introuvable")</f>
        <v>base-cabinet</v>
      </c>
      <c r="K34" s="2" t="s">
        <v>100</v>
      </c>
      <c r="L34" s="2" t="str">
        <f>IFERROR(VLOOKUP(J34,Categories!$A$2:$C$41,3,FALSE()),"⚠ slug introuvable")</f>
        <v>Armoire du bas</v>
      </c>
      <c r="M34" s="2" t="str">
        <f>IFERROR(VLOOKUP(K34,Categories!$A$2:$C$41,3,FALSE()),"⚠ slug introuvable")</f>
        <v>Coin</v>
      </c>
      <c r="N34" s="2" t="s">
        <v>101</v>
      </c>
      <c r="O34" s="2" t="str">
        <f t="shared" si="25"/>
        <v>Armoire de cuisine du bas coin mort (42")</v>
      </c>
      <c r="P34" s="2" t="str">
        <f t="shared" si="30"/>
        <v>Coin mort (42")</v>
      </c>
      <c r="Q34" s="11">
        <v>1585.46</v>
      </c>
      <c r="R34" s="11">
        <f t="shared" si="18"/>
        <v>140.92977777777779</v>
      </c>
      <c r="S34" s="11">
        <f t="shared" si="19"/>
        <v>197.30168888888889</v>
      </c>
      <c r="T34" s="11">
        <f t="shared" si="20"/>
        <v>217.03185777777779</v>
      </c>
      <c r="U34" s="11">
        <f t="shared" si="29"/>
        <v>260.43822933333331</v>
      </c>
      <c r="V34" s="11">
        <f t="shared" si="29"/>
        <v>312.52587519999997</v>
      </c>
      <c r="W34" s="11">
        <f t="shared" si="22"/>
        <v>343.77846271999999</v>
      </c>
      <c r="X34" s="11">
        <f t="shared" si="23"/>
        <v>343.77846271999999</v>
      </c>
      <c r="Y34" s="14">
        <v>0.4</v>
      </c>
      <c r="Z34" s="11">
        <f t="shared" si="24"/>
        <v>572.9641045333334</v>
      </c>
      <c r="AA34" s="2">
        <v>42</v>
      </c>
      <c r="AB34" s="2">
        <v>34.5</v>
      </c>
      <c r="AC34" s="2">
        <v>24</v>
      </c>
      <c r="AD34" s="2">
        <v>1</v>
      </c>
      <c r="AE34" s="2">
        <v>0</v>
      </c>
    </row>
    <row r="35" spans="1:31">
      <c r="A35" s="2" t="s">
        <v>103</v>
      </c>
      <c r="B35" s="2"/>
      <c r="C35" s="2"/>
      <c r="D35" s="2"/>
      <c r="E35" s="2" t="b">
        <f t="shared" si="16"/>
        <v>1</v>
      </c>
      <c r="F35" s="2"/>
      <c r="G35" s="2" t="s">
        <v>104</v>
      </c>
      <c r="H35" s="2" t="str">
        <f t="shared" si="27"/>
        <v>Blanc</v>
      </c>
      <c r="I35" s="2" t="str">
        <f t="shared" si="17"/>
        <v>BCBC45-CW</v>
      </c>
      <c r="J35" s="2" t="str">
        <f>IFERROR(VLOOKUP(K35,Categories!$A$2:$C$41,2,FALSE()),"⚠ slug introuvable")</f>
        <v>base-cabinet</v>
      </c>
      <c r="K35" s="2" t="s">
        <v>100</v>
      </c>
      <c r="L35" s="2" t="str">
        <f>IFERROR(VLOOKUP(J35,Categories!$A$2:$C$41,3,FALSE()),"⚠ slug introuvable")</f>
        <v>Armoire du bas</v>
      </c>
      <c r="M35" s="2" t="str">
        <f>IFERROR(VLOOKUP(K35,Categories!$A$2:$C$41,3,FALSE()),"⚠ slug introuvable")</f>
        <v>Coin</v>
      </c>
      <c r="N35" s="2" t="s">
        <v>101</v>
      </c>
      <c r="O35" s="2" t="str">
        <f t="shared" si="25"/>
        <v>Armoire de cuisine du bas coin mort (45")</v>
      </c>
      <c r="P35" s="2" t="str">
        <f t="shared" si="30"/>
        <v>Coin mort (45")</v>
      </c>
      <c r="Q35" s="11">
        <v>1165</v>
      </c>
      <c r="R35" s="11">
        <f t="shared" si="18"/>
        <v>103.55555555555556</v>
      </c>
      <c r="S35" s="11">
        <f t="shared" si="19"/>
        <v>144.97777777777776</v>
      </c>
      <c r="T35" s="11">
        <f t="shared" si="20"/>
        <v>159.47555555555556</v>
      </c>
      <c r="U35" s="11">
        <f t="shared" si="29"/>
        <v>191.37066666666666</v>
      </c>
      <c r="V35" s="11">
        <f t="shared" si="29"/>
        <v>229.6448</v>
      </c>
      <c r="W35" s="11">
        <f t="shared" si="22"/>
        <v>252.60928000000001</v>
      </c>
      <c r="X35" s="11">
        <f t="shared" si="23"/>
        <v>252.60928000000001</v>
      </c>
      <c r="Y35" s="14">
        <v>0.4</v>
      </c>
      <c r="Z35" s="11">
        <f t="shared" si="24"/>
        <v>421.01546666666673</v>
      </c>
      <c r="AA35" s="2">
        <v>45</v>
      </c>
      <c r="AB35" s="2">
        <v>34.5</v>
      </c>
      <c r="AC35" s="2">
        <v>24</v>
      </c>
      <c r="AD35" s="2">
        <v>1</v>
      </c>
      <c r="AE35" s="2">
        <v>0</v>
      </c>
    </row>
    <row r="36" spans="1:31">
      <c r="A36" s="2" t="s">
        <v>105</v>
      </c>
      <c r="B36" s="2"/>
      <c r="C36" s="2"/>
      <c r="D36" s="2"/>
      <c r="E36" s="2" t="b">
        <f t="shared" si="16"/>
        <v>1</v>
      </c>
      <c r="F36" s="2"/>
      <c r="G36" s="2" t="s">
        <v>104</v>
      </c>
      <c r="H36" s="2" t="str">
        <f t="shared" si="27"/>
        <v>Chêne blanc</v>
      </c>
      <c r="I36" s="2" t="str">
        <f t="shared" si="17"/>
        <v>BCBC45-WWO</v>
      </c>
      <c r="J36" s="2" t="str">
        <f>IFERROR(VLOOKUP(K36,Categories!$A$2:$C$41,2,FALSE()),"⚠ slug introuvable")</f>
        <v>base-cabinet</v>
      </c>
      <c r="K36" s="2" t="s">
        <v>100</v>
      </c>
      <c r="L36" s="2" t="str">
        <f>IFERROR(VLOOKUP(J36,Categories!$A$2:$C$41,3,FALSE()),"⚠ slug introuvable")</f>
        <v>Armoire du bas</v>
      </c>
      <c r="M36" s="2" t="str">
        <f>IFERROR(VLOOKUP(K36,Categories!$A$2:$C$41,3,FALSE()),"⚠ slug introuvable")</f>
        <v>Coin</v>
      </c>
      <c r="N36" s="2" t="s">
        <v>101</v>
      </c>
      <c r="O36" s="2" t="str">
        <f t="shared" si="25"/>
        <v>Armoire de cuisine du bas coin mort (45")</v>
      </c>
      <c r="P36" s="2" t="str">
        <f t="shared" si="30"/>
        <v>Coin mort (45")</v>
      </c>
      <c r="Q36" s="11">
        <v>1681.31</v>
      </c>
      <c r="R36" s="11">
        <f t="shared" si="18"/>
        <v>149.44977777777777</v>
      </c>
      <c r="S36" s="11">
        <f t="shared" si="19"/>
        <v>209.22968888888886</v>
      </c>
      <c r="T36" s="11">
        <f t="shared" si="20"/>
        <v>230.15265777777776</v>
      </c>
      <c r="U36" s="11">
        <f t="shared" si="29"/>
        <v>276.1831893333333</v>
      </c>
      <c r="V36" s="11">
        <f t="shared" si="29"/>
        <v>331.41982719999993</v>
      </c>
      <c r="W36" s="11">
        <f t="shared" si="22"/>
        <v>364.56180991999997</v>
      </c>
      <c r="X36" s="11">
        <f t="shared" si="23"/>
        <v>364.56180991999997</v>
      </c>
      <c r="Y36" s="14">
        <v>0.4</v>
      </c>
      <c r="Z36" s="11">
        <f t="shared" si="24"/>
        <v>607.60301653333329</v>
      </c>
      <c r="AA36" s="2">
        <v>45</v>
      </c>
      <c r="AB36" s="2">
        <v>34.5</v>
      </c>
      <c r="AC36" s="2">
        <v>24</v>
      </c>
      <c r="AD36" s="2">
        <v>1</v>
      </c>
      <c r="AE36" s="2">
        <v>0</v>
      </c>
    </row>
    <row r="37" spans="1:31">
      <c r="A37" s="2" t="s">
        <v>106</v>
      </c>
      <c r="B37" s="2"/>
      <c r="C37" s="2"/>
      <c r="D37" s="2"/>
      <c r="E37" s="2" t="b">
        <f t="shared" si="16"/>
        <v>1</v>
      </c>
      <c r="F37" s="2"/>
      <c r="G37" s="2" t="s">
        <v>107</v>
      </c>
      <c r="H37" s="2" t="str">
        <f t="shared" si="27"/>
        <v>Blanc</v>
      </c>
      <c r="I37" s="2" t="str">
        <f t="shared" si="17"/>
        <v>BCBC48-CW</v>
      </c>
      <c r="J37" s="2" t="str">
        <f>IFERROR(VLOOKUP(K37,Categories!$A$2:$C$41,2,FALSE()),"⚠ slug introuvable")</f>
        <v>base-cabinet</v>
      </c>
      <c r="K37" s="2" t="s">
        <v>100</v>
      </c>
      <c r="L37" s="2" t="str">
        <f>IFERROR(VLOOKUP(J37,Categories!$A$2:$C$41,3,FALSE()),"⚠ slug introuvable")</f>
        <v>Armoire du bas</v>
      </c>
      <c r="M37" s="2" t="str">
        <f>IFERROR(VLOOKUP(K37,Categories!$A$2:$C$41,3,FALSE()),"⚠ slug introuvable")</f>
        <v>Coin</v>
      </c>
      <c r="N37" s="2" t="s">
        <v>101</v>
      </c>
      <c r="O37" s="2" t="str">
        <f t="shared" si="25"/>
        <v>Armoire de cuisine du bas coin mort (48")</v>
      </c>
      <c r="P37" s="2" t="str">
        <f t="shared" si="30"/>
        <v>Coin mort (48")</v>
      </c>
      <c r="Q37" s="11">
        <v>1252</v>
      </c>
      <c r="R37" s="11">
        <f t="shared" si="18"/>
        <v>111.28888888888889</v>
      </c>
      <c r="S37" s="11">
        <f t="shared" si="19"/>
        <v>155.80444444444444</v>
      </c>
      <c r="T37" s="11">
        <f t="shared" si="20"/>
        <v>171.3848888888889</v>
      </c>
      <c r="U37" s="11">
        <f t="shared" si="29"/>
        <v>205.66186666666667</v>
      </c>
      <c r="V37" s="11">
        <f t="shared" si="29"/>
        <v>246.79424</v>
      </c>
      <c r="W37" s="11">
        <f t="shared" si="22"/>
        <v>271.47366400000004</v>
      </c>
      <c r="X37" s="11">
        <f t="shared" si="23"/>
        <v>271.47366400000004</v>
      </c>
      <c r="Y37" s="14">
        <v>0.4</v>
      </c>
      <c r="Z37" s="11">
        <f t="shared" si="24"/>
        <v>452.45610666666676</v>
      </c>
      <c r="AA37" s="2">
        <v>48</v>
      </c>
      <c r="AB37" s="2">
        <v>34.5</v>
      </c>
      <c r="AC37" s="2">
        <v>24</v>
      </c>
      <c r="AD37" s="2">
        <v>1</v>
      </c>
      <c r="AE37" s="2">
        <v>0</v>
      </c>
    </row>
    <row r="38" spans="1:31">
      <c r="A38" s="2" t="s">
        <v>108</v>
      </c>
      <c r="B38" s="2"/>
      <c r="C38" s="2"/>
      <c r="D38" s="2"/>
      <c r="E38" s="2" t="b">
        <f t="shared" si="16"/>
        <v>1</v>
      </c>
      <c r="F38" s="2"/>
      <c r="G38" s="2" t="s">
        <v>107</v>
      </c>
      <c r="H38" s="2" t="str">
        <f t="shared" si="27"/>
        <v>Chêne blanc</v>
      </c>
      <c r="I38" s="2" t="str">
        <f t="shared" si="17"/>
        <v>BCBC48-WWO</v>
      </c>
      <c r="J38" s="2" t="str">
        <f>IFERROR(VLOOKUP(K38,Categories!$A$2:$C$41,2,FALSE()),"⚠ slug introuvable")</f>
        <v>base-cabinet</v>
      </c>
      <c r="K38" s="2" t="s">
        <v>100</v>
      </c>
      <c r="L38" s="2" t="str">
        <f>IFERROR(VLOOKUP(J38,Categories!$A$2:$C$41,3,FALSE()),"⚠ slug introuvable")</f>
        <v>Armoire du bas</v>
      </c>
      <c r="M38" s="2" t="str">
        <f>IFERROR(VLOOKUP(K38,Categories!$A$2:$C$41,3,FALSE()),"⚠ slug introuvable")</f>
        <v>Coin</v>
      </c>
      <c r="N38" s="2" t="s">
        <v>101</v>
      </c>
      <c r="O38" s="2" t="str">
        <f t="shared" si="25"/>
        <v>Armoire de cuisine du bas coin mort (48")</v>
      </c>
      <c r="P38" s="2" t="str">
        <f t="shared" si="30"/>
        <v>Coin mort (48")</v>
      </c>
      <c r="Q38" s="11">
        <v>1984.61</v>
      </c>
      <c r="R38" s="11">
        <f t="shared" si="18"/>
        <v>176.40977777777778</v>
      </c>
      <c r="S38" s="11">
        <f t="shared" si="19"/>
        <v>246.97368888888886</v>
      </c>
      <c r="T38" s="11">
        <f t="shared" si="20"/>
        <v>271.67105777777778</v>
      </c>
      <c r="U38" s="11">
        <f t="shared" si="29"/>
        <v>326.00526933333333</v>
      </c>
      <c r="V38" s="11">
        <f t="shared" si="29"/>
        <v>391.20632319999999</v>
      </c>
      <c r="W38" s="11">
        <f t="shared" si="22"/>
        <v>430.32695552000001</v>
      </c>
      <c r="X38" s="11">
        <f t="shared" si="23"/>
        <v>430.32695552000001</v>
      </c>
      <c r="Y38" s="14">
        <v>0.4</v>
      </c>
      <c r="Z38" s="11">
        <f t="shared" si="24"/>
        <v>717.21159253333337</v>
      </c>
      <c r="AA38" s="2">
        <v>48</v>
      </c>
      <c r="AB38" s="2">
        <v>34.5</v>
      </c>
      <c r="AC38" s="2">
        <v>24</v>
      </c>
      <c r="AD38" s="2">
        <v>1</v>
      </c>
      <c r="AE38" s="2">
        <v>0</v>
      </c>
    </row>
    <row r="39" spans="1:31">
      <c r="A39" s="2" t="s">
        <v>109</v>
      </c>
      <c r="B39" s="2"/>
      <c r="C39" s="2"/>
      <c r="D39" s="2"/>
      <c r="E39" s="2" t="b">
        <f t="shared" si="16"/>
        <v>1</v>
      </c>
      <c r="F39" s="2"/>
      <c r="G39" s="2" t="s">
        <v>110</v>
      </c>
      <c r="H39" s="2" t="str">
        <f t="shared" si="27"/>
        <v>Blanc</v>
      </c>
      <c r="I39" s="2" t="str">
        <f t="shared" si="17"/>
        <v>MBC-CW</v>
      </c>
      <c r="J39" s="2" t="str">
        <f>IFERROR(VLOOKUP(K39,Categories!$A$2:$C$41,2,FALSE()),"⚠ slug introuvable")</f>
        <v>base-cabinet</v>
      </c>
      <c r="K39" s="2" t="s">
        <v>111</v>
      </c>
      <c r="L39" s="2" t="str">
        <f>IFERROR(VLOOKUP(J39,Categories!$A$2:$C$41,3,FALSE()),"⚠ slug introuvable")</f>
        <v>Armoire du bas</v>
      </c>
      <c r="M39" s="2" t="str">
        <f>IFERROR(VLOOKUP(K39,Categories!$A$2:$C$41,3,FALSE()),"⚠ slug introuvable")</f>
        <v>Micro-ondes</v>
      </c>
      <c r="N39" s="2" t="s">
        <v>112</v>
      </c>
      <c r="O39" s="2" t="str">
        <f t="shared" si="25"/>
        <v>Armoire de cuisine du bas avec espace micro-ondes et 1 tiroir (27")</v>
      </c>
      <c r="P39" s="2" t="str">
        <f>_xlfn.CONCAT("Micro-ondes"," (",AA39,""")")</f>
        <v>Micro-ondes (27")</v>
      </c>
      <c r="Q39" s="11">
        <v>1110</v>
      </c>
      <c r="R39" s="11">
        <f t="shared" si="18"/>
        <v>98.666666666666671</v>
      </c>
      <c r="S39" s="11">
        <f t="shared" si="19"/>
        <v>138.13333333333333</v>
      </c>
      <c r="T39" s="11">
        <f t="shared" si="20"/>
        <v>151.94666666666666</v>
      </c>
      <c r="U39" s="11">
        <f t="shared" si="29"/>
        <v>182.33599999999998</v>
      </c>
      <c r="V39" s="11">
        <f t="shared" si="29"/>
        <v>218.80319999999998</v>
      </c>
      <c r="W39" s="11">
        <f t="shared" si="22"/>
        <v>240.68351999999999</v>
      </c>
      <c r="X39" s="11">
        <f t="shared" si="23"/>
        <v>240.68351999999999</v>
      </c>
      <c r="Y39" s="14">
        <v>0.4</v>
      </c>
      <c r="Z39" s="11">
        <f t="shared" si="24"/>
        <v>401.13920000000002</v>
      </c>
      <c r="AA39" s="2">
        <v>27</v>
      </c>
      <c r="AB39" s="2">
        <v>34.5</v>
      </c>
      <c r="AC39" s="2">
        <v>24</v>
      </c>
      <c r="AD39" s="2">
        <v>0</v>
      </c>
      <c r="AE39" s="2">
        <v>1</v>
      </c>
    </row>
    <row r="40" spans="1:31" hidden="1">
      <c r="A40" s="2" t="s">
        <v>113</v>
      </c>
      <c r="B40" s="2" t="b">
        <v>1</v>
      </c>
      <c r="C40" s="2"/>
      <c r="D40" s="2"/>
      <c r="E40" s="2" t="b">
        <f t="shared" si="16"/>
        <v>0</v>
      </c>
      <c r="F40" s="2"/>
      <c r="G40" s="2"/>
      <c r="H40" s="2" t="str">
        <f t="shared" si="27"/>
        <v>Blanc</v>
      </c>
      <c r="I40" s="2" t="str">
        <f t="shared" si="17"/>
        <v>-CW</v>
      </c>
      <c r="J40" s="2" t="str">
        <f>IFERROR(VLOOKUP(K40,Categories!$A$2:$C$41,2,FALSE()),"⚠ slug introuvable")</f>
        <v>fillers-panels-moldings</v>
      </c>
      <c r="K40" s="2" t="s">
        <v>114</v>
      </c>
      <c r="L40" s="2" t="str">
        <f>IFERROR(VLOOKUP(J40,Categories!$A$2:$C$41,3,FALSE()),"⚠ slug introuvable")</f>
        <v>Fillers, panneaux &amp; moulures</v>
      </c>
      <c r="M40" s="2" t="str">
        <f>IFERROR(VLOOKUP(K40,Categories!$A$2:$C$41,3,FALSE()),"⚠ slug introuvable")</f>
        <v>Moulures</v>
      </c>
      <c r="N40" s="2"/>
      <c r="O40" s="2">
        <f>N40</f>
        <v>0</v>
      </c>
      <c r="P40" s="2">
        <f>O40</f>
        <v>0</v>
      </c>
      <c r="Q40" s="11">
        <v>0</v>
      </c>
      <c r="R40" s="11">
        <f t="shared" si="18"/>
        <v>0</v>
      </c>
      <c r="S40" s="11">
        <f t="shared" si="19"/>
        <v>0</v>
      </c>
      <c r="T40" s="11">
        <f t="shared" si="20"/>
        <v>0</v>
      </c>
      <c r="U40" s="11">
        <f t="shared" si="29"/>
        <v>0</v>
      </c>
      <c r="V40" s="11">
        <f t="shared" si="29"/>
        <v>0</v>
      </c>
      <c r="W40" s="11">
        <f t="shared" si="22"/>
        <v>0</v>
      </c>
      <c r="X40" s="11">
        <f t="shared" si="23"/>
        <v>0</v>
      </c>
      <c r="Y40" s="14">
        <v>0.4</v>
      </c>
      <c r="Z40" s="11">
        <f t="shared" si="24"/>
        <v>0</v>
      </c>
      <c r="AA40" s="2">
        <v>33</v>
      </c>
      <c r="AB40" s="2">
        <v>6</v>
      </c>
      <c r="AC40" s="2"/>
      <c r="AD40" s="2" t="s">
        <v>51</v>
      </c>
      <c r="AE40" s="2" t="s">
        <v>51</v>
      </c>
    </row>
    <row r="41" spans="1:31" hidden="1">
      <c r="A41" s="2" t="s">
        <v>115</v>
      </c>
      <c r="B41" s="2" t="b">
        <v>1</v>
      </c>
      <c r="C41" s="2"/>
      <c r="D41" s="2"/>
      <c r="E41" s="2" t="b">
        <f t="shared" si="16"/>
        <v>0</v>
      </c>
      <c r="F41" s="2"/>
      <c r="G41" s="2"/>
      <c r="H41" s="2" t="str">
        <f t="shared" si="27"/>
        <v>Blanc</v>
      </c>
      <c r="I41" s="2" t="str">
        <f t="shared" si="17"/>
        <v>-CW</v>
      </c>
      <c r="J41" s="2" t="str">
        <f>IFERROR(VLOOKUP(K41,Categories!$A$2:$C$41,2,FALSE()),"⚠ slug introuvable")</f>
        <v>fillers-panels-moldings</v>
      </c>
      <c r="K41" s="2" t="s">
        <v>114</v>
      </c>
      <c r="L41" s="2" t="str">
        <f>IFERROR(VLOOKUP(J41,Categories!$A$2:$C$41,3,FALSE()),"⚠ slug introuvable")</f>
        <v>Fillers, panneaux &amp; moulures</v>
      </c>
      <c r="M41" s="2" t="str">
        <f>IFERROR(VLOOKUP(K41,Categories!$A$2:$C$41,3,FALSE()),"⚠ slug introuvable")</f>
        <v>Moulures</v>
      </c>
      <c r="N41" s="2"/>
      <c r="O41" s="2">
        <f>N41</f>
        <v>0</v>
      </c>
      <c r="P41" s="2">
        <f>O41</f>
        <v>0</v>
      </c>
      <c r="Q41" s="11">
        <v>0</v>
      </c>
      <c r="R41" s="11">
        <f t="shared" si="18"/>
        <v>0</v>
      </c>
      <c r="S41" s="11">
        <f t="shared" si="19"/>
        <v>0</v>
      </c>
      <c r="T41" s="11">
        <f t="shared" si="20"/>
        <v>0</v>
      </c>
      <c r="U41" s="11">
        <f t="shared" si="29"/>
        <v>0</v>
      </c>
      <c r="V41" s="11">
        <f t="shared" si="29"/>
        <v>0</v>
      </c>
      <c r="W41" s="11">
        <f t="shared" si="22"/>
        <v>0</v>
      </c>
      <c r="X41" s="11">
        <f t="shared" si="23"/>
        <v>0</v>
      </c>
      <c r="Y41" s="14">
        <v>0.4</v>
      </c>
      <c r="Z41" s="11">
        <f t="shared" si="24"/>
        <v>0</v>
      </c>
      <c r="AA41" s="2">
        <v>96</v>
      </c>
      <c r="AB41" s="2"/>
      <c r="AC41" s="2"/>
      <c r="AD41" s="2" t="s">
        <v>51</v>
      </c>
      <c r="AE41" s="2" t="s">
        <v>51</v>
      </c>
    </row>
    <row r="42" spans="1:31">
      <c r="A42" s="2" t="s">
        <v>116</v>
      </c>
      <c r="B42" s="2"/>
      <c r="C42" s="2"/>
      <c r="D42" s="2"/>
      <c r="E42" s="2" t="b">
        <f t="shared" si="16"/>
        <v>1</v>
      </c>
      <c r="F42" s="2"/>
      <c r="G42" s="2" t="s">
        <v>110</v>
      </c>
      <c r="H42" s="2" t="str">
        <f t="shared" si="27"/>
        <v>Chêne blanc</v>
      </c>
      <c r="I42" s="2" t="str">
        <f t="shared" si="17"/>
        <v>MBC-WWO</v>
      </c>
      <c r="J42" s="2" t="str">
        <f>IFERROR(VLOOKUP(K42,Categories!$A$2:$C$41,2,FALSE()),"⚠ slug introuvable")</f>
        <v>base-cabinet</v>
      </c>
      <c r="K42" s="2" t="s">
        <v>111</v>
      </c>
      <c r="L42" s="2" t="str">
        <f>IFERROR(VLOOKUP(J42,Categories!$A$2:$C$41,3,FALSE()),"⚠ slug introuvable")</f>
        <v>Armoire du bas</v>
      </c>
      <c r="M42" s="2" t="str">
        <f>IFERROR(VLOOKUP(K42,Categories!$A$2:$C$41,3,FALSE()),"⚠ slug introuvable")</f>
        <v>Micro-ondes</v>
      </c>
      <c r="N42" s="2" t="s">
        <v>112</v>
      </c>
      <c r="O42" s="2" t="str">
        <f t="shared" ref="O42:O73" si="31">_xlfn.CONCAT(N42," (",AA42,""")")</f>
        <v>Armoire de cuisine du bas avec espace micro-ondes et 1 tiroir (27")</v>
      </c>
      <c r="P42" s="2" t="str">
        <f>_xlfn.CONCAT("Micro-ondes"," (",AA42,""")")</f>
        <v>Micro-ondes (27")</v>
      </c>
      <c r="Q42" s="11">
        <v>1794.6</v>
      </c>
      <c r="R42" s="11">
        <f t="shared" si="18"/>
        <v>159.51999999999998</v>
      </c>
      <c r="S42" s="11">
        <f t="shared" si="19"/>
        <v>223.32799999999997</v>
      </c>
      <c r="T42" s="11">
        <f t="shared" si="20"/>
        <v>245.66079999999999</v>
      </c>
      <c r="U42" s="11">
        <f t="shared" si="29"/>
        <v>294.79295999999999</v>
      </c>
      <c r="V42" s="11">
        <f t="shared" si="29"/>
        <v>353.751552</v>
      </c>
      <c r="W42" s="11">
        <f t="shared" si="22"/>
        <v>389.12670720000006</v>
      </c>
      <c r="X42" s="11">
        <f t="shared" si="23"/>
        <v>389.12670720000006</v>
      </c>
      <c r="Y42" s="14">
        <v>0.4</v>
      </c>
      <c r="Z42" s="11">
        <f t="shared" si="24"/>
        <v>648.54451200000017</v>
      </c>
      <c r="AA42" s="2">
        <v>27</v>
      </c>
      <c r="AB42" s="2">
        <v>34.5</v>
      </c>
      <c r="AC42" s="2">
        <v>24</v>
      </c>
      <c r="AD42" s="2">
        <v>0</v>
      </c>
      <c r="AE42" s="2">
        <v>1</v>
      </c>
    </row>
    <row r="43" spans="1:31">
      <c r="A43" s="2" t="s">
        <v>117</v>
      </c>
      <c r="B43" s="2"/>
      <c r="C43" s="2"/>
      <c r="D43" s="2"/>
      <c r="E43" s="2" t="b">
        <f t="shared" si="16"/>
        <v>1</v>
      </c>
      <c r="F43" s="2"/>
      <c r="G43" s="2" t="s">
        <v>118</v>
      </c>
      <c r="H43" s="2" t="str">
        <f t="shared" si="27"/>
        <v>Blanc</v>
      </c>
      <c r="I43" s="2" t="str">
        <f t="shared" si="17"/>
        <v>DRBC12-CW</v>
      </c>
      <c r="J43" s="2" t="str">
        <f>IFERROR(VLOOKUP(K43,Categories!$A$2:$C$41,2,FALSE()),"⚠ slug introuvable")</f>
        <v>base-cabinet</v>
      </c>
      <c r="K43" s="2" t="s">
        <v>119</v>
      </c>
      <c r="L43" s="2" t="str">
        <f>IFERROR(VLOOKUP(J43,Categories!$A$2:$C$41,3,FALSE()),"⚠ slug introuvable")</f>
        <v>Armoire du bas</v>
      </c>
      <c r="M43" s="2" t="str">
        <f>IFERROR(VLOOKUP(K43,Categories!$A$2:$C$41,3,FALSE()),"⚠ slug introuvable")</f>
        <v>Tiroir</v>
      </c>
      <c r="N43" s="2" t="s">
        <v>120</v>
      </c>
      <c r="O43" s="2" t="str">
        <f t="shared" si="31"/>
        <v>Armoire de cuisine du bas avec 3 tiroirs (12")</v>
      </c>
      <c r="P43" s="2" t="str">
        <f>_xlfn.CONCAT("3 tiroirs"," (",AA43,""")")</f>
        <v>3 tiroirs (12")</v>
      </c>
      <c r="Q43" s="11">
        <v>949</v>
      </c>
      <c r="R43" s="11">
        <f t="shared" si="18"/>
        <v>84.355555555555554</v>
      </c>
      <c r="S43" s="11">
        <f t="shared" si="19"/>
        <v>118.09777777777776</v>
      </c>
      <c r="T43" s="11">
        <f t="shared" si="20"/>
        <v>129.90755555555555</v>
      </c>
      <c r="U43" s="11">
        <f t="shared" si="29"/>
        <v>155.88906666666665</v>
      </c>
      <c r="V43" s="11">
        <f t="shared" si="29"/>
        <v>187.06687999999997</v>
      </c>
      <c r="W43" s="11">
        <f t="shared" si="22"/>
        <v>205.77356799999998</v>
      </c>
      <c r="X43" s="11">
        <f t="shared" si="23"/>
        <v>205.77356799999998</v>
      </c>
      <c r="Y43" s="14">
        <v>0.4</v>
      </c>
      <c r="Z43" s="11">
        <f t="shared" si="24"/>
        <v>342.95594666666665</v>
      </c>
      <c r="AA43" s="2">
        <v>12</v>
      </c>
      <c r="AB43" s="2">
        <v>34.5</v>
      </c>
      <c r="AC43" s="2">
        <v>24</v>
      </c>
      <c r="AD43" s="2">
        <v>0</v>
      </c>
      <c r="AE43" s="2">
        <v>3</v>
      </c>
    </row>
    <row r="44" spans="1:31">
      <c r="A44" s="2" t="s">
        <v>121</v>
      </c>
      <c r="B44" s="2"/>
      <c r="C44" s="2"/>
      <c r="D44" s="2"/>
      <c r="E44" s="2" t="b">
        <f t="shared" si="16"/>
        <v>1</v>
      </c>
      <c r="F44" s="2"/>
      <c r="G44" s="2" t="s">
        <v>118</v>
      </c>
      <c r="H44" s="2" t="str">
        <f t="shared" si="27"/>
        <v>Chêne blanc</v>
      </c>
      <c r="I44" s="2" t="str">
        <f t="shared" si="17"/>
        <v>DRBC12-WWO</v>
      </c>
      <c r="J44" s="2" t="str">
        <f>IFERROR(VLOOKUP(K44,Categories!$A$2:$C$41,2,FALSE()),"⚠ slug introuvable")</f>
        <v>base-cabinet</v>
      </c>
      <c r="K44" s="2" t="s">
        <v>119</v>
      </c>
      <c r="L44" s="2" t="str">
        <f>IFERROR(VLOOKUP(J44,Categories!$A$2:$C$41,3,FALSE()),"⚠ slug introuvable")</f>
        <v>Armoire du bas</v>
      </c>
      <c r="M44" s="2" t="str">
        <f>IFERROR(VLOOKUP(K44,Categories!$A$2:$C$41,3,FALSE()),"⚠ slug introuvable")</f>
        <v>Tiroir</v>
      </c>
      <c r="N44" s="2" t="s">
        <v>120</v>
      </c>
      <c r="O44" s="2" t="str">
        <f t="shared" si="31"/>
        <v>Armoire de cuisine du bas avec 3 tiroirs (12")</v>
      </c>
      <c r="P44" s="2" t="str">
        <f>_xlfn.CONCAT("3 tiroirs"," (",AA44,""")")</f>
        <v>3 tiroirs (12")</v>
      </c>
      <c r="Q44" s="11">
        <v>1153</v>
      </c>
      <c r="R44" s="11">
        <f t="shared" si="18"/>
        <v>102.48888888888889</v>
      </c>
      <c r="S44" s="11">
        <f t="shared" si="19"/>
        <v>143.48444444444445</v>
      </c>
      <c r="T44" s="11">
        <f t="shared" si="20"/>
        <v>157.8328888888889</v>
      </c>
      <c r="U44" s="11">
        <f t="shared" si="29"/>
        <v>189.39946666666668</v>
      </c>
      <c r="V44" s="11">
        <f t="shared" si="29"/>
        <v>227.27936000000003</v>
      </c>
      <c r="W44" s="11">
        <f t="shared" si="22"/>
        <v>250.00729600000005</v>
      </c>
      <c r="X44" s="11">
        <f t="shared" si="23"/>
        <v>250.00729600000005</v>
      </c>
      <c r="Y44" s="14">
        <v>0.4</v>
      </c>
      <c r="Z44" s="11">
        <f t="shared" si="24"/>
        <v>416.67882666666679</v>
      </c>
      <c r="AA44" s="2">
        <v>12</v>
      </c>
      <c r="AB44" s="2">
        <v>34.5</v>
      </c>
      <c r="AC44" s="2">
        <v>24</v>
      </c>
      <c r="AD44" s="2">
        <v>0</v>
      </c>
      <c r="AE44" s="2">
        <v>3</v>
      </c>
    </row>
    <row r="45" spans="1:31">
      <c r="A45" s="2" t="s">
        <v>122</v>
      </c>
      <c r="B45" s="2"/>
      <c r="C45" s="2"/>
      <c r="D45" s="2"/>
      <c r="E45" s="2" t="b">
        <f t="shared" si="16"/>
        <v>1</v>
      </c>
      <c r="F45" s="2"/>
      <c r="G45" s="2" t="s">
        <v>123</v>
      </c>
      <c r="H45" s="2" t="str">
        <f t="shared" si="27"/>
        <v>Chêne blanc</v>
      </c>
      <c r="I45" s="2" t="str">
        <f t="shared" si="17"/>
        <v>DRBC12-2-WWO</v>
      </c>
      <c r="J45" s="2" t="str">
        <f>IFERROR(VLOOKUP(K45,Categories!$A$2:$C$41,2,FALSE()),"⚠ slug introuvable")</f>
        <v>base-cabinet</v>
      </c>
      <c r="K45" s="2" t="s">
        <v>119</v>
      </c>
      <c r="L45" s="2" t="str">
        <f>IFERROR(VLOOKUP(J45,Categories!$A$2:$C$41,3,FALSE()),"⚠ slug introuvable")</f>
        <v>Armoire du bas</v>
      </c>
      <c r="M45" s="2" t="str">
        <f>IFERROR(VLOOKUP(K45,Categories!$A$2:$C$41,3,FALSE()),"⚠ slug introuvable")</f>
        <v>Tiroir</v>
      </c>
      <c r="N45" s="2" t="s">
        <v>124</v>
      </c>
      <c r="O45" s="2" t="str">
        <f t="shared" si="31"/>
        <v>Armoire de cuisine du bas avec 2 tiroirs (12")</v>
      </c>
      <c r="P45" s="2" t="str">
        <f>_xlfn.CONCAT("2 tiroirs"," (",AA45,""")")</f>
        <v>2 tiroirs (12")</v>
      </c>
      <c r="Q45" s="11">
        <v>865</v>
      </c>
      <c r="R45" s="11">
        <f t="shared" si="18"/>
        <v>76.888888888888886</v>
      </c>
      <c r="S45" s="11">
        <f t="shared" si="19"/>
        <v>107.64444444444443</v>
      </c>
      <c r="T45" s="11">
        <f t="shared" si="20"/>
        <v>118.40888888888888</v>
      </c>
      <c r="U45" s="11">
        <f t="shared" si="29"/>
        <v>142.09066666666666</v>
      </c>
      <c r="V45" s="11">
        <f t="shared" si="29"/>
        <v>170.50879999999998</v>
      </c>
      <c r="W45" s="11">
        <f t="shared" si="22"/>
        <v>187.55967999999999</v>
      </c>
      <c r="X45" s="11">
        <f t="shared" si="23"/>
        <v>187.55967999999999</v>
      </c>
      <c r="Y45" s="14">
        <v>0.4</v>
      </c>
      <c r="Z45" s="11">
        <f t="shared" si="24"/>
        <v>312.59946666666667</v>
      </c>
      <c r="AA45" s="2">
        <v>12</v>
      </c>
      <c r="AB45" s="2">
        <v>34.5</v>
      </c>
      <c r="AC45" s="2">
        <v>24</v>
      </c>
      <c r="AD45" s="2">
        <v>0</v>
      </c>
      <c r="AE45" s="2">
        <v>2</v>
      </c>
    </row>
    <row r="46" spans="1:31">
      <c r="A46" s="2" t="s">
        <v>125</v>
      </c>
      <c r="B46" s="2"/>
      <c r="C46" s="2"/>
      <c r="D46" s="2"/>
      <c r="E46" s="2" t="b">
        <f t="shared" si="16"/>
        <v>1</v>
      </c>
      <c r="F46" s="2"/>
      <c r="G46" s="2" t="s">
        <v>126</v>
      </c>
      <c r="H46" s="2" t="str">
        <f t="shared" si="27"/>
        <v>Blanc</v>
      </c>
      <c r="I46" s="2" t="str">
        <f t="shared" si="17"/>
        <v>DRBC15-CW</v>
      </c>
      <c r="J46" s="2" t="str">
        <f>IFERROR(VLOOKUP(K46,Categories!$A$2:$C$41,2,FALSE()),"⚠ slug introuvable")</f>
        <v>base-cabinet</v>
      </c>
      <c r="K46" s="2" t="s">
        <v>119</v>
      </c>
      <c r="L46" s="2" t="str">
        <f>IFERROR(VLOOKUP(J46,Categories!$A$2:$C$41,3,FALSE()),"⚠ slug introuvable")</f>
        <v>Armoire du bas</v>
      </c>
      <c r="M46" s="2" t="str">
        <f>IFERROR(VLOOKUP(K46,Categories!$A$2:$C$41,3,FALSE()),"⚠ slug introuvable")</f>
        <v>Tiroir</v>
      </c>
      <c r="N46" s="2" t="s">
        <v>120</v>
      </c>
      <c r="O46" s="2" t="str">
        <f t="shared" si="31"/>
        <v>Armoire de cuisine du bas avec 3 tiroirs (15")</v>
      </c>
      <c r="P46" s="2" t="str">
        <f>_xlfn.CONCAT("3 tiroirs"," (",AA46,""")")</f>
        <v>3 tiroirs (15")</v>
      </c>
      <c r="Q46" s="11">
        <v>1036</v>
      </c>
      <c r="R46" s="11">
        <f t="shared" si="18"/>
        <v>92.088888888888889</v>
      </c>
      <c r="S46" s="11">
        <f t="shared" si="19"/>
        <v>128.92444444444445</v>
      </c>
      <c r="T46" s="11">
        <f t="shared" si="20"/>
        <v>141.81688888888891</v>
      </c>
      <c r="U46" s="11">
        <f t="shared" si="29"/>
        <v>170.18026666666668</v>
      </c>
      <c r="V46" s="11">
        <f t="shared" si="29"/>
        <v>204.21632000000002</v>
      </c>
      <c r="W46" s="11">
        <f t="shared" si="22"/>
        <v>224.63795200000004</v>
      </c>
      <c r="X46" s="11">
        <f t="shared" si="23"/>
        <v>224.63795200000004</v>
      </c>
      <c r="Y46" s="14">
        <v>0.4</v>
      </c>
      <c r="Z46" s="11">
        <f t="shared" si="24"/>
        <v>374.39658666666674</v>
      </c>
      <c r="AA46" s="2">
        <v>15</v>
      </c>
      <c r="AB46" s="2">
        <v>34.5</v>
      </c>
      <c r="AC46" s="2">
        <v>24</v>
      </c>
      <c r="AD46" s="2">
        <v>0</v>
      </c>
      <c r="AE46" s="2">
        <v>3</v>
      </c>
    </row>
    <row r="47" spans="1:31">
      <c r="A47" s="2" t="s">
        <v>127</v>
      </c>
      <c r="B47" s="2"/>
      <c r="C47" s="2"/>
      <c r="D47" s="2"/>
      <c r="E47" s="2" t="b">
        <f t="shared" si="16"/>
        <v>1</v>
      </c>
      <c r="F47" s="2"/>
      <c r="G47" s="2" t="s">
        <v>126</v>
      </c>
      <c r="H47" s="2" t="str">
        <f t="shared" si="27"/>
        <v>Chêne blanc</v>
      </c>
      <c r="I47" s="2" t="str">
        <f t="shared" si="17"/>
        <v>DRBC15-WWO</v>
      </c>
      <c r="J47" s="2" t="str">
        <f>IFERROR(VLOOKUP(K47,Categories!$A$2:$C$41,2,FALSE()),"⚠ slug introuvable")</f>
        <v>base-cabinet</v>
      </c>
      <c r="K47" s="2" t="s">
        <v>119</v>
      </c>
      <c r="L47" s="2" t="str">
        <f>IFERROR(VLOOKUP(J47,Categories!$A$2:$C$41,3,FALSE()),"⚠ slug introuvable")</f>
        <v>Armoire du bas</v>
      </c>
      <c r="M47" s="2" t="str">
        <f>IFERROR(VLOOKUP(K47,Categories!$A$2:$C$41,3,FALSE()),"⚠ slug introuvable")</f>
        <v>Tiroir</v>
      </c>
      <c r="N47" s="2" t="s">
        <v>120</v>
      </c>
      <c r="O47" s="2" t="str">
        <f t="shared" si="31"/>
        <v>Armoire de cuisine du bas avec 3 tiroirs (15")</v>
      </c>
      <c r="P47" s="2" t="str">
        <f>_xlfn.CONCAT("3 tiroirs"," (",AA47,""")")</f>
        <v>3 tiroirs (15")</v>
      </c>
      <c r="Q47" s="11">
        <v>1618.31</v>
      </c>
      <c r="R47" s="11">
        <f t="shared" si="18"/>
        <v>143.84977777777777</v>
      </c>
      <c r="S47" s="11">
        <f t="shared" si="19"/>
        <v>201.38968888888888</v>
      </c>
      <c r="T47" s="11">
        <f t="shared" si="20"/>
        <v>221.52865777777779</v>
      </c>
      <c r="U47" s="11">
        <f t="shared" si="29"/>
        <v>265.83438933333332</v>
      </c>
      <c r="V47" s="11">
        <f t="shared" si="29"/>
        <v>319.00126719999997</v>
      </c>
      <c r="W47" s="11">
        <f t="shared" si="22"/>
        <v>350.90139391999998</v>
      </c>
      <c r="X47" s="11">
        <f t="shared" si="23"/>
        <v>350.90139391999998</v>
      </c>
      <c r="Y47" s="14">
        <v>0.4</v>
      </c>
      <c r="Z47" s="11">
        <f t="shared" si="24"/>
        <v>584.83565653333335</v>
      </c>
      <c r="AA47" s="2">
        <v>15</v>
      </c>
      <c r="AB47" s="2">
        <v>34.5</v>
      </c>
      <c r="AC47" s="2">
        <v>24</v>
      </c>
      <c r="AD47" s="2">
        <v>0</v>
      </c>
      <c r="AE47" s="2">
        <v>3</v>
      </c>
    </row>
    <row r="48" spans="1:31">
      <c r="A48" s="2" t="s">
        <v>128</v>
      </c>
      <c r="B48" s="2"/>
      <c r="C48" s="2"/>
      <c r="D48" s="2"/>
      <c r="E48" s="2" t="b">
        <f t="shared" si="16"/>
        <v>1</v>
      </c>
      <c r="F48" s="2"/>
      <c r="G48" s="2" t="s">
        <v>129</v>
      </c>
      <c r="H48" s="2" t="str">
        <f t="shared" si="27"/>
        <v>Chêne blanc</v>
      </c>
      <c r="I48" s="2" t="str">
        <f t="shared" si="17"/>
        <v>DRBC15-2-WWO</v>
      </c>
      <c r="J48" s="2" t="str">
        <f>IFERROR(VLOOKUP(K48,Categories!$A$2:$C$41,2,FALSE()),"⚠ slug introuvable")</f>
        <v>base-cabinet</v>
      </c>
      <c r="K48" s="2" t="s">
        <v>119</v>
      </c>
      <c r="L48" s="2" t="str">
        <f>IFERROR(VLOOKUP(J48,Categories!$A$2:$C$41,3,FALSE()),"⚠ slug introuvable")</f>
        <v>Armoire du bas</v>
      </c>
      <c r="M48" s="2" t="str">
        <f>IFERROR(VLOOKUP(K48,Categories!$A$2:$C$41,3,FALSE()),"⚠ slug introuvable")</f>
        <v>Tiroir</v>
      </c>
      <c r="N48" s="2" t="s">
        <v>124</v>
      </c>
      <c r="O48" s="2" t="str">
        <f t="shared" si="31"/>
        <v>Armoire de cuisine du bas avec 2 tiroirs (15")</v>
      </c>
      <c r="P48" s="2" t="str">
        <f>_xlfn.CONCAT("2 tiroirs"," (",AA48,""")")</f>
        <v>2 tiroirs (15")</v>
      </c>
      <c r="Q48" s="11">
        <v>944</v>
      </c>
      <c r="R48" s="11">
        <f t="shared" si="18"/>
        <v>83.911111111111111</v>
      </c>
      <c r="S48" s="11">
        <f t="shared" si="19"/>
        <v>117.47555555555554</v>
      </c>
      <c r="T48" s="11">
        <f t="shared" si="20"/>
        <v>129.22311111111111</v>
      </c>
      <c r="U48" s="11">
        <f t="shared" si="29"/>
        <v>155.06773333333334</v>
      </c>
      <c r="V48" s="11">
        <f t="shared" si="29"/>
        <v>186.08127999999999</v>
      </c>
      <c r="W48" s="11">
        <f t="shared" si="22"/>
        <v>204.68940800000001</v>
      </c>
      <c r="X48" s="11">
        <f t="shared" si="23"/>
        <v>204.68940800000001</v>
      </c>
      <c r="Y48" s="14">
        <v>0.4</v>
      </c>
      <c r="Z48" s="11">
        <f t="shared" si="24"/>
        <v>341.14901333333336</v>
      </c>
      <c r="AA48" s="2">
        <v>15</v>
      </c>
      <c r="AB48" s="2">
        <v>34.5</v>
      </c>
      <c r="AC48" s="2">
        <v>24</v>
      </c>
      <c r="AD48" s="2">
        <v>0</v>
      </c>
      <c r="AE48" s="2">
        <v>2</v>
      </c>
    </row>
    <row r="49" spans="1:31">
      <c r="A49" s="2" t="s">
        <v>130</v>
      </c>
      <c r="B49" s="2"/>
      <c r="C49" s="2"/>
      <c r="D49" s="2"/>
      <c r="E49" s="2" t="b">
        <f t="shared" si="16"/>
        <v>1</v>
      </c>
      <c r="F49" s="2"/>
      <c r="G49" s="2" t="s">
        <v>131</v>
      </c>
      <c r="H49" s="2" t="str">
        <f t="shared" si="27"/>
        <v>Blanc</v>
      </c>
      <c r="I49" s="2" t="str">
        <f t="shared" si="17"/>
        <v>DRBC18-CW</v>
      </c>
      <c r="J49" s="2" t="str">
        <f>IFERROR(VLOOKUP(K49,Categories!$A$2:$C$41,2,FALSE()),"⚠ slug introuvable")</f>
        <v>base-cabinet</v>
      </c>
      <c r="K49" s="2" t="s">
        <v>119</v>
      </c>
      <c r="L49" s="2" t="str">
        <f>IFERROR(VLOOKUP(J49,Categories!$A$2:$C$41,3,FALSE()),"⚠ slug introuvable")</f>
        <v>Armoire du bas</v>
      </c>
      <c r="M49" s="2" t="str">
        <f>IFERROR(VLOOKUP(K49,Categories!$A$2:$C$41,3,FALSE()),"⚠ slug introuvable")</f>
        <v>Tiroir</v>
      </c>
      <c r="N49" s="2" t="s">
        <v>120</v>
      </c>
      <c r="O49" s="2" t="str">
        <f t="shared" si="31"/>
        <v>Armoire de cuisine du bas avec 3 tiroirs (18")</v>
      </c>
      <c r="P49" s="2" t="str">
        <f>_xlfn.CONCAT("3 tiroirs"," (",AA49,""")")</f>
        <v>3 tiroirs (18")</v>
      </c>
      <c r="Q49" s="11">
        <v>1076</v>
      </c>
      <c r="R49" s="11">
        <f t="shared" si="18"/>
        <v>95.644444444444446</v>
      </c>
      <c r="S49" s="11">
        <f t="shared" si="19"/>
        <v>133.90222222222221</v>
      </c>
      <c r="T49" s="11">
        <f t="shared" si="20"/>
        <v>147.29244444444444</v>
      </c>
      <c r="U49" s="11">
        <f t="shared" si="29"/>
        <v>176.75093333333334</v>
      </c>
      <c r="V49" s="11">
        <f t="shared" si="29"/>
        <v>212.10112000000001</v>
      </c>
      <c r="W49" s="11">
        <f t="shared" si="22"/>
        <v>233.31123200000002</v>
      </c>
      <c r="X49" s="11">
        <f t="shared" si="23"/>
        <v>233.31123200000002</v>
      </c>
      <c r="Y49" s="14">
        <v>0.4</v>
      </c>
      <c r="Z49" s="11">
        <f t="shared" si="24"/>
        <v>388.8520533333334</v>
      </c>
      <c r="AA49" s="2">
        <v>18</v>
      </c>
      <c r="AB49" s="2">
        <v>34.5</v>
      </c>
      <c r="AC49" s="2">
        <v>24</v>
      </c>
      <c r="AD49" s="2">
        <v>0</v>
      </c>
      <c r="AE49" s="2">
        <v>3</v>
      </c>
    </row>
    <row r="50" spans="1:31">
      <c r="A50" s="2" t="s">
        <v>132</v>
      </c>
      <c r="B50" s="2"/>
      <c r="C50" s="2"/>
      <c r="D50" s="2"/>
      <c r="E50" s="2" t="b">
        <f t="shared" si="16"/>
        <v>1</v>
      </c>
      <c r="F50" s="2"/>
      <c r="G50" s="2" t="s">
        <v>131</v>
      </c>
      <c r="H50" s="2" t="str">
        <f t="shared" si="27"/>
        <v>Chêne blanc</v>
      </c>
      <c r="I50" s="2" t="str">
        <f t="shared" si="17"/>
        <v>DRBC18-WWO</v>
      </c>
      <c r="J50" s="2" t="str">
        <f>IFERROR(VLOOKUP(K50,Categories!$A$2:$C$41,2,FALSE()),"⚠ slug introuvable")</f>
        <v>base-cabinet</v>
      </c>
      <c r="K50" s="2" t="s">
        <v>119</v>
      </c>
      <c r="L50" s="2" t="str">
        <f>IFERROR(VLOOKUP(J50,Categories!$A$2:$C$41,3,FALSE()),"⚠ slug introuvable")</f>
        <v>Armoire du bas</v>
      </c>
      <c r="M50" s="2" t="str">
        <f>IFERROR(VLOOKUP(K50,Categories!$A$2:$C$41,3,FALSE()),"⚠ slug introuvable")</f>
        <v>Tiroir</v>
      </c>
      <c r="N50" s="2" t="s">
        <v>120</v>
      </c>
      <c r="O50" s="2" t="str">
        <f t="shared" si="31"/>
        <v>Armoire de cuisine du bas avec 3 tiroirs (18")</v>
      </c>
      <c r="P50" s="2" t="str">
        <f>_xlfn.CONCAT("3 tiroirs"," (",AA50,""")")</f>
        <v>3 tiroirs (18")</v>
      </c>
      <c r="Q50" s="11">
        <v>1751.96</v>
      </c>
      <c r="R50" s="11">
        <f t="shared" si="18"/>
        <v>155.72977777777777</v>
      </c>
      <c r="S50" s="11">
        <f t="shared" si="19"/>
        <v>218.02168888888886</v>
      </c>
      <c r="T50" s="11">
        <f t="shared" si="20"/>
        <v>239.82385777777776</v>
      </c>
      <c r="U50" s="11">
        <f t="shared" ref="U50:V69" si="32">T50*1.2</f>
        <v>287.78862933333329</v>
      </c>
      <c r="V50" s="11">
        <f t="shared" si="32"/>
        <v>345.34635519999995</v>
      </c>
      <c r="W50" s="11">
        <f t="shared" si="22"/>
        <v>379.88099072</v>
      </c>
      <c r="X50" s="11">
        <f t="shared" si="23"/>
        <v>379.88099072</v>
      </c>
      <c r="Y50" s="14">
        <v>0.4</v>
      </c>
      <c r="Z50" s="11">
        <f t="shared" si="24"/>
        <v>633.13498453333341</v>
      </c>
      <c r="AA50" s="2">
        <v>18</v>
      </c>
      <c r="AB50" s="2">
        <v>34.5</v>
      </c>
      <c r="AC50" s="2">
        <v>24</v>
      </c>
      <c r="AD50" s="2">
        <v>0</v>
      </c>
      <c r="AE50" s="2">
        <v>3</v>
      </c>
    </row>
    <row r="51" spans="1:31">
      <c r="A51" s="2" t="s">
        <v>133</v>
      </c>
      <c r="B51" s="2"/>
      <c r="C51" s="2"/>
      <c r="D51" s="2"/>
      <c r="E51" s="2" t="b">
        <f t="shared" si="16"/>
        <v>1</v>
      </c>
      <c r="F51" s="2"/>
      <c r="G51" s="2" t="s">
        <v>134</v>
      </c>
      <c r="H51" s="2" t="str">
        <f t="shared" si="27"/>
        <v>Chêne blanc</v>
      </c>
      <c r="I51" s="2" t="str">
        <f t="shared" si="17"/>
        <v>DRBC18-2-WWO</v>
      </c>
      <c r="J51" s="2" t="str">
        <f>IFERROR(VLOOKUP(K51,Categories!$A$2:$C$41,2,FALSE()),"⚠ slug introuvable")</f>
        <v>base-cabinet</v>
      </c>
      <c r="K51" s="2" t="s">
        <v>119</v>
      </c>
      <c r="L51" s="2" t="str">
        <f>IFERROR(VLOOKUP(J51,Categories!$A$2:$C$41,3,FALSE()),"⚠ slug introuvable")</f>
        <v>Armoire du bas</v>
      </c>
      <c r="M51" s="2" t="str">
        <f>IFERROR(VLOOKUP(K51,Categories!$A$2:$C$41,3,FALSE()),"⚠ slug introuvable")</f>
        <v>Tiroir</v>
      </c>
      <c r="N51" s="2" t="s">
        <v>124</v>
      </c>
      <c r="O51" s="2" t="str">
        <f t="shared" si="31"/>
        <v>Armoire de cuisine du bas avec 2 tiroirs (18")</v>
      </c>
      <c r="P51" s="2" t="str">
        <f>_xlfn.CONCAT("2 tiroirs"," (",AA51,""")")</f>
        <v>2 tiroirs (18")</v>
      </c>
      <c r="Q51" s="11">
        <v>1030</v>
      </c>
      <c r="R51" s="11">
        <f t="shared" si="18"/>
        <v>91.555555555555557</v>
      </c>
      <c r="S51" s="11">
        <f t="shared" si="19"/>
        <v>128.17777777777778</v>
      </c>
      <c r="T51" s="11">
        <f t="shared" si="20"/>
        <v>140.99555555555557</v>
      </c>
      <c r="U51" s="11">
        <f t="shared" si="32"/>
        <v>169.19466666666668</v>
      </c>
      <c r="V51" s="11">
        <f t="shared" si="32"/>
        <v>203.03360000000001</v>
      </c>
      <c r="W51" s="11">
        <f t="shared" si="22"/>
        <v>223.33696000000003</v>
      </c>
      <c r="X51" s="11">
        <f t="shared" si="23"/>
        <v>223.33696000000003</v>
      </c>
      <c r="Y51" s="14">
        <v>0.4</v>
      </c>
      <c r="Z51" s="11">
        <f t="shared" si="24"/>
        <v>372.22826666666674</v>
      </c>
      <c r="AA51" s="2">
        <v>18</v>
      </c>
      <c r="AB51" s="2">
        <v>34.5</v>
      </c>
      <c r="AC51" s="2">
        <v>24</v>
      </c>
      <c r="AD51" s="2">
        <v>0</v>
      </c>
      <c r="AE51" s="2">
        <v>2</v>
      </c>
    </row>
    <row r="52" spans="1:31">
      <c r="A52" s="2" t="s">
        <v>135</v>
      </c>
      <c r="B52" s="2"/>
      <c r="C52" s="2"/>
      <c r="D52" s="2"/>
      <c r="E52" s="2" t="b">
        <f t="shared" si="16"/>
        <v>1</v>
      </c>
      <c r="F52" s="2"/>
      <c r="G52" s="2" t="s">
        <v>136</v>
      </c>
      <c r="H52" s="2" t="str">
        <f t="shared" si="27"/>
        <v>Blanc</v>
      </c>
      <c r="I52" s="2" t="str">
        <f t="shared" si="17"/>
        <v>DRBC21-CW</v>
      </c>
      <c r="J52" s="2" t="str">
        <f>IFERROR(VLOOKUP(K52,Categories!$A$2:$C$41,2,FALSE()),"⚠ slug introuvable")</f>
        <v>base-cabinet</v>
      </c>
      <c r="K52" s="2" t="s">
        <v>119</v>
      </c>
      <c r="L52" s="2" t="str">
        <f>IFERROR(VLOOKUP(J52,Categories!$A$2:$C$41,3,FALSE()),"⚠ slug introuvable")</f>
        <v>Armoire du bas</v>
      </c>
      <c r="M52" s="2" t="str">
        <f>IFERROR(VLOOKUP(K52,Categories!$A$2:$C$41,3,FALSE()),"⚠ slug introuvable")</f>
        <v>Tiroir</v>
      </c>
      <c r="N52" s="2" t="s">
        <v>120</v>
      </c>
      <c r="O52" s="2" t="str">
        <f t="shared" si="31"/>
        <v>Armoire de cuisine du bas avec 3 tiroirs (21")</v>
      </c>
      <c r="P52" s="2" t="str">
        <f>_xlfn.CONCAT("3 tiroirs"," (",AA52,""")")</f>
        <v>3 tiroirs (21")</v>
      </c>
      <c r="Q52" s="11">
        <v>1169</v>
      </c>
      <c r="R52" s="11">
        <f t="shared" si="18"/>
        <v>103.91111111111111</v>
      </c>
      <c r="S52" s="11">
        <f t="shared" si="19"/>
        <v>145.47555555555556</v>
      </c>
      <c r="T52" s="11">
        <f t="shared" si="20"/>
        <v>160.02311111111112</v>
      </c>
      <c r="U52" s="11">
        <f t="shared" si="32"/>
        <v>192.02773333333334</v>
      </c>
      <c r="V52" s="11">
        <f t="shared" si="32"/>
        <v>230.43328</v>
      </c>
      <c r="W52" s="11">
        <f t="shared" si="22"/>
        <v>253.47660800000003</v>
      </c>
      <c r="X52" s="11">
        <f t="shared" si="23"/>
        <v>253.47660800000003</v>
      </c>
      <c r="Y52" s="14">
        <v>0.4</v>
      </c>
      <c r="Z52" s="11">
        <f t="shared" si="24"/>
        <v>422.46101333333337</v>
      </c>
      <c r="AA52" s="2">
        <v>21</v>
      </c>
      <c r="AB52" s="2">
        <v>34.5</v>
      </c>
      <c r="AC52" s="2">
        <v>24</v>
      </c>
      <c r="AD52" s="2">
        <v>0</v>
      </c>
      <c r="AE52" s="2">
        <v>3</v>
      </c>
    </row>
    <row r="53" spans="1:31">
      <c r="A53" s="2" t="s">
        <v>137</v>
      </c>
      <c r="B53" s="2"/>
      <c r="C53" s="2"/>
      <c r="D53" s="2"/>
      <c r="E53" s="2" t="b">
        <f t="shared" si="16"/>
        <v>1</v>
      </c>
      <c r="F53" s="2"/>
      <c r="G53" s="2" t="s">
        <v>136</v>
      </c>
      <c r="H53" s="2" t="str">
        <f t="shared" si="27"/>
        <v>Chêne blanc</v>
      </c>
      <c r="I53" s="2" t="str">
        <f t="shared" si="17"/>
        <v>DRBC21-WWO</v>
      </c>
      <c r="J53" s="2" t="str">
        <f>IFERROR(VLOOKUP(K53,Categories!$A$2:$C$41,2,FALSE()),"⚠ slug introuvable")</f>
        <v>base-cabinet</v>
      </c>
      <c r="K53" s="2" t="s">
        <v>119</v>
      </c>
      <c r="L53" s="2" t="str">
        <f>IFERROR(VLOOKUP(J53,Categories!$A$2:$C$41,3,FALSE()),"⚠ slug introuvable")</f>
        <v>Armoire du bas</v>
      </c>
      <c r="M53" s="2" t="str">
        <f>IFERROR(VLOOKUP(K53,Categories!$A$2:$C$41,3,FALSE()),"⚠ slug introuvable")</f>
        <v>Tiroir</v>
      </c>
      <c r="N53" s="2" t="s">
        <v>120</v>
      </c>
      <c r="O53" s="2" t="str">
        <f t="shared" si="31"/>
        <v>Armoire de cuisine du bas avec 3 tiroirs (21")</v>
      </c>
      <c r="P53" s="2" t="str">
        <f>_xlfn.CONCAT("3 tiroirs"," (",AA53,""")")</f>
        <v>3 tiroirs (21")</v>
      </c>
      <c r="Q53" s="11">
        <v>1890</v>
      </c>
      <c r="R53" s="11">
        <f t="shared" si="18"/>
        <v>168</v>
      </c>
      <c r="S53" s="11">
        <f t="shared" si="19"/>
        <v>235.2</v>
      </c>
      <c r="T53" s="11">
        <f t="shared" si="20"/>
        <v>258.72000000000003</v>
      </c>
      <c r="U53" s="11">
        <f t="shared" si="32"/>
        <v>310.464</v>
      </c>
      <c r="V53" s="11">
        <f t="shared" si="32"/>
        <v>372.55680000000001</v>
      </c>
      <c r="W53" s="11">
        <f t="shared" si="22"/>
        <v>409.81248000000005</v>
      </c>
      <c r="X53" s="11">
        <f t="shared" si="23"/>
        <v>409.81248000000005</v>
      </c>
      <c r="Y53" s="14">
        <v>0.4</v>
      </c>
      <c r="Z53" s="11">
        <f t="shared" si="24"/>
        <v>683.02080000000012</v>
      </c>
      <c r="AA53" s="2">
        <v>21</v>
      </c>
      <c r="AB53" s="2">
        <v>34.5</v>
      </c>
      <c r="AC53" s="2">
        <v>24</v>
      </c>
      <c r="AD53" s="2">
        <v>0</v>
      </c>
      <c r="AE53" s="2">
        <v>3</v>
      </c>
    </row>
    <row r="54" spans="1:31">
      <c r="A54" s="2" t="s">
        <v>138</v>
      </c>
      <c r="B54" s="2"/>
      <c r="C54" s="2"/>
      <c r="D54" s="2"/>
      <c r="E54" s="2" t="b">
        <f t="shared" si="16"/>
        <v>1</v>
      </c>
      <c r="F54" s="2"/>
      <c r="G54" s="2" t="s">
        <v>139</v>
      </c>
      <c r="H54" s="2" t="str">
        <f t="shared" si="27"/>
        <v>Chêne blanc</v>
      </c>
      <c r="I54" s="2" t="str">
        <f t="shared" si="17"/>
        <v>DRBC21-2-WWO</v>
      </c>
      <c r="J54" s="2" t="str">
        <f>IFERROR(VLOOKUP(K54,Categories!$A$2:$C$41,2,FALSE()),"⚠ slug introuvable")</f>
        <v>base-cabinet</v>
      </c>
      <c r="K54" s="2" t="s">
        <v>119</v>
      </c>
      <c r="L54" s="2" t="str">
        <f>IFERROR(VLOOKUP(J54,Categories!$A$2:$C$41,3,FALSE()),"⚠ slug introuvable")</f>
        <v>Armoire du bas</v>
      </c>
      <c r="M54" s="2" t="str">
        <f>IFERROR(VLOOKUP(K54,Categories!$A$2:$C$41,3,FALSE()),"⚠ slug introuvable")</f>
        <v>Tiroir</v>
      </c>
      <c r="N54" s="2" t="s">
        <v>124</v>
      </c>
      <c r="O54" s="2" t="str">
        <f t="shared" si="31"/>
        <v>Armoire de cuisine du bas avec 2 tiroirs (21")</v>
      </c>
      <c r="P54" s="2" t="str">
        <f>_xlfn.CONCAT("2 tiroirs"," (",AA54,""")")</f>
        <v>2 tiroirs (21")</v>
      </c>
      <c r="Q54" s="11">
        <v>1139</v>
      </c>
      <c r="R54" s="11">
        <f t="shared" si="18"/>
        <v>101.24444444444444</v>
      </c>
      <c r="S54" s="11">
        <f t="shared" si="19"/>
        <v>141.74222222222221</v>
      </c>
      <c r="T54" s="11">
        <f t="shared" si="20"/>
        <v>155.91644444444444</v>
      </c>
      <c r="U54" s="11">
        <f t="shared" si="32"/>
        <v>187.09973333333332</v>
      </c>
      <c r="V54" s="11">
        <f t="shared" si="32"/>
        <v>224.51967999999997</v>
      </c>
      <c r="W54" s="11">
        <f t="shared" si="22"/>
        <v>246.97164799999999</v>
      </c>
      <c r="X54" s="11">
        <f t="shared" si="23"/>
        <v>246.97164799999999</v>
      </c>
      <c r="Y54" s="14">
        <v>0.4</v>
      </c>
      <c r="Z54" s="11">
        <f t="shared" si="24"/>
        <v>411.61941333333334</v>
      </c>
      <c r="AA54" s="2">
        <v>21</v>
      </c>
      <c r="AB54" s="2">
        <v>34.5</v>
      </c>
      <c r="AC54" s="2">
        <v>24</v>
      </c>
      <c r="AD54" s="2">
        <v>0</v>
      </c>
      <c r="AE54" s="2">
        <v>2</v>
      </c>
    </row>
    <row r="55" spans="1:31">
      <c r="A55" s="2" t="s">
        <v>140</v>
      </c>
      <c r="B55" s="2"/>
      <c r="C55" s="2"/>
      <c r="D55" s="2"/>
      <c r="E55" s="2" t="b">
        <f t="shared" si="16"/>
        <v>1</v>
      </c>
      <c r="F55" s="2"/>
      <c r="G55" s="2" t="s">
        <v>141</v>
      </c>
      <c r="H55" s="2" t="str">
        <f t="shared" si="27"/>
        <v>Blanc</v>
      </c>
      <c r="I55" s="2" t="str">
        <f t="shared" si="17"/>
        <v>DRBC24-CW</v>
      </c>
      <c r="J55" s="2" t="str">
        <f>IFERROR(VLOOKUP(K55,Categories!$A$2:$C$41,2,FALSE()),"⚠ slug introuvable")</f>
        <v>base-cabinet</v>
      </c>
      <c r="K55" s="2" t="s">
        <v>119</v>
      </c>
      <c r="L55" s="2" t="str">
        <f>IFERROR(VLOOKUP(J55,Categories!$A$2:$C$41,3,FALSE()),"⚠ slug introuvable")</f>
        <v>Armoire du bas</v>
      </c>
      <c r="M55" s="2" t="str">
        <f>IFERROR(VLOOKUP(K55,Categories!$A$2:$C$41,3,FALSE()),"⚠ slug introuvable")</f>
        <v>Tiroir</v>
      </c>
      <c r="N55" s="2" t="s">
        <v>120</v>
      </c>
      <c r="O55" s="2" t="str">
        <f t="shared" si="31"/>
        <v>Armoire de cuisine du bas avec 3 tiroirs (24")</v>
      </c>
      <c r="P55" s="2" t="str">
        <f>_xlfn.CONCAT("3 tiroirs"," (",AA55,""")")</f>
        <v>3 tiroirs (24")</v>
      </c>
      <c r="Q55" s="11">
        <v>1204</v>
      </c>
      <c r="R55" s="11">
        <f t="shared" si="18"/>
        <v>107.02222222222223</v>
      </c>
      <c r="S55" s="11">
        <f t="shared" si="19"/>
        <v>149.83111111111111</v>
      </c>
      <c r="T55" s="11">
        <f t="shared" si="20"/>
        <v>164.81422222222224</v>
      </c>
      <c r="U55" s="11">
        <f t="shared" si="32"/>
        <v>197.77706666666668</v>
      </c>
      <c r="V55" s="11">
        <f t="shared" si="32"/>
        <v>237.33248</v>
      </c>
      <c r="W55" s="11">
        <f t="shared" si="22"/>
        <v>261.06572800000004</v>
      </c>
      <c r="X55" s="11">
        <f t="shared" si="23"/>
        <v>261.06572800000004</v>
      </c>
      <c r="Y55" s="14">
        <v>0.4</v>
      </c>
      <c r="Z55" s="11">
        <f t="shared" si="24"/>
        <v>435.10954666666674</v>
      </c>
      <c r="AA55" s="2">
        <v>24</v>
      </c>
      <c r="AB55" s="2">
        <v>34.5</v>
      </c>
      <c r="AC55" s="2">
        <v>24</v>
      </c>
      <c r="AD55" s="2">
        <v>0</v>
      </c>
      <c r="AE55" s="2">
        <v>3</v>
      </c>
    </row>
    <row r="56" spans="1:31">
      <c r="A56" s="2" t="s">
        <v>142</v>
      </c>
      <c r="B56" s="2"/>
      <c r="C56" s="2"/>
      <c r="D56" s="2"/>
      <c r="E56" s="2" t="b">
        <f t="shared" si="16"/>
        <v>1</v>
      </c>
      <c r="F56" s="2"/>
      <c r="G56" s="2" t="s">
        <v>141</v>
      </c>
      <c r="H56" s="2" t="str">
        <f t="shared" si="27"/>
        <v>Chêne blanc</v>
      </c>
      <c r="I56" s="2" t="str">
        <f t="shared" si="17"/>
        <v>DRBC24-WWO</v>
      </c>
      <c r="J56" s="2" t="str">
        <f>IFERROR(VLOOKUP(K56,Categories!$A$2:$C$41,2,FALSE()),"⚠ slug introuvable")</f>
        <v>base-cabinet</v>
      </c>
      <c r="K56" s="2" t="s">
        <v>119</v>
      </c>
      <c r="L56" s="2" t="str">
        <f>IFERROR(VLOOKUP(J56,Categories!$A$2:$C$41,3,FALSE()),"⚠ slug introuvable")</f>
        <v>Armoire du bas</v>
      </c>
      <c r="M56" s="2" t="str">
        <f>IFERROR(VLOOKUP(K56,Categories!$A$2:$C$41,3,FALSE()),"⚠ slug introuvable")</f>
        <v>Tiroir</v>
      </c>
      <c r="N56" s="2" t="s">
        <v>120</v>
      </c>
      <c r="O56" s="2" t="str">
        <f t="shared" si="31"/>
        <v>Armoire de cuisine du bas avec 3 tiroirs (24")</v>
      </c>
      <c r="P56" s="2" t="str">
        <f>_xlfn.CONCAT("3 tiroirs"," (",AA56,""")")</f>
        <v>3 tiroirs (24")</v>
      </c>
      <c r="Q56" s="11">
        <v>1944.79</v>
      </c>
      <c r="R56" s="11">
        <f t="shared" si="18"/>
        <v>172.87022222222222</v>
      </c>
      <c r="S56" s="11">
        <f t="shared" si="19"/>
        <v>242.0183111111111</v>
      </c>
      <c r="T56" s="11">
        <f t="shared" si="20"/>
        <v>266.22014222222225</v>
      </c>
      <c r="U56" s="11">
        <f t="shared" si="32"/>
        <v>319.46417066666669</v>
      </c>
      <c r="V56" s="11">
        <f t="shared" si="32"/>
        <v>383.35700480000003</v>
      </c>
      <c r="W56" s="11">
        <f t="shared" si="22"/>
        <v>421.69270528000004</v>
      </c>
      <c r="X56" s="11">
        <f t="shared" si="23"/>
        <v>421.69270528000004</v>
      </c>
      <c r="Y56" s="14">
        <v>0.4</v>
      </c>
      <c r="Z56" s="11">
        <f t="shared" si="24"/>
        <v>702.82117546666677</v>
      </c>
      <c r="AA56" s="2">
        <v>24</v>
      </c>
      <c r="AB56" s="2">
        <v>34.5</v>
      </c>
      <c r="AC56" s="2">
        <v>24</v>
      </c>
      <c r="AD56" s="2">
        <v>0</v>
      </c>
      <c r="AE56" s="2">
        <v>3</v>
      </c>
    </row>
    <row r="57" spans="1:31">
      <c r="A57" s="2" t="s">
        <v>143</v>
      </c>
      <c r="B57" s="2"/>
      <c r="C57" s="2"/>
      <c r="D57" s="2"/>
      <c r="E57" s="2" t="b">
        <f t="shared" si="16"/>
        <v>1</v>
      </c>
      <c r="F57" s="2"/>
      <c r="G57" s="2" t="s">
        <v>144</v>
      </c>
      <c r="H57" s="2" t="str">
        <f t="shared" si="27"/>
        <v>Chêne blanc</v>
      </c>
      <c r="I57" s="2" t="str">
        <f t="shared" si="17"/>
        <v>DRBC24-2-WWO</v>
      </c>
      <c r="J57" s="2" t="str">
        <f>IFERROR(VLOOKUP(K57,Categories!$A$2:$C$41,2,FALSE()),"⚠ slug introuvable")</f>
        <v>base-cabinet</v>
      </c>
      <c r="K57" s="2" t="s">
        <v>119</v>
      </c>
      <c r="L57" s="2" t="str">
        <f>IFERROR(VLOOKUP(J57,Categories!$A$2:$C$41,3,FALSE()),"⚠ slug introuvable")</f>
        <v>Armoire du bas</v>
      </c>
      <c r="M57" s="2" t="str">
        <f>IFERROR(VLOOKUP(K57,Categories!$A$2:$C$41,3,FALSE()),"⚠ slug introuvable")</f>
        <v>Tiroir</v>
      </c>
      <c r="N57" s="2" t="s">
        <v>124</v>
      </c>
      <c r="O57" s="2" t="str">
        <f t="shared" si="31"/>
        <v>Armoire de cuisine du bas avec 2 tiroirs (24")</v>
      </c>
      <c r="P57" s="2" t="str">
        <f>_xlfn.CONCAT("2 tiroirs"," (",AA57,""")")</f>
        <v>2 tiroirs (24")</v>
      </c>
      <c r="Q57" s="11">
        <v>1239</v>
      </c>
      <c r="R57" s="11">
        <f t="shared" si="18"/>
        <v>110.13333333333334</v>
      </c>
      <c r="S57" s="11">
        <f t="shared" si="19"/>
        <v>154.18666666666667</v>
      </c>
      <c r="T57" s="11">
        <f t="shared" si="20"/>
        <v>169.60533333333333</v>
      </c>
      <c r="U57" s="11">
        <f t="shared" si="32"/>
        <v>203.5264</v>
      </c>
      <c r="V57" s="11">
        <f t="shared" si="32"/>
        <v>244.23167999999998</v>
      </c>
      <c r="W57" s="11">
        <f t="shared" si="22"/>
        <v>268.65484800000002</v>
      </c>
      <c r="X57" s="11">
        <f t="shared" si="23"/>
        <v>268.65484800000002</v>
      </c>
      <c r="Y57" s="14">
        <v>0.4</v>
      </c>
      <c r="Z57" s="11">
        <f t="shared" si="24"/>
        <v>447.75808000000006</v>
      </c>
      <c r="AA57" s="2">
        <v>24</v>
      </c>
      <c r="AB57" s="2">
        <v>34.5</v>
      </c>
      <c r="AC57" s="2">
        <v>24</v>
      </c>
      <c r="AD57" s="2">
        <v>0</v>
      </c>
      <c r="AE57" s="2">
        <v>2</v>
      </c>
    </row>
    <row r="58" spans="1:31">
      <c r="A58" s="2" t="s">
        <v>145</v>
      </c>
      <c r="B58" s="2"/>
      <c r="C58" s="2"/>
      <c r="D58" s="2"/>
      <c r="E58" s="2" t="b">
        <f t="shared" si="16"/>
        <v>1</v>
      </c>
      <c r="F58" s="2"/>
      <c r="G58" s="2" t="s">
        <v>146</v>
      </c>
      <c r="H58" s="2" t="str">
        <f t="shared" si="27"/>
        <v>Blanc</v>
      </c>
      <c r="I58" s="2" t="str">
        <f t="shared" si="17"/>
        <v>DRBC27-CW</v>
      </c>
      <c r="J58" s="2" t="str">
        <f>IFERROR(VLOOKUP(K58,Categories!$A$2:$C$41,2,FALSE()),"⚠ slug introuvable")</f>
        <v>base-cabinet</v>
      </c>
      <c r="K58" s="2" t="s">
        <v>119</v>
      </c>
      <c r="L58" s="2" t="str">
        <f>IFERROR(VLOOKUP(J58,Categories!$A$2:$C$41,3,FALSE()),"⚠ slug introuvable")</f>
        <v>Armoire du bas</v>
      </c>
      <c r="M58" s="2" t="str">
        <f>IFERROR(VLOOKUP(K58,Categories!$A$2:$C$41,3,FALSE()),"⚠ slug introuvable")</f>
        <v>Tiroir</v>
      </c>
      <c r="N58" s="2" t="s">
        <v>120</v>
      </c>
      <c r="O58" s="2" t="str">
        <f t="shared" si="31"/>
        <v>Armoire de cuisine du bas avec 3 tiroirs (27")</v>
      </c>
      <c r="P58" s="2" t="str">
        <f>_xlfn.CONCAT("3 tiroirs"," (",AA58,""")")</f>
        <v>3 tiroirs (27")</v>
      </c>
      <c r="Q58" s="11">
        <v>1269</v>
      </c>
      <c r="R58" s="11">
        <f t="shared" si="18"/>
        <v>112.8</v>
      </c>
      <c r="S58" s="11">
        <f t="shared" si="19"/>
        <v>157.91999999999999</v>
      </c>
      <c r="T58" s="11">
        <f t="shared" si="20"/>
        <v>173.71199999999999</v>
      </c>
      <c r="U58" s="11">
        <f t="shared" si="32"/>
        <v>208.45439999999999</v>
      </c>
      <c r="V58" s="11">
        <f t="shared" si="32"/>
        <v>250.14527999999999</v>
      </c>
      <c r="W58" s="11">
        <f t="shared" si="22"/>
        <v>275.159808</v>
      </c>
      <c r="X58" s="11">
        <f t="shared" si="23"/>
        <v>275.159808</v>
      </c>
      <c r="Y58" s="14">
        <v>0.4</v>
      </c>
      <c r="Z58" s="11">
        <f t="shared" si="24"/>
        <v>458.59968000000003</v>
      </c>
      <c r="AA58" s="2">
        <v>27</v>
      </c>
      <c r="AB58" s="2">
        <v>34.5</v>
      </c>
      <c r="AC58" s="2">
        <v>24</v>
      </c>
      <c r="AD58" s="2">
        <v>0</v>
      </c>
      <c r="AE58" s="2">
        <v>3</v>
      </c>
    </row>
    <row r="59" spans="1:31">
      <c r="A59" s="2" t="s">
        <v>147</v>
      </c>
      <c r="B59" s="2"/>
      <c r="C59" s="2"/>
      <c r="D59" s="2"/>
      <c r="E59" s="2" t="b">
        <f t="shared" si="16"/>
        <v>1</v>
      </c>
      <c r="F59" s="2"/>
      <c r="G59" s="2" t="s">
        <v>148</v>
      </c>
      <c r="H59" s="2" t="str">
        <f t="shared" si="27"/>
        <v>Blanc</v>
      </c>
      <c r="I59" s="2" t="str">
        <f t="shared" si="17"/>
        <v>DRBC27-2-CW</v>
      </c>
      <c r="J59" s="2" t="str">
        <f>IFERROR(VLOOKUP(K59,Categories!$A$2:$C$41,2,FALSE()),"⚠ slug introuvable")</f>
        <v>base-cabinet</v>
      </c>
      <c r="K59" s="2" t="s">
        <v>119</v>
      </c>
      <c r="L59" s="2" t="str">
        <f>IFERROR(VLOOKUP(J59,Categories!$A$2:$C$41,3,FALSE()),"⚠ slug introuvable")</f>
        <v>Armoire du bas</v>
      </c>
      <c r="M59" s="2" t="str">
        <f>IFERROR(VLOOKUP(K59,Categories!$A$2:$C$41,3,FALSE()),"⚠ slug introuvable")</f>
        <v>Tiroir</v>
      </c>
      <c r="N59" s="2" t="s">
        <v>124</v>
      </c>
      <c r="O59" s="2" t="str">
        <f t="shared" si="31"/>
        <v>Armoire de cuisine du bas avec 2 tiroirs (27")</v>
      </c>
      <c r="P59" s="2" t="str">
        <f>_xlfn.CONCAT("2 tiroirs"," (",AA59,""")")</f>
        <v>2 tiroirs (27")</v>
      </c>
      <c r="Q59" s="11">
        <v>1003</v>
      </c>
      <c r="R59" s="11">
        <f t="shared" si="18"/>
        <v>89.155555555555551</v>
      </c>
      <c r="S59" s="11">
        <f t="shared" si="19"/>
        <v>124.81777777777776</v>
      </c>
      <c r="T59" s="11">
        <f t="shared" si="20"/>
        <v>137.29955555555554</v>
      </c>
      <c r="U59" s="11">
        <f t="shared" si="32"/>
        <v>164.75946666666664</v>
      </c>
      <c r="V59" s="11">
        <f t="shared" si="32"/>
        <v>197.71135999999996</v>
      </c>
      <c r="W59" s="11">
        <f t="shared" si="22"/>
        <v>217.48249599999997</v>
      </c>
      <c r="X59" s="11">
        <f t="shared" si="23"/>
        <v>217.48249599999997</v>
      </c>
      <c r="Y59" s="14">
        <v>0.4</v>
      </c>
      <c r="Z59" s="11">
        <f t="shared" si="24"/>
        <v>362.47082666666665</v>
      </c>
      <c r="AA59" s="2">
        <v>27</v>
      </c>
      <c r="AB59" s="2">
        <v>34.5</v>
      </c>
      <c r="AC59" s="2">
        <v>24</v>
      </c>
      <c r="AD59" s="2">
        <v>0</v>
      </c>
      <c r="AE59" s="2">
        <v>2</v>
      </c>
    </row>
    <row r="60" spans="1:31">
      <c r="A60" s="2" t="s">
        <v>149</v>
      </c>
      <c r="B60" s="2"/>
      <c r="C60" s="2"/>
      <c r="D60" s="2"/>
      <c r="E60" s="2" t="b">
        <f t="shared" si="16"/>
        <v>1</v>
      </c>
      <c r="F60" s="2"/>
      <c r="G60" s="2" t="s">
        <v>148</v>
      </c>
      <c r="H60" s="2" t="str">
        <f t="shared" si="27"/>
        <v>Chêne blanc</v>
      </c>
      <c r="I60" s="2" t="str">
        <f t="shared" si="17"/>
        <v>DRBC27-2-WWO</v>
      </c>
      <c r="J60" s="2" t="str">
        <f>IFERROR(VLOOKUP(K60,Categories!$A$2:$C$41,2,FALSE()),"⚠ slug introuvable")</f>
        <v>base-cabinet</v>
      </c>
      <c r="K60" s="2" t="s">
        <v>119</v>
      </c>
      <c r="L60" s="2" t="str">
        <f>IFERROR(VLOOKUP(J60,Categories!$A$2:$C$41,3,FALSE()),"⚠ slug introuvable")</f>
        <v>Armoire du bas</v>
      </c>
      <c r="M60" s="2" t="str">
        <f>IFERROR(VLOOKUP(K60,Categories!$A$2:$C$41,3,FALSE()),"⚠ slug introuvable")</f>
        <v>Tiroir</v>
      </c>
      <c r="N60" s="2" t="s">
        <v>124</v>
      </c>
      <c r="O60" s="2" t="str">
        <f t="shared" si="31"/>
        <v>Armoire de cuisine du bas avec 2 tiroirs (27")</v>
      </c>
      <c r="P60" s="2" t="str">
        <f>_xlfn.CONCAT("2 tiroirs"," (",AA60,""")")</f>
        <v>2 tiroirs (27")</v>
      </c>
      <c r="Q60" s="11">
        <v>1328</v>
      </c>
      <c r="R60" s="11">
        <f t="shared" si="18"/>
        <v>118.04444444444445</v>
      </c>
      <c r="S60" s="11">
        <f t="shared" si="19"/>
        <v>165.26222222222222</v>
      </c>
      <c r="T60" s="11">
        <f t="shared" si="20"/>
        <v>181.78844444444445</v>
      </c>
      <c r="U60" s="11">
        <f t="shared" si="32"/>
        <v>218.14613333333332</v>
      </c>
      <c r="V60" s="11">
        <f t="shared" si="32"/>
        <v>261.77535999999998</v>
      </c>
      <c r="W60" s="11">
        <f t="shared" si="22"/>
        <v>287.95289600000001</v>
      </c>
      <c r="X60" s="11">
        <f t="shared" si="23"/>
        <v>287.95289600000001</v>
      </c>
      <c r="Y60" s="14">
        <v>0.4</v>
      </c>
      <c r="Z60" s="11">
        <f t="shared" si="24"/>
        <v>479.92149333333339</v>
      </c>
      <c r="AA60" s="2">
        <v>27</v>
      </c>
      <c r="AB60" s="2">
        <v>34.5</v>
      </c>
      <c r="AC60" s="2">
        <v>24</v>
      </c>
      <c r="AD60" s="2">
        <v>0</v>
      </c>
      <c r="AE60" s="2">
        <v>2</v>
      </c>
    </row>
    <row r="61" spans="1:31">
      <c r="A61" s="2" t="s">
        <v>150</v>
      </c>
      <c r="B61" s="2"/>
      <c r="C61" s="2"/>
      <c r="D61" s="2"/>
      <c r="E61" s="2" t="b">
        <f t="shared" si="16"/>
        <v>1</v>
      </c>
      <c r="F61" s="2"/>
      <c r="G61" s="2" t="s">
        <v>146</v>
      </c>
      <c r="H61" s="2" t="str">
        <f t="shared" si="27"/>
        <v>Chêne blanc</v>
      </c>
      <c r="I61" s="2" t="str">
        <f t="shared" si="17"/>
        <v>DRBC27-WWO</v>
      </c>
      <c r="J61" s="2" t="str">
        <f>IFERROR(VLOOKUP(K61,Categories!$A$2:$C$41,2,FALSE()),"⚠ slug introuvable")</f>
        <v>base-cabinet</v>
      </c>
      <c r="K61" s="2" t="s">
        <v>119</v>
      </c>
      <c r="L61" s="2" t="str">
        <f>IFERROR(VLOOKUP(J61,Categories!$A$2:$C$41,3,FALSE()),"⚠ slug introuvable")</f>
        <v>Armoire du bas</v>
      </c>
      <c r="M61" s="2" t="str">
        <f>IFERROR(VLOOKUP(K61,Categories!$A$2:$C$41,3,FALSE()),"⚠ slug introuvable")</f>
        <v>Tiroir</v>
      </c>
      <c r="N61" s="2" t="s">
        <v>120</v>
      </c>
      <c r="O61" s="2" t="str">
        <f t="shared" si="31"/>
        <v>Armoire de cuisine du bas avec 3 tiroirs (27")</v>
      </c>
      <c r="P61" s="2" t="str">
        <f>_xlfn.CONCAT("3 tiroirs"," (",AA61,""")")</f>
        <v>3 tiroirs (27")</v>
      </c>
      <c r="Q61" s="11">
        <v>2055.71</v>
      </c>
      <c r="R61" s="11">
        <f t="shared" si="18"/>
        <v>182.72977777777777</v>
      </c>
      <c r="S61" s="11">
        <f t="shared" si="19"/>
        <v>255.82168888888887</v>
      </c>
      <c r="T61" s="11">
        <f t="shared" si="20"/>
        <v>281.40385777777777</v>
      </c>
      <c r="U61" s="11">
        <f t="shared" si="32"/>
        <v>337.68462933333331</v>
      </c>
      <c r="V61" s="11">
        <f t="shared" si="32"/>
        <v>405.22155519999995</v>
      </c>
      <c r="W61" s="11">
        <f t="shared" si="22"/>
        <v>445.74371071999997</v>
      </c>
      <c r="X61" s="11">
        <f t="shared" si="23"/>
        <v>445.74371071999997</v>
      </c>
      <c r="Y61" s="14">
        <v>0.4</v>
      </c>
      <c r="Z61" s="11">
        <f t="shared" si="24"/>
        <v>742.90618453333332</v>
      </c>
      <c r="AA61" s="2">
        <v>27</v>
      </c>
      <c r="AB61" s="2">
        <v>34.5</v>
      </c>
      <c r="AC61" s="2">
        <v>24</v>
      </c>
      <c r="AD61" s="2">
        <v>0</v>
      </c>
      <c r="AE61" s="2">
        <v>3</v>
      </c>
    </row>
    <row r="62" spans="1:31">
      <c r="A62" s="2" t="s">
        <v>151</v>
      </c>
      <c r="B62" s="2"/>
      <c r="C62" s="2"/>
      <c r="D62" s="2"/>
      <c r="E62" s="2" t="b">
        <f t="shared" si="16"/>
        <v>1</v>
      </c>
      <c r="F62" s="2"/>
      <c r="G62" s="2" t="s">
        <v>152</v>
      </c>
      <c r="H62" s="2" t="str">
        <f t="shared" si="27"/>
        <v>Blanc</v>
      </c>
      <c r="I62" s="2" t="str">
        <f t="shared" si="17"/>
        <v>DRBC30-CW</v>
      </c>
      <c r="J62" s="2" t="str">
        <f>IFERROR(VLOOKUP(K62,Categories!$A$2:$C$41,2,FALSE()),"⚠ slug introuvable")</f>
        <v>base-cabinet</v>
      </c>
      <c r="K62" s="2" t="s">
        <v>119</v>
      </c>
      <c r="L62" s="2" t="str">
        <f>IFERROR(VLOOKUP(J62,Categories!$A$2:$C$41,3,FALSE()),"⚠ slug introuvable")</f>
        <v>Armoire du bas</v>
      </c>
      <c r="M62" s="2" t="str">
        <f>IFERROR(VLOOKUP(K62,Categories!$A$2:$C$41,3,FALSE()),"⚠ slug introuvable")</f>
        <v>Tiroir</v>
      </c>
      <c r="N62" s="2" t="s">
        <v>120</v>
      </c>
      <c r="O62" s="2" t="str">
        <f t="shared" si="31"/>
        <v>Armoire de cuisine du bas avec 3 tiroirs (30")</v>
      </c>
      <c r="P62" s="2" t="str">
        <f>_xlfn.CONCAT("3 tiroirs"," (",AA62,""")")</f>
        <v>3 tiroirs (30")</v>
      </c>
      <c r="Q62" s="11">
        <v>1332</v>
      </c>
      <c r="R62" s="11">
        <f t="shared" si="18"/>
        <v>118.4</v>
      </c>
      <c r="S62" s="11">
        <f t="shared" si="19"/>
        <v>165.76</v>
      </c>
      <c r="T62" s="11">
        <f t="shared" si="20"/>
        <v>182.33600000000001</v>
      </c>
      <c r="U62" s="11">
        <f t="shared" si="32"/>
        <v>218.8032</v>
      </c>
      <c r="V62" s="11">
        <f t="shared" si="32"/>
        <v>262.56383999999997</v>
      </c>
      <c r="W62" s="11">
        <f t="shared" si="22"/>
        <v>288.820224</v>
      </c>
      <c r="X62" s="11">
        <f t="shared" si="23"/>
        <v>288.820224</v>
      </c>
      <c r="Y62" s="14">
        <v>0.4</v>
      </c>
      <c r="Z62" s="11">
        <f t="shared" si="24"/>
        <v>481.36704000000003</v>
      </c>
      <c r="AA62" s="2">
        <v>30</v>
      </c>
      <c r="AB62" s="2">
        <v>34.5</v>
      </c>
      <c r="AC62" s="2">
        <v>24</v>
      </c>
      <c r="AD62" s="2">
        <v>0</v>
      </c>
      <c r="AE62" s="2">
        <v>3</v>
      </c>
    </row>
    <row r="63" spans="1:31">
      <c r="A63" s="2" t="s">
        <v>153</v>
      </c>
      <c r="B63" s="2"/>
      <c r="C63" s="2"/>
      <c r="D63" s="2"/>
      <c r="E63" s="2" t="b">
        <f t="shared" si="16"/>
        <v>1</v>
      </c>
      <c r="F63" s="2"/>
      <c r="G63" s="2" t="s">
        <v>154</v>
      </c>
      <c r="H63" s="2" t="str">
        <f t="shared" si="27"/>
        <v>Blanc</v>
      </c>
      <c r="I63" s="2" t="str">
        <f t="shared" si="17"/>
        <v>DRBC30-2-CW</v>
      </c>
      <c r="J63" s="2" t="str">
        <f>IFERROR(VLOOKUP(K63,Categories!$A$2:$C$41,2,FALSE()),"⚠ slug introuvable")</f>
        <v>base-cabinet</v>
      </c>
      <c r="K63" s="2" t="s">
        <v>119</v>
      </c>
      <c r="L63" s="2" t="str">
        <f>IFERROR(VLOOKUP(J63,Categories!$A$2:$C$41,3,FALSE()),"⚠ slug introuvable")</f>
        <v>Armoire du bas</v>
      </c>
      <c r="M63" s="2" t="str">
        <f>IFERROR(VLOOKUP(K63,Categories!$A$2:$C$41,3,FALSE()),"⚠ slug introuvable")</f>
        <v>Tiroir</v>
      </c>
      <c r="N63" s="2" t="s">
        <v>124</v>
      </c>
      <c r="O63" s="2" t="str">
        <f t="shared" si="31"/>
        <v>Armoire de cuisine du bas avec 2 tiroirs (30")</v>
      </c>
      <c r="P63" s="2" t="str">
        <f>_xlfn.CONCAT("2 tiroirs"," (",AA63,""")")</f>
        <v>2 tiroirs (30")</v>
      </c>
      <c r="Q63" s="11">
        <v>1082</v>
      </c>
      <c r="R63" s="11">
        <f t="shared" si="18"/>
        <v>96.177777777777777</v>
      </c>
      <c r="S63" s="11">
        <f t="shared" si="19"/>
        <v>134.64888888888888</v>
      </c>
      <c r="T63" s="11">
        <f t="shared" si="20"/>
        <v>148.11377777777778</v>
      </c>
      <c r="U63" s="11">
        <f t="shared" si="32"/>
        <v>177.73653333333334</v>
      </c>
      <c r="V63" s="11">
        <f t="shared" si="32"/>
        <v>213.28384</v>
      </c>
      <c r="W63" s="11">
        <f t="shared" si="22"/>
        <v>234.61222400000003</v>
      </c>
      <c r="X63" s="11">
        <f t="shared" si="23"/>
        <v>234.61222400000003</v>
      </c>
      <c r="Y63" s="14">
        <v>0.4</v>
      </c>
      <c r="Z63" s="11">
        <f t="shared" si="24"/>
        <v>391.0203733333334</v>
      </c>
      <c r="AA63" s="2">
        <v>30</v>
      </c>
      <c r="AB63" s="2">
        <v>34.5</v>
      </c>
      <c r="AC63" s="2">
        <v>24</v>
      </c>
      <c r="AD63" s="2">
        <v>0</v>
      </c>
      <c r="AE63" s="2">
        <v>2</v>
      </c>
    </row>
    <row r="64" spans="1:31">
      <c r="A64" s="2" t="s">
        <v>155</v>
      </c>
      <c r="B64" s="2"/>
      <c r="C64" s="2"/>
      <c r="D64" s="2"/>
      <c r="E64" s="2" t="b">
        <f t="shared" si="16"/>
        <v>1</v>
      </c>
      <c r="F64" s="2"/>
      <c r="G64" s="2" t="s">
        <v>154</v>
      </c>
      <c r="H64" s="2" t="str">
        <f t="shared" si="27"/>
        <v>Chêne blanc</v>
      </c>
      <c r="I64" s="2" t="str">
        <f t="shared" si="17"/>
        <v>DRBC30-2-WWO</v>
      </c>
      <c r="J64" s="2" t="str">
        <f>IFERROR(VLOOKUP(K64,Categories!$A$2:$C$41,2,FALSE()),"⚠ slug introuvable")</f>
        <v>base-cabinet</v>
      </c>
      <c r="K64" s="2" t="s">
        <v>119</v>
      </c>
      <c r="L64" s="2" t="str">
        <f>IFERROR(VLOOKUP(J64,Categories!$A$2:$C$41,3,FALSE()),"⚠ slug introuvable")</f>
        <v>Armoire du bas</v>
      </c>
      <c r="M64" s="2" t="str">
        <f>IFERROR(VLOOKUP(K64,Categories!$A$2:$C$41,3,FALSE()),"⚠ slug introuvable")</f>
        <v>Tiroir</v>
      </c>
      <c r="N64" s="2" t="s">
        <v>124</v>
      </c>
      <c r="O64" s="2" t="str">
        <f t="shared" si="31"/>
        <v>Armoire de cuisine du bas avec 2 tiroirs (30")</v>
      </c>
      <c r="P64" s="2" t="str">
        <f>_xlfn.CONCAT("2 tiroirs"," (",AA64,""")")</f>
        <v>2 tiroirs (30")</v>
      </c>
      <c r="Q64" s="11">
        <v>1419</v>
      </c>
      <c r="R64" s="11">
        <f t="shared" si="18"/>
        <v>126.13333333333334</v>
      </c>
      <c r="S64" s="11">
        <f t="shared" si="19"/>
        <v>176.58666666666667</v>
      </c>
      <c r="T64" s="11">
        <f t="shared" si="20"/>
        <v>194.24533333333335</v>
      </c>
      <c r="U64" s="11">
        <f t="shared" si="32"/>
        <v>233.09440000000001</v>
      </c>
      <c r="V64" s="11">
        <f t="shared" si="32"/>
        <v>279.71328</v>
      </c>
      <c r="W64" s="11">
        <f t="shared" si="22"/>
        <v>307.68460800000003</v>
      </c>
      <c r="X64" s="11">
        <f t="shared" si="23"/>
        <v>307.68460800000003</v>
      </c>
      <c r="Y64" s="14">
        <v>0.4</v>
      </c>
      <c r="Z64" s="11">
        <f t="shared" si="24"/>
        <v>512.80768000000012</v>
      </c>
      <c r="AA64" s="2">
        <v>30</v>
      </c>
      <c r="AB64" s="2">
        <v>34.5</v>
      </c>
      <c r="AC64" s="2">
        <v>24</v>
      </c>
      <c r="AD64" s="2">
        <v>0</v>
      </c>
      <c r="AE64" s="2">
        <v>2</v>
      </c>
    </row>
    <row r="65" spans="1:31">
      <c r="A65" s="2" t="s">
        <v>156</v>
      </c>
      <c r="B65" s="2"/>
      <c r="C65" s="2"/>
      <c r="D65" s="2"/>
      <c r="E65" s="2" t="b">
        <f t="shared" si="16"/>
        <v>1</v>
      </c>
      <c r="F65" s="2"/>
      <c r="G65" s="2" t="s">
        <v>152</v>
      </c>
      <c r="H65" s="2" t="str">
        <f t="shared" si="27"/>
        <v>Chêne blanc</v>
      </c>
      <c r="I65" s="2" t="str">
        <f t="shared" si="17"/>
        <v>DRBC30-WWO</v>
      </c>
      <c r="J65" s="2" t="str">
        <f>IFERROR(VLOOKUP(K65,Categories!$A$2:$C$41,2,FALSE()),"⚠ slug introuvable")</f>
        <v>base-cabinet</v>
      </c>
      <c r="K65" s="2" t="s">
        <v>119</v>
      </c>
      <c r="L65" s="2" t="str">
        <f>IFERROR(VLOOKUP(J65,Categories!$A$2:$C$41,3,FALSE()),"⚠ slug introuvable")</f>
        <v>Armoire du bas</v>
      </c>
      <c r="M65" s="2" t="str">
        <f>IFERROR(VLOOKUP(K65,Categories!$A$2:$C$41,3,FALSE()),"⚠ slug introuvable")</f>
        <v>Tiroir</v>
      </c>
      <c r="N65" s="2" t="s">
        <v>120</v>
      </c>
      <c r="O65" s="2" t="str">
        <f t="shared" si="31"/>
        <v>Armoire de cuisine du bas avec 3 tiroirs (30")</v>
      </c>
      <c r="P65" s="2" t="str">
        <f>_xlfn.CONCAT("3 tiroirs"," (",AA65,""")")</f>
        <v>3 tiroirs (30")</v>
      </c>
      <c r="Q65" s="11">
        <v>2151.23</v>
      </c>
      <c r="R65" s="11">
        <f t="shared" si="18"/>
        <v>191.22044444444444</v>
      </c>
      <c r="S65" s="11">
        <f t="shared" si="19"/>
        <v>267.70862222222217</v>
      </c>
      <c r="T65" s="11">
        <f t="shared" si="20"/>
        <v>294.47948444444444</v>
      </c>
      <c r="U65" s="11">
        <f t="shared" si="32"/>
        <v>353.37538133333334</v>
      </c>
      <c r="V65" s="11">
        <f t="shared" si="32"/>
        <v>424.05045760000002</v>
      </c>
      <c r="W65" s="11">
        <f t="shared" si="22"/>
        <v>466.45550336000008</v>
      </c>
      <c r="X65" s="11">
        <f t="shared" si="23"/>
        <v>466.45550336000008</v>
      </c>
      <c r="Y65" s="14">
        <v>0.4</v>
      </c>
      <c r="Z65" s="11">
        <f t="shared" si="24"/>
        <v>777.42583893333347</v>
      </c>
      <c r="AA65" s="2">
        <v>30</v>
      </c>
      <c r="AB65" s="2">
        <v>34.5</v>
      </c>
      <c r="AC65" s="2">
        <v>24</v>
      </c>
      <c r="AD65" s="2">
        <v>0</v>
      </c>
      <c r="AE65" s="2">
        <v>3</v>
      </c>
    </row>
    <row r="66" spans="1:31">
      <c r="A66" s="2" t="s">
        <v>157</v>
      </c>
      <c r="B66" s="2"/>
      <c r="C66" s="2"/>
      <c r="D66" s="2"/>
      <c r="E66" s="2" t="b">
        <f t="shared" si="16"/>
        <v>1</v>
      </c>
      <c r="F66" s="2"/>
      <c r="G66" s="2" t="s">
        <v>158</v>
      </c>
      <c r="H66" s="2" t="str">
        <f t="shared" si="27"/>
        <v>Blanc</v>
      </c>
      <c r="I66" s="2" t="str">
        <f t="shared" si="17"/>
        <v>DRBC33-CW</v>
      </c>
      <c r="J66" s="2" t="str">
        <f>IFERROR(VLOOKUP(K66,Categories!$A$2:$C$41,2,FALSE()),"⚠ slug introuvable")</f>
        <v>base-cabinet</v>
      </c>
      <c r="K66" s="2" t="s">
        <v>119</v>
      </c>
      <c r="L66" s="2" t="str">
        <f>IFERROR(VLOOKUP(J66,Categories!$A$2:$C$41,3,FALSE()),"⚠ slug introuvable")</f>
        <v>Armoire du bas</v>
      </c>
      <c r="M66" s="2" t="str">
        <f>IFERROR(VLOOKUP(K66,Categories!$A$2:$C$41,3,FALSE()),"⚠ slug introuvable")</f>
        <v>Tiroir</v>
      </c>
      <c r="N66" s="2" t="s">
        <v>120</v>
      </c>
      <c r="O66" s="2" t="str">
        <f t="shared" si="31"/>
        <v>Armoire de cuisine du bas avec 3 tiroirs (33")</v>
      </c>
      <c r="P66" s="2" t="str">
        <f>_xlfn.CONCAT("3 tiroirs"," (",AA66,""")")</f>
        <v>3 tiroirs (33")</v>
      </c>
      <c r="Q66" s="11">
        <v>1386</v>
      </c>
      <c r="R66" s="11">
        <f t="shared" si="18"/>
        <v>123.2</v>
      </c>
      <c r="S66" s="11">
        <f t="shared" si="19"/>
        <v>172.48</v>
      </c>
      <c r="T66" s="11">
        <f t="shared" si="20"/>
        <v>189.72800000000001</v>
      </c>
      <c r="U66" s="11">
        <f t="shared" si="32"/>
        <v>227.67359999999999</v>
      </c>
      <c r="V66" s="11">
        <f t="shared" si="32"/>
        <v>273.20831999999996</v>
      </c>
      <c r="W66" s="11">
        <f t="shared" si="22"/>
        <v>300.52915199999995</v>
      </c>
      <c r="X66" s="11">
        <f t="shared" si="23"/>
        <v>300.52915199999995</v>
      </c>
      <c r="Y66" s="14">
        <v>0.4</v>
      </c>
      <c r="Z66" s="11">
        <f t="shared" si="24"/>
        <v>500.88191999999992</v>
      </c>
      <c r="AA66" s="2">
        <v>33</v>
      </c>
      <c r="AB66" s="2">
        <v>34.5</v>
      </c>
      <c r="AC66" s="2">
        <v>24</v>
      </c>
      <c r="AD66" s="2">
        <v>0</v>
      </c>
      <c r="AE66" s="2">
        <v>3</v>
      </c>
    </row>
    <row r="67" spans="1:31">
      <c r="A67" s="2" t="s">
        <v>159</v>
      </c>
      <c r="B67" s="2"/>
      <c r="C67" s="2"/>
      <c r="D67" s="2"/>
      <c r="E67" s="2" t="b">
        <f t="shared" si="16"/>
        <v>1</v>
      </c>
      <c r="F67" s="2"/>
      <c r="G67" s="2" t="s">
        <v>158</v>
      </c>
      <c r="H67" s="2" t="str">
        <f t="shared" si="27"/>
        <v>Chêne blanc</v>
      </c>
      <c r="I67" s="2" t="str">
        <f t="shared" si="17"/>
        <v>DRBC33-WWO</v>
      </c>
      <c r="J67" s="2" t="str">
        <f>IFERROR(VLOOKUP(K67,Categories!$A$2:$C$41,2,FALSE()),"⚠ slug introuvable")</f>
        <v>base-cabinet</v>
      </c>
      <c r="K67" s="2" t="s">
        <v>119</v>
      </c>
      <c r="L67" s="2" t="str">
        <f>IFERROR(VLOOKUP(J67,Categories!$A$2:$C$41,3,FALSE()),"⚠ slug introuvable")</f>
        <v>Armoire du bas</v>
      </c>
      <c r="M67" s="2" t="str">
        <f>IFERROR(VLOOKUP(K67,Categories!$A$2:$C$41,3,FALSE()),"⚠ slug introuvable")</f>
        <v>Tiroir</v>
      </c>
      <c r="N67" s="2" t="s">
        <v>120</v>
      </c>
      <c r="O67" s="2" t="str">
        <f t="shared" si="31"/>
        <v>Armoire de cuisine du bas avec 3 tiroirs (33")</v>
      </c>
      <c r="P67" s="2" t="str">
        <f>_xlfn.CONCAT("3 tiroirs"," (",AA67,""")")</f>
        <v>3 tiroirs (33")</v>
      </c>
      <c r="Q67" s="11">
        <v>2253.94</v>
      </c>
      <c r="R67" s="11">
        <f t="shared" si="18"/>
        <v>200.35022222222221</v>
      </c>
      <c r="S67" s="11">
        <f t="shared" si="19"/>
        <v>280.49031111111105</v>
      </c>
      <c r="T67" s="11">
        <f t="shared" si="20"/>
        <v>308.53934222222216</v>
      </c>
      <c r="U67" s="11">
        <f t="shared" si="32"/>
        <v>370.2472106666666</v>
      </c>
      <c r="V67" s="11">
        <f t="shared" si="32"/>
        <v>444.29665279999989</v>
      </c>
      <c r="W67" s="11">
        <f t="shared" si="22"/>
        <v>488.72631807999994</v>
      </c>
      <c r="X67" s="11">
        <f t="shared" si="23"/>
        <v>488.72631807999994</v>
      </c>
      <c r="Y67" s="14">
        <v>0.4</v>
      </c>
      <c r="Z67" s="11">
        <f t="shared" si="24"/>
        <v>814.54386346666661</v>
      </c>
      <c r="AA67" s="2">
        <v>33</v>
      </c>
      <c r="AB67" s="2">
        <v>34.5</v>
      </c>
      <c r="AC67" s="2">
        <v>24</v>
      </c>
      <c r="AD67" s="2">
        <v>0</v>
      </c>
      <c r="AE67" s="2">
        <v>3</v>
      </c>
    </row>
    <row r="68" spans="1:31">
      <c r="A68" s="2" t="s">
        <v>160</v>
      </c>
      <c r="B68" s="2"/>
      <c r="C68" s="2"/>
      <c r="D68" s="2"/>
      <c r="E68" s="2" t="b">
        <f t="shared" si="16"/>
        <v>1</v>
      </c>
      <c r="F68" s="2"/>
      <c r="G68" s="2" t="s">
        <v>161</v>
      </c>
      <c r="H68" s="2" t="str">
        <f t="shared" si="27"/>
        <v>Chêne blanc</v>
      </c>
      <c r="I68" s="2" t="str">
        <f t="shared" si="17"/>
        <v>DRBC33-2-WWO</v>
      </c>
      <c r="J68" s="2" t="str">
        <f>IFERROR(VLOOKUP(K68,Categories!$A$2:$C$41,2,FALSE()),"⚠ slug introuvable")</f>
        <v>base-cabinet</v>
      </c>
      <c r="K68" s="2" t="s">
        <v>119</v>
      </c>
      <c r="L68" s="2" t="str">
        <f>IFERROR(VLOOKUP(J68,Categories!$A$2:$C$41,3,FALSE()),"⚠ slug introuvable")</f>
        <v>Armoire du bas</v>
      </c>
      <c r="M68" s="2" t="str">
        <f>IFERROR(VLOOKUP(K68,Categories!$A$2:$C$41,3,FALSE()),"⚠ slug introuvable")</f>
        <v>Tiroir</v>
      </c>
      <c r="N68" s="2" t="s">
        <v>124</v>
      </c>
      <c r="O68" s="2" t="str">
        <f t="shared" si="31"/>
        <v>Armoire de cuisine du bas avec 2 tiroirs (33")</v>
      </c>
      <c r="P68" s="2" t="str">
        <f>_xlfn.CONCAT("2 tiroirs"," (",AA68,""")")</f>
        <v>2 tiroirs (33")</v>
      </c>
      <c r="Q68" s="11">
        <v>1519</v>
      </c>
      <c r="R68" s="11">
        <f t="shared" si="18"/>
        <v>135.02222222222221</v>
      </c>
      <c r="S68" s="11">
        <f t="shared" si="19"/>
        <v>189.03111111111107</v>
      </c>
      <c r="T68" s="11">
        <f t="shared" si="20"/>
        <v>207.93422222222219</v>
      </c>
      <c r="U68" s="11">
        <f t="shared" si="32"/>
        <v>249.52106666666663</v>
      </c>
      <c r="V68" s="11">
        <f t="shared" si="32"/>
        <v>299.42527999999993</v>
      </c>
      <c r="W68" s="11">
        <f t="shared" si="22"/>
        <v>329.36780799999997</v>
      </c>
      <c r="X68" s="11">
        <f t="shared" si="23"/>
        <v>329.36780799999997</v>
      </c>
      <c r="Y68" s="14">
        <v>0.4</v>
      </c>
      <c r="Z68" s="11">
        <f t="shared" si="24"/>
        <v>548.94634666666661</v>
      </c>
      <c r="AA68" s="2">
        <v>33</v>
      </c>
      <c r="AB68" s="2">
        <v>34.5</v>
      </c>
      <c r="AC68" s="2">
        <v>24</v>
      </c>
      <c r="AD68" s="2">
        <v>0</v>
      </c>
      <c r="AE68" s="2">
        <v>2</v>
      </c>
    </row>
    <row r="69" spans="1:31">
      <c r="A69" s="2" t="s">
        <v>162</v>
      </c>
      <c r="B69" s="2"/>
      <c r="C69" s="2"/>
      <c r="D69" s="2"/>
      <c r="E69" s="2" t="b">
        <f t="shared" si="16"/>
        <v>1</v>
      </c>
      <c r="F69" s="2"/>
      <c r="G69" s="2" t="s">
        <v>163</v>
      </c>
      <c r="H69" s="2" t="str">
        <f t="shared" si="27"/>
        <v>Blanc</v>
      </c>
      <c r="I69" s="2" t="str">
        <f t="shared" si="17"/>
        <v>DRBC36-CW</v>
      </c>
      <c r="J69" s="2" t="str">
        <f>IFERROR(VLOOKUP(K69,Categories!$A$2:$C$41,2,FALSE()),"⚠ slug introuvable")</f>
        <v>base-cabinet</v>
      </c>
      <c r="K69" s="2" t="s">
        <v>119</v>
      </c>
      <c r="L69" s="2" t="str">
        <f>IFERROR(VLOOKUP(J69,Categories!$A$2:$C$41,3,FALSE()),"⚠ slug introuvable")</f>
        <v>Armoire du bas</v>
      </c>
      <c r="M69" s="2" t="str">
        <f>IFERROR(VLOOKUP(K69,Categories!$A$2:$C$41,3,FALSE()),"⚠ slug introuvable")</f>
        <v>Tiroir</v>
      </c>
      <c r="N69" s="2" t="s">
        <v>120</v>
      </c>
      <c r="O69" s="2" t="str">
        <f t="shared" si="31"/>
        <v>Armoire de cuisine du bas avec 3 tiroirs (36")</v>
      </c>
      <c r="P69" s="2" t="str">
        <f>_xlfn.CONCAT("3 tiroirs"," (",AA69,""")")</f>
        <v>3 tiroirs (36")</v>
      </c>
      <c r="Q69" s="11">
        <v>1604</v>
      </c>
      <c r="R69" s="11">
        <f t="shared" si="18"/>
        <v>142.57777777777778</v>
      </c>
      <c r="S69" s="11">
        <f t="shared" si="19"/>
        <v>199.60888888888888</v>
      </c>
      <c r="T69" s="11">
        <f t="shared" si="20"/>
        <v>219.5697777777778</v>
      </c>
      <c r="U69" s="11">
        <f t="shared" si="32"/>
        <v>263.48373333333336</v>
      </c>
      <c r="V69" s="11">
        <f t="shared" si="32"/>
        <v>316.18048000000005</v>
      </c>
      <c r="W69" s="11">
        <f t="shared" si="22"/>
        <v>347.79852800000009</v>
      </c>
      <c r="X69" s="11">
        <f t="shared" si="23"/>
        <v>347.79852800000009</v>
      </c>
      <c r="Y69" s="14">
        <v>0.4</v>
      </c>
      <c r="Z69" s="11">
        <f t="shared" si="24"/>
        <v>579.66421333333346</v>
      </c>
      <c r="AA69" s="2">
        <v>36</v>
      </c>
      <c r="AB69" s="2">
        <v>34.5</v>
      </c>
      <c r="AC69" s="2">
        <v>24</v>
      </c>
      <c r="AD69" s="2">
        <v>0</v>
      </c>
      <c r="AE69" s="2">
        <v>3</v>
      </c>
    </row>
    <row r="70" spans="1:31">
      <c r="A70" s="2" t="s">
        <v>164</v>
      </c>
      <c r="B70" s="2"/>
      <c r="C70" s="2"/>
      <c r="D70" s="2"/>
      <c r="E70" s="2" t="b">
        <f t="shared" si="16"/>
        <v>1</v>
      </c>
      <c r="F70" s="2"/>
      <c r="G70" s="2" t="s">
        <v>163</v>
      </c>
      <c r="H70" s="2" t="str">
        <f t="shared" si="27"/>
        <v>Chêne blanc</v>
      </c>
      <c r="I70" s="2" t="str">
        <f t="shared" si="17"/>
        <v>DRBC36-WWO</v>
      </c>
      <c r="J70" s="2" t="str">
        <f>IFERROR(VLOOKUP(K70,Categories!$A$2:$C$41,2,FALSE()),"⚠ slug introuvable")</f>
        <v>base-cabinet</v>
      </c>
      <c r="K70" s="2" t="s">
        <v>119</v>
      </c>
      <c r="L70" s="2" t="str">
        <f>IFERROR(VLOOKUP(J70,Categories!$A$2:$C$41,3,FALSE()),"⚠ slug introuvable")</f>
        <v>Armoire du bas</v>
      </c>
      <c r="M70" s="2" t="str">
        <f>IFERROR(VLOOKUP(K70,Categories!$A$2:$C$41,3,FALSE()),"⚠ slug introuvable")</f>
        <v>Tiroir</v>
      </c>
      <c r="N70" s="2" t="s">
        <v>120</v>
      </c>
      <c r="O70" s="2" t="str">
        <f t="shared" si="31"/>
        <v>Armoire de cuisine du bas avec 3 tiroirs (36")</v>
      </c>
      <c r="P70" s="2" t="str">
        <f>_xlfn.CONCAT("3 tiroirs"," (",AA70,""")")</f>
        <v>3 tiroirs (36")</v>
      </c>
      <c r="Q70" s="11">
        <v>2451.83</v>
      </c>
      <c r="R70" s="11">
        <f t="shared" si="18"/>
        <v>217.94044444444444</v>
      </c>
      <c r="S70" s="11">
        <f t="shared" si="19"/>
        <v>305.11662222222219</v>
      </c>
      <c r="T70" s="11">
        <f t="shared" si="20"/>
        <v>335.62828444444443</v>
      </c>
      <c r="U70" s="11">
        <f t="shared" ref="U70:V89" si="33">T70*1.2</f>
        <v>402.75394133333333</v>
      </c>
      <c r="V70" s="11">
        <f t="shared" si="33"/>
        <v>483.30472959999997</v>
      </c>
      <c r="W70" s="11">
        <f t="shared" si="22"/>
        <v>531.63520256000004</v>
      </c>
      <c r="X70" s="11">
        <f t="shared" si="23"/>
        <v>531.63520256000004</v>
      </c>
      <c r="Y70" s="14">
        <v>0.4</v>
      </c>
      <c r="Z70" s="11">
        <f t="shared" si="24"/>
        <v>886.05867093333347</v>
      </c>
      <c r="AA70" s="2">
        <v>36</v>
      </c>
      <c r="AB70" s="2">
        <v>34.5</v>
      </c>
      <c r="AC70" s="2">
        <v>24</v>
      </c>
      <c r="AD70" s="2">
        <v>0</v>
      </c>
      <c r="AE70" s="2">
        <v>3</v>
      </c>
    </row>
    <row r="71" spans="1:31">
      <c r="A71" s="2" t="s">
        <v>165</v>
      </c>
      <c r="B71" s="2"/>
      <c r="C71" s="2"/>
      <c r="D71" s="2"/>
      <c r="E71" s="2" t="b">
        <f t="shared" si="16"/>
        <v>1</v>
      </c>
      <c r="F71" s="2"/>
      <c r="G71" s="2" t="s">
        <v>166</v>
      </c>
      <c r="H71" s="2" t="str">
        <f t="shared" si="27"/>
        <v>Chêne blanc</v>
      </c>
      <c r="I71" s="2" t="str">
        <f t="shared" si="17"/>
        <v>DRBC36-2-WWO</v>
      </c>
      <c r="J71" s="2" t="str">
        <f>IFERROR(VLOOKUP(K71,Categories!$A$2:$C$41,2,FALSE()),"⚠ slug introuvable")</f>
        <v>base-cabinet</v>
      </c>
      <c r="K71" s="2" t="s">
        <v>119</v>
      </c>
      <c r="L71" s="2" t="str">
        <f>IFERROR(VLOOKUP(J71,Categories!$A$2:$C$41,3,FALSE()),"⚠ slug introuvable")</f>
        <v>Armoire du bas</v>
      </c>
      <c r="M71" s="2" t="str">
        <f>IFERROR(VLOOKUP(K71,Categories!$A$2:$C$41,3,FALSE()),"⚠ slug introuvable")</f>
        <v>Tiroir</v>
      </c>
      <c r="N71" s="2" t="s">
        <v>124</v>
      </c>
      <c r="O71" s="2" t="str">
        <f t="shared" si="31"/>
        <v>Armoire de cuisine du bas avec 2 tiroirs (36")</v>
      </c>
      <c r="P71" s="2" t="str">
        <f>_xlfn.CONCAT("2 tiroirs"," (",AA71,""")")</f>
        <v>2 tiroirs (36")</v>
      </c>
      <c r="Q71" s="11">
        <v>1621</v>
      </c>
      <c r="R71" s="11">
        <f t="shared" si="18"/>
        <v>144.0888888888889</v>
      </c>
      <c r="S71" s="11">
        <f t="shared" si="19"/>
        <v>201.72444444444446</v>
      </c>
      <c r="T71" s="11">
        <f t="shared" si="20"/>
        <v>221.89688888888892</v>
      </c>
      <c r="U71" s="11">
        <f t="shared" si="33"/>
        <v>266.27626666666669</v>
      </c>
      <c r="V71" s="11">
        <f t="shared" si="33"/>
        <v>319.53152</v>
      </c>
      <c r="W71" s="11">
        <f t="shared" si="22"/>
        <v>351.48467200000005</v>
      </c>
      <c r="X71" s="11">
        <f t="shared" si="23"/>
        <v>351.48467200000005</v>
      </c>
      <c r="Y71" s="14">
        <v>0.4</v>
      </c>
      <c r="Z71" s="11">
        <f t="shared" si="24"/>
        <v>585.80778666666674</v>
      </c>
      <c r="AA71" s="2">
        <v>36</v>
      </c>
      <c r="AB71" s="2">
        <v>34.5</v>
      </c>
      <c r="AC71" s="2">
        <v>24</v>
      </c>
      <c r="AD71" s="2">
        <v>0</v>
      </c>
      <c r="AE71" s="2">
        <v>2</v>
      </c>
    </row>
    <row r="72" spans="1:31">
      <c r="A72" s="2" t="s">
        <v>167</v>
      </c>
      <c r="B72" s="2"/>
      <c r="C72" s="2"/>
      <c r="D72" s="2"/>
      <c r="E72" s="2" t="b">
        <f t="shared" si="16"/>
        <v>1</v>
      </c>
      <c r="F72" s="2"/>
      <c r="G72" s="2" t="s">
        <v>168</v>
      </c>
      <c r="H72" s="2" t="str">
        <f t="shared" si="27"/>
        <v>Blanc</v>
      </c>
      <c r="I72" s="2" t="str">
        <f t="shared" si="17"/>
        <v>DOBC09-CW</v>
      </c>
      <c r="J72" s="2" t="str">
        <f>IFERROR(VLOOKUP(K72,Categories!$A$2:$C$41,2,FALSE()),"⚠ slug introuvable")</f>
        <v>base-cabinet</v>
      </c>
      <c r="K72" s="2" t="s">
        <v>37</v>
      </c>
      <c r="L72" s="2" t="str">
        <f>IFERROR(VLOOKUP(J72,Categories!$A$2:$C$41,3,FALSE()),"⚠ slug introuvable")</f>
        <v>Armoire du bas</v>
      </c>
      <c r="M72" s="2" t="str">
        <f>IFERROR(VLOOKUP(K72,Categories!$A$2:$C$41,3,FALSE()),"⚠ slug introuvable")</f>
        <v>Standard</v>
      </c>
      <c r="N72" s="2" t="s">
        <v>169</v>
      </c>
      <c r="O72" s="2" t="str">
        <f t="shared" si="31"/>
        <v>Armoire de cuisine du bas avec 1 porte (9")</v>
      </c>
      <c r="P72" s="2" t="str">
        <f t="shared" ref="P72:P81" si="34">_xlfn.CONCAT("1 porte"," (",AA72,""")")</f>
        <v>1 porte (9")</v>
      </c>
      <c r="Q72" s="11">
        <v>441</v>
      </c>
      <c r="R72" s="11">
        <f t="shared" si="18"/>
        <v>39.200000000000003</v>
      </c>
      <c r="S72" s="11">
        <f t="shared" si="19"/>
        <v>54.88</v>
      </c>
      <c r="T72" s="11">
        <f t="shared" si="20"/>
        <v>60.368000000000009</v>
      </c>
      <c r="U72" s="11">
        <f t="shared" si="33"/>
        <v>72.441600000000008</v>
      </c>
      <c r="V72" s="11">
        <f t="shared" si="33"/>
        <v>86.92992000000001</v>
      </c>
      <c r="W72" s="11">
        <f t="shared" si="22"/>
        <v>95.622912000000014</v>
      </c>
      <c r="X72" s="11">
        <f t="shared" si="23"/>
        <v>95.622912000000014</v>
      </c>
      <c r="Y72" s="14">
        <v>0.4</v>
      </c>
      <c r="Z72" s="11">
        <f t="shared" si="24"/>
        <v>159.37152000000003</v>
      </c>
      <c r="AA72" s="2">
        <v>9</v>
      </c>
      <c r="AB72" s="2">
        <v>34.5</v>
      </c>
      <c r="AC72" s="2">
        <v>24</v>
      </c>
      <c r="AD72" s="2">
        <v>1</v>
      </c>
      <c r="AE72" s="2">
        <v>0</v>
      </c>
    </row>
    <row r="73" spans="1:31">
      <c r="A73" s="2" t="s">
        <v>170</v>
      </c>
      <c r="B73" s="2"/>
      <c r="C73" s="2"/>
      <c r="D73" s="2"/>
      <c r="E73" s="2" t="b">
        <f t="shared" si="16"/>
        <v>1</v>
      </c>
      <c r="F73" s="2"/>
      <c r="G73" s="2" t="s">
        <v>168</v>
      </c>
      <c r="H73" s="2" t="str">
        <f t="shared" si="27"/>
        <v>Chêne blanc</v>
      </c>
      <c r="I73" s="2" t="str">
        <f t="shared" si="17"/>
        <v>DOBC09-WWO</v>
      </c>
      <c r="J73" s="2" t="str">
        <f>IFERROR(VLOOKUP(K73,Categories!$A$2:$C$41,2,FALSE()),"⚠ slug introuvable")</f>
        <v>base-cabinet</v>
      </c>
      <c r="K73" s="2" t="s">
        <v>37</v>
      </c>
      <c r="L73" s="2" t="str">
        <f>IFERROR(VLOOKUP(J73,Categories!$A$2:$C$41,3,FALSE()),"⚠ slug introuvable")</f>
        <v>Armoire du bas</v>
      </c>
      <c r="M73" s="2" t="str">
        <f>IFERROR(VLOOKUP(K73,Categories!$A$2:$C$41,3,FALSE()),"⚠ slug introuvable")</f>
        <v>Standard</v>
      </c>
      <c r="N73" s="2" t="s">
        <v>169</v>
      </c>
      <c r="O73" s="2" t="str">
        <f t="shared" si="31"/>
        <v>Armoire de cuisine du bas avec 1 porte (9")</v>
      </c>
      <c r="P73" s="2" t="str">
        <f t="shared" si="34"/>
        <v>1 porte (9")</v>
      </c>
      <c r="Q73" s="11">
        <v>527.17999999999995</v>
      </c>
      <c r="R73" s="11">
        <f t="shared" si="18"/>
        <v>46.86044444444444</v>
      </c>
      <c r="S73" s="11">
        <f t="shared" si="19"/>
        <v>65.604622222222218</v>
      </c>
      <c r="T73" s="11">
        <f t="shared" si="20"/>
        <v>72.165084444444446</v>
      </c>
      <c r="U73" s="11">
        <f t="shared" si="33"/>
        <v>86.598101333333332</v>
      </c>
      <c r="V73" s="11">
        <f t="shared" si="33"/>
        <v>103.91772159999999</v>
      </c>
      <c r="W73" s="11">
        <f t="shared" si="22"/>
        <v>114.30949376</v>
      </c>
      <c r="X73" s="11">
        <f t="shared" si="23"/>
        <v>114.30949376</v>
      </c>
      <c r="Y73" s="14">
        <v>0.4</v>
      </c>
      <c r="Z73" s="11">
        <f t="shared" si="24"/>
        <v>190.51582293333334</v>
      </c>
      <c r="AA73" s="2">
        <v>9</v>
      </c>
      <c r="AB73" s="2">
        <v>34.5</v>
      </c>
      <c r="AC73" s="2">
        <v>24</v>
      </c>
      <c r="AD73" s="2">
        <v>1</v>
      </c>
      <c r="AE73" s="2">
        <v>0</v>
      </c>
    </row>
    <row r="74" spans="1:31">
      <c r="A74" s="2" t="s">
        <v>171</v>
      </c>
      <c r="B74" s="2"/>
      <c r="C74" s="2"/>
      <c r="D74" s="2"/>
      <c r="E74" s="2" t="b">
        <f t="shared" ref="E74:E137" si="35">IF(OR(B74=TRUE,C74=TRUE,D74=TRUE),FALSE,TRUE)</f>
        <v>1</v>
      </c>
      <c r="F74" s="2"/>
      <c r="G74" s="2" t="s">
        <v>172</v>
      </c>
      <c r="H74" s="2" t="str">
        <f t="shared" si="27"/>
        <v>Blanc</v>
      </c>
      <c r="I74" s="2" t="str">
        <f t="shared" ref="I74:I137" si="36">_xlfn.CONCAT(G74,IF(H74="","",IF(H74="Blanc","-CW","-WWO")))</f>
        <v>DOBC12-CW</v>
      </c>
      <c r="J74" s="2" t="str">
        <f>IFERROR(VLOOKUP(K74,Categories!$A$2:$C$41,2,FALSE()),"⚠ slug introuvable")</f>
        <v>base-cabinet</v>
      </c>
      <c r="K74" s="2" t="s">
        <v>37</v>
      </c>
      <c r="L74" s="2" t="str">
        <f>IFERROR(VLOOKUP(J74,Categories!$A$2:$C$41,3,FALSE()),"⚠ slug introuvable")</f>
        <v>Armoire du bas</v>
      </c>
      <c r="M74" s="2" t="str">
        <f>IFERROR(VLOOKUP(K74,Categories!$A$2:$C$41,3,FALSE()),"⚠ slug introuvable")</f>
        <v>Standard</v>
      </c>
      <c r="N74" s="2" t="s">
        <v>169</v>
      </c>
      <c r="O74" s="2" t="str">
        <f t="shared" ref="O74:O105" si="37">_xlfn.CONCAT(N74," (",AA74,""")")</f>
        <v>Armoire de cuisine du bas avec 1 porte (12")</v>
      </c>
      <c r="P74" s="2" t="str">
        <f t="shared" si="34"/>
        <v>1 porte (12")</v>
      </c>
      <c r="Q74" s="11">
        <v>488</v>
      </c>
      <c r="R74" s="11">
        <f t="shared" ref="R74:R137" si="38">Q74/11.25</f>
        <v>43.37777777777778</v>
      </c>
      <c r="S74" s="11">
        <f t="shared" ref="S74:S137" si="39">R74*1.4</f>
        <v>60.728888888888889</v>
      </c>
      <c r="T74" s="11">
        <f t="shared" ref="T74:T137" si="40">S74*1.1</f>
        <v>66.801777777777787</v>
      </c>
      <c r="U74" s="11">
        <f t="shared" si="33"/>
        <v>80.162133333333344</v>
      </c>
      <c r="V74" s="11">
        <f t="shared" si="33"/>
        <v>96.19456000000001</v>
      </c>
      <c r="W74" s="11">
        <f t="shared" ref="W74:W137" si="41">V74*1.1</f>
        <v>105.81401600000002</v>
      </c>
      <c r="X74" s="11">
        <f t="shared" ref="X74:X137" si="42">W74</f>
        <v>105.81401600000002</v>
      </c>
      <c r="Y74" s="14">
        <v>0.4</v>
      </c>
      <c r="Z74" s="11">
        <f t="shared" ref="Z74:Z137" si="43">X74/(1-Y74)</f>
        <v>176.35669333333337</v>
      </c>
      <c r="AA74" s="2">
        <v>12</v>
      </c>
      <c r="AB74" s="2">
        <v>34.5</v>
      </c>
      <c r="AC74" s="2">
        <v>24</v>
      </c>
      <c r="AD74" s="2">
        <v>1</v>
      </c>
      <c r="AE74" s="2">
        <v>0</v>
      </c>
    </row>
    <row r="75" spans="1:31">
      <c r="A75" s="2" t="s">
        <v>173</v>
      </c>
      <c r="B75" s="2"/>
      <c r="C75" s="2"/>
      <c r="D75" s="2"/>
      <c r="E75" s="2" t="b">
        <f t="shared" si="35"/>
        <v>1</v>
      </c>
      <c r="F75" s="2"/>
      <c r="G75" s="2" t="s">
        <v>172</v>
      </c>
      <c r="H75" s="2" t="str">
        <f t="shared" si="27"/>
        <v>Chêne blanc</v>
      </c>
      <c r="I75" s="2" t="str">
        <f t="shared" si="36"/>
        <v>DOBC12-WWO</v>
      </c>
      <c r="J75" s="2" t="str">
        <f>IFERROR(VLOOKUP(K75,Categories!$A$2:$C$41,2,FALSE()),"⚠ slug introuvable")</f>
        <v>base-cabinet</v>
      </c>
      <c r="K75" s="2" t="s">
        <v>37</v>
      </c>
      <c r="L75" s="2" t="str">
        <f>IFERROR(VLOOKUP(J75,Categories!$A$2:$C$41,3,FALSE()),"⚠ slug introuvable")</f>
        <v>Armoire du bas</v>
      </c>
      <c r="M75" s="2" t="str">
        <f>IFERROR(VLOOKUP(K75,Categories!$A$2:$C$41,3,FALSE()),"⚠ slug introuvable")</f>
        <v>Standard</v>
      </c>
      <c r="N75" s="2" t="s">
        <v>169</v>
      </c>
      <c r="O75" s="2" t="str">
        <f t="shared" si="37"/>
        <v>Armoire de cuisine du bas avec 1 porte (12")</v>
      </c>
      <c r="P75" s="2" t="str">
        <f t="shared" si="34"/>
        <v>1 porte (12")</v>
      </c>
      <c r="Q75" s="11">
        <v>587.25</v>
      </c>
      <c r="R75" s="11">
        <f t="shared" si="38"/>
        <v>52.2</v>
      </c>
      <c r="S75" s="11">
        <f t="shared" si="39"/>
        <v>73.08</v>
      </c>
      <c r="T75" s="11">
        <f t="shared" si="40"/>
        <v>80.388000000000005</v>
      </c>
      <c r="U75" s="11">
        <f t="shared" si="33"/>
        <v>96.465600000000009</v>
      </c>
      <c r="V75" s="11">
        <f t="shared" si="33"/>
        <v>115.75872000000001</v>
      </c>
      <c r="W75" s="11">
        <f t="shared" si="41"/>
        <v>127.33459200000003</v>
      </c>
      <c r="X75" s="11">
        <f t="shared" si="42"/>
        <v>127.33459200000003</v>
      </c>
      <c r="Y75" s="14">
        <v>0.4</v>
      </c>
      <c r="Z75" s="11">
        <f t="shared" si="43"/>
        <v>212.22432000000006</v>
      </c>
      <c r="AA75" s="2">
        <v>12</v>
      </c>
      <c r="AB75" s="2">
        <v>34.5</v>
      </c>
      <c r="AC75" s="2">
        <v>24</v>
      </c>
      <c r="AD75" s="2">
        <v>1</v>
      </c>
      <c r="AE75" s="2">
        <v>0</v>
      </c>
    </row>
    <row r="76" spans="1:31">
      <c r="A76" s="2" t="s">
        <v>174</v>
      </c>
      <c r="B76" s="2"/>
      <c r="C76" s="2"/>
      <c r="D76" s="2"/>
      <c r="E76" s="2" t="b">
        <f t="shared" si="35"/>
        <v>1</v>
      </c>
      <c r="F76" s="2"/>
      <c r="G76" s="2" t="s">
        <v>175</v>
      </c>
      <c r="H76" s="2" t="str">
        <f t="shared" si="27"/>
        <v>Blanc</v>
      </c>
      <c r="I76" s="2" t="str">
        <f t="shared" si="36"/>
        <v>DOBC15-CW</v>
      </c>
      <c r="J76" s="2" t="str">
        <f>IFERROR(VLOOKUP(K76,Categories!$A$2:$C$41,2,FALSE()),"⚠ slug introuvable")</f>
        <v>base-cabinet</v>
      </c>
      <c r="K76" s="2" t="s">
        <v>37</v>
      </c>
      <c r="L76" s="2" t="str">
        <f>IFERROR(VLOOKUP(J76,Categories!$A$2:$C$41,3,FALSE()),"⚠ slug introuvable")</f>
        <v>Armoire du bas</v>
      </c>
      <c r="M76" s="2" t="str">
        <f>IFERROR(VLOOKUP(K76,Categories!$A$2:$C$41,3,FALSE()),"⚠ slug introuvable")</f>
        <v>Standard</v>
      </c>
      <c r="N76" s="2" t="s">
        <v>169</v>
      </c>
      <c r="O76" s="2" t="str">
        <f t="shared" si="37"/>
        <v>Armoire de cuisine du bas avec 1 porte (15")</v>
      </c>
      <c r="P76" s="2" t="str">
        <f t="shared" si="34"/>
        <v>1 porte (15")</v>
      </c>
      <c r="Q76" s="11">
        <v>552</v>
      </c>
      <c r="R76" s="11">
        <f t="shared" si="38"/>
        <v>49.06666666666667</v>
      </c>
      <c r="S76" s="11">
        <f t="shared" si="39"/>
        <v>68.693333333333328</v>
      </c>
      <c r="T76" s="11">
        <f t="shared" si="40"/>
        <v>75.562666666666672</v>
      </c>
      <c r="U76" s="11">
        <f t="shared" si="33"/>
        <v>90.675200000000004</v>
      </c>
      <c r="V76" s="11">
        <f t="shared" si="33"/>
        <v>108.81024000000001</v>
      </c>
      <c r="W76" s="11">
        <f t="shared" si="41"/>
        <v>119.69126400000002</v>
      </c>
      <c r="X76" s="11">
        <f t="shared" si="42"/>
        <v>119.69126400000002</v>
      </c>
      <c r="Y76" s="14">
        <v>0.4</v>
      </c>
      <c r="Z76" s="11">
        <f t="shared" si="43"/>
        <v>199.48544000000004</v>
      </c>
      <c r="AA76" s="2">
        <v>15</v>
      </c>
      <c r="AB76" s="2">
        <v>34.5</v>
      </c>
      <c r="AC76" s="2">
        <v>24</v>
      </c>
      <c r="AD76" s="2">
        <v>1</v>
      </c>
      <c r="AE76" s="2">
        <v>0</v>
      </c>
    </row>
    <row r="77" spans="1:31">
      <c r="A77" s="2" t="s">
        <v>176</v>
      </c>
      <c r="B77" s="2"/>
      <c r="C77" s="2"/>
      <c r="D77" s="2"/>
      <c r="E77" s="2" t="b">
        <f t="shared" si="35"/>
        <v>1</v>
      </c>
      <c r="F77" s="2"/>
      <c r="G77" s="2" t="s">
        <v>175</v>
      </c>
      <c r="H77" s="2" t="str">
        <f t="shared" si="27"/>
        <v>Chêne blanc</v>
      </c>
      <c r="I77" s="2" t="str">
        <f t="shared" si="36"/>
        <v>DOBC15-WWO</v>
      </c>
      <c r="J77" s="2" t="str">
        <f>IFERROR(VLOOKUP(K77,Categories!$A$2:$C$41,2,FALSE()),"⚠ slug introuvable")</f>
        <v>base-cabinet</v>
      </c>
      <c r="K77" s="2" t="s">
        <v>37</v>
      </c>
      <c r="L77" s="2" t="str">
        <f>IFERROR(VLOOKUP(J77,Categories!$A$2:$C$41,3,FALSE()),"⚠ slug introuvable")</f>
        <v>Armoire du bas</v>
      </c>
      <c r="M77" s="2" t="str">
        <f>IFERROR(VLOOKUP(K77,Categories!$A$2:$C$41,3,FALSE()),"⚠ slug introuvable")</f>
        <v>Standard</v>
      </c>
      <c r="N77" s="2" t="s">
        <v>169</v>
      </c>
      <c r="O77" s="2" t="str">
        <f t="shared" si="37"/>
        <v>Armoire de cuisine du bas avec 1 porte (15")</v>
      </c>
      <c r="P77" s="2" t="str">
        <f t="shared" si="34"/>
        <v>1 porte (15")</v>
      </c>
      <c r="Q77" s="11">
        <v>663.98</v>
      </c>
      <c r="R77" s="11">
        <f t="shared" si="38"/>
        <v>59.020444444444443</v>
      </c>
      <c r="S77" s="11">
        <f t="shared" si="39"/>
        <v>82.628622222222219</v>
      </c>
      <c r="T77" s="11">
        <f t="shared" si="40"/>
        <v>90.891484444444444</v>
      </c>
      <c r="U77" s="11">
        <f t="shared" si="33"/>
        <v>109.06978133333332</v>
      </c>
      <c r="V77" s="11">
        <f t="shared" si="33"/>
        <v>130.88373759999999</v>
      </c>
      <c r="W77" s="11">
        <f t="shared" si="41"/>
        <v>143.97211136000001</v>
      </c>
      <c r="X77" s="11">
        <f t="shared" si="42"/>
        <v>143.97211136000001</v>
      </c>
      <c r="Y77" s="14">
        <v>0.4</v>
      </c>
      <c r="Z77" s="11">
        <f t="shared" si="43"/>
        <v>239.95351893333336</v>
      </c>
      <c r="AA77" s="2">
        <v>15</v>
      </c>
      <c r="AB77" s="2">
        <v>34.5</v>
      </c>
      <c r="AC77" s="2">
        <v>24</v>
      </c>
      <c r="AD77" s="2">
        <v>1</v>
      </c>
      <c r="AE77" s="2">
        <v>0</v>
      </c>
    </row>
    <row r="78" spans="1:31">
      <c r="A78" s="2" t="s">
        <v>177</v>
      </c>
      <c r="B78" s="2"/>
      <c r="C78" s="2"/>
      <c r="D78" s="2"/>
      <c r="E78" s="2" t="b">
        <f t="shared" si="35"/>
        <v>1</v>
      </c>
      <c r="F78" s="2"/>
      <c r="G78" s="2" t="s">
        <v>178</v>
      </c>
      <c r="H78" s="2" t="str">
        <f t="shared" si="27"/>
        <v>Blanc</v>
      </c>
      <c r="I78" s="2" t="str">
        <f t="shared" si="36"/>
        <v>DOBC18-CW</v>
      </c>
      <c r="J78" s="2" t="str">
        <f>IFERROR(VLOOKUP(K78,Categories!$A$2:$C$41,2,FALSE()),"⚠ slug introuvable")</f>
        <v>base-cabinet</v>
      </c>
      <c r="K78" s="2" t="s">
        <v>37</v>
      </c>
      <c r="L78" s="2" t="str">
        <f>IFERROR(VLOOKUP(J78,Categories!$A$2:$C$41,3,FALSE()),"⚠ slug introuvable")</f>
        <v>Armoire du bas</v>
      </c>
      <c r="M78" s="2" t="str">
        <f>IFERROR(VLOOKUP(K78,Categories!$A$2:$C$41,3,FALSE()),"⚠ slug introuvable")</f>
        <v>Standard</v>
      </c>
      <c r="N78" s="2" t="s">
        <v>169</v>
      </c>
      <c r="O78" s="2" t="str">
        <f t="shared" si="37"/>
        <v>Armoire de cuisine du bas avec 1 porte (18")</v>
      </c>
      <c r="P78" s="2" t="str">
        <f t="shared" si="34"/>
        <v>1 porte (18")</v>
      </c>
      <c r="Q78" s="11">
        <v>600</v>
      </c>
      <c r="R78" s="11">
        <f t="shared" si="38"/>
        <v>53.333333333333336</v>
      </c>
      <c r="S78" s="11">
        <f t="shared" si="39"/>
        <v>74.666666666666671</v>
      </c>
      <c r="T78" s="11">
        <f t="shared" si="40"/>
        <v>82.13333333333334</v>
      </c>
      <c r="U78" s="11">
        <f t="shared" si="33"/>
        <v>98.56</v>
      </c>
      <c r="V78" s="11">
        <f t="shared" si="33"/>
        <v>118.27199999999999</v>
      </c>
      <c r="W78" s="11">
        <f t="shared" si="41"/>
        <v>130.0992</v>
      </c>
      <c r="X78" s="11">
        <f t="shared" si="42"/>
        <v>130.0992</v>
      </c>
      <c r="Y78" s="14">
        <v>0.4</v>
      </c>
      <c r="Z78" s="11">
        <f t="shared" si="43"/>
        <v>216.83199999999999</v>
      </c>
      <c r="AA78" s="2">
        <v>18</v>
      </c>
      <c r="AB78" s="2">
        <v>34.5</v>
      </c>
      <c r="AC78" s="2">
        <v>24</v>
      </c>
      <c r="AD78" s="2">
        <v>1</v>
      </c>
      <c r="AE78" s="2">
        <v>0</v>
      </c>
    </row>
    <row r="79" spans="1:31">
      <c r="A79" s="2" t="s">
        <v>179</v>
      </c>
      <c r="B79" s="2"/>
      <c r="C79" s="2"/>
      <c r="D79" s="2"/>
      <c r="E79" s="2" t="b">
        <f t="shared" si="35"/>
        <v>1</v>
      </c>
      <c r="F79" s="2"/>
      <c r="G79" s="2" t="s">
        <v>178</v>
      </c>
      <c r="H79" s="2" t="str">
        <f t="shared" si="27"/>
        <v>Chêne blanc</v>
      </c>
      <c r="I79" s="2" t="str">
        <f t="shared" si="36"/>
        <v>DOBC18-WWO</v>
      </c>
      <c r="J79" s="2" t="str">
        <f>IFERROR(VLOOKUP(K79,Categories!$A$2:$C$41,2,FALSE()),"⚠ slug introuvable")</f>
        <v>base-cabinet</v>
      </c>
      <c r="K79" s="2" t="s">
        <v>37</v>
      </c>
      <c r="L79" s="2" t="str">
        <f>IFERROR(VLOOKUP(J79,Categories!$A$2:$C$41,3,FALSE()),"⚠ slug introuvable")</f>
        <v>Armoire du bas</v>
      </c>
      <c r="M79" s="2" t="str">
        <f>IFERROR(VLOOKUP(K79,Categories!$A$2:$C$41,3,FALSE()),"⚠ slug introuvable")</f>
        <v>Standard</v>
      </c>
      <c r="N79" s="2" t="s">
        <v>169</v>
      </c>
      <c r="O79" s="2" t="str">
        <f t="shared" si="37"/>
        <v>Armoire de cuisine du bas avec 1 porte (18")</v>
      </c>
      <c r="P79" s="2" t="str">
        <f t="shared" si="34"/>
        <v>1 porte (18")</v>
      </c>
      <c r="Q79" s="11">
        <v>725.18</v>
      </c>
      <c r="R79" s="11">
        <f t="shared" si="38"/>
        <v>64.460444444444434</v>
      </c>
      <c r="S79" s="11">
        <f t="shared" si="39"/>
        <v>90.244622222222205</v>
      </c>
      <c r="T79" s="11">
        <f t="shared" si="40"/>
        <v>99.269084444444431</v>
      </c>
      <c r="U79" s="11">
        <f t="shared" si="33"/>
        <v>119.12290133333332</v>
      </c>
      <c r="V79" s="11">
        <f t="shared" si="33"/>
        <v>142.94748159999997</v>
      </c>
      <c r="W79" s="11">
        <f t="shared" si="41"/>
        <v>157.24222975999999</v>
      </c>
      <c r="X79" s="11">
        <f t="shared" si="42"/>
        <v>157.24222975999999</v>
      </c>
      <c r="Y79" s="14">
        <v>0.4</v>
      </c>
      <c r="Z79" s="11">
        <f t="shared" si="43"/>
        <v>262.07038293333335</v>
      </c>
      <c r="AA79" s="2">
        <v>18</v>
      </c>
      <c r="AB79" s="2">
        <v>34.5</v>
      </c>
      <c r="AC79" s="2">
        <v>24</v>
      </c>
      <c r="AD79" s="2">
        <v>1</v>
      </c>
      <c r="AE79" s="2">
        <v>0</v>
      </c>
    </row>
    <row r="80" spans="1:31">
      <c r="A80" s="2" t="s">
        <v>180</v>
      </c>
      <c r="B80" s="2"/>
      <c r="C80" s="2"/>
      <c r="D80" s="2"/>
      <c r="E80" s="2" t="b">
        <f t="shared" si="35"/>
        <v>1</v>
      </c>
      <c r="F80" s="2"/>
      <c r="G80" s="2" t="s">
        <v>181</v>
      </c>
      <c r="H80" s="2" t="str">
        <f t="shared" si="27"/>
        <v>Blanc</v>
      </c>
      <c r="I80" s="2" t="str">
        <f t="shared" si="36"/>
        <v>DOBC21-CW</v>
      </c>
      <c r="J80" s="2" t="str">
        <f>IFERROR(VLOOKUP(K80,Categories!$A$2:$C$41,2,FALSE()),"⚠ slug introuvable")</f>
        <v>base-cabinet</v>
      </c>
      <c r="K80" s="2" t="s">
        <v>37</v>
      </c>
      <c r="L80" s="2" t="str">
        <f>IFERROR(VLOOKUP(J80,Categories!$A$2:$C$41,3,FALSE()),"⚠ slug introuvable")</f>
        <v>Armoire du bas</v>
      </c>
      <c r="M80" s="2" t="str">
        <f>IFERROR(VLOOKUP(K80,Categories!$A$2:$C$41,3,FALSE()),"⚠ slug introuvable")</f>
        <v>Standard</v>
      </c>
      <c r="N80" s="2" t="s">
        <v>169</v>
      </c>
      <c r="O80" s="2" t="str">
        <f t="shared" si="37"/>
        <v>Armoire de cuisine du bas avec 1 porte (21")</v>
      </c>
      <c r="P80" s="2" t="str">
        <f t="shared" si="34"/>
        <v>1 porte (21")</v>
      </c>
      <c r="Q80" s="11">
        <v>655</v>
      </c>
      <c r="R80" s="11">
        <f t="shared" si="38"/>
        <v>58.222222222222221</v>
      </c>
      <c r="S80" s="11">
        <f t="shared" si="39"/>
        <v>81.511111111111106</v>
      </c>
      <c r="T80" s="11">
        <f t="shared" si="40"/>
        <v>89.662222222222226</v>
      </c>
      <c r="U80" s="11">
        <f t="shared" si="33"/>
        <v>107.59466666666667</v>
      </c>
      <c r="V80" s="11">
        <f t="shared" si="33"/>
        <v>129.11359999999999</v>
      </c>
      <c r="W80" s="11">
        <f t="shared" si="41"/>
        <v>142.02495999999999</v>
      </c>
      <c r="X80" s="11">
        <f t="shared" si="42"/>
        <v>142.02495999999999</v>
      </c>
      <c r="Y80" s="14">
        <v>0.4</v>
      </c>
      <c r="Z80" s="11">
        <f t="shared" si="43"/>
        <v>236.70826666666667</v>
      </c>
      <c r="AA80" s="2">
        <v>21</v>
      </c>
      <c r="AB80" s="2">
        <v>34.5</v>
      </c>
      <c r="AC80" s="2">
        <v>24</v>
      </c>
      <c r="AD80" s="2">
        <v>1</v>
      </c>
      <c r="AE80" s="2">
        <v>0</v>
      </c>
    </row>
    <row r="81" spans="1:31">
      <c r="A81" s="2" t="s">
        <v>182</v>
      </c>
      <c r="B81" s="2"/>
      <c r="C81" s="2"/>
      <c r="D81" s="2"/>
      <c r="E81" s="2" t="b">
        <f t="shared" si="35"/>
        <v>1</v>
      </c>
      <c r="F81" s="2"/>
      <c r="G81" s="2" t="s">
        <v>181</v>
      </c>
      <c r="H81" s="2" t="str">
        <f t="shared" si="27"/>
        <v>Chêne blanc</v>
      </c>
      <c r="I81" s="2" t="str">
        <f t="shared" si="36"/>
        <v>DOBC21-WWO</v>
      </c>
      <c r="J81" s="2" t="str">
        <f>IFERROR(VLOOKUP(K81,Categories!$A$2:$C$41,2,FALSE()),"⚠ slug introuvable")</f>
        <v>base-cabinet</v>
      </c>
      <c r="K81" s="2" t="s">
        <v>37</v>
      </c>
      <c r="L81" s="2" t="str">
        <f>IFERROR(VLOOKUP(J81,Categories!$A$2:$C$41,3,FALSE()),"⚠ slug introuvable")</f>
        <v>Armoire du bas</v>
      </c>
      <c r="M81" s="2" t="str">
        <f>IFERROR(VLOOKUP(K81,Categories!$A$2:$C$41,3,FALSE()),"⚠ slug introuvable")</f>
        <v>Standard</v>
      </c>
      <c r="N81" s="2" t="s">
        <v>169</v>
      </c>
      <c r="O81" s="2" t="str">
        <f t="shared" si="37"/>
        <v>Armoire de cuisine du bas avec 1 porte (21")</v>
      </c>
      <c r="P81" s="2" t="str">
        <f t="shared" si="34"/>
        <v>1 porte (21")</v>
      </c>
      <c r="Q81" s="11">
        <v>798.41</v>
      </c>
      <c r="R81" s="11">
        <f t="shared" si="38"/>
        <v>70.969777777777779</v>
      </c>
      <c r="S81" s="11">
        <f t="shared" si="39"/>
        <v>99.357688888888887</v>
      </c>
      <c r="T81" s="11">
        <f t="shared" si="40"/>
        <v>109.29345777777779</v>
      </c>
      <c r="U81" s="11">
        <f t="shared" si="33"/>
        <v>131.15214933333334</v>
      </c>
      <c r="V81" s="11">
        <f t="shared" si="33"/>
        <v>157.38257920000001</v>
      </c>
      <c r="W81" s="11">
        <f t="shared" si="41"/>
        <v>173.12083712000003</v>
      </c>
      <c r="X81" s="11">
        <f t="shared" si="42"/>
        <v>173.12083712000003</v>
      </c>
      <c r="Y81" s="14">
        <v>0.4</v>
      </c>
      <c r="Z81" s="11">
        <f t="shared" si="43"/>
        <v>288.53472853333341</v>
      </c>
      <c r="AA81" s="2">
        <v>21</v>
      </c>
      <c r="AB81" s="2">
        <v>34.5</v>
      </c>
      <c r="AC81" s="2">
        <v>24</v>
      </c>
      <c r="AD81" s="2">
        <v>1</v>
      </c>
      <c r="AE81" s="2">
        <v>0</v>
      </c>
    </row>
    <row r="82" spans="1:31">
      <c r="A82" s="2" t="s">
        <v>183</v>
      </c>
      <c r="B82" s="2"/>
      <c r="C82" s="2"/>
      <c r="D82" s="2"/>
      <c r="E82" s="2" t="b">
        <f t="shared" si="35"/>
        <v>1</v>
      </c>
      <c r="F82" s="2"/>
      <c r="G82" s="2" t="s">
        <v>184</v>
      </c>
      <c r="H82" s="2" t="str">
        <f t="shared" si="27"/>
        <v>Blanc</v>
      </c>
      <c r="I82" s="2" t="str">
        <f t="shared" si="36"/>
        <v>DOBC24-CW</v>
      </c>
      <c r="J82" s="2" t="str">
        <f>IFERROR(VLOOKUP(K82,Categories!$A$2:$C$41,2,FALSE()),"⚠ slug introuvable")</f>
        <v>base-cabinet</v>
      </c>
      <c r="K82" s="2" t="s">
        <v>37</v>
      </c>
      <c r="L82" s="2" t="str">
        <f>IFERROR(VLOOKUP(J82,Categories!$A$2:$C$41,3,FALSE()),"⚠ slug introuvable")</f>
        <v>Armoire du bas</v>
      </c>
      <c r="M82" s="2" t="str">
        <f>IFERROR(VLOOKUP(K82,Categories!$A$2:$C$41,3,FALSE()),"⚠ slug introuvable")</f>
        <v>Standard</v>
      </c>
      <c r="N82" s="2" t="s">
        <v>185</v>
      </c>
      <c r="O82" s="2" t="str">
        <f t="shared" si="37"/>
        <v>Armoire de cuisine du bas avec 2 portes (24")</v>
      </c>
      <c r="P82" s="2" t="str">
        <f t="shared" ref="P82:P95" si="44">_xlfn.CONCAT("2 portes"," (",AA82,""")")</f>
        <v>2 portes (24")</v>
      </c>
      <c r="Q82" s="11">
        <v>730</v>
      </c>
      <c r="R82" s="11">
        <f t="shared" si="38"/>
        <v>64.888888888888886</v>
      </c>
      <c r="S82" s="11">
        <f t="shared" si="39"/>
        <v>90.844444444444434</v>
      </c>
      <c r="T82" s="11">
        <f t="shared" si="40"/>
        <v>99.928888888888892</v>
      </c>
      <c r="U82" s="11">
        <f t="shared" si="33"/>
        <v>119.91466666666666</v>
      </c>
      <c r="V82" s="11">
        <f t="shared" si="33"/>
        <v>143.89759999999998</v>
      </c>
      <c r="W82" s="11">
        <f t="shared" si="41"/>
        <v>158.28736000000001</v>
      </c>
      <c r="X82" s="11">
        <f t="shared" si="42"/>
        <v>158.28736000000001</v>
      </c>
      <c r="Y82" s="14">
        <v>0.4</v>
      </c>
      <c r="Z82" s="11">
        <f t="shared" si="43"/>
        <v>263.81226666666669</v>
      </c>
      <c r="AA82" s="2">
        <v>24</v>
      </c>
      <c r="AB82" s="2">
        <v>34.5</v>
      </c>
      <c r="AC82" s="2">
        <v>24</v>
      </c>
      <c r="AD82" s="2">
        <v>2</v>
      </c>
      <c r="AE82" s="2">
        <v>0</v>
      </c>
    </row>
    <row r="83" spans="1:31">
      <c r="A83" s="2" t="s">
        <v>186</v>
      </c>
      <c r="B83" s="2"/>
      <c r="C83" s="2"/>
      <c r="D83" s="2"/>
      <c r="E83" s="2" t="b">
        <f t="shared" si="35"/>
        <v>1</v>
      </c>
      <c r="F83" s="2"/>
      <c r="G83" s="2" t="s">
        <v>184</v>
      </c>
      <c r="H83" s="2" t="str">
        <f t="shared" si="27"/>
        <v>Chêne blanc</v>
      </c>
      <c r="I83" s="2" t="str">
        <f t="shared" si="36"/>
        <v>DOBC24-WWO</v>
      </c>
      <c r="J83" s="2" t="str">
        <f>IFERROR(VLOOKUP(K83,Categories!$A$2:$C$41,2,FALSE()),"⚠ slug introuvable")</f>
        <v>base-cabinet</v>
      </c>
      <c r="K83" s="2" t="s">
        <v>37</v>
      </c>
      <c r="L83" s="2" t="str">
        <f>IFERROR(VLOOKUP(J83,Categories!$A$2:$C$41,3,FALSE()),"⚠ slug introuvable")</f>
        <v>Armoire du bas</v>
      </c>
      <c r="M83" s="2" t="str">
        <f>IFERROR(VLOOKUP(K83,Categories!$A$2:$C$41,3,FALSE()),"⚠ slug introuvable")</f>
        <v>Standard</v>
      </c>
      <c r="N83" s="2" t="s">
        <v>185</v>
      </c>
      <c r="O83" s="2" t="str">
        <f t="shared" si="37"/>
        <v>Armoire de cuisine du bas avec 2 portes (24")</v>
      </c>
      <c r="P83" s="2" t="str">
        <f t="shared" si="44"/>
        <v>2 portes (24")</v>
      </c>
      <c r="Q83" s="11">
        <v>889.31</v>
      </c>
      <c r="R83" s="11">
        <f t="shared" si="38"/>
        <v>79.049777777777777</v>
      </c>
      <c r="S83" s="11">
        <f t="shared" si="39"/>
        <v>110.66968888888889</v>
      </c>
      <c r="T83" s="11">
        <f t="shared" si="40"/>
        <v>121.73665777777778</v>
      </c>
      <c r="U83" s="11">
        <f t="shared" si="33"/>
        <v>146.08398933333334</v>
      </c>
      <c r="V83" s="11">
        <f t="shared" si="33"/>
        <v>175.3007872</v>
      </c>
      <c r="W83" s="11">
        <f t="shared" si="41"/>
        <v>192.83086592000001</v>
      </c>
      <c r="X83" s="11">
        <f t="shared" si="42"/>
        <v>192.83086592000001</v>
      </c>
      <c r="Y83" s="14">
        <v>0.4</v>
      </c>
      <c r="Z83" s="11">
        <f t="shared" si="43"/>
        <v>321.38477653333337</v>
      </c>
      <c r="AA83" s="2">
        <v>24</v>
      </c>
      <c r="AB83" s="2">
        <v>34.5</v>
      </c>
      <c r="AC83" s="2">
        <v>24</v>
      </c>
      <c r="AD83" s="2">
        <v>2</v>
      </c>
      <c r="AE83" s="2">
        <v>0</v>
      </c>
    </row>
    <row r="84" spans="1:31">
      <c r="A84" s="2" t="s">
        <v>187</v>
      </c>
      <c r="B84" s="2"/>
      <c r="C84" s="2"/>
      <c r="D84" s="2"/>
      <c r="E84" s="2" t="b">
        <f t="shared" si="35"/>
        <v>1</v>
      </c>
      <c r="F84" s="2"/>
      <c r="G84" s="2" t="s">
        <v>188</v>
      </c>
      <c r="H84" s="2" t="str">
        <f t="shared" si="27"/>
        <v>Blanc</v>
      </c>
      <c r="I84" s="2" t="str">
        <f t="shared" si="36"/>
        <v>DOBC27-CW</v>
      </c>
      <c r="J84" s="2" t="str">
        <f>IFERROR(VLOOKUP(K84,Categories!$A$2:$C$41,2,FALSE()),"⚠ slug introuvable")</f>
        <v>base-cabinet</v>
      </c>
      <c r="K84" s="2" t="s">
        <v>37</v>
      </c>
      <c r="L84" s="2" t="str">
        <f>IFERROR(VLOOKUP(J84,Categories!$A$2:$C$41,3,FALSE()),"⚠ slug introuvable")</f>
        <v>Armoire du bas</v>
      </c>
      <c r="M84" s="2" t="str">
        <f>IFERROR(VLOOKUP(K84,Categories!$A$2:$C$41,3,FALSE()),"⚠ slug introuvable")</f>
        <v>Standard</v>
      </c>
      <c r="N84" s="2" t="s">
        <v>185</v>
      </c>
      <c r="O84" s="2" t="str">
        <f t="shared" si="37"/>
        <v>Armoire de cuisine du bas avec 2 portes (27")</v>
      </c>
      <c r="P84" s="2" t="str">
        <f t="shared" si="44"/>
        <v>2 portes (27")</v>
      </c>
      <c r="Q84" s="11">
        <v>782</v>
      </c>
      <c r="R84" s="11">
        <f t="shared" si="38"/>
        <v>69.511111111111106</v>
      </c>
      <c r="S84" s="11">
        <f t="shared" si="39"/>
        <v>97.315555555555548</v>
      </c>
      <c r="T84" s="11">
        <f t="shared" si="40"/>
        <v>107.04711111111111</v>
      </c>
      <c r="U84" s="11">
        <f t="shared" si="33"/>
        <v>128.45653333333331</v>
      </c>
      <c r="V84" s="11">
        <f t="shared" si="33"/>
        <v>154.14783999999997</v>
      </c>
      <c r="W84" s="11">
        <f t="shared" si="41"/>
        <v>169.56262399999997</v>
      </c>
      <c r="X84" s="11">
        <f t="shared" si="42"/>
        <v>169.56262399999997</v>
      </c>
      <c r="Y84" s="14">
        <v>0.4</v>
      </c>
      <c r="Z84" s="11">
        <f t="shared" si="43"/>
        <v>282.60437333333329</v>
      </c>
      <c r="AA84" s="2">
        <v>27</v>
      </c>
      <c r="AB84" s="2">
        <v>34.5</v>
      </c>
      <c r="AC84" s="2">
        <v>24</v>
      </c>
      <c r="AD84" s="2">
        <v>2</v>
      </c>
      <c r="AE84" s="2">
        <v>0</v>
      </c>
    </row>
    <row r="85" spans="1:31">
      <c r="A85" s="2" t="s">
        <v>189</v>
      </c>
      <c r="B85" s="2"/>
      <c r="C85" s="2"/>
      <c r="D85" s="2"/>
      <c r="E85" s="2" t="b">
        <f t="shared" si="35"/>
        <v>1</v>
      </c>
      <c r="F85" s="2"/>
      <c r="G85" s="2" t="s">
        <v>188</v>
      </c>
      <c r="H85" s="2" t="str">
        <f t="shared" ref="H85:H148" si="45">IF(ISNUMBER(SEARCH("muf",A85)),"Chêne blanc","Blanc")</f>
        <v>Chêne blanc</v>
      </c>
      <c r="I85" s="2" t="str">
        <f t="shared" si="36"/>
        <v>DOBC27-WWO</v>
      </c>
      <c r="J85" s="2" t="str">
        <f>IFERROR(VLOOKUP(K85,Categories!$A$2:$C$41,2,FALSE()),"⚠ slug introuvable")</f>
        <v>base-cabinet</v>
      </c>
      <c r="K85" s="2" t="s">
        <v>37</v>
      </c>
      <c r="L85" s="2" t="str">
        <f>IFERROR(VLOOKUP(J85,Categories!$A$2:$C$41,3,FALSE()),"⚠ slug introuvable")</f>
        <v>Armoire du bas</v>
      </c>
      <c r="M85" s="2" t="str">
        <f>IFERROR(VLOOKUP(K85,Categories!$A$2:$C$41,3,FALSE()),"⚠ slug introuvable")</f>
        <v>Standard</v>
      </c>
      <c r="N85" s="2" t="s">
        <v>185</v>
      </c>
      <c r="O85" s="2" t="str">
        <f t="shared" si="37"/>
        <v>Armoire de cuisine du bas avec 2 portes (27")</v>
      </c>
      <c r="P85" s="2" t="str">
        <f t="shared" si="44"/>
        <v>2 portes (27")</v>
      </c>
      <c r="Q85" s="11">
        <v>956.59</v>
      </c>
      <c r="R85" s="11">
        <f t="shared" si="38"/>
        <v>85.030222222222221</v>
      </c>
      <c r="S85" s="11">
        <f t="shared" si="39"/>
        <v>119.0423111111111</v>
      </c>
      <c r="T85" s="11">
        <f t="shared" si="40"/>
        <v>130.94654222222223</v>
      </c>
      <c r="U85" s="11">
        <f t="shared" si="33"/>
        <v>157.13585066666667</v>
      </c>
      <c r="V85" s="11">
        <f t="shared" si="33"/>
        <v>188.5630208</v>
      </c>
      <c r="W85" s="11">
        <f t="shared" si="41"/>
        <v>207.41932288000001</v>
      </c>
      <c r="X85" s="11">
        <f t="shared" si="42"/>
        <v>207.41932288000001</v>
      </c>
      <c r="Y85" s="14">
        <v>0.4</v>
      </c>
      <c r="Z85" s="11">
        <f t="shared" si="43"/>
        <v>345.69887146666667</v>
      </c>
      <c r="AA85" s="2">
        <v>27</v>
      </c>
      <c r="AB85" s="2">
        <v>34.5</v>
      </c>
      <c r="AC85" s="2">
        <v>24</v>
      </c>
      <c r="AD85" s="2">
        <v>2</v>
      </c>
      <c r="AE85" s="2">
        <v>0</v>
      </c>
    </row>
    <row r="86" spans="1:31">
      <c r="A86" s="2" t="s">
        <v>190</v>
      </c>
      <c r="B86" s="2"/>
      <c r="C86" s="2"/>
      <c r="D86" s="2"/>
      <c r="E86" s="2" t="b">
        <f t="shared" si="35"/>
        <v>1</v>
      </c>
      <c r="F86" s="2"/>
      <c r="G86" s="2" t="s">
        <v>191</v>
      </c>
      <c r="H86" s="2" t="str">
        <f t="shared" si="45"/>
        <v>Blanc</v>
      </c>
      <c r="I86" s="2" t="str">
        <f t="shared" si="36"/>
        <v>DOBC30-CW</v>
      </c>
      <c r="J86" s="2" t="str">
        <f>IFERROR(VLOOKUP(K86,Categories!$A$2:$C$41,2,FALSE()),"⚠ slug introuvable")</f>
        <v>base-cabinet</v>
      </c>
      <c r="K86" s="2" t="s">
        <v>37</v>
      </c>
      <c r="L86" s="2" t="str">
        <f>IFERROR(VLOOKUP(J86,Categories!$A$2:$C$41,3,FALSE()),"⚠ slug introuvable")</f>
        <v>Armoire du bas</v>
      </c>
      <c r="M86" s="2" t="str">
        <f>IFERROR(VLOOKUP(K86,Categories!$A$2:$C$41,3,FALSE()),"⚠ slug introuvable")</f>
        <v>Standard</v>
      </c>
      <c r="N86" s="2" t="s">
        <v>185</v>
      </c>
      <c r="O86" s="2" t="str">
        <f t="shared" si="37"/>
        <v>Armoire de cuisine du bas avec 2 portes (30")</v>
      </c>
      <c r="P86" s="2" t="str">
        <f t="shared" si="44"/>
        <v>2 portes (30")</v>
      </c>
      <c r="Q86" s="11">
        <v>838</v>
      </c>
      <c r="R86" s="11">
        <f t="shared" si="38"/>
        <v>74.488888888888894</v>
      </c>
      <c r="S86" s="11">
        <f t="shared" si="39"/>
        <v>104.28444444444445</v>
      </c>
      <c r="T86" s="11">
        <f t="shared" si="40"/>
        <v>114.7128888888889</v>
      </c>
      <c r="U86" s="11">
        <f t="shared" si="33"/>
        <v>137.65546666666668</v>
      </c>
      <c r="V86" s="11">
        <f t="shared" si="33"/>
        <v>165.18656000000001</v>
      </c>
      <c r="W86" s="11">
        <f t="shared" si="41"/>
        <v>181.70521600000004</v>
      </c>
      <c r="X86" s="11">
        <f t="shared" si="42"/>
        <v>181.70521600000004</v>
      </c>
      <c r="Y86" s="14">
        <v>0.4</v>
      </c>
      <c r="Z86" s="11">
        <f t="shared" si="43"/>
        <v>302.84202666666675</v>
      </c>
      <c r="AA86" s="2">
        <v>30</v>
      </c>
      <c r="AB86" s="2">
        <v>34.5</v>
      </c>
      <c r="AC86" s="2">
        <v>24</v>
      </c>
      <c r="AD86" s="2">
        <v>2</v>
      </c>
      <c r="AE86" s="2">
        <v>0</v>
      </c>
    </row>
    <row r="87" spans="1:31">
      <c r="A87" s="2" t="s">
        <v>192</v>
      </c>
      <c r="B87" s="2"/>
      <c r="C87" s="2"/>
      <c r="D87" s="2"/>
      <c r="E87" s="2" t="b">
        <f t="shared" si="35"/>
        <v>1</v>
      </c>
      <c r="F87" s="2"/>
      <c r="G87" s="2" t="s">
        <v>191</v>
      </c>
      <c r="H87" s="2" t="str">
        <f t="shared" si="45"/>
        <v>Chêne blanc</v>
      </c>
      <c r="I87" s="2" t="str">
        <f t="shared" si="36"/>
        <v>DOBC30-WWO</v>
      </c>
      <c r="J87" s="2" t="str">
        <f>IFERROR(VLOOKUP(K87,Categories!$A$2:$C$41,2,FALSE()),"⚠ slug introuvable")</f>
        <v>base-cabinet</v>
      </c>
      <c r="K87" s="2" t="s">
        <v>37</v>
      </c>
      <c r="L87" s="2" t="str">
        <f>IFERROR(VLOOKUP(J87,Categories!$A$2:$C$41,3,FALSE()),"⚠ slug introuvable")</f>
        <v>Armoire du bas</v>
      </c>
      <c r="M87" s="2" t="str">
        <f>IFERROR(VLOOKUP(K87,Categories!$A$2:$C$41,3,FALSE()),"⚠ slug introuvable")</f>
        <v>Standard</v>
      </c>
      <c r="N87" s="2" t="s">
        <v>185</v>
      </c>
      <c r="O87" s="2" t="str">
        <f t="shared" si="37"/>
        <v>Armoire de cuisine du bas avec 2 portes (30")</v>
      </c>
      <c r="P87" s="2" t="str">
        <f t="shared" si="44"/>
        <v>2 portes (30")</v>
      </c>
      <c r="Q87" s="11">
        <v>1024.31</v>
      </c>
      <c r="R87" s="11">
        <f t="shared" si="38"/>
        <v>91.049777777777777</v>
      </c>
      <c r="S87" s="11">
        <f t="shared" si="39"/>
        <v>127.46968888888888</v>
      </c>
      <c r="T87" s="11">
        <f t="shared" si="40"/>
        <v>140.21665777777778</v>
      </c>
      <c r="U87" s="11">
        <f t="shared" si="33"/>
        <v>168.25998933333332</v>
      </c>
      <c r="V87" s="11">
        <f t="shared" si="33"/>
        <v>201.91198719999997</v>
      </c>
      <c r="W87" s="11">
        <f t="shared" si="41"/>
        <v>222.10318591999999</v>
      </c>
      <c r="X87" s="11">
        <f t="shared" si="42"/>
        <v>222.10318591999999</v>
      </c>
      <c r="Y87" s="14">
        <v>0.4</v>
      </c>
      <c r="Z87" s="11">
        <f t="shared" si="43"/>
        <v>370.17197653333335</v>
      </c>
      <c r="AA87" s="2">
        <v>30</v>
      </c>
      <c r="AB87" s="2">
        <v>34.5</v>
      </c>
      <c r="AC87" s="2">
        <v>24</v>
      </c>
      <c r="AD87" s="2">
        <v>2</v>
      </c>
      <c r="AE87" s="2">
        <v>0</v>
      </c>
    </row>
    <row r="88" spans="1:31">
      <c r="A88" s="2" t="s">
        <v>193</v>
      </c>
      <c r="B88" s="2"/>
      <c r="C88" s="2"/>
      <c r="D88" s="2"/>
      <c r="E88" s="2" t="b">
        <f t="shared" si="35"/>
        <v>1</v>
      </c>
      <c r="F88" s="2"/>
      <c r="G88" s="2" t="s">
        <v>194</v>
      </c>
      <c r="H88" s="2" t="str">
        <f t="shared" si="45"/>
        <v>Blanc</v>
      </c>
      <c r="I88" s="2" t="str">
        <f t="shared" si="36"/>
        <v>DOBC33-CW</v>
      </c>
      <c r="J88" s="2" t="str">
        <f>IFERROR(VLOOKUP(K88,Categories!$A$2:$C$41,2,FALSE()),"⚠ slug introuvable")</f>
        <v>base-cabinet</v>
      </c>
      <c r="K88" s="2" t="s">
        <v>37</v>
      </c>
      <c r="L88" s="2" t="str">
        <f>IFERROR(VLOOKUP(J88,Categories!$A$2:$C$41,3,FALSE()),"⚠ slug introuvable")</f>
        <v>Armoire du bas</v>
      </c>
      <c r="M88" s="2" t="str">
        <f>IFERROR(VLOOKUP(K88,Categories!$A$2:$C$41,3,FALSE()),"⚠ slug introuvable")</f>
        <v>Standard</v>
      </c>
      <c r="N88" s="2" t="s">
        <v>185</v>
      </c>
      <c r="O88" s="2" t="str">
        <f t="shared" si="37"/>
        <v>Armoire de cuisine du bas avec 2 portes (33")</v>
      </c>
      <c r="P88" s="2" t="str">
        <f t="shared" si="44"/>
        <v>2 portes (33")</v>
      </c>
      <c r="Q88" s="11">
        <v>885</v>
      </c>
      <c r="R88" s="11">
        <f t="shared" si="38"/>
        <v>78.666666666666671</v>
      </c>
      <c r="S88" s="11">
        <f t="shared" si="39"/>
        <v>110.13333333333334</v>
      </c>
      <c r="T88" s="11">
        <f t="shared" si="40"/>
        <v>121.14666666666669</v>
      </c>
      <c r="U88" s="11">
        <f t="shared" si="33"/>
        <v>145.37600000000003</v>
      </c>
      <c r="V88" s="11">
        <f t="shared" si="33"/>
        <v>174.45120000000003</v>
      </c>
      <c r="W88" s="11">
        <f t="shared" si="41"/>
        <v>191.89632000000006</v>
      </c>
      <c r="X88" s="11">
        <f t="shared" si="42"/>
        <v>191.89632000000006</v>
      </c>
      <c r="Y88" s="14">
        <v>0.4</v>
      </c>
      <c r="Z88" s="11">
        <f t="shared" si="43"/>
        <v>319.82720000000012</v>
      </c>
      <c r="AA88" s="2">
        <v>33</v>
      </c>
      <c r="AB88" s="2">
        <v>34.5</v>
      </c>
      <c r="AC88" s="2">
        <v>24</v>
      </c>
      <c r="AD88" s="2">
        <v>2</v>
      </c>
      <c r="AE88" s="2">
        <v>0</v>
      </c>
    </row>
    <row r="89" spans="1:31">
      <c r="A89" s="2" t="s">
        <v>195</v>
      </c>
      <c r="B89" s="2"/>
      <c r="C89" s="2"/>
      <c r="D89" s="2"/>
      <c r="E89" s="2" t="b">
        <f t="shared" si="35"/>
        <v>1</v>
      </c>
      <c r="F89" s="2"/>
      <c r="G89" s="2" t="s">
        <v>194</v>
      </c>
      <c r="H89" s="2" t="str">
        <f t="shared" si="45"/>
        <v>Chêne blanc</v>
      </c>
      <c r="I89" s="2" t="str">
        <f t="shared" si="36"/>
        <v>DOBC33-WWO</v>
      </c>
      <c r="J89" s="2" t="str">
        <f>IFERROR(VLOOKUP(K89,Categories!$A$2:$C$41,2,FALSE()),"⚠ slug introuvable")</f>
        <v>base-cabinet</v>
      </c>
      <c r="K89" s="2" t="s">
        <v>37</v>
      </c>
      <c r="L89" s="2" t="str">
        <f>IFERROR(VLOOKUP(J89,Categories!$A$2:$C$41,3,FALSE()),"⚠ slug introuvable")</f>
        <v>Armoire du bas</v>
      </c>
      <c r="M89" s="2" t="str">
        <f>IFERROR(VLOOKUP(K89,Categories!$A$2:$C$41,3,FALSE()),"⚠ slug introuvable")</f>
        <v>Standard</v>
      </c>
      <c r="N89" s="2" t="s">
        <v>185</v>
      </c>
      <c r="O89" s="2" t="str">
        <f t="shared" si="37"/>
        <v>Armoire de cuisine du bas avec 2 portes (33")</v>
      </c>
      <c r="P89" s="2" t="str">
        <f t="shared" si="44"/>
        <v>2 portes (33")</v>
      </c>
      <c r="Q89" s="11">
        <v>1081.8</v>
      </c>
      <c r="R89" s="11">
        <f t="shared" si="38"/>
        <v>96.16</v>
      </c>
      <c r="S89" s="11">
        <f t="shared" si="39"/>
        <v>134.624</v>
      </c>
      <c r="T89" s="11">
        <f t="shared" si="40"/>
        <v>148.0864</v>
      </c>
      <c r="U89" s="11">
        <f t="shared" si="33"/>
        <v>177.70367999999999</v>
      </c>
      <c r="V89" s="11">
        <f t="shared" si="33"/>
        <v>213.24441599999997</v>
      </c>
      <c r="W89" s="11">
        <f t="shared" si="41"/>
        <v>234.5688576</v>
      </c>
      <c r="X89" s="11">
        <f t="shared" si="42"/>
        <v>234.5688576</v>
      </c>
      <c r="Y89" s="14">
        <v>0.4</v>
      </c>
      <c r="Z89" s="11">
        <f t="shared" si="43"/>
        <v>390.94809600000002</v>
      </c>
      <c r="AA89" s="2">
        <v>33</v>
      </c>
      <c r="AB89" s="2">
        <v>34.5</v>
      </c>
      <c r="AC89" s="2">
        <v>24</v>
      </c>
      <c r="AD89" s="2">
        <v>2</v>
      </c>
      <c r="AE89" s="2">
        <v>0</v>
      </c>
    </row>
    <row r="90" spans="1:31">
      <c r="A90" s="2" t="s">
        <v>196</v>
      </c>
      <c r="B90" s="2"/>
      <c r="C90" s="2"/>
      <c r="D90" s="2"/>
      <c r="E90" s="2" t="b">
        <f t="shared" si="35"/>
        <v>1</v>
      </c>
      <c r="F90" s="2"/>
      <c r="G90" s="2" t="s">
        <v>197</v>
      </c>
      <c r="H90" s="2" t="str">
        <f t="shared" si="45"/>
        <v>Blanc</v>
      </c>
      <c r="I90" s="2" t="str">
        <f t="shared" si="36"/>
        <v>DOBC36-CW</v>
      </c>
      <c r="J90" s="2" t="str">
        <f>IFERROR(VLOOKUP(K90,Categories!$A$2:$C$41,2,FALSE()),"⚠ slug introuvable")</f>
        <v>base-cabinet</v>
      </c>
      <c r="K90" s="2" t="s">
        <v>37</v>
      </c>
      <c r="L90" s="2" t="str">
        <f>IFERROR(VLOOKUP(J90,Categories!$A$2:$C$41,3,FALSE()),"⚠ slug introuvable")</f>
        <v>Armoire du bas</v>
      </c>
      <c r="M90" s="2" t="str">
        <f>IFERROR(VLOOKUP(K90,Categories!$A$2:$C$41,3,FALSE()),"⚠ slug introuvable")</f>
        <v>Standard</v>
      </c>
      <c r="N90" s="2" t="s">
        <v>185</v>
      </c>
      <c r="O90" s="2" t="str">
        <f t="shared" si="37"/>
        <v>Armoire de cuisine du bas avec 2 portes (36")</v>
      </c>
      <c r="P90" s="2" t="str">
        <f t="shared" si="44"/>
        <v>2 portes (36")</v>
      </c>
      <c r="Q90" s="11">
        <v>934</v>
      </c>
      <c r="R90" s="11">
        <f t="shared" si="38"/>
        <v>83.022222222222226</v>
      </c>
      <c r="S90" s="11">
        <f t="shared" si="39"/>
        <v>116.2311111111111</v>
      </c>
      <c r="T90" s="11">
        <f t="shared" si="40"/>
        <v>127.85422222222222</v>
      </c>
      <c r="U90" s="11">
        <f t="shared" ref="U90:V109" si="46">T90*1.2</f>
        <v>153.42506666666665</v>
      </c>
      <c r="V90" s="11">
        <f t="shared" si="46"/>
        <v>184.11007999999998</v>
      </c>
      <c r="W90" s="11">
        <f t="shared" si="41"/>
        <v>202.52108799999999</v>
      </c>
      <c r="X90" s="11">
        <f t="shared" si="42"/>
        <v>202.52108799999999</v>
      </c>
      <c r="Y90" s="14">
        <v>0.4</v>
      </c>
      <c r="Z90" s="11">
        <f t="shared" si="43"/>
        <v>337.53514666666666</v>
      </c>
      <c r="AA90" s="2">
        <v>36</v>
      </c>
      <c r="AB90" s="2">
        <v>34.5</v>
      </c>
      <c r="AC90" s="2">
        <v>24</v>
      </c>
      <c r="AD90" s="2">
        <v>2</v>
      </c>
      <c r="AE90" s="2">
        <v>0</v>
      </c>
    </row>
    <row r="91" spans="1:31">
      <c r="A91" s="2" t="s">
        <v>198</v>
      </c>
      <c r="B91" s="2"/>
      <c r="C91" s="2"/>
      <c r="D91" s="2"/>
      <c r="E91" s="2" t="b">
        <f t="shared" si="35"/>
        <v>1</v>
      </c>
      <c r="F91" s="2"/>
      <c r="G91" s="2" t="s">
        <v>197</v>
      </c>
      <c r="H91" s="2" t="str">
        <f t="shared" si="45"/>
        <v>Chêne blanc</v>
      </c>
      <c r="I91" s="2" t="str">
        <f t="shared" si="36"/>
        <v>DOBC36-WWO</v>
      </c>
      <c r="J91" s="2" t="str">
        <f>IFERROR(VLOOKUP(K91,Categories!$A$2:$C$41,2,FALSE()),"⚠ slug introuvable")</f>
        <v>base-cabinet</v>
      </c>
      <c r="K91" s="2" t="s">
        <v>37</v>
      </c>
      <c r="L91" s="2" t="str">
        <f>IFERROR(VLOOKUP(J91,Categories!$A$2:$C$41,3,FALSE()),"⚠ slug introuvable")</f>
        <v>Armoire du bas</v>
      </c>
      <c r="M91" s="2" t="str">
        <f>IFERROR(VLOOKUP(K91,Categories!$A$2:$C$41,3,FALSE()),"⚠ slug introuvable")</f>
        <v>Standard</v>
      </c>
      <c r="N91" s="2" t="s">
        <v>185</v>
      </c>
      <c r="O91" s="2" t="str">
        <f t="shared" si="37"/>
        <v>Armoire de cuisine du bas avec 2 portes (36")</v>
      </c>
      <c r="P91" s="2" t="str">
        <f t="shared" si="44"/>
        <v>2 portes (36")</v>
      </c>
      <c r="Q91" s="11">
        <v>1151.8900000000001</v>
      </c>
      <c r="R91" s="11">
        <f t="shared" si="38"/>
        <v>102.39022222222223</v>
      </c>
      <c r="S91" s="11">
        <f t="shared" si="39"/>
        <v>143.34631111111111</v>
      </c>
      <c r="T91" s="11">
        <f t="shared" si="40"/>
        <v>157.68094222222223</v>
      </c>
      <c r="U91" s="11">
        <f t="shared" si="46"/>
        <v>189.21713066666666</v>
      </c>
      <c r="V91" s="11">
        <f t="shared" si="46"/>
        <v>227.0605568</v>
      </c>
      <c r="W91" s="11">
        <f t="shared" si="41"/>
        <v>249.76661248000002</v>
      </c>
      <c r="X91" s="11">
        <f t="shared" si="42"/>
        <v>249.76661248000002</v>
      </c>
      <c r="Y91" s="14">
        <v>0.4</v>
      </c>
      <c r="Z91" s="11">
        <f t="shared" si="43"/>
        <v>416.27768746666669</v>
      </c>
      <c r="AA91" s="2">
        <v>36</v>
      </c>
      <c r="AB91" s="2">
        <v>34.5</v>
      </c>
      <c r="AC91" s="2">
        <v>24</v>
      </c>
      <c r="AD91" s="2">
        <v>2</v>
      </c>
      <c r="AE91" s="2">
        <v>0</v>
      </c>
    </row>
    <row r="92" spans="1:31">
      <c r="A92" s="2" t="s">
        <v>199</v>
      </c>
      <c r="B92" s="2"/>
      <c r="C92" s="2"/>
      <c r="D92" s="2"/>
      <c r="E92" s="2" t="b">
        <f t="shared" si="35"/>
        <v>1</v>
      </c>
      <c r="F92" s="2"/>
      <c r="G92" s="2" t="s">
        <v>200</v>
      </c>
      <c r="H92" s="2" t="str">
        <f t="shared" si="45"/>
        <v>Blanc</v>
      </c>
      <c r="I92" s="2" t="str">
        <f t="shared" si="36"/>
        <v>DOBC39-CW</v>
      </c>
      <c r="J92" s="2" t="str">
        <f>IFERROR(VLOOKUP(K92,Categories!$A$2:$C$41,2,FALSE()),"⚠ slug introuvable")</f>
        <v>base-cabinet</v>
      </c>
      <c r="K92" s="2" t="s">
        <v>37</v>
      </c>
      <c r="L92" s="2" t="str">
        <f>IFERROR(VLOOKUP(J92,Categories!$A$2:$C$41,3,FALSE()),"⚠ slug introuvable")</f>
        <v>Armoire du bas</v>
      </c>
      <c r="M92" s="2" t="str">
        <f>IFERROR(VLOOKUP(K92,Categories!$A$2:$C$41,3,FALSE()),"⚠ slug introuvable")</f>
        <v>Standard</v>
      </c>
      <c r="N92" s="2" t="s">
        <v>185</v>
      </c>
      <c r="O92" s="8" t="str">
        <f t="shared" si="37"/>
        <v>Armoire de cuisine du bas avec 2 portes (39")</v>
      </c>
      <c r="P92" s="2" t="str">
        <f t="shared" si="44"/>
        <v>2 portes (39")</v>
      </c>
      <c r="Q92" s="11">
        <v>991</v>
      </c>
      <c r="R92" s="11">
        <f t="shared" si="38"/>
        <v>88.088888888888889</v>
      </c>
      <c r="S92" s="11">
        <f t="shared" si="39"/>
        <v>123.32444444444444</v>
      </c>
      <c r="T92" s="11">
        <f t="shared" si="40"/>
        <v>135.65688888888889</v>
      </c>
      <c r="U92" s="11">
        <f t="shared" si="46"/>
        <v>162.78826666666666</v>
      </c>
      <c r="V92" s="11">
        <f t="shared" si="46"/>
        <v>195.34591999999998</v>
      </c>
      <c r="W92" s="11">
        <f t="shared" si="41"/>
        <v>214.88051199999998</v>
      </c>
      <c r="X92" s="11">
        <f t="shared" si="42"/>
        <v>214.88051199999998</v>
      </c>
      <c r="Y92" s="14">
        <v>0.4</v>
      </c>
      <c r="Z92" s="11">
        <f t="shared" si="43"/>
        <v>358.13418666666666</v>
      </c>
      <c r="AA92" s="2">
        <v>39</v>
      </c>
      <c r="AB92" s="2">
        <v>34.5</v>
      </c>
      <c r="AC92" s="2">
        <v>24</v>
      </c>
      <c r="AD92" s="2">
        <v>2</v>
      </c>
      <c r="AE92" s="2">
        <v>0</v>
      </c>
    </row>
    <row r="93" spans="1:31">
      <c r="A93" s="2" t="s">
        <v>201</v>
      </c>
      <c r="B93" s="2"/>
      <c r="C93" s="2"/>
      <c r="D93" s="2"/>
      <c r="E93" s="2" t="b">
        <f t="shared" si="35"/>
        <v>1</v>
      </c>
      <c r="F93" s="2"/>
      <c r="G93" s="2" t="s">
        <v>200</v>
      </c>
      <c r="H93" s="2" t="str">
        <f t="shared" si="45"/>
        <v>Chêne blanc</v>
      </c>
      <c r="I93" s="2" t="str">
        <f t="shared" si="36"/>
        <v>DOBC39-WWO</v>
      </c>
      <c r="J93" s="2" t="str">
        <f>IFERROR(VLOOKUP(K93,Categories!$A$2:$C$41,2,FALSE()),"⚠ slug introuvable")</f>
        <v>base-cabinet</v>
      </c>
      <c r="K93" s="2" t="s">
        <v>37</v>
      </c>
      <c r="L93" s="2" t="str">
        <f>IFERROR(VLOOKUP(J93,Categories!$A$2:$C$41,3,FALSE()),"⚠ slug introuvable")</f>
        <v>Armoire du bas</v>
      </c>
      <c r="M93" s="2" t="str">
        <f>IFERROR(VLOOKUP(K93,Categories!$A$2:$C$41,3,FALSE()),"⚠ slug introuvable")</f>
        <v>Standard</v>
      </c>
      <c r="N93" s="2" t="s">
        <v>185</v>
      </c>
      <c r="O93" s="2" t="str">
        <f t="shared" si="37"/>
        <v>Armoire de cuisine du bas avec 2 portes (39")</v>
      </c>
      <c r="P93" s="2" t="str">
        <f t="shared" si="44"/>
        <v>2 portes (39")</v>
      </c>
      <c r="Q93" s="11">
        <v>1226.48</v>
      </c>
      <c r="R93" s="11">
        <f t="shared" si="38"/>
        <v>109.02044444444445</v>
      </c>
      <c r="S93" s="11">
        <f t="shared" si="39"/>
        <v>152.62862222222222</v>
      </c>
      <c r="T93" s="11">
        <f t="shared" si="40"/>
        <v>167.89148444444444</v>
      </c>
      <c r="U93" s="11">
        <f t="shared" si="46"/>
        <v>201.46978133333332</v>
      </c>
      <c r="V93" s="11">
        <f t="shared" si="46"/>
        <v>241.76373759999996</v>
      </c>
      <c r="W93" s="11">
        <f t="shared" si="41"/>
        <v>265.94011135999995</v>
      </c>
      <c r="X93" s="11">
        <f t="shared" si="42"/>
        <v>265.94011135999995</v>
      </c>
      <c r="Y93" s="14">
        <v>0.4</v>
      </c>
      <c r="Z93" s="11">
        <f t="shared" si="43"/>
        <v>443.23351893333324</v>
      </c>
      <c r="AA93" s="2">
        <v>39</v>
      </c>
      <c r="AB93" s="2">
        <v>34.5</v>
      </c>
      <c r="AC93" s="2">
        <v>24</v>
      </c>
      <c r="AD93" s="2">
        <v>2</v>
      </c>
      <c r="AE93" s="2">
        <v>0</v>
      </c>
    </row>
    <row r="94" spans="1:31">
      <c r="A94" s="2" t="s">
        <v>202</v>
      </c>
      <c r="B94" s="2"/>
      <c r="C94" s="2"/>
      <c r="D94" s="2"/>
      <c r="E94" s="2" t="b">
        <f t="shared" si="35"/>
        <v>1</v>
      </c>
      <c r="F94" s="2"/>
      <c r="G94" s="2" t="s">
        <v>203</v>
      </c>
      <c r="H94" s="2" t="str">
        <f t="shared" si="45"/>
        <v>Blanc</v>
      </c>
      <c r="I94" s="2" t="str">
        <f t="shared" si="36"/>
        <v>DOBC42-CW</v>
      </c>
      <c r="J94" s="2" t="str">
        <f>IFERROR(VLOOKUP(K94,Categories!$A$2:$C$41,2,FALSE()),"⚠ slug introuvable")</f>
        <v>base-cabinet</v>
      </c>
      <c r="K94" s="2" t="s">
        <v>37</v>
      </c>
      <c r="L94" s="2" t="str">
        <f>IFERROR(VLOOKUP(J94,Categories!$A$2:$C$41,3,FALSE()),"⚠ slug introuvable")</f>
        <v>Armoire du bas</v>
      </c>
      <c r="M94" s="2" t="str">
        <f>IFERROR(VLOOKUP(K94,Categories!$A$2:$C$41,3,FALSE()),"⚠ slug introuvable")</f>
        <v>Standard</v>
      </c>
      <c r="N94" s="2" t="s">
        <v>185</v>
      </c>
      <c r="O94" s="2" t="str">
        <f t="shared" si="37"/>
        <v>Armoire de cuisine du bas avec 2 portes (42")</v>
      </c>
      <c r="P94" s="2" t="str">
        <f t="shared" si="44"/>
        <v>2 portes (42")</v>
      </c>
      <c r="Q94" s="11">
        <v>1018</v>
      </c>
      <c r="R94" s="11">
        <f t="shared" si="38"/>
        <v>90.488888888888894</v>
      </c>
      <c r="S94" s="11">
        <f t="shared" si="39"/>
        <v>126.68444444444444</v>
      </c>
      <c r="T94" s="11">
        <f t="shared" si="40"/>
        <v>139.35288888888888</v>
      </c>
      <c r="U94" s="11">
        <f t="shared" si="46"/>
        <v>167.22346666666667</v>
      </c>
      <c r="V94" s="11">
        <f t="shared" si="46"/>
        <v>200.66816</v>
      </c>
      <c r="W94" s="11">
        <f t="shared" si="41"/>
        <v>220.73497600000002</v>
      </c>
      <c r="X94" s="11">
        <f t="shared" si="42"/>
        <v>220.73497600000002</v>
      </c>
      <c r="Y94" s="14">
        <v>0.4</v>
      </c>
      <c r="Z94" s="11">
        <f t="shared" si="43"/>
        <v>367.8916266666667</v>
      </c>
      <c r="AA94" s="2">
        <v>42</v>
      </c>
      <c r="AB94" s="2">
        <v>34.5</v>
      </c>
      <c r="AC94" s="2">
        <v>24</v>
      </c>
      <c r="AD94" s="2">
        <v>2</v>
      </c>
      <c r="AE94" s="2">
        <v>0</v>
      </c>
    </row>
    <row r="95" spans="1:31">
      <c r="A95" s="2" t="s">
        <v>204</v>
      </c>
      <c r="B95" s="2"/>
      <c r="C95" s="2"/>
      <c r="D95" s="2"/>
      <c r="E95" s="2" t="b">
        <f t="shared" si="35"/>
        <v>1</v>
      </c>
      <c r="F95" s="2"/>
      <c r="G95" s="2" t="s">
        <v>203</v>
      </c>
      <c r="H95" s="2" t="str">
        <f t="shared" si="45"/>
        <v>Chêne blanc</v>
      </c>
      <c r="I95" s="2" t="str">
        <f t="shared" si="36"/>
        <v>DOBC42-WWO</v>
      </c>
      <c r="J95" s="2" t="str">
        <f>IFERROR(VLOOKUP(K95,Categories!$A$2:$C$41,2,FALSE()),"⚠ slug introuvable")</f>
        <v>base-cabinet</v>
      </c>
      <c r="K95" s="2" t="s">
        <v>37</v>
      </c>
      <c r="L95" s="2" t="str">
        <f>IFERROR(VLOOKUP(J95,Categories!$A$2:$C$41,3,FALSE()),"⚠ slug introuvable")</f>
        <v>Armoire du bas</v>
      </c>
      <c r="M95" s="2" t="str">
        <f>IFERROR(VLOOKUP(K95,Categories!$A$2:$C$41,3,FALSE()),"⚠ slug introuvable")</f>
        <v>Standard</v>
      </c>
      <c r="N95" s="2" t="s">
        <v>185</v>
      </c>
      <c r="O95" s="2" t="str">
        <f t="shared" si="37"/>
        <v>Armoire de cuisine du bas avec 2 portes (42")</v>
      </c>
      <c r="P95" s="2" t="str">
        <f t="shared" si="44"/>
        <v>2 portes (42")</v>
      </c>
      <c r="Q95" s="11">
        <v>1260.23</v>
      </c>
      <c r="R95" s="11">
        <f t="shared" si="38"/>
        <v>112.02044444444445</v>
      </c>
      <c r="S95" s="11">
        <f t="shared" si="39"/>
        <v>156.82862222222221</v>
      </c>
      <c r="T95" s="11">
        <f t="shared" si="40"/>
        <v>172.51148444444445</v>
      </c>
      <c r="U95" s="11">
        <f t="shared" si="46"/>
        <v>207.01378133333333</v>
      </c>
      <c r="V95" s="11">
        <f t="shared" si="46"/>
        <v>248.41653759999997</v>
      </c>
      <c r="W95" s="11">
        <f t="shared" si="41"/>
        <v>273.25819136000001</v>
      </c>
      <c r="X95" s="11">
        <f t="shared" si="42"/>
        <v>273.25819136000001</v>
      </c>
      <c r="Y95" s="14">
        <v>0.4</v>
      </c>
      <c r="Z95" s="11">
        <f t="shared" si="43"/>
        <v>455.43031893333335</v>
      </c>
      <c r="AA95" s="2">
        <v>42</v>
      </c>
      <c r="AB95" s="2">
        <v>34.5</v>
      </c>
      <c r="AC95" s="2">
        <v>24</v>
      </c>
      <c r="AD95" s="2">
        <v>2</v>
      </c>
      <c r="AE95" s="2">
        <v>0</v>
      </c>
    </row>
    <row r="96" spans="1:31">
      <c r="A96" s="2" t="s">
        <v>205</v>
      </c>
      <c r="B96" s="2"/>
      <c r="C96" s="2"/>
      <c r="D96" s="2"/>
      <c r="E96" s="2" t="b">
        <f t="shared" si="35"/>
        <v>1</v>
      </c>
      <c r="F96" s="2"/>
      <c r="G96" s="2" t="s">
        <v>206</v>
      </c>
      <c r="H96" s="2" t="str">
        <f t="shared" si="45"/>
        <v>Blanc</v>
      </c>
      <c r="I96" s="2" t="str">
        <f t="shared" si="36"/>
        <v>FSBC33-CW</v>
      </c>
      <c r="J96" s="2" t="str">
        <f>IFERROR(VLOOKUP(K96,Categories!$A$2:$C$41,2,FALSE()),"⚠ slug introuvable")</f>
        <v>base-cabinet</v>
      </c>
      <c r="K96" s="2" t="s">
        <v>207</v>
      </c>
      <c r="L96" s="2" t="str">
        <f>IFERROR(VLOOKUP(J96,Categories!$A$2:$C$41,3,FALSE()),"⚠ slug introuvable")</f>
        <v>Armoire du bas</v>
      </c>
      <c r="M96" s="2" t="str">
        <f>IFERROR(VLOOKUP(K96,Categories!$A$2:$C$41,3,FALSE()),"⚠ slug introuvable")</f>
        <v>Évier farmhouse</v>
      </c>
      <c r="N96" s="2" t="s">
        <v>208</v>
      </c>
      <c r="O96" s="2" t="str">
        <f t="shared" si="37"/>
        <v>Armoire de cuisine du bas pour évier farmhouse (33")</v>
      </c>
      <c r="P96" s="2" t="str">
        <f>_xlfn.CONCAT("Évier farmhouse"," (",AA96,""")")</f>
        <v>Évier farmhouse (33")</v>
      </c>
      <c r="Q96" s="11">
        <v>780</v>
      </c>
      <c r="R96" s="11">
        <f t="shared" si="38"/>
        <v>69.333333333333329</v>
      </c>
      <c r="S96" s="11">
        <f t="shared" si="39"/>
        <v>97.066666666666649</v>
      </c>
      <c r="T96" s="11">
        <f t="shared" si="40"/>
        <v>106.77333333333333</v>
      </c>
      <c r="U96" s="11">
        <f t="shared" si="46"/>
        <v>128.12799999999999</v>
      </c>
      <c r="V96" s="11">
        <f t="shared" si="46"/>
        <v>153.75359999999998</v>
      </c>
      <c r="W96" s="11">
        <f t="shared" si="41"/>
        <v>169.12895999999998</v>
      </c>
      <c r="X96" s="11">
        <f t="shared" si="42"/>
        <v>169.12895999999998</v>
      </c>
      <c r="Y96" s="14">
        <v>0.4</v>
      </c>
      <c r="Z96" s="11">
        <f t="shared" si="43"/>
        <v>281.88159999999999</v>
      </c>
      <c r="AA96" s="2">
        <v>33</v>
      </c>
      <c r="AB96" s="2">
        <v>34.5</v>
      </c>
      <c r="AC96" s="2">
        <v>24</v>
      </c>
      <c r="AD96" s="2">
        <v>2</v>
      </c>
      <c r="AE96" s="2">
        <v>0</v>
      </c>
    </row>
    <row r="97" spans="1:31">
      <c r="A97" s="2" t="s">
        <v>209</v>
      </c>
      <c r="B97" s="2"/>
      <c r="C97" s="2"/>
      <c r="D97" s="2"/>
      <c r="E97" s="2" t="b">
        <f t="shared" si="35"/>
        <v>1</v>
      </c>
      <c r="F97" s="2"/>
      <c r="G97" s="2" t="s">
        <v>206</v>
      </c>
      <c r="H97" s="2" t="str">
        <f t="shared" si="45"/>
        <v>Chêne blanc</v>
      </c>
      <c r="I97" s="2" t="str">
        <f t="shared" si="36"/>
        <v>FSBC33-WWO</v>
      </c>
      <c r="J97" s="2" t="str">
        <f>IFERROR(VLOOKUP(K97,Categories!$A$2:$C$41,2,FALSE()),"⚠ slug introuvable")</f>
        <v>base-cabinet</v>
      </c>
      <c r="K97" s="2" t="s">
        <v>207</v>
      </c>
      <c r="L97" s="2" t="str">
        <f>IFERROR(VLOOKUP(J97,Categories!$A$2:$C$41,3,FALSE()),"⚠ slug introuvable")</f>
        <v>Armoire du bas</v>
      </c>
      <c r="M97" s="2" t="str">
        <f>IFERROR(VLOOKUP(K97,Categories!$A$2:$C$41,3,FALSE()),"⚠ slug introuvable")</f>
        <v>Évier farmhouse</v>
      </c>
      <c r="N97" s="2" t="s">
        <v>208</v>
      </c>
      <c r="O97" s="2" t="str">
        <f t="shared" si="37"/>
        <v>Armoire de cuisine du bas pour évier farmhouse (33")</v>
      </c>
      <c r="P97" s="2" t="str">
        <f>_xlfn.CONCAT("Évier farmhouse"," (",AA97,""")")</f>
        <v>Évier farmhouse (33")</v>
      </c>
      <c r="Q97" s="11">
        <v>992</v>
      </c>
      <c r="R97" s="11">
        <f t="shared" si="38"/>
        <v>88.177777777777777</v>
      </c>
      <c r="S97" s="11">
        <f t="shared" si="39"/>
        <v>123.44888888888887</v>
      </c>
      <c r="T97" s="11">
        <f t="shared" si="40"/>
        <v>135.79377777777776</v>
      </c>
      <c r="U97" s="11">
        <f t="shared" si="46"/>
        <v>162.95253333333332</v>
      </c>
      <c r="V97" s="11">
        <f t="shared" si="46"/>
        <v>195.54303999999999</v>
      </c>
      <c r="W97" s="11">
        <f t="shared" si="41"/>
        <v>215.09734400000002</v>
      </c>
      <c r="X97" s="11">
        <f t="shared" si="42"/>
        <v>215.09734400000002</v>
      </c>
      <c r="Y97" s="14">
        <v>0.4</v>
      </c>
      <c r="Z97" s="11">
        <f t="shared" si="43"/>
        <v>358.49557333333337</v>
      </c>
      <c r="AA97" s="2">
        <v>33</v>
      </c>
      <c r="AB97" s="2">
        <v>34.5</v>
      </c>
      <c r="AC97" s="2">
        <v>24</v>
      </c>
      <c r="AD97" s="2">
        <v>2</v>
      </c>
      <c r="AE97" s="2">
        <v>0</v>
      </c>
    </row>
    <row r="98" spans="1:31">
      <c r="A98" s="2" t="s">
        <v>210</v>
      </c>
      <c r="B98" s="2"/>
      <c r="C98" s="2"/>
      <c r="D98" s="2"/>
      <c r="E98" s="2" t="b">
        <f t="shared" si="35"/>
        <v>1</v>
      </c>
      <c r="F98" s="2"/>
      <c r="G98" s="2" t="s">
        <v>211</v>
      </c>
      <c r="H98" s="2" t="str">
        <f t="shared" si="45"/>
        <v>Blanc</v>
      </c>
      <c r="I98" s="2" t="str">
        <f t="shared" si="36"/>
        <v>FSBC36-CW</v>
      </c>
      <c r="J98" s="2" t="str">
        <f>IFERROR(VLOOKUP(K98,Categories!$A$2:$C$41,2,FALSE()),"⚠ slug introuvable")</f>
        <v>base-cabinet</v>
      </c>
      <c r="K98" s="2" t="s">
        <v>207</v>
      </c>
      <c r="L98" s="2" t="str">
        <f>IFERROR(VLOOKUP(J98,Categories!$A$2:$C$41,3,FALSE()),"⚠ slug introuvable")</f>
        <v>Armoire du bas</v>
      </c>
      <c r="M98" s="2" t="str">
        <f>IFERROR(VLOOKUP(K98,Categories!$A$2:$C$41,3,FALSE()),"⚠ slug introuvable")</f>
        <v>Évier farmhouse</v>
      </c>
      <c r="N98" s="2" t="s">
        <v>208</v>
      </c>
      <c r="O98" s="2" t="str">
        <f t="shared" si="37"/>
        <v>Armoire de cuisine du bas pour évier farmhouse (36")</v>
      </c>
      <c r="P98" s="2" t="str">
        <f>_xlfn.CONCAT("Évier farmhouse"," (",AA98,""")")</f>
        <v>Évier farmhouse (36")</v>
      </c>
      <c r="Q98" s="11">
        <v>839</v>
      </c>
      <c r="R98" s="11">
        <f t="shared" si="38"/>
        <v>74.577777777777783</v>
      </c>
      <c r="S98" s="11">
        <f t="shared" si="39"/>
        <v>104.4088888888889</v>
      </c>
      <c r="T98" s="11">
        <f t="shared" si="40"/>
        <v>114.84977777777779</v>
      </c>
      <c r="U98" s="11">
        <f t="shared" si="46"/>
        <v>137.81973333333335</v>
      </c>
      <c r="V98" s="11">
        <f t="shared" si="46"/>
        <v>165.38368</v>
      </c>
      <c r="W98" s="11">
        <f t="shared" si="41"/>
        <v>181.92204800000002</v>
      </c>
      <c r="X98" s="11">
        <f t="shared" si="42"/>
        <v>181.92204800000002</v>
      </c>
      <c r="Y98" s="14">
        <v>0.4</v>
      </c>
      <c r="Z98" s="11">
        <f t="shared" si="43"/>
        <v>303.2034133333334</v>
      </c>
      <c r="AA98" s="2">
        <v>36</v>
      </c>
      <c r="AB98" s="2">
        <v>34.5</v>
      </c>
      <c r="AC98" s="2">
        <v>24</v>
      </c>
      <c r="AD98" s="2">
        <v>2</v>
      </c>
      <c r="AE98" s="2">
        <v>0</v>
      </c>
    </row>
    <row r="99" spans="1:31">
      <c r="A99" s="2" t="s">
        <v>212</v>
      </c>
      <c r="B99" s="2"/>
      <c r="C99" s="2"/>
      <c r="D99" s="2"/>
      <c r="E99" s="2" t="b">
        <f t="shared" si="35"/>
        <v>1</v>
      </c>
      <c r="F99" s="2"/>
      <c r="G99" s="2" t="s">
        <v>211</v>
      </c>
      <c r="H99" s="2" t="str">
        <f t="shared" si="45"/>
        <v>Chêne blanc</v>
      </c>
      <c r="I99" s="2" t="str">
        <f t="shared" si="36"/>
        <v>FSBC36-WWO</v>
      </c>
      <c r="J99" s="2" t="str">
        <f>IFERROR(VLOOKUP(K99,Categories!$A$2:$C$41,2,FALSE()),"⚠ slug introuvable")</f>
        <v>base-cabinet</v>
      </c>
      <c r="K99" s="2" t="s">
        <v>207</v>
      </c>
      <c r="L99" s="2" t="str">
        <f>IFERROR(VLOOKUP(J99,Categories!$A$2:$C$41,3,FALSE()),"⚠ slug introuvable")</f>
        <v>Armoire du bas</v>
      </c>
      <c r="M99" s="2" t="str">
        <f>IFERROR(VLOOKUP(K99,Categories!$A$2:$C$41,3,FALSE()),"⚠ slug introuvable")</f>
        <v>Évier farmhouse</v>
      </c>
      <c r="N99" s="2" t="s">
        <v>208</v>
      </c>
      <c r="O99" s="2" t="str">
        <f t="shared" si="37"/>
        <v>Armoire de cuisine du bas pour évier farmhouse (36")</v>
      </c>
      <c r="P99" s="2" t="str">
        <f>_xlfn.CONCAT("Évier farmhouse"," (",AA99,""")")</f>
        <v>Évier farmhouse (36")</v>
      </c>
      <c r="Q99" s="11">
        <v>1070</v>
      </c>
      <c r="R99" s="11">
        <f t="shared" si="38"/>
        <v>95.111111111111114</v>
      </c>
      <c r="S99" s="11">
        <f t="shared" si="39"/>
        <v>133.15555555555557</v>
      </c>
      <c r="T99" s="11">
        <f t="shared" si="40"/>
        <v>146.47111111111113</v>
      </c>
      <c r="U99" s="11">
        <f t="shared" si="46"/>
        <v>175.76533333333336</v>
      </c>
      <c r="V99" s="11">
        <f t="shared" si="46"/>
        <v>210.91840000000002</v>
      </c>
      <c r="W99" s="11">
        <f t="shared" si="41"/>
        <v>232.01024000000004</v>
      </c>
      <c r="X99" s="11">
        <f t="shared" si="42"/>
        <v>232.01024000000004</v>
      </c>
      <c r="Y99" s="14">
        <v>0.4</v>
      </c>
      <c r="Z99" s="11">
        <f t="shared" si="43"/>
        <v>386.68373333333341</v>
      </c>
      <c r="AA99" s="2">
        <v>36</v>
      </c>
      <c r="AB99" s="2">
        <v>34.5</v>
      </c>
      <c r="AC99" s="2">
        <v>24</v>
      </c>
      <c r="AD99" s="2">
        <v>2</v>
      </c>
      <c r="AE99" s="2">
        <v>0</v>
      </c>
    </row>
    <row r="100" spans="1:31">
      <c r="A100" s="2" t="s">
        <v>213</v>
      </c>
      <c r="B100" s="2"/>
      <c r="C100" s="2"/>
      <c r="D100" s="2"/>
      <c r="E100" s="2" t="b">
        <f t="shared" si="35"/>
        <v>1</v>
      </c>
      <c r="F100" s="2"/>
      <c r="G100" s="2" t="s">
        <v>214</v>
      </c>
      <c r="H100" s="2" t="str">
        <f t="shared" si="45"/>
        <v>Blanc</v>
      </c>
      <c r="I100" s="2" t="str">
        <f t="shared" si="36"/>
        <v>CBC3309-CW</v>
      </c>
      <c r="J100" s="2" t="str">
        <f>IFERROR(VLOOKUP(K100,Categories!$A$2:$C$41,2,FALSE()),"⚠ slug introuvable")</f>
        <v>base-cabinet</v>
      </c>
      <c r="K100" s="2" t="s">
        <v>100</v>
      </c>
      <c r="L100" s="2" t="str">
        <f>IFERROR(VLOOKUP(J100,Categories!$A$2:$C$41,3,FALSE()),"⚠ slug introuvable")</f>
        <v>Armoire du bas</v>
      </c>
      <c r="M100" s="2" t="str">
        <f>IFERROR(VLOOKUP(K100,Categories!$A$2:$C$41,3,FALSE()),"⚠ slug introuvable")</f>
        <v>Coin</v>
      </c>
      <c r="N100" s="2" t="s">
        <v>215</v>
      </c>
      <c r="O100" s="2" t="str">
        <f t="shared" si="37"/>
        <v>Armoire de cuisine du bas coin 90º (33")</v>
      </c>
      <c r="P100" s="2" t="str">
        <f>_xlfn.CONCAT("Coin 90º"," (",AA100,""")")</f>
        <v>Coin 90º (33")</v>
      </c>
      <c r="Q100" s="11">
        <v>1242</v>
      </c>
      <c r="R100" s="11">
        <f t="shared" si="38"/>
        <v>110.4</v>
      </c>
      <c r="S100" s="11">
        <f t="shared" si="39"/>
        <v>154.56</v>
      </c>
      <c r="T100" s="11">
        <f t="shared" si="40"/>
        <v>170.01600000000002</v>
      </c>
      <c r="U100" s="11">
        <f t="shared" si="46"/>
        <v>204.01920000000001</v>
      </c>
      <c r="V100" s="11">
        <f t="shared" si="46"/>
        <v>244.82303999999999</v>
      </c>
      <c r="W100" s="11">
        <f t="shared" si="41"/>
        <v>269.30534399999999</v>
      </c>
      <c r="X100" s="11">
        <f t="shared" si="42"/>
        <v>269.30534399999999</v>
      </c>
      <c r="Y100" s="14">
        <v>0.4</v>
      </c>
      <c r="Z100" s="11">
        <f t="shared" si="43"/>
        <v>448.84224</v>
      </c>
      <c r="AA100" s="2">
        <v>33</v>
      </c>
      <c r="AB100" s="2">
        <v>34.5</v>
      </c>
      <c r="AC100" s="2">
        <v>24</v>
      </c>
      <c r="AD100" s="2">
        <v>1</v>
      </c>
      <c r="AE100" s="2">
        <v>0</v>
      </c>
    </row>
    <row r="101" spans="1:31">
      <c r="A101" s="2" t="s">
        <v>216</v>
      </c>
      <c r="B101" s="2"/>
      <c r="C101" s="2"/>
      <c r="D101" s="2"/>
      <c r="E101" s="2" t="b">
        <f t="shared" si="35"/>
        <v>1</v>
      </c>
      <c r="F101" s="2"/>
      <c r="G101" s="2" t="s">
        <v>214</v>
      </c>
      <c r="H101" s="2" t="str">
        <f t="shared" si="45"/>
        <v>Chêne blanc</v>
      </c>
      <c r="I101" s="2" t="str">
        <f t="shared" si="36"/>
        <v>CBC3309-WWO</v>
      </c>
      <c r="J101" s="2" t="str">
        <f>IFERROR(VLOOKUP(K101,Categories!$A$2:$C$41,2,FALSE()),"⚠ slug introuvable")</f>
        <v>base-cabinet</v>
      </c>
      <c r="K101" s="2" t="s">
        <v>100</v>
      </c>
      <c r="L101" s="2" t="str">
        <f>IFERROR(VLOOKUP(J101,Categories!$A$2:$C$41,3,FALSE()),"⚠ slug introuvable")</f>
        <v>Armoire du bas</v>
      </c>
      <c r="M101" s="2" t="str">
        <f>IFERROR(VLOOKUP(K101,Categories!$A$2:$C$41,3,FALSE()),"⚠ slug introuvable")</f>
        <v>Coin</v>
      </c>
      <c r="N101" s="2" t="s">
        <v>215</v>
      </c>
      <c r="O101" s="2" t="str">
        <f t="shared" si="37"/>
        <v>Armoire de cuisine du bas coin 90º (33")</v>
      </c>
      <c r="P101" s="2" t="str">
        <f>_xlfn.CONCAT("Coin 90º"," (",AA101,""")")</f>
        <v>Coin 90º (33")</v>
      </c>
      <c r="Q101" s="11">
        <v>1459</v>
      </c>
      <c r="R101" s="11">
        <f t="shared" si="38"/>
        <v>129.6888888888889</v>
      </c>
      <c r="S101" s="11">
        <f t="shared" si="39"/>
        <v>181.56444444444443</v>
      </c>
      <c r="T101" s="11">
        <f t="shared" si="40"/>
        <v>199.72088888888888</v>
      </c>
      <c r="U101" s="11">
        <f t="shared" si="46"/>
        <v>239.66506666666663</v>
      </c>
      <c r="V101" s="11">
        <f t="shared" si="46"/>
        <v>287.59807999999992</v>
      </c>
      <c r="W101" s="11">
        <f t="shared" si="41"/>
        <v>316.35788799999995</v>
      </c>
      <c r="X101" s="11">
        <f t="shared" si="42"/>
        <v>316.35788799999995</v>
      </c>
      <c r="Y101" s="14">
        <v>0.4</v>
      </c>
      <c r="Z101" s="11">
        <f t="shared" si="43"/>
        <v>527.26314666666656</v>
      </c>
      <c r="AA101" s="2">
        <v>33</v>
      </c>
      <c r="AB101" s="2">
        <v>34.5</v>
      </c>
      <c r="AC101" s="2">
        <v>24</v>
      </c>
      <c r="AD101" s="2">
        <v>1</v>
      </c>
      <c r="AE101" s="2">
        <v>0</v>
      </c>
    </row>
    <row r="102" spans="1:31">
      <c r="A102" s="2" t="s">
        <v>217</v>
      </c>
      <c r="B102" s="2"/>
      <c r="C102" s="2"/>
      <c r="D102" s="2"/>
      <c r="E102" s="2" t="b">
        <f t="shared" si="35"/>
        <v>1</v>
      </c>
      <c r="F102" s="2"/>
      <c r="G102" s="2" t="s">
        <v>218</v>
      </c>
      <c r="H102" s="2" t="str">
        <f t="shared" si="45"/>
        <v>Blanc</v>
      </c>
      <c r="I102" s="2" t="str">
        <f t="shared" si="36"/>
        <v>CBC3612-CW</v>
      </c>
      <c r="J102" s="2" t="str">
        <f>IFERROR(VLOOKUP(K102,Categories!$A$2:$C$41,2,FALSE()),"⚠ slug introuvable")</f>
        <v>base-cabinet</v>
      </c>
      <c r="K102" s="2" t="s">
        <v>100</v>
      </c>
      <c r="L102" s="2" t="str">
        <f>IFERROR(VLOOKUP(J102,Categories!$A$2:$C$41,3,FALSE()),"⚠ slug introuvable")</f>
        <v>Armoire du bas</v>
      </c>
      <c r="M102" s="2" t="str">
        <f>IFERROR(VLOOKUP(K102,Categories!$A$2:$C$41,3,FALSE()),"⚠ slug introuvable")</f>
        <v>Coin</v>
      </c>
      <c r="N102" s="2" t="s">
        <v>215</v>
      </c>
      <c r="O102" s="2" t="str">
        <f t="shared" si="37"/>
        <v>Armoire de cuisine du bas coin 90º (36")</v>
      </c>
      <c r="P102" s="2" t="str">
        <f>_xlfn.CONCAT("Coin 90º"," (",AA102,""")")</f>
        <v>Coin 90º (36")</v>
      </c>
      <c r="Q102" s="11">
        <v>1327</v>
      </c>
      <c r="R102" s="11">
        <f t="shared" si="38"/>
        <v>117.95555555555555</v>
      </c>
      <c r="S102" s="11">
        <f t="shared" si="39"/>
        <v>165.13777777777776</v>
      </c>
      <c r="T102" s="11">
        <f t="shared" si="40"/>
        <v>181.65155555555555</v>
      </c>
      <c r="U102" s="11">
        <f t="shared" si="46"/>
        <v>217.98186666666666</v>
      </c>
      <c r="V102" s="11">
        <f t="shared" si="46"/>
        <v>261.57823999999999</v>
      </c>
      <c r="W102" s="11">
        <f t="shared" si="41"/>
        <v>287.736064</v>
      </c>
      <c r="X102" s="11">
        <f t="shared" si="42"/>
        <v>287.736064</v>
      </c>
      <c r="Y102" s="14">
        <v>0.4</v>
      </c>
      <c r="Z102" s="11">
        <f t="shared" si="43"/>
        <v>479.56010666666668</v>
      </c>
      <c r="AA102" s="2">
        <v>36</v>
      </c>
      <c r="AB102" s="2">
        <v>34.5</v>
      </c>
      <c r="AC102" s="2">
        <v>24</v>
      </c>
      <c r="AD102" s="2">
        <v>1</v>
      </c>
      <c r="AE102" s="2">
        <v>0</v>
      </c>
    </row>
    <row r="103" spans="1:31">
      <c r="A103" s="2" t="s">
        <v>219</v>
      </c>
      <c r="B103" s="2"/>
      <c r="C103" s="2"/>
      <c r="D103" s="2"/>
      <c r="E103" s="2" t="b">
        <f t="shared" si="35"/>
        <v>1</v>
      </c>
      <c r="F103" s="2"/>
      <c r="G103" s="2" t="s">
        <v>218</v>
      </c>
      <c r="H103" s="2" t="str">
        <f t="shared" si="45"/>
        <v>Chêne blanc</v>
      </c>
      <c r="I103" s="2" t="str">
        <f t="shared" si="36"/>
        <v>CBC3612-WWO</v>
      </c>
      <c r="J103" s="2" t="str">
        <f>IFERROR(VLOOKUP(K103,Categories!$A$2:$C$41,2,FALSE()),"⚠ slug introuvable")</f>
        <v>base-cabinet</v>
      </c>
      <c r="K103" s="2" t="s">
        <v>100</v>
      </c>
      <c r="L103" s="2" t="str">
        <f>IFERROR(VLOOKUP(J103,Categories!$A$2:$C$41,3,FALSE()),"⚠ slug introuvable")</f>
        <v>Armoire du bas</v>
      </c>
      <c r="M103" s="2" t="str">
        <f>IFERROR(VLOOKUP(K103,Categories!$A$2:$C$41,3,FALSE()),"⚠ slug introuvable")</f>
        <v>Coin</v>
      </c>
      <c r="N103" s="2" t="s">
        <v>215</v>
      </c>
      <c r="O103" s="2" t="str">
        <f t="shared" si="37"/>
        <v>Armoire de cuisine du bas coin 90º (36")</v>
      </c>
      <c r="P103" s="2" t="str">
        <f>_xlfn.CONCAT("Coin 90º"," (",AA103,""")")</f>
        <v>Coin 90º (36")</v>
      </c>
      <c r="Q103" s="11">
        <v>1697.18</v>
      </c>
      <c r="R103" s="11">
        <f t="shared" si="38"/>
        <v>150.86044444444445</v>
      </c>
      <c r="S103" s="11">
        <f t="shared" si="39"/>
        <v>211.20462222222221</v>
      </c>
      <c r="T103" s="11">
        <f t="shared" si="40"/>
        <v>232.32508444444446</v>
      </c>
      <c r="U103" s="11">
        <f t="shared" si="46"/>
        <v>278.79010133333333</v>
      </c>
      <c r="V103" s="11">
        <f t="shared" si="46"/>
        <v>334.5481216</v>
      </c>
      <c r="W103" s="11">
        <f t="shared" si="41"/>
        <v>368.00293376000002</v>
      </c>
      <c r="X103" s="11">
        <f t="shared" si="42"/>
        <v>368.00293376000002</v>
      </c>
      <c r="Y103" s="14">
        <v>0.4</v>
      </c>
      <c r="Z103" s="11">
        <f t="shared" si="43"/>
        <v>613.33822293333344</v>
      </c>
      <c r="AA103" s="2">
        <v>36</v>
      </c>
      <c r="AB103" s="2">
        <v>34.5</v>
      </c>
      <c r="AC103" s="2">
        <v>24</v>
      </c>
      <c r="AD103" s="2">
        <v>1</v>
      </c>
      <c r="AE103" s="2">
        <v>0</v>
      </c>
    </row>
    <row r="104" spans="1:31">
      <c r="A104" s="2" t="s">
        <v>220</v>
      </c>
      <c r="B104" s="2"/>
      <c r="C104" s="2"/>
      <c r="D104" s="2"/>
      <c r="E104" s="2" t="b">
        <f t="shared" si="35"/>
        <v>1</v>
      </c>
      <c r="F104" s="2"/>
      <c r="G104" s="2" t="s">
        <v>221</v>
      </c>
      <c r="H104" s="2" t="str">
        <f t="shared" si="45"/>
        <v>Blanc</v>
      </c>
      <c r="I104" s="2" t="str">
        <f t="shared" si="36"/>
        <v>DRSPBC06-CW</v>
      </c>
      <c r="J104" s="2" t="str">
        <f>IFERROR(VLOOKUP(K104,Categories!$A$2:$C$41,2,FALSE()),"⚠ slug introuvable")</f>
        <v>base-cabinet</v>
      </c>
      <c r="K104" s="2" t="s">
        <v>222</v>
      </c>
      <c r="L104" s="2" t="str">
        <f>IFERROR(VLOOKUP(J104,Categories!$A$2:$C$41,3,FALSE()),"⚠ slug introuvable")</f>
        <v>Armoire du bas</v>
      </c>
      <c r="M104" s="2" t="str">
        <f>IFERROR(VLOOKUP(K104,Categories!$A$2:$C$41,3,FALSE()),"⚠ slug introuvable")</f>
        <v>Range-épices coulissant</v>
      </c>
      <c r="N104" s="2" t="s">
        <v>223</v>
      </c>
      <c r="O104" s="2" t="str">
        <f t="shared" si="37"/>
        <v>Armoire de cuisine du bas avec range-épices coulissant (6")</v>
      </c>
      <c r="P104" s="2" t="str">
        <f>_xlfn.CONCAT("Range-épices coulissant"," (",AA104,""")")</f>
        <v>Range-épices coulissant (6")</v>
      </c>
      <c r="Q104" s="11">
        <v>497</v>
      </c>
      <c r="R104" s="11">
        <f t="shared" si="38"/>
        <v>44.177777777777777</v>
      </c>
      <c r="S104" s="11">
        <f t="shared" si="39"/>
        <v>61.848888888888887</v>
      </c>
      <c r="T104" s="11">
        <f t="shared" si="40"/>
        <v>68.033777777777786</v>
      </c>
      <c r="U104" s="11">
        <f t="shared" si="46"/>
        <v>81.640533333333337</v>
      </c>
      <c r="V104" s="11">
        <f t="shared" si="46"/>
        <v>97.968640000000008</v>
      </c>
      <c r="W104" s="11">
        <f t="shared" si="41"/>
        <v>107.76550400000002</v>
      </c>
      <c r="X104" s="11">
        <f t="shared" si="42"/>
        <v>107.76550400000002</v>
      </c>
      <c r="Y104" s="14">
        <v>0.4</v>
      </c>
      <c r="Z104" s="11">
        <f t="shared" si="43"/>
        <v>179.60917333333339</v>
      </c>
      <c r="AA104" s="2">
        <v>6</v>
      </c>
      <c r="AB104" s="2">
        <v>34.5</v>
      </c>
      <c r="AC104" s="2">
        <v>24</v>
      </c>
      <c r="AD104" s="2">
        <v>0</v>
      </c>
      <c r="AE104" s="2">
        <v>1</v>
      </c>
    </row>
    <row r="105" spans="1:31">
      <c r="A105" s="2" t="s">
        <v>224</v>
      </c>
      <c r="B105" s="2"/>
      <c r="C105" s="2"/>
      <c r="D105" s="2"/>
      <c r="E105" s="2" t="b">
        <f t="shared" si="35"/>
        <v>1</v>
      </c>
      <c r="F105" s="2"/>
      <c r="G105" s="2" t="s">
        <v>225</v>
      </c>
      <c r="H105" s="2" t="str">
        <f t="shared" si="45"/>
        <v>Blanc</v>
      </c>
      <c r="I105" s="2" t="str">
        <f t="shared" si="36"/>
        <v>DRSPBC09-CW</v>
      </c>
      <c r="J105" s="2" t="str">
        <f>IFERROR(VLOOKUP(K105,Categories!$A$2:$C$41,2,FALSE()),"⚠ slug introuvable")</f>
        <v>base-cabinet</v>
      </c>
      <c r="K105" s="2" t="s">
        <v>222</v>
      </c>
      <c r="L105" s="2" t="str">
        <f>IFERROR(VLOOKUP(J105,Categories!$A$2:$C$41,3,FALSE()),"⚠ slug introuvable")</f>
        <v>Armoire du bas</v>
      </c>
      <c r="M105" s="2" t="str">
        <f>IFERROR(VLOOKUP(K105,Categories!$A$2:$C$41,3,FALSE()),"⚠ slug introuvable")</f>
        <v>Range-épices coulissant</v>
      </c>
      <c r="N105" s="2" t="s">
        <v>223</v>
      </c>
      <c r="O105" s="2" t="str">
        <f t="shared" si="37"/>
        <v>Armoire de cuisine du bas avec range-épices coulissant (9")</v>
      </c>
      <c r="P105" s="2" t="str">
        <f>_xlfn.CONCAT("Range-épices coulissant"," (",AA105,""")")</f>
        <v>Range-épices coulissant (9")</v>
      </c>
      <c r="Q105" s="11">
        <v>625</v>
      </c>
      <c r="R105" s="11">
        <f t="shared" si="38"/>
        <v>55.555555555555557</v>
      </c>
      <c r="S105" s="11">
        <f t="shared" si="39"/>
        <v>77.777777777777771</v>
      </c>
      <c r="T105" s="11">
        <f t="shared" si="40"/>
        <v>85.555555555555557</v>
      </c>
      <c r="U105" s="11">
        <f t="shared" si="46"/>
        <v>102.66666666666667</v>
      </c>
      <c r="V105" s="11">
        <f t="shared" si="46"/>
        <v>123.2</v>
      </c>
      <c r="W105" s="11">
        <f t="shared" si="41"/>
        <v>135.52000000000001</v>
      </c>
      <c r="X105" s="11">
        <f t="shared" si="42"/>
        <v>135.52000000000001</v>
      </c>
      <c r="Y105" s="14">
        <v>0.4</v>
      </c>
      <c r="Z105" s="11">
        <f t="shared" si="43"/>
        <v>225.8666666666667</v>
      </c>
      <c r="AA105" s="2">
        <v>9</v>
      </c>
      <c r="AB105" s="2">
        <v>34.5</v>
      </c>
      <c r="AC105" s="2">
        <v>24</v>
      </c>
      <c r="AD105" s="2">
        <v>0</v>
      </c>
      <c r="AE105" s="2">
        <v>1</v>
      </c>
    </row>
    <row r="106" spans="1:31">
      <c r="A106" s="2" t="s">
        <v>226</v>
      </c>
      <c r="B106" s="2"/>
      <c r="C106" s="2"/>
      <c r="D106" s="2"/>
      <c r="E106" s="2" t="b">
        <f t="shared" si="35"/>
        <v>1</v>
      </c>
      <c r="F106" s="2"/>
      <c r="G106" s="2" t="s">
        <v>225</v>
      </c>
      <c r="H106" s="2" t="str">
        <f t="shared" si="45"/>
        <v>Chêne blanc</v>
      </c>
      <c r="I106" s="2" t="str">
        <f t="shared" si="36"/>
        <v>DRSPBC09-WWO</v>
      </c>
      <c r="J106" s="2" t="str">
        <f>IFERROR(VLOOKUP(K106,Categories!$A$2:$C$41,2,FALSE()),"⚠ slug introuvable")</f>
        <v>base-cabinet</v>
      </c>
      <c r="K106" s="2" t="s">
        <v>222</v>
      </c>
      <c r="L106" s="2" t="str">
        <f>IFERROR(VLOOKUP(J106,Categories!$A$2:$C$41,3,FALSE()),"⚠ slug introuvable")</f>
        <v>Armoire du bas</v>
      </c>
      <c r="M106" s="2" t="str">
        <f>IFERROR(VLOOKUP(K106,Categories!$A$2:$C$41,3,FALSE()),"⚠ slug introuvable")</f>
        <v>Range-épices coulissant</v>
      </c>
      <c r="N106" s="2" t="s">
        <v>223</v>
      </c>
      <c r="O106" s="2" t="str">
        <f t="shared" ref="O106:O108" si="47">_xlfn.CONCAT(N106," (",AA106,""")")</f>
        <v>Armoire de cuisine du bas avec range-épices coulissant (9")</v>
      </c>
      <c r="P106" s="2" t="str">
        <f>_xlfn.CONCAT("Range-épices coulissant"," (",AA106,""")")</f>
        <v>Range-épices coulissant (9")</v>
      </c>
      <c r="Q106" s="11">
        <v>677.36</v>
      </c>
      <c r="R106" s="11">
        <f t="shared" si="38"/>
        <v>60.209777777777781</v>
      </c>
      <c r="S106" s="11">
        <f t="shared" si="39"/>
        <v>84.293688888888894</v>
      </c>
      <c r="T106" s="11">
        <f t="shared" si="40"/>
        <v>92.723057777777797</v>
      </c>
      <c r="U106" s="11">
        <f t="shared" si="46"/>
        <v>111.26766933333336</v>
      </c>
      <c r="V106" s="11">
        <f t="shared" si="46"/>
        <v>133.52120320000003</v>
      </c>
      <c r="W106" s="11">
        <f t="shared" si="41"/>
        <v>146.87332352000004</v>
      </c>
      <c r="X106" s="11">
        <f t="shared" si="42"/>
        <v>146.87332352000004</v>
      </c>
      <c r="Y106" s="14">
        <v>0.4</v>
      </c>
      <c r="Z106" s="11">
        <f t="shared" si="43"/>
        <v>244.7888725333334</v>
      </c>
      <c r="AA106" s="2">
        <v>9</v>
      </c>
      <c r="AB106" s="2">
        <v>34.5</v>
      </c>
      <c r="AC106" s="2">
        <v>24</v>
      </c>
      <c r="AD106" s="2">
        <v>0</v>
      </c>
      <c r="AE106" s="2">
        <v>1</v>
      </c>
    </row>
    <row r="107" spans="1:31">
      <c r="A107" s="2" t="s">
        <v>227</v>
      </c>
      <c r="B107" s="2"/>
      <c r="C107" s="8"/>
      <c r="D107" s="8"/>
      <c r="E107" s="2" t="b">
        <f t="shared" si="35"/>
        <v>1</v>
      </c>
      <c r="F107" s="2"/>
      <c r="G107" s="2" t="s">
        <v>228</v>
      </c>
      <c r="H107" s="2" t="str">
        <f t="shared" si="45"/>
        <v>Blanc</v>
      </c>
      <c r="I107" s="2" t="str">
        <f t="shared" si="36"/>
        <v>DRSPBC12-CW</v>
      </c>
      <c r="J107" s="2" t="str">
        <f>IFERROR(VLOOKUP(K107,Categories!$A$2:$C$41,2,FALSE()),"⚠ slug introuvable")</f>
        <v>base-cabinet</v>
      </c>
      <c r="K107" s="2" t="s">
        <v>222</v>
      </c>
      <c r="L107" s="2" t="str">
        <f>IFERROR(VLOOKUP(J107,Categories!$A$2:$C$41,3,FALSE()),"⚠ slug introuvable")</f>
        <v>Armoire du bas</v>
      </c>
      <c r="M107" s="2" t="str">
        <f>IFERROR(VLOOKUP(K107,Categories!$A$2:$C$41,3,FALSE()),"⚠ slug introuvable")</f>
        <v>Range-épices coulissant</v>
      </c>
      <c r="N107" s="2" t="s">
        <v>223</v>
      </c>
      <c r="O107" s="2" t="str">
        <f t="shared" si="47"/>
        <v>Armoire de cuisine du bas avec range-épices coulissant (12")</v>
      </c>
      <c r="P107" s="2" t="str">
        <f>_xlfn.CONCAT("Range-épices coulissant"," (",AA107,""")")</f>
        <v>Range-épices coulissant (12")</v>
      </c>
      <c r="Q107" s="11">
        <v>720</v>
      </c>
      <c r="R107" s="11">
        <f t="shared" si="38"/>
        <v>64</v>
      </c>
      <c r="S107" s="11">
        <f t="shared" si="39"/>
        <v>89.6</v>
      </c>
      <c r="T107" s="11">
        <f t="shared" si="40"/>
        <v>98.56</v>
      </c>
      <c r="U107" s="11">
        <f t="shared" si="46"/>
        <v>118.27199999999999</v>
      </c>
      <c r="V107" s="11">
        <f t="shared" si="46"/>
        <v>141.92639999999997</v>
      </c>
      <c r="W107" s="11">
        <f t="shared" si="41"/>
        <v>156.11903999999998</v>
      </c>
      <c r="X107" s="11">
        <f t="shared" si="42"/>
        <v>156.11903999999998</v>
      </c>
      <c r="Y107" s="14">
        <v>0.4</v>
      </c>
      <c r="Z107" s="11">
        <f t="shared" si="43"/>
        <v>260.19839999999999</v>
      </c>
      <c r="AA107" s="2">
        <v>12</v>
      </c>
      <c r="AB107" s="2">
        <v>34.5</v>
      </c>
      <c r="AC107" s="2">
        <v>24</v>
      </c>
      <c r="AD107" s="2">
        <v>0</v>
      </c>
      <c r="AE107" s="2">
        <v>1</v>
      </c>
    </row>
    <row r="108" spans="1:31">
      <c r="A108" s="2" t="s">
        <v>229</v>
      </c>
      <c r="B108" s="2"/>
      <c r="C108" s="8"/>
      <c r="D108" s="8"/>
      <c r="E108" s="2" t="b">
        <f t="shared" si="35"/>
        <v>1</v>
      </c>
      <c r="F108" s="2"/>
      <c r="G108" s="2" t="s">
        <v>228</v>
      </c>
      <c r="H108" s="2" t="str">
        <f t="shared" si="45"/>
        <v>Chêne blanc</v>
      </c>
      <c r="I108" s="2" t="str">
        <f t="shared" si="36"/>
        <v>DRSPBC12-WWO</v>
      </c>
      <c r="J108" s="2" t="str">
        <f>IFERROR(VLOOKUP(K108,Categories!$A$2:$C$41,2,FALSE()),"⚠ slug introuvable")</f>
        <v>base-cabinet</v>
      </c>
      <c r="K108" s="2" t="s">
        <v>222</v>
      </c>
      <c r="L108" s="2" t="str">
        <f>IFERROR(VLOOKUP(J108,Categories!$A$2:$C$41,3,FALSE()),"⚠ slug introuvable")</f>
        <v>Armoire du bas</v>
      </c>
      <c r="M108" s="2" t="str">
        <f>IFERROR(VLOOKUP(K108,Categories!$A$2:$C$41,3,FALSE()),"⚠ slug introuvable")</f>
        <v>Range-épices coulissant</v>
      </c>
      <c r="N108" s="2" t="s">
        <v>223</v>
      </c>
      <c r="O108" s="2" t="str">
        <f t="shared" si="47"/>
        <v>Armoire de cuisine du bas avec range-épices coulissant (12")</v>
      </c>
      <c r="P108" s="2" t="str">
        <f>_xlfn.CONCAT("Range-épices coulissant"," (",AA108,""")")</f>
        <v>Range-épices coulissant (12")</v>
      </c>
      <c r="Q108" s="11">
        <v>750.38</v>
      </c>
      <c r="R108" s="11">
        <f t="shared" si="38"/>
        <v>66.700444444444443</v>
      </c>
      <c r="S108" s="11">
        <f t="shared" si="39"/>
        <v>93.380622222222215</v>
      </c>
      <c r="T108" s="11">
        <f t="shared" si="40"/>
        <v>102.71868444444445</v>
      </c>
      <c r="U108" s="11">
        <f t="shared" si="46"/>
        <v>123.26242133333334</v>
      </c>
      <c r="V108" s="11">
        <f t="shared" si="46"/>
        <v>147.9149056</v>
      </c>
      <c r="W108" s="11">
        <f t="shared" si="41"/>
        <v>162.70639616</v>
      </c>
      <c r="X108" s="11">
        <f t="shared" si="42"/>
        <v>162.70639616</v>
      </c>
      <c r="Y108" s="14">
        <v>0.4</v>
      </c>
      <c r="Z108" s="11">
        <f t="shared" si="43"/>
        <v>271.17732693333335</v>
      </c>
      <c r="AA108" s="2">
        <v>12</v>
      </c>
      <c r="AB108" s="2">
        <v>34.5</v>
      </c>
      <c r="AC108" s="2">
        <v>24</v>
      </c>
      <c r="AD108" s="2">
        <v>0</v>
      </c>
      <c r="AE108" s="2">
        <v>1</v>
      </c>
    </row>
    <row r="109" spans="1:31">
      <c r="A109" s="2" t="s">
        <v>230</v>
      </c>
      <c r="B109" s="2"/>
      <c r="C109" s="8"/>
      <c r="D109" s="8"/>
      <c r="E109" s="2" t="b">
        <f t="shared" si="35"/>
        <v>1</v>
      </c>
      <c r="F109" s="2"/>
      <c r="G109" s="2" t="s">
        <v>231</v>
      </c>
      <c r="H109" s="2" t="str">
        <f t="shared" si="45"/>
        <v>Blanc</v>
      </c>
      <c r="I109" s="2" t="str">
        <f t="shared" si="36"/>
        <v>DOWC0930-CW</v>
      </c>
      <c r="J109" s="2" t="s">
        <v>232</v>
      </c>
      <c r="K109" s="2" t="s">
        <v>233</v>
      </c>
      <c r="L109" s="2" t="str">
        <f>IFERROR(VLOOKUP(J109,Categories!$A$2:$C$41,3,FALSE()),"⚠ slug introuvable")</f>
        <v>Armoire murale</v>
      </c>
      <c r="M109" s="2" t="str">
        <f>IFERROR(VLOOKUP(K109,Categories!$A$2:$C$41,3,FALSE()),"⚠ slug introuvable")</f>
        <v>Standard</v>
      </c>
      <c r="N109" s="2" t="s">
        <v>234</v>
      </c>
      <c r="O109" s="2" t="str">
        <f t="shared" ref="O109:O117" si="48">_xlfn.CONCAT(N109," (",AA109,""" x ",AB109,""")")</f>
        <v>Armoire de cuisine du haut à 1 porte (9" x 30")</v>
      </c>
      <c r="P109" s="2" t="str">
        <f t="shared" ref="P109:P117" si="49">_xlfn.CONCAT("1 porte"," (",AA109,""" x ",AB109,""")")</f>
        <v>1 porte (9" x 30")</v>
      </c>
      <c r="Q109" s="11">
        <v>310</v>
      </c>
      <c r="R109" s="11">
        <f t="shared" si="38"/>
        <v>27.555555555555557</v>
      </c>
      <c r="S109" s="11">
        <f t="shared" si="39"/>
        <v>38.577777777777776</v>
      </c>
      <c r="T109" s="11">
        <f t="shared" si="40"/>
        <v>42.43555555555556</v>
      </c>
      <c r="U109" s="11">
        <f t="shared" si="46"/>
        <v>50.922666666666672</v>
      </c>
      <c r="V109" s="11">
        <f t="shared" si="46"/>
        <v>61.107200000000006</v>
      </c>
      <c r="W109" s="11">
        <f t="shared" si="41"/>
        <v>67.217920000000007</v>
      </c>
      <c r="X109" s="11">
        <f t="shared" si="42"/>
        <v>67.217920000000007</v>
      </c>
      <c r="Y109" s="14">
        <v>0.4</v>
      </c>
      <c r="Z109" s="11">
        <f t="shared" si="43"/>
        <v>112.02986666666668</v>
      </c>
      <c r="AA109" s="2">
        <v>9</v>
      </c>
      <c r="AB109" s="2">
        <v>30</v>
      </c>
      <c r="AC109" s="2">
        <v>12</v>
      </c>
      <c r="AD109" s="2">
        <v>1</v>
      </c>
      <c r="AE109" s="2">
        <v>0</v>
      </c>
    </row>
    <row r="110" spans="1:31">
      <c r="A110" s="2" t="s">
        <v>235</v>
      </c>
      <c r="B110" s="2"/>
      <c r="C110" s="8"/>
      <c r="D110" s="8"/>
      <c r="E110" s="2" t="b">
        <f t="shared" si="35"/>
        <v>1</v>
      </c>
      <c r="F110" s="2"/>
      <c r="G110" s="2" t="s">
        <v>236</v>
      </c>
      <c r="H110" s="2" t="str">
        <f t="shared" si="45"/>
        <v>Blanc</v>
      </c>
      <c r="I110" s="2" t="str">
        <f t="shared" si="36"/>
        <v>DOWC0936-CW</v>
      </c>
      <c r="J110" s="2" t="s">
        <v>232</v>
      </c>
      <c r="K110" s="2" t="s">
        <v>233</v>
      </c>
      <c r="L110" s="2" t="str">
        <f>IFERROR(VLOOKUP(J110,Categories!$A$2:$C$41,3,FALSE()),"⚠ slug introuvable")</f>
        <v>Armoire murale</v>
      </c>
      <c r="M110" s="2" t="str">
        <f>IFERROR(VLOOKUP(K110,Categories!$A$2:$C$41,3,FALSE()),"⚠ slug introuvable")</f>
        <v>Standard</v>
      </c>
      <c r="N110" s="2" t="s">
        <v>234</v>
      </c>
      <c r="O110" s="2" t="str">
        <f t="shared" si="48"/>
        <v>Armoire de cuisine du haut à 1 porte (9" x 36")</v>
      </c>
      <c r="P110" s="2" t="str">
        <f t="shared" si="49"/>
        <v>1 porte (9" x 36")</v>
      </c>
      <c r="Q110" s="11">
        <v>354</v>
      </c>
      <c r="R110" s="11">
        <f t="shared" si="38"/>
        <v>31.466666666666665</v>
      </c>
      <c r="S110" s="11">
        <f t="shared" si="39"/>
        <v>44.053333333333327</v>
      </c>
      <c r="T110" s="11">
        <f t="shared" si="40"/>
        <v>48.458666666666666</v>
      </c>
      <c r="U110" s="11">
        <f t="shared" ref="U110:V129" si="50">T110*1.2</f>
        <v>58.150399999999998</v>
      </c>
      <c r="V110" s="11">
        <f t="shared" si="50"/>
        <v>69.780479999999997</v>
      </c>
      <c r="W110" s="11">
        <f t="shared" si="41"/>
        <v>76.758527999999998</v>
      </c>
      <c r="X110" s="11">
        <f t="shared" si="42"/>
        <v>76.758527999999998</v>
      </c>
      <c r="Y110" s="14">
        <v>0.4</v>
      </c>
      <c r="Z110" s="11">
        <f t="shared" si="43"/>
        <v>127.93088</v>
      </c>
      <c r="AA110" s="2">
        <v>9</v>
      </c>
      <c r="AB110" s="2">
        <v>36</v>
      </c>
      <c r="AC110" s="2">
        <v>12</v>
      </c>
      <c r="AD110" s="2">
        <v>1</v>
      </c>
      <c r="AE110" s="2">
        <v>0</v>
      </c>
    </row>
    <row r="111" spans="1:31">
      <c r="A111" s="2" t="s">
        <v>237</v>
      </c>
      <c r="B111" s="2"/>
      <c r="C111" s="8"/>
      <c r="D111" s="8"/>
      <c r="E111" s="2" t="b">
        <f t="shared" si="35"/>
        <v>1</v>
      </c>
      <c r="F111" s="2"/>
      <c r="G111" s="2" t="s">
        <v>238</v>
      </c>
      <c r="H111" s="2" t="str">
        <f t="shared" si="45"/>
        <v>Blanc</v>
      </c>
      <c r="I111" s="2" t="str">
        <f t="shared" si="36"/>
        <v>DOWC1230-CW</v>
      </c>
      <c r="J111" s="2" t="s">
        <v>232</v>
      </c>
      <c r="K111" s="2" t="s">
        <v>233</v>
      </c>
      <c r="L111" s="2" t="str">
        <f>IFERROR(VLOOKUP(J111,Categories!$A$2:$C$41,3,FALSE()),"⚠ slug introuvable")</f>
        <v>Armoire murale</v>
      </c>
      <c r="M111" s="2" t="str">
        <f>IFERROR(VLOOKUP(K111,Categories!$A$2:$C$41,3,FALSE()),"⚠ slug introuvable")</f>
        <v>Standard</v>
      </c>
      <c r="N111" s="2" t="s">
        <v>234</v>
      </c>
      <c r="O111" s="2" t="str">
        <f t="shared" si="48"/>
        <v>Armoire de cuisine du haut à 1 porte (12" x 30")</v>
      </c>
      <c r="P111" s="2" t="str">
        <f t="shared" si="49"/>
        <v>1 porte (12" x 30")</v>
      </c>
      <c r="Q111" s="11">
        <v>352</v>
      </c>
      <c r="R111" s="11">
        <f t="shared" si="38"/>
        <v>31.288888888888888</v>
      </c>
      <c r="S111" s="11">
        <f t="shared" si="39"/>
        <v>43.804444444444442</v>
      </c>
      <c r="T111" s="11">
        <f t="shared" si="40"/>
        <v>48.184888888888892</v>
      </c>
      <c r="U111" s="11">
        <f t="shared" si="50"/>
        <v>57.821866666666665</v>
      </c>
      <c r="V111" s="11">
        <f t="shared" si="50"/>
        <v>69.386240000000001</v>
      </c>
      <c r="W111" s="11">
        <f t="shared" si="41"/>
        <v>76.324864000000005</v>
      </c>
      <c r="X111" s="11">
        <f t="shared" si="42"/>
        <v>76.324864000000005</v>
      </c>
      <c r="Y111" s="14">
        <v>0.4</v>
      </c>
      <c r="Z111" s="11">
        <f t="shared" si="43"/>
        <v>127.20810666666668</v>
      </c>
      <c r="AA111" s="2">
        <v>12</v>
      </c>
      <c r="AB111" s="2">
        <v>30</v>
      </c>
      <c r="AC111" s="2">
        <v>12</v>
      </c>
      <c r="AD111" s="2">
        <v>1</v>
      </c>
      <c r="AE111" s="2">
        <v>0</v>
      </c>
    </row>
    <row r="112" spans="1:31">
      <c r="A112" s="2" t="s">
        <v>239</v>
      </c>
      <c r="B112" s="2"/>
      <c r="C112" s="8"/>
      <c r="D112" s="8"/>
      <c r="E112" s="2" t="b">
        <f t="shared" si="35"/>
        <v>1</v>
      </c>
      <c r="F112" s="2"/>
      <c r="G112" s="2" t="s">
        <v>240</v>
      </c>
      <c r="H112" s="2" t="str">
        <f t="shared" si="45"/>
        <v>Blanc</v>
      </c>
      <c r="I112" s="2" t="str">
        <f t="shared" si="36"/>
        <v>DOWC1236-CW</v>
      </c>
      <c r="J112" s="2" t="s">
        <v>232</v>
      </c>
      <c r="K112" s="2" t="s">
        <v>233</v>
      </c>
      <c r="L112" s="2" t="str">
        <f>IFERROR(VLOOKUP(J112,Categories!$A$2:$C$41,3,FALSE()),"⚠ slug introuvable")</f>
        <v>Armoire murale</v>
      </c>
      <c r="M112" s="2" t="str">
        <f>IFERROR(VLOOKUP(K112,Categories!$A$2:$C$41,3,FALSE()),"⚠ slug introuvable")</f>
        <v>Standard</v>
      </c>
      <c r="N112" s="2" t="s">
        <v>234</v>
      </c>
      <c r="O112" s="2" t="str">
        <f t="shared" si="48"/>
        <v>Armoire de cuisine du haut à 1 porte (12" x 36")</v>
      </c>
      <c r="P112" s="2" t="str">
        <f t="shared" si="49"/>
        <v>1 porte (12" x 36")</v>
      </c>
      <c r="Q112" s="11">
        <v>402</v>
      </c>
      <c r="R112" s="11">
        <f t="shared" si="38"/>
        <v>35.733333333333334</v>
      </c>
      <c r="S112" s="11">
        <f t="shared" si="39"/>
        <v>50.026666666666664</v>
      </c>
      <c r="T112" s="11">
        <f t="shared" si="40"/>
        <v>55.029333333333334</v>
      </c>
      <c r="U112" s="11">
        <f t="shared" si="50"/>
        <v>66.035200000000003</v>
      </c>
      <c r="V112" s="11">
        <f t="shared" si="50"/>
        <v>79.242239999999995</v>
      </c>
      <c r="W112" s="11">
        <f t="shared" si="41"/>
        <v>87.166464000000005</v>
      </c>
      <c r="X112" s="11">
        <f t="shared" si="42"/>
        <v>87.166464000000005</v>
      </c>
      <c r="Y112" s="14">
        <v>0.4</v>
      </c>
      <c r="Z112" s="11">
        <f t="shared" si="43"/>
        <v>145.27744000000001</v>
      </c>
      <c r="AA112" s="2">
        <v>12</v>
      </c>
      <c r="AB112" s="2">
        <v>36</v>
      </c>
      <c r="AC112" s="2">
        <v>12</v>
      </c>
      <c r="AD112" s="2">
        <v>1</v>
      </c>
      <c r="AE112" s="2">
        <v>0</v>
      </c>
    </row>
    <row r="113" spans="1:31">
      <c r="A113" s="2" t="s">
        <v>241</v>
      </c>
      <c r="B113" s="2"/>
      <c r="C113" s="8"/>
      <c r="D113" s="8"/>
      <c r="E113" s="2" t="b">
        <f t="shared" si="35"/>
        <v>1</v>
      </c>
      <c r="F113" s="2"/>
      <c r="G113" s="2" t="s">
        <v>242</v>
      </c>
      <c r="H113" s="2" t="str">
        <f t="shared" si="45"/>
        <v>Blanc</v>
      </c>
      <c r="I113" s="2" t="str">
        <f t="shared" si="36"/>
        <v>DOWC1248-CW</v>
      </c>
      <c r="J113" s="2" t="s">
        <v>232</v>
      </c>
      <c r="K113" s="2" t="s">
        <v>233</v>
      </c>
      <c r="L113" s="2" t="str">
        <f>IFERROR(VLOOKUP(J113,Categories!$A$2:$C$41,3,FALSE()),"⚠ slug introuvable")</f>
        <v>Armoire murale</v>
      </c>
      <c r="M113" s="2" t="str">
        <f>IFERROR(VLOOKUP(K113,Categories!$A$2:$C$41,3,FALSE()),"⚠ slug introuvable")</f>
        <v>Standard</v>
      </c>
      <c r="N113" s="2" t="s">
        <v>234</v>
      </c>
      <c r="O113" s="2" t="str">
        <f t="shared" si="48"/>
        <v>Armoire de cuisine du haut à 1 porte (12" x 48")</v>
      </c>
      <c r="P113" s="2" t="str">
        <f t="shared" si="49"/>
        <v>1 porte (12" x 48")</v>
      </c>
      <c r="Q113" s="11">
        <v>667</v>
      </c>
      <c r="R113" s="11">
        <f t="shared" si="38"/>
        <v>59.288888888888891</v>
      </c>
      <c r="S113" s="11">
        <f t="shared" si="39"/>
        <v>83.004444444444445</v>
      </c>
      <c r="T113" s="11">
        <f t="shared" si="40"/>
        <v>91.304888888888897</v>
      </c>
      <c r="U113" s="11">
        <f t="shared" si="50"/>
        <v>109.56586666666668</v>
      </c>
      <c r="V113" s="11">
        <f t="shared" si="50"/>
        <v>131.47904</v>
      </c>
      <c r="W113" s="11">
        <f t="shared" si="41"/>
        <v>144.62694400000001</v>
      </c>
      <c r="X113" s="11">
        <f t="shared" si="42"/>
        <v>144.62694400000001</v>
      </c>
      <c r="Y113" s="14">
        <v>0.4</v>
      </c>
      <c r="Z113" s="11">
        <f t="shared" si="43"/>
        <v>241.04490666666669</v>
      </c>
      <c r="AA113" s="2">
        <v>12</v>
      </c>
      <c r="AB113" s="2">
        <v>48</v>
      </c>
      <c r="AC113" s="2">
        <v>12</v>
      </c>
      <c r="AD113" s="2">
        <v>1</v>
      </c>
      <c r="AE113" s="2">
        <v>0</v>
      </c>
    </row>
    <row r="114" spans="1:31">
      <c r="A114" s="2" t="s">
        <v>243</v>
      </c>
      <c r="B114" s="2"/>
      <c r="C114" s="8"/>
      <c r="D114" s="8"/>
      <c r="E114" s="2" t="b">
        <f t="shared" si="35"/>
        <v>1</v>
      </c>
      <c r="F114" s="2"/>
      <c r="G114" s="2" t="s">
        <v>244</v>
      </c>
      <c r="H114" s="2" t="str">
        <f t="shared" si="45"/>
        <v>Blanc</v>
      </c>
      <c r="I114" s="2" t="str">
        <f t="shared" si="36"/>
        <v>DOWC1436-CW</v>
      </c>
      <c r="J114" s="2" t="s">
        <v>232</v>
      </c>
      <c r="K114" s="2" t="s">
        <v>233</v>
      </c>
      <c r="L114" s="2" t="str">
        <f>IFERROR(VLOOKUP(J114,Categories!$A$2:$C$41,3,FALSE()),"⚠ slug introuvable")</f>
        <v>Armoire murale</v>
      </c>
      <c r="M114" s="2" t="str">
        <f>IFERROR(VLOOKUP(K114,Categories!$A$2:$C$41,3,FALSE()),"⚠ slug introuvable")</f>
        <v>Standard</v>
      </c>
      <c r="N114" s="2" t="s">
        <v>234</v>
      </c>
      <c r="O114" s="2" t="str">
        <f t="shared" si="48"/>
        <v>Armoire de cuisine du haut à 1 porte (14" x 36")</v>
      </c>
      <c r="P114" s="2" t="str">
        <f t="shared" si="49"/>
        <v>1 porte (14" x 36")</v>
      </c>
      <c r="Q114" s="11">
        <v>526</v>
      </c>
      <c r="R114" s="11">
        <f t="shared" si="38"/>
        <v>46.755555555555553</v>
      </c>
      <c r="S114" s="11">
        <f t="shared" si="39"/>
        <v>65.457777777777764</v>
      </c>
      <c r="T114" s="11">
        <f t="shared" si="40"/>
        <v>72.00355555555555</v>
      </c>
      <c r="U114" s="11">
        <f t="shared" si="50"/>
        <v>86.404266666666658</v>
      </c>
      <c r="V114" s="11">
        <f t="shared" si="50"/>
        <v>103.68511999999998</v>
      </c>
      <c r="W114" s="11">
        <f t="shared" si="41"/>
        <v>114.05363199999999</v>
      </c>
      <c r="X114" s="11">
        <f t="shared" si="42"/>
        <v>114.05363199999999</v>
      </c>
      <c r="Y114" s="14">
        <v>0.4</v>
      </c>
      <c r="Z114" s="11">
        <f t="shared" si="43"/>
        <v>190.08938666666666</v>
      </c>
      <c r="AA114" s="2">
        <v>14</v>
      </c>
      <c r="AB114" s="2">
        <v>36</v>
      </c>
      <c r="AC114" s="2">
        <v>12</v>
      </c>
      <c r="AD114" s="2">
        <v>1</v>
      </c>
      <c r="AE114" s="2">
        <v>0</v>
      </c>
    </row>
    <row r="115" spans="1:31">
      <c r="A115" s="2" t="s">
        <v>245</v>
      </c>
      <c r="B115" s="2"/>
      <c r="C115" s="2"/>
      <c r="D115" s="2"/>
      <c r="E115" s="2" t="b">
        <f t="shared" si="35"/>
        <v>1</v>
      </c>
      <c r="F115" s="2"/>
      <c r="G115" s="2" t="s">
        <v>246</v>
      </c>
      <c r="H115" s="2" t="str">
        <f t="shared" si="45"/>
        <v>Blanc</v>
      </c>
      <c r="I115" s="2" t="str">
        <f t="shared" si="36"/>
        <v>DOWC1530-CW</v>
      </c>
      <c r="J115" s="2" t="s">
        <v>232</v>
      </c>
      <c r="K115" s="2" t="s">
        <v>233</v>
      </c>
      <c r="L115" s="2" t="str">
        <f>IFERROR(VLOOKUP(J115,Categories!$A$2:$C$41,3,FALSE()),"⚠ slug introuvable")</f>
        <v>Armoire murale</v>
      </c>
      <c r="M115" s="2" t="str">
        <f>IFERROR(VLOOKUP(K115,Categories!$A$2:$C$41,3,FALSE()),"⚠ slug introuvable")</f>
        <v>Standard</v>
      </c>
      <c r="N115" s="2" t="s">
        <v>234</v>
      </c>
      <c r="O115" s="2" t="str">
        <f t="shared" si="48"/>
        <v>Armoire de cuisine du haut à 1 porte (15" x 30")</v>
      </c>
      <c r="P115" s="2" t="str">
        <f t="shared" si="49"/>
        <v>1 porte (15" x 30")</v>
      </c>
      <c r="Q115" s="11">
        <v>401</v>
      </c>
      <c r="R115" s="11">
        <f t="shared" si="38"/>
        <v>35.644444444444446</v>
      </c>
      <c r="S115" s="11">
        <f t="shared" si="39"/>
        <v>49.902222222222221</v>
      </c>
      <c r="T115" s="11">
        <f t="shared" si="40"/>
        <v>54.89244444444445</v>
      </c>
      <c r="U115" s="11">
        <f t="shared" si="50"/>
        <v>65.87093333333334</v>
      </c>
      <c r="V115" s="11">
        <f t="shared" si="50"/>
        <v>79.045120000000011</v>
      </c>
      <c r="W115" s="11">
        <f t="shared" si="41"/>
        <v>86.949632000000022</v>
      </c>
      <c r="X115" s="11">
        <f t="shared" si="42"/>
        <v>86.949632000000022</v>
      </c>
      <c r="Y115" s="14">
        <v>0.4</v>
      </c>
      <c r="Z115" s="11">
        <f t="shared" si="43"/>
        <v>144.91605333333337</v>
      </c>
      <c r="AA115" s="2">
        <v>15</v>
      </c>
      <c r="AB115" s="2">
        <v>30</v>
      </c>
      <c r="AC115" s="2">
        <v>12</v>
      </c>
      <c r="AD115" s="2">
        <v>1</v>
      </c>
      <c r="AE115" s="2">
        <v>0</v>
      </c>
    </row>
    <row r="116" spans="1:31">
      <c r="A116" s="2" t="s">
        <v>247</v>
      </c>
      <c r="B116" s="2"/>
      <c r="C116" s="8"/>
      <c r="D116" s="8"/>
      <c r="E116" s="2" t="b">
        <f t="shared" si="35"/>
        <v>1</v>
      </c>
      <c r="F116" s="2"/>
      <c r="G116" s="2" t="s">
        <v>248</v>
      </c>
      <c r="H116" s="2" t="str">
        <f t="shared" si="45"/>
        <v>Blanc</v>
      </c>
      <c r="I116" s="2" t="str">
        <f t="shared" si="36"/>
        <v>DOWC1536-CW</v>
      </c>
      <c r="J116" s="2" t="s">
        <v>232</v>
      </c>
      <c r="K116" s="2" t="s">
        <v>233</v>
      </c>
      <c r="L116" s="2" t="str">
        <f>IFERROR(VLOOKUP(J116,Categories!$A$2:$C$41,3,FALSE()),"⚠ slug introuvable")</f>
        <v>Armoire murale</v>
      </c>
      <c r="M116" s="2" t="str">
        <f>IFERROR(VLOOKUP(K116,Categories!$A$2:$C$41,3,FALSE()),"⚠ slug introuvable")</f>
        <v>Standard</v>
      </c>
      <c r="N116" s="2" t="s">
        <v>234</v>
      </c>
      <c r="O116" s="2" t="str">
        <f t="shared" si="48"/>
        <v>Armoire de cuisine du haut à 1 porte (15" x 36")</v>
      </c>
      <c r="P116" s="2" t="str">
        <f t="shared" si="49"/>
        <v>1 porte (15" x 36")</v>
      </c>
      <c r="Q116" s="11">
        <v>463</v>
      </c>
      <c r="R116" s="11">
        <f t="shared" si="38"/>
        <v>41.155555555555559</v>
      </c>
      <c r="S116" s="11">
        <f t="shared" si="39"/>
        <v>57.617777777777775</v>
      </c>
      <c r="T116" s="11">
        <f t="shared" si="40"/>
        <v>63.379555555555555</v>
      </c>
      <c r="U116" s="11">
        <f t="shared" si="50"/>
        <v>76.055466666666661</v>
      </c>
      <c r="V116" s="11">
        <f t="shared" si="50"/>
        <v>91.266559999999984</v>
      </c>
      <c r="W116" s="11">
        <f t="shared" si="41"/>
        <v>100.393216</v>
      </c>
      <c r="X116" s="11">
        <f t="shared" si="42"/>
        <v>100.393216</v>
      </c>
      <c r="Y116" s="14">
        <v>0.4</v>
      </c>
      <c r="Z116" s="11">
        <f t="shared" si="43"/>
        <v>167.32202666666666</v>
      </c>
      <c r="AA116" s="2">
        <v>15</v>
      </c>
      <c r="AB116" s="2">
        <v>36</v>
      </c>
      <c r="AC116" s="2">
        <v>12</v>
      </c>
      <c r="AD116" s="2">
        <v>1</v>
      </c>
      <c r="AE116" s="2">
        <v>0</v>
      </c>
    </row>
    <row r="117" spans="1:31">
      <c r="A117" s="2" t="s">
        <v>249</v>
      </c>
      <c r="B117" s="2"/>
      <c r="C117" s="2"/>
      <c r="D117" s="2"/>
      <c r="E117" s="2" t="b">
        <f t="shared" si="35"/>
        <v>1</v>
      </c>
      <c r="F117" s="2"/>
      <c r="G117" s="2" t="s">
        <v>250</v>
      </c>
      <c r="H117" s="2" t="str">
        <f t="shared" si="45"/>
        <v>Blanc</v>
      </c>
      <c r="I117" s="2" t="str">
        <f t="shared" si="36"/>
        <v>DOWC1548-CW</v>
      </c>
      <c r="J117" s="2" t="s">
        <v>232</v>
      </c>
      <c r="K117" s="2" t="s">
        <v>233</v>
      </c>
      <c r="L117" s="2" t="str">
        <f>IFERROR(VLOOKUP(J117,Categories!$A$2:$C$41,3,FALSE()),"⚠ slug introuvable")</f>
        <v>Armoire murale</v>
      </c>
      <c r="M117" s="2" t="str">
        <f>IFERROR(VLOOKUP(K117,Categories!$A$2:$C$41,3,FALSE()),"⚠ slug introuvable")</f>
        <v>Standard</v>
      </c>
      <c r="N117" s="2" t="s">
        <v>234</v>
      </c>
      <c r="O117" s="2" t="str">
        <f t="shared" si="48"/>
        <v>Armoire de cuisine du haut à 1 porte (15" x 48")</v>
      </c>
      <c r="P117" s="2" t="str">
        <f t="shared" si="49"/>
        <v>1 porte (15" x 48")</v>
      </c>
      <c r="Q117" s="11">
        <v>801</v>
      </c>
      <c r="R117" s="11">
        <f t="shared" si="38"/>
        <v>71.2</v>
      </c>
      <c r="S117" s="11">
        <f t="shared" si="39"/>
        <v>99.679999999999993</v>
      </c>
      <c r="T117" s="11">
        <f t="shared" si="40"/>
        <v>109.648</v>
      </c>
      <c r="U117" s="11">
        <f t="shared" si="50"/>
        <v>131.57759999999999</v>
      </c>
      <c r="V117" s="11">
        <f t="shared" si="50"/>
        <v>157.89311999999998</v>
      </c>
      <c r="W117" s="11">
        <f t="shared" si="41"/>
        <v>173.68243200000001</v>
      </c>
      <c r="X117" s="11">
        <f t="shared" si="42"/>
        <v>173.68243200000001</v>
      </c>
      <c r="Y117" s="14">
        <v>0.4</v>
      </c>
      <c r="Z117" s="11">
        <f t="shared" si="43"/>
        <v>289.47072000000003</v>
      </c>
      <c r="AA117" s="2">
        <v>15</v>
      </c>
      <c r="AB117" s="2">
        <v>48</v>
      </c>
      <c r="AC117" s="2">
        <v>12</v>
      </c>
      <c r="AD117" s="2">
        <v>1</v>
      </c>
      <c r="AE117" s="2">
        <v>0</v>
      </c>
    </row>
    <row r="118" spans="1:31" hidden="1">
      <c r="A118" s="2" t="s">
        <v>251</v>
      </c>
      <c r="B118" s="2"/>
      <c r="C118" s="2" t="b">
        <v>1</v>
      </c>
      <c r="D118" s="2"/>
      <c r="E118" s="2" t="b">
        <f t="shared" si="35"/>
        <v>0</v>
      </c>
      <c r="F118" s="2"/>
      <c r="G118" s="2"/>
      <c r="H118" s="2" t="str">
        <f t="shared" si="45"/>
        <v>Blanc</v>
      </c>
      <c r="I118" s="2" t="str">
        <f t="shared" si="36"/>
        <v>-CW</v>
      </c>
      <c r="J118" s="2"/>
      <c r="K118" s="2" t="s">
        <v>252</v>
      </c>
      <c r="L118" s="2"/>
      <c r="M118" s="2" t="str">
        <f>IFERROR(VLOOKUP(K118,Categories!$A$2:$C$41,3,FALSE()),"⚠ slug introuvable")</f>
        <v>⚠ slug introuvable</v>
      </c>
      <c r="N118" s="2" t="s">
        <v>253</v>
      </c>
      <c r="O118" s="2"/>
      <c r="P118" s="2"/>
      <c r="Q118" s="11">
        <v>0</v>
      </c>
      <c r="R118" s="11">
        <f t="shared" si="38"/>
        <v>0</v>
      </c>
      <c r="S118" s="11">
        <f t="shared" si="39"/>
        <v>0</v>
      </c>
      <c r="T118" s="11">
        <f t="shared" si="40"/>
        <v>0</v>
      </c>
      <c r="U118" s="11">
        <f t="shared" si="50"/>
        <v>0</v>
      </c>
      <c r="V118" s="11">
        <f t="shared" si="50"/>
        <v>0</v>
      </c>
      <c r="W118" s="11">
        <f t="shared" si="41"/>
        <v>0</v>
      </c>
      <c r="X118" s="11">
        <f t="shared" si="42"/>
        <v>0</v>
      </c>
      <c r="Y118" s="14">
        <v>0.4</v>
      </c>
      <c r="Z118" s="11">
        <f t="shared" si="43"/>
        <v>0</v>
      </c>
      <c r="AA118" s="2">
        <v>33</v>
      </c>
      <c r="AB118" s="2">
        <v>103.5</v>
      </c>
      <c r="AC118" s="2">
        <v>27</v>
      </c>
      <c r="AD118" s="2">
        <v>2</v>
      </c>
      <c r="AE118" s="2">
        <v>0</v>
      </c>
    </row>
    <row r="119" spans="1:31" hidden="1">
      <c r="A119" s="2" t="s">
        <v>254</v>
      </c>
      <c r="B119" s="2"/>
      <c r="C119" s="2"/>
      <c r="D119" s="2" t="b">
        <v>1</v>
      </c>
      <c r="E119" s="2" t="b">
        <f t="shared" si="35"/>
        <v>0</v>
      </c>
      <c r="F119" s="2"/>
      <c r="G119" s="2"/>
      <c r="H119" s="2" t="str">
        <f t="shared" si="45"/>
        <v>Blanc</v>
      </c>
      <c r="I119" s="2" t="str">
        <f t="shared" si="36"/>
        <v>-CW</v>
      </c>
      <c r="J119" s="2"/>
      <c r="K119" s="2" t="s">
        <v>252</v>
      </c>
      <c r="L119" s="2"/>
      <c r="M119" s="2" t="str">
        <f>IFERROR(VLOOKUP(K119,Categories!$A$2:$C$41,3,FALSE()),"⚠ slug introuvable")</f>
        <v>⚠ slug introuvable</v>
      </c>
      <c r="N119" s="2" t="s">
        <v>255</v>
      </c>
      <c r="O119" s="2"/>
      <c r="P119" s="2"/>
      <c r="Q119" s="11">
        <v>0</v>
      </c>
      <c r="R119" s="11">
        <f t="shared" si="38"/>
        <v>0</v>
      </c>
      <c r="S119" s="11">
        <f t="shared" si="39"/>
        <v>0</v>
      </c>
      <c r="T119" s="11">
        <f t="shared" si="40"/>
        <v>0</v>
      </c>
      <c r="U119" s="11">
        <f t="shared" si="50"/>
        <v>0</v>
      </c>
      <c r="V119" s="11">
        <f t="shared" si="50"/>
        <v>0</v>
      </c>
      <c r="W119" s="11">
        <f t="shared" si="41"/>
        <v>0</v>
      </c>
      <c r="X119" s="11">
        <f t="shared" si="42"/>
        <v>0</v>
      </c>
      <c r="Y119" s="14">
        <v>0.4</v>
      </c>
      <c r="Z119" s="11">
        <f t="shared" si="43"/>
        <v>0</v>
      </c>
      <c r="AA119" s="2">
        <v>30</v>
      </c>
      <c r="AB119" s="2"/>
      <c r="AC119" s="2">
        <v>27</v>
      </c>
      <c r="AD119" s="2">
        <v>2</v>
      </c>
      <c r="AE119" s="2">
        <v>3</v>
      </c>
    </row>
    <row r="120" spans="1:31" hidden="1">
      <c r="A120" s="2" t="s">
        <v>256</v>
      </c>
      <c r="B120" s="2" t="b">
        <v>1</v>
      </c>
      <c r="C120" s="2"/>
      <c r="D120" s="2"/>
      <c r="E120" s="2" t="b">
        <f t="shared" si="35"/>
        <v>0</v>
      </c>
      <c r="F120" s="2"/>
      <c r="G120" s="2" t="s">
        <v>257</v>
      </c>
      <c r="H120" s="2" t="str">
        <f t="shared" si="45"/>
        <v>Blanc</v>
      </c>
      <c r="I120" s="2" t="str">
        <f t="shared" si="36"/>
        <v>OCM-CW</v>
      </c>
      <c r="J120" s="2" t="str">
        <f>IFERROR(VLOOKUP(K120,Categories!$A$2:$C$41,2,FALSE()),"⚠ slug introuvable")</f>
        <v>fillers-panels-moldings</v>
      </c>
      <c r="K120" s="2" t="s">
        <v>114</v>
      </c>
      <c r="L120" s="2" t="str">
        <f>IFERROR(VLOOKUP(J120,Categories!$A$2:$C$41,3,FALSE()),"⚠ slug introuvable")</f>
        <v>Fillers, panneaux &amp; moulures</v>
      </c>
      <c r="M120" s="2" t="str">
        <f>IFERROR(VLOOKUP(K120,Categories!$A$2:$C$41,3,FALSE()),"⚠ slug introuvable")</f>
        <v>Moulures</v>
      </c>
      <c r="N120" s="2" t="s">
        <v>258</v>
      </c>
      <c r="O120" s="2" t="str">
        <f>N120</f>
        <v>Moulure de coin extérieur</v>
      </c>
      <c r="P120" s="2" t="str">
        <f>O120</f>
        <v>Moulure de coin extérieur</v>
      </c>
      <c r="Q120" s="11">
        <v>0</v>
      </c>
      <c r="R120" s="11">
        <f t="shared" si="38"/>
        <v>0</v>
      </c>
      <c r="S120" s="11">
        <f t="shared" si="39"/>
        <v>0</v>
      </c>
      <c r="T120" s="11">
        <f t="shared" si="40"/>
        <v>0</v>
      </c>
      <c r="U120" s="11">
        <f t="shared" si="50"/>
        <v>0</v>
      </c>
      <c r="V120" s="11">
        <f t="shared" si="50"/>
        <v>0</v>
      </c>
      <c r="W120" s="11">
        <f t="shared" si="41"/>
        <v>0</v>
      </c>
      <c r="X120" s="11">
        <f t="shared" si="42"/>
        <v>0</v>
      </c>
      <c r="Y120" s="14">
        <v>0.4</v>
      </c>
      <c r="Z120" s="11">
        <f t="shared" si="43"/>
        <v>0</v>
      </c>
      <c r="AA120" s="2">
        <v>96</v>
      </c>
      <c r="AB120" s="2">
        <v>0.75</v>
      </c>
      <c r="AC120" s="2">
        <v>0.75</v>
      </c>
      <c r="AD120" s="2"/>
      <c r="AE120" s="2"/>
    </row>
    <row r="121" spans="1:31" hidden="1">
      <c r="A121" s="2" t="s">
        <v>259</v>
      </c>
      <c r="B121" s="2" t="b">
        <v>1</v>
      </c>
      <c r="C121" s="2"/>
      <c r="D121" s="2"/>
      <c r="E121" s="2" t="b">
        <f t="shared" si="35"/>
        <v>0</v>
      </c>
      <c r="F121" s="2"/>
      <c r="G121" s="2" t="s">
        <v>257</v>
      </c>
      <c r="H121" s="2" t="str">
        <f t="shared" si="45"/>
        <v>Chêne blanc</v>
      </c>
      <c r="I121" s="2" t="str">
        <f t="shared" si="36"/>
        <v>OCM-WWO</v>
      </c>
      <c r="J121" s="2" t="str">
        <f>IFERROR(VLOOKUP(K121,Categories!$A$2:$C$41,2,FALSE()),"⚠ slug introuvable")</f>
        <v>fillers-panels-moldings</v>
      </c>
      <c r="K121" s="2" t="s">
        <v>114</v>
      </c>
      <c r="L121" s="2" t="str">
        <f>IFERROR(VLOOKUP(J121,Categories!$A$2:$C$41,3,FALSE()),"⚠ slug introuvable")</f>
        <v>Fillers, panneaux &amp; moulures</v>
      </c>
      <c r="M121" s="2" t="str">
        <f>IFERROR(VLOOKUP(K121,Categories!$A$2:$C$41,3,FALSE()),"⚠ slug introuvable")</f>
        <v>Moulures</v>
      </c>
      <c r="N121" s="2" t="s">
        <v>258</v>
      </c>
      <c r="O121" s="2" t="str">
        <f>N121</f>
        <v>Moulure de coin extérieur</v>
      </c>
      <c r="P121" s="2" t="str">
        <f>O121</f>
        <v>Moulure de coin extérieur</v>
      </c>
      <c r="Q121" s="11">
        <v>76</v>
      </c>
      <c r="R121" s="11">
        <f t="shared" si="38"/>
        <v>6.7555555555555555</v>
      </c>
      <c r="S121" s="11">
        <f t="shared" si="39"/>
        <v>9.4577777777777765</v>
      </c>
      <c r="T121" s="11">
        <f t="shared" si="40"/>
        <v>10.403555555555554</v>
      </c>
      <c r="U121" s="11">
        <f t="shared" si="50"/>
        <v>12.484266666666665</v>
      </c>
      <c r="V121" s="11">
        <f t="shared" si="50"/>
        <v>14.981119999999997</v>
      </c>
      <c r="W121" s="11">
        <f t="shared" si="41"/>
        <v>16.479232</v>
      </c>
      <c r="X121" s="11">
        <f t="shared" si="42"/>
        <v>16.479232</v>
      </c>
      <c r="Y121" s="14">
        <v>0.4</v>
      </c>
      <c r="Z121" s="11">
        <f t="shared" si="43"/>
        <v>27.465386666666667</v>
      </c>
      <c r="AA121" s="2"/>
      <c r="AB121" s="2"/>
      <c r="AC121" s="2"/>
      <c r="AD121" s="2"/>
      <c r="AE121" s="2"/>
    </row>
    <row r="122" spans="1:31">
      <c r="A122" s="2" t="s">
        <v>260</v>
      </c>
      <c r="B122" s="2"/>
      <c r="C122" s="2"/>
      <c r="D122" s="2"/>
      <c r="E122" s="2" t="b">
        <f t="shared" si="35"/>
        <v>1</v>
      </c>
      <c r="F122" s="2"/>
      <c r="G122" s="2" t="s">
        <v>261</v>
      </c>
      <c r="H122" s="2" t="str">
        <f t="shared" si="45"/>
        <v>Blanc</v>
      </c>
      <c r="I122" s="2" t="str">
        <f t="shared" si="36"/>
        <v>DOWC1830-CW</v>
      </c>
      <c r="J122" s="2" t="s">
        <v>232</v>
      </c>
      <c r="K122" s="2" t="s">
        <v>233</v>
      </c>
      <c r="L122" s="2" t="str">
        <f>IFERROR(VLOOKUP(J122,Categories!$A$2:$C$41,3,FALSE()),"⚠ slug introuvable")</f>
        <v>Armoire murale</v>
      </c>
      <c r="M122" s="2" t="str">
        <f>IFERROR(VLOOKUP(K122,Categories!$A$2:$C$41,3,FALSE()),"⚠ slug introuvable")</f>
        <v>Standard</v>
      </c>
      <c r="N122" s="2" t="s">
        <v>234</v>
      </c>
      <c r="O122" s="2" t="str">
        <f t="shared" ref="O122:O132" si="51">_xlfn.CONCAT(N122," (",AA122,""" x ",AB122,""")")</f>
        <v>Armoire de cuisine du haut à 1 porte (18" x 30")</v>
      </c>
      <c r="P122" s="2" t="str">
        <f t="shared" ref="P122:P129" si="52">_xlfn.CONCAT("1 porte"," (",AA122,""" x ",AB122,""")")</f>
        <v>1 porte (18" x 30")</v>
      </c>
      <c r="Q122" s="11">
        <v>445</v>
      </c>
      <c r="R122" s="11">
        <f t="shared" si="38"/>
        <v>39.555555555555557</v>
      </c>
      <c r="S122" s="11">
        <f t="shared" si="39"/>
        <v>55.37777777777778</v>
      </c>
      <c r="T122" s="11">
        <f t="shared" si="40"/>
        <v>60.915555555555564</v>
      </c>
      <c r="U122" s="11">
        <f t="shared" si="50"/>
        <v>73.098666666666674</v>
      </c>
      <c r="V122" s="11">
        <f t="shared" si="50"/>
        <v>87.718400000000003</v>
      </c>
      <c r="W122" s="11">
        <f t="shared" si="41"/>
        <v>96.490240000000014</v>
      </c>
      <c r="X122" s="11">
        <f t="shared" si="42"/>
        <v>96.490240000000014</v>
      </c>
      <c r="Y122" s="14">
        <v>0.4</v>
      </c>
      <c r="Z122" s="11">
        <f t="shared" si="43"/>
        <v>160.8170666666667</v>
      </c>
      <c r="AA122" s="2">
        <v>18</v>
      </c>
      <c r="AB122" s="2">
        <v>30</v>
      </c>
      <c r="AC122" s="2">
        <v>12</v>
      </c>
      <c r="AD122" s="2">
        <v>1</v>
      </c>
      <c r="AE122" s="2">
        <v>0</v>
      </c>
    </row>
    <row r="123" spans="1:31">
      <c r="A123" s="2" t="s">
        <v>262</v>
      </c>
      <c r="B123" s="2"/>
      <c r="C123" s="2"/>
      <c r="D123" s="2"/>
      <c r="E123" s="2" t="b">
        <f t="shared" si="35"/>
        <v>1</v>
      </c>
      <c r="F123" s="2"/>
      <c r="G123" s="2" t="s">
        <v>263</v>
      </c>
      <c r="H123" s="2" t="str">
        <f t="shared" si="45"/>
        <v>Blanc</v>
      </c>
      <c r="I123" s="2" t="str">
        <f t="shared" si="36"/>
        <v>DOWC1836-CW</v>
      </c>
      <c r="J123" s="2" t="s">
        <v>232</v>
      </c>
      <c r="K123" s="2" t="s">
        <v>233</v>
      </c>
      <c r="L123" s="2" t="str">
        <f>IFERROR(VLOOKUP(J123,Categories!$A$2:$C$41,3,FALSE()),"⚠ slug introuvable")</f>
        <v>Armoire murale</v>
      </c>
      <c r="M123" s="2" t="str">
        <f>IFERROR(VLOOKUP(K123,Categories!$A$2:$C$41,3,FALSE()),"⚠ slug introuvable")</f>
        <v>Standard</v>
      </c>
      <c r="N123" s="2" t="s">
        <v>234</v>
      </c>
      <c r="O123" s="2" t="str">
        <f t="shared" si="51"/>
        <v>Armoire de cuisine du haut à 1 porte (18" x 36")</v>
      </c>
      <c r="P123" s="2" t="str">
        <f t="shared" si="52"/>
        <v>1 porte (18" x 36")</v>
      </c>
      <c r="Q123" s="11">
        <v>506</v>
      </c>
      <c r="R123" s="11">
        <f t="shared" si="38"/>
        <v>44.977777777777774</v>
      </c>
      <c r="S123" s="11">
        <f t="shared" si="39"/>
        <v>62.968888888888877</v>
      </c>
      <c r="T123" s="11">
        <f t="shared" si="40"/>
        <v>69.265777777777771</v>
      </c>
      <c r="U123" s="11">
        <f t="shared" si="50"/>
        <v>83.118933333333317</v>
      </c>
      <c r="V123" s="11">
        <f t="shared" si="50"/>
        <v>99.742719999999977</v>
      </c>
      <c r="W123" s="11">
        <f t="shared" si="41"/>
        <v>109.71699199999999</v>
      </c>
      <c r="X123" s="11">
        <f t="shared" si="42"/>
        <v>109.71699199999999</v>
      </c>
      <c r="Y123" s="14">
        <v>0.4</v>
      </c>
      <c r="Z123" s="11">
        <f t="shared" si="43"/>
        <v>182.86165333333332</v>
      </c>
      <c r="AA123" s="2">
        <v>18</v>
      </c>
      <c r="AB123" s="2">
        <v>36</v>
      </c>
      <c r="AC123" s="2">
        <v>12</v>
      </c>
      <c r="AD123" s="2">
        <v>1</v>
      </c>
      <c r="AE123" s="2">
        <v>0</v>
      </c>
    </row>
    <row r="124" spans="1:31">
      <c r="A124" s="2" t="s">
        <v>264</v>
      </c>
      <c r="B124" s="2"/>
      <c r="C124" s="2"/>
      <c r="D124" s="2"/>
      <c r="E124" s="2" t="b">
        <f t="shared" si="35"/>
        <v>1</v>
      </c>
      <c r="F124" s="2"/>
      <c r="G124" s="2" t="s">
        <v>265</v>
      </c>
      <c r="H124" s="2" t="str">
        <f t="shared" si="45"/>
        <v>Blanc</v>
      </c>
      <c r="I124" s="2" t="str">
        <f t="shared" si="36"/>
        <v>DOWC1848-CW</v>
      </c>
      <c r="J124" s="2" t="s">
        <v>232</v>
      </c>
      <c r="K124" s="2" t="s">
        <v>233</v>
      </c>
      <c r="L124" s="2" t="str">
        <f>IFERROR(VLOOKUP(J124,Categories!$A$2:$C$41,3,FALSE()),"⚠ slug introuvable")</f>
        <v>Armoire murale</v>
      </c>
      <c r="M124" s="2" t="str">
        <f>IFERROR(VLOOKUP(K124,Categories!$A$2:$C$41,3,FALSE()),"⚠ slug introuvable")</f>
        <v>Standard</v>
      </c>
      <c r="N124" s="2" t="s">
        <v>234</v>
      </c>
      <c r="O124" s="2" t="str">
        <f t="shared" si="51"/>
        <v>Armoire de cuisine du haut à 1 porte (18" x 48")</v>
      </c>
      <c r="P124" s="2" t="str">
        <f t="shared" si="52"/>
        <v>1 porte (18" x 48")</v>
      </c>
      <c r="Q124" s="11">
        <v>887</v>
      </c>
      <c r="R124" s="11">
        <f t="shared" si="38"/>
        <v>78.844444444444449</v>
      </c>
      <c r="S124" s="11">
        <f t="shared" si="39"/>
        <v>110.38222222222223</v>
      </c>
      <c r="T124" s="11">
        <f t="shared" si="40"/>
        <v>121.42044444444446</v>
      </c>
      <c r="U124" s="11">
        <f t="shared" si="50"/>
        <v>145.70453333333333</v>
      </c>
      <c r="V124" s="11">
        <f t="shared" si="50"/>
        <v>174.84544</v>
      </c>
      <c r="W124" s="11">
        <f t="shared" si="41"/>
        <v>192.32998400000002</v>
      </c>
      <c r="X124" s="11">
        <f t="shared" si="42"/>
        <v>192.32998400000002</v>
      </c>
      <c r="Y124" s="14">
        <v>0.4</v>
      </c>
      <c r="Z124" s="11">
        <f t="shared" si="43"/>
        <v>320.54997333333341</v>
      </c>
      <c r="AA124" s="2">
        <v>18</v>
      </c>
      <c r="AB124" s="2">
        <v>48</v>
      </c>
      <c r="AC124" s="2">
        <v>12</v>
      </c>
      <c r="AD124" s="2">
        <v>1</v>
      </c>
      <c r="AE124" s="2">
        <v>0</v>
      </c>
    </row>
    <row r="125" spans="1:31">
      <c r="A125" s="2" t="s">
        <v>266</v>
      </c>
      <c r="B125" s="2"/>
      <c r="C125" s="2"/>
      <c r="D125" s="2"/>
      <c r="E125" s="2" t="b">
        <f t="shared" si="35"/>
        <v>1</v>
      </c>
      <c r="F125" s="2"/>
      <c r="G125" s="2" t="s">
        <v>267</v>
      </c>
      <c r="H125" s="2" t="str">
        <f t="shared" si="45"/>
        <v>Blanc</v>
      </c>
      <c r="I125" s="2" t="str">
        <f t="shared" si="36"/>
        <v>DOWC2036-CW</v>
      </c>
      <c r="J125" s="2" t="s">
        <v>232</v>
      </c>
      <c r="K125" s="2" t="s">
        <v>233</v>
      </c>
      <c r="L125" s="2" t="str">
        <f>IFERROR(VLOOKUP(J125,Categories!$A$2:$C$41,3,FALSE()),"⚠ slug introuvable")</f>
        <v>Armoire murale</v>
      </c>
      <c r="M125" s="2" t="str">
        <f>IFERROR(VLOOKUP(K125,Categories!$A$2:$C$41,3,FALSE()),"⚠ slug introuvable")</f>
        <v>Standard</v>
      </c>
      <c r="N125" s="2" t="s">
        <v>234</v>
      </c>
      <c r="O125" s="2" t="str">
        <f t="shared" si="51"/>
        <v>Armoire de cuisine du haut à 1 porte (20" x 36")</v>
      </c>
      <c r="P125" s="2" t="str">
        <f t="shared" si="52"/>
        <v>1 porte (20" x 36")</v>
      </c>
      <c r="Q125" s="11">
        <v>554.4</v>
      </c>
      <c r="R125" s="11">
        <f t="shared" si="38"/>
        <v>49.28</v>
      </c>
      <c r="S125" s="11">
        <f t="shared" si="39"/>
        <v>68.99199999999999</v>
      </c>
      <c r="T125" s="11">
        <f t="shared" si="40"/>
        <v>75.891199999999998</v>
      </c>
      <c r="U125" s="11">
        <f t="shared" si="50"/>
        <v>91.06944</v>
      </c>
      <c r="V125" s="11">
        <f t="shared" si="50"/>
        <v>109.283328</v>
      </c>
      <c r="W125" s="11">
        <f t="shared" si="41"/>
        <v>120.2116608</v>
      </c>
      <c r="X125" s="11">
        <f t="shared" si="42"/>
        <v>120.2116608</v>
      </c>
      <c r="Y125" s="14">
        <v>0.4</v>
      </c>
      <c r="Z125" s="11">
        <f t="shared" si="43"/>
        <v>200.35276800000003</v>
      </c>
      <c r="AA125" s="2">
        <v>20</v>
      </c>
      <c r="AB125" s="2">
        <v>36</v>
      </c>
      <c r="AC125" s="2">
        <v>12</v>
      </c>
      <c r="AD125" s="2">
        <v>1</v>
      </c>
      <c r="AE125" s="2">
        <v>0</v>
      </c>
    </row>
    <row r="126" spans="1:31">
      <c r="A126" s="2" t="s">
        <v>268</v>
      </c>
      <c r="B126" s="2"/>
      <c r="C126" s="2"/>
      <c r="D126" s="2"/>
      <c r="E126" s="2" t="b">
        <f t="shared" si="35"/>
        <v>1</v>
      </c>
      <c r="F126" s="2"/>
      <c r="G126" s="2" t="s">
        <v>269</v>
      </c>
      <c r="H126" s="2" t="str">
        <f t="shared" si="45"/>
        <v>Blanc</v>
      </c>
      <c r="I126" s="2" t="str">
        <f t="shared" si="36"/>
        <v>DOWC2130-CW</v>
      </c>
      <c r="J126" s="2" t="s">
        <v>232</v>
      </c>
      <c r="K126" s="2" t="s">
        <v>233</v>
      </c>
      <c r="L126" s="2" t="str">
        <f>IFERROR(VLOOKUP(J126,Categories!$A$2:$C$41,3,FALSE()),"⚠ slug introuvable")</f>
        <v>Armoire murale</v>
      </c>
      <c r="M126" s="2" t="str">
        <f>IFERROR(VLOOKUP(K126,Categories!$A$2:$C$41,3,FALSE()),"⚠ slug introuvable")</f>
        <v>Standard</v>
      </c>
      <c r="N126" s="2" t="s">
        <v>234</v>
      </c>
      <c r="O126" s="2" t="str">
        <f t="shared" si="51"/>
        <v>Armoire de cuisine du haut à 1 porte (21" x 30")</v>
      </c>
      <c r="P126" s="2" t="str">
        <f t="shared" si="52"/>
        <v>1 porte (21" x 30")</v>
      </c>
      <c r="Q126" s="11">
        <v>501</v>
      </c>
      <c r="R126" s="11">
        <f t="shared" si="38"/>
        <v>44.533333333333331</v>
      </c>
      <c r="S126" s="11">
        <f t="shared" si="39"/>
        <v>62.346666666666657</v>
      </c>
      <c r="T126" s="11">
        <f t="shared" si="40"/>
        <v>68.581333333333333</v>
      </c>
      <c r="U126" s="11">
        <f t="shared" si="50"/>
        <v>82.297600000000003</v>
      </c>
      <c r="V126" s="11">
        <f t="shared" si="50"/>
        <v>98.75712</v>
      </c>
      <c r="W126" s="11">
        <f t="shared" si="41"/>
        <v>108.63283200000001</v>
      </c>
      <c r="X126" s="11">
        <f t="shared" si="42"/>
        <v>108.63283200000001</v>
      </c>
      <c r="Y126" s="14">
        <v>0.4</v>
      </c>
      <c r="Z126" s="11">
        <f t="shared" si="43"/>
        <v>181.05472000000003</v>
      </c>
      <c r="AA126" s="2">
        <v>21</v>
      </c>
      <c r="AB126" s="2">
        <v>30</v>
      </c>
      <c r="AC126" s="2">
        <v>12</v>
      </c>
      <c r="AD126" s="2">
        <v>1</v>
      </c>
      <c r="AE126" s="2">
        <v>0</v>
      </c>
    </row>
    <row r="127" spans="1:31">
      <c r="A127" s="2" t="s">
        <v>270</v>
      </c>
      <c r="B127" s="2"/>
      <c r="C127" s="2"/>
      <c r="D127" s="2"/>
      <c r="E127" s="2" t="b">
        <f t="shared" si="35"/>
        <v>1</v>
      </c>
      <c r="F127" s="2"/>
      <c r="G127" s="2" t="s">
        <v>271</v>
      </c>
      <c r="H127" s="2" t="str">
        <f t="shared" si="45"/>
        <v>Blanc</v>
      </c>
      <c r="I127" s="2" t="str">
        <f t="shared" si="36"/>
        <v>DOWC2136-CW</v>
      </c>
      <c r="J127" s="2" t="s">
        <v>232</v>
      </c>
      <c r="K127" s="2" t="s">
        <v>233</v>
      </c>
      <c r="L127" s="2" t="str">
        <f>IFERROR(VLOOKUP(J127,Categories!$A$2:$C$41,3,FALSE()),"⚠ slug introuvable")</f>
        <v>Armoire murale</v>
      </c>
      <c r="M127" s="2" t="str">
        <f>IFERROR(VLOOKUP(K127,Categories!$A$2:$C$41,3,FALSE()),"⚠ slug introuvable")</f>
        <v>Standard</v>
      </c>
      <c r="N127" s="2" t="s">
        <v>234</v>
      </c>
      <c r="O127" s="2" t="str">
        <f t="shared" si="51"/>
        <v>Armoire de cuisine du haut à 1 porte (21" x 36")</v>
      </c>
      <c r="P127" s="2" t="str">
        <f t="shared" si="52"/>
        <v>1 porte (21" x 36")</v>
      </c>
      <c r="Q127" s="11">
        <v>561</v>
      </c>
      <c r="R127" s="11">
        <f t="shared" si="38"/>
        <v>49.866666666666667</v>
      </c>
      <c r="S127" s="11">
        <f t="shared" si="39"/>
        <v>69.813333333333333</v>
      </c>
      <c r="T127" s="11">
        <f t="shared" si="40"/>
        <v>76.794666666666672</v>
      </c>
      <c r="U127" s="11">
        <f t="shared" si="50"/>
        <v>92.153599999999997</v>
      </c>
      <c r="V127" s="11">
        <f t="shared" si="50"/>
        <v>110.58431999999999</v>
      </c>
      <c r="W127" s="11">
        <f t="shared" si="41"/>
        <v>121.642752</v>
      </c>
      <c r="X127" s="11">
        <f t="shared" si="42"/>
        <v>121.642752</v>
      </c>
      <c r="Y127" s="14">
        <v>0.4</v>
      </c>
      <c r="Z127" s="11">
        <f t="shared" si="43"/>
        <v>202.73792</v>
      </c>
      <c r="AA127" s="2">
        <v>21</v>
      </c>
      <c r="AB127" s="2">
        <v>36</v>
      </c>
      <c r="AC127" s="2">
        <v>12</v>
      </c>
      <c r="AD127" s="2">
        <v>1</v>
      </c>
      <c r="AE127" s="2">
        <v>0</v>
      </c>
    </row>
    <row r="128" spans="1:31">
      <c r="A128" s="2" t="s">
        <v>272</v>
      </c>
      <c r="B128" s="2"/>
      <c r="C128" s="2"/>
      <c r="D128" s="2"/>
      <c r="E128" s="2" t="b">
        <f t="shared" si="35"/>
        <v>1</v>
      </c>
      <c r="F128" s="2"/>
      <c r="G128" s="2" t="s">
        <v>273</v>
      </c>
      <c r="H128" s="2" t="str">
        <f t="shared" si="45"/>
        <v>Blanc</v>
      </c>
      <c r="I128" s="2" t="str">
        <f t="shared" si="36"/>
        <v>DOWC2148-CW</v>
      </c>
      <c r="J128" s="2" t="s">
        <v>232</v>
      </c>
      <c r="K128" s="2" t="s">
        <v>233</v>
      </c>
      <c r="L128" s="2" t="str">
        <f>IFERROR(VLOOKUP(J128,Categories!$A$2:$C$41,3,FALSE()),"⚠ slug introuvable")</f>
        <v>Armoire murale</v>
      </c>
      <c r="M128" s="2" t="str">
        <f>IFERROR(VLOOKUP(K128,Categories!$A$2:$C$41,3,FALSE()),"⚠ slug introuvable")</f>
        <v>Standard</v>
      </c>
      <c r="N128" s="2" t="s">
        <v>234</v>
      </c>
      <c r="O128" s="2" t="str">
        <f t="shared" si="51"/>
        <v>Armoire de cuisine du haut à 1 porte (21" x 48")</v>
      </c>
      <c r="P128" s="2" t="str">
        <f t="shared" si="52"/>
        <v>1 porte (21" x 48")</v>
      </c>
      <c r="Q128" s="11">
        <v>972</v>
      </c>
      <c r="R128" s="11">
        <f t="shared" si="38"/>
        <v>86.4</v>
      </c>
      <c r="S128" s="11">
        <f t="shared" si="39"/>
        <v>120.96</v>
      </c>
      <c r="T128" s="11">
        <f t="shared" si="40"/>
        <v>133.05600000000001</v>
      </c>
      <c r="U128" s="11">
        <f t="shared" si="50"/>
        <v>159.66720000000001</v>
      </c>
      <c r="V128" s="11">
        <f t="shared" si="50"/>
        <v>191.60064</v>
      </c>
      <c r="W128" s="11">
        <f t="shared" si="41"/>
        <v>210.760704</v>
      </c>
      <c r="X128" s="11">
        <f t="shared" si="42"/>
        <v>210.760704</v>
      </c>
      <c r="Y128" s="14">
        <v>0.4</v>
      </c>
      <c r="Z128" s="11">
        <f t="shared" si="43"/>
        <v>351.26784000000004</v>
      </c>
      <c r="AA128" s="2">
        <v>21</v>
      </c>
      <c r="AB128" s="2">
        <v>48</v>
      </c>
      <c r="AC128" s="2">
        <v>12</v>
      </c>
      <c r="AD128" s="2">
        <v>1</v>
      </c>
      <c r="AE128" s="2">
        <v>0</v>
      </c>
    </row>
    <row r="129" spans="1:31">
      <c r="A129" s="2" t="s">
        <v>274</v>
      </c>
      <c r="B129" s="2"/>
      <c r="C129" s="2"/>
      <c r="D129" s="2"/>
      <c r="E129" s="2" t="b">
        <f t="shared" si="35"/>
        <v>1</v>
      </c>
      <c r="F129" s="2"/>
      <c r="G129" s="2" t="s">
        <v>275</v>
      </c>
      <c r="H129" s="2" t="str">
        <f t="shared" si="45"/>
        <v>Blanc</v>
      </c>
      <c r="I129" s="2" t="str">
        <f t="shared" si="36"/>
        <v>DOWC2336-CW</v>
      </c>
      <c r="J129" s="2" t="s">
        <v>232</v>
      </c>
      <c r="K129" s="2" t="s">
        <v>233</v>
      </c>
      <c r="L129" s="2" t="str">
        <f>IFERROR(VLOOKUP(J129,Categories!$A$2:$C$41,3,FALSE()),"⚠ slug introuvable")</f>
        <v>Armoire murale</v>
      </c>
      <c r="M129" s="2" t="str">
        <f>IFERROR(VLOOKUP(K129,Categories!$A$2:$C$41,3,FALSE()),"⚠ slug introuvable")</f>
        <v>Standard</v>
      </c>
      <c r="N129" s="2" t="s">
        <v>234</v>
      </c>
      <c r="O129" s="2" t="str">
        <f t="shared" si="51"/>
        <v>Armoire de cuisine du haut à 1 porte (23" x 36")</v>
      </c>
      <c r="P129" s="2" t="str">
        <f t="shared" si="52"/>
        <v>1 porte (23" x 36")</v>
      </c>
      <c r="Q129" s="11">
        <v>641.36</v>
      </c>
      <c r="R129" s="11">
        <f t="shared" si="38"/>
        <v>57.009777777777778</v>
      </c>
      <c r="S129" s="11">
        <f t="shared" si="39"/>
        <v>79.81368888888889</v>
      </c>
      <c r="T129" s="11">
        <f t="shared" si="40"/>
        <v>87.795057777777785</v>
      </c>
      <c r="U129" s="11">
        <f t="shared" si="50"/>
        <v>105.35406933333334</v>
      </c>
      <c r="V129" s="11">
        <f t="shared" si="50"/>
        <v>126.42488320000001</v>
      </c>
      <c r="W129" s="11">
        <f t="shared" si="41"/>
        <v>139.06737152000002</v>
      </c>
      <c r="X129" s="11">
        <f t="shared" si="42"/>
        <v>139.06737152000002</v>
      </c>
      <c r="Y129" s="14">
        <v>0.4</v>
      </c>
      <c r="Z129" s="11">
        <f t="shared" si="43"/>
        <v>231.77895253333338</v>
      </c>
      <c r="AA129" s="2">
        <v>23</v>
      </c>
      <c r="AB129" s="2">
        <v>36</v>
      </c>
      <c r="AC129" s="2">
        <v>12</v>
      </c>
      <c r="AD129" s="2">
        <v>1</v>
      </c>
      <c r="AE129" s="2">
        <v>0</v>
      </c>
    </row>
    <row r="130" spans="1:31">
      <c r="A130" s="2" t="s">
        <v>276</v>
      </c>
      <c r="B130" s="2"/>
      <c r="C130" s="2"/>
      <c r="D130" s="2"/>
      <c r="E130" s="2" t="b">
        <f t="shared" si="35"/>
        <v>1</v>
      </c>
      <c r="F130" s="2"/>
      <c r="G130" s="2" t="s">
        <v>277</v>
      </c>
      <c r="H130" s="2" t="str">
        <f t="shared" si="45"/>
        <v>Blanc</v>
      </c>
      <c r="I130" s="2" t="str">
        <f t="shared" si="36"/>
        <v>DOWC2430-CW</v>
      </c>
      <c r="J130" s="2" t="s">
        <v>232</v>
      </c>
      <c r="K130" s="2" t="s">
        <v>233</v>
      </c>
      <c r="L130" s="2" t="str">
        <f>IFERROR(VLOOKUP(J130,Categories!$A$2:$C$41,3,FALSE()),"⚠ slug introuvable")</f>
        <v>Armoire murale</v>
      </c>
      <c r="M130" s="2" t="str">
        <f>IFERROR(VLOOKUP(K130,Categories!$A$2:$C$41,3,FALSE()),"⚠ slug introuvable")</f>
        <v>Standard</v>
      </c>
      <c r="N130" s="2" t="s">
        <v>278</v>
      </c>
      <c r="O130" s="2" t="str">
        <f t="shared" si="51"/>
        <v>Armoire de cuisine du haut à 2 portes (24" x 30")</v>
      </c>
      <c r="P130" s="2" t="str">
        <f>_xlfn.CONCAT("2 portes"," (",AA130,""" x ",AB130,""")")</f>
        <v>2 portes (24" x 30")</v>
      </c>
      <c r="Q130" s="11">
        <v>565</v>
      </c>
      <c r="R130" s="11">
        <f t="shared" si="38"/>
        <v>50.222222222222221</v>
      </c>
      <c r="S130" s="11">
        <f t="shared" si="39"/>
        <v>70.311111111111103</v>
      </c>
      <c r="T130" s="11">
        <f t="shared" si="40"/>
        <v>77.342222222222219</v>
      </c>
      <c r="U130" s="11">
        <f t="shared" ref="U130:V149" si="53">T130*1.2</f>
        <v>92.810666666666663</v>
      </c>
      <c r="V130" s="11">
        <f t="shared" si="53"/>
        <v>111.3728</v>
      </c>
      <c r="W130" s="11">
        <f t="shared" si="41"/>
        <v>122.51008</v>
      </c>
      <c r="X130" s="11">
        <f t="shared" si="42"/>
        <v>122.51008</v>
      </c>
      <c r="Y130" s="14">
        <v>0.4</v>
      </c>
      <c r="Z130" s="11">
        <f t="shared" si="43"/>
        <v>204.18346666666667</v>
      </c>
      <c r="AA130" s="2">
        <v>24</v>
      </c>
      <c r="AB130" s="2">
        <v>30</v>
      </c>
      <c r="AC130" s="2">
        <v>12</v>
      </c>
      <c r="AD130" s="2">
        <v>2</v>
      </c>
      <c r="AE130" s="2">
        <v>0</v>
      </c>
    </row>
    <row r="131" spans="1:31">
      <c r="A131" s="2" t="s">
        <v>279</v>
      </c>
      <c r="B131" s="2"/>
      <c r="C131" s="2"/>
      <c r="D131" s="2"/>
      <c r="E131" s="2" t="b">
        <f t="shared" si="35"/>
        <v>1</v>
      </c>
      <c r="F131" s="2"/>
      <c r="G131" s="2" t="s">
        <v>280</v>
      </c>
      <c r="H131" s="2" t="str">
        <f t="shared" si="45"/>
        <v>Blanc</v>
      </c>
      <c r="I131" s="2" t="str">
        <f t="shared" si="36"/>
        <v>DOWC2436-CW</v>
      </c>
      <c r="J131" s="2" t="s">
        <v>232</v>
      </c>
      <c r="K131" s="2" t="s">
        <v>233</v>
      </c>
      <c r="L131" s="2" t="str">
        <f>IFERROR(VLOOKUP(J131,Categories!$A$2:$C$41,3,FALSE()),"⚠ slug introuvable")</f>
        <v>Armoire murale</v>
      </c>
      <c r="M131" s="2" t="str">
        <f>IFERROR(VLOOKUP(K131,Categories!$A$2:$C$41,3,FALSE()),"⚠ slug introuvable")</f>
        <v>Standard</v>
      </c>
      <c r="N131" s="2" t="s">
        <v>278</v>
      </c>
      <c r="O131" s="2" t="str">
        <f t="shared" si="51"/>
        <v>Armoire de cuisine du haut à 2 portes (24" x 36")</v>
      </c>
      <c r="P131" s="2" t="str">
        <f>_xlfn.CONCAT("2 portes"," (",AA131,""" x ",AB131,""")")</f>
        <v>2 portes (24" x 36")</v>
      </c>
      <c r="Q131" s="11">
        <v>649</v>
      </c>
      <c r="R131" s="11">
        <f t="shared" si="38"/>
        <v>57.68888888888889</v>
      </c>
      <c r="S131" s="11">
        <f t="shared" si="39"/>
        <v>80.764444444444436</v>
      </c>
      <c r="T131" s="11">
        <f t="shared" si="40"/>
        <v>88.840888888888884</v>
      </c>
      <c r="U131" s="11">
        <f t="shared" si="53"/>
        <v>106.60906666666666</v>
      </c>
      <c r="V131" s="11">
        <f t="shared" si="53"/>
        <v>127.93087999999999</v>
      </c>
      <c r="W131" s="11">
        <f t="shared" si="41"/>
        <v>140.72396799999999</v>
      </c>
      <c r="X131" s="11">
        <f t="shared" si="42"/>
        <v>140.72396799999999</v>
      </c>
      <c r="Y131" s="14">
        <v>0.4</v>
      </c>
      <c r="Z131" s="11">
        <f t="shared" si="43"/>
        <v>234.53994666666665</v>
      </c>
      <c r="AA131" s="2">
        <v>24</v>
      </c>
      <c r="AB131" s="2">
        <v>36</v>
      </c>
      <c r="AC131" s="2">
        <v>12</v>
      </c>
      <c r="AD131" s="2">
        <v>2</v>
      </c>
      <c r="AE131" s="2">
        <v>0</v>
      </c>
    </row>
    <row r="132" spans="1:31">
      <c r="A132" s="2" t="s">
        <v>281</v>
      </c>
      <c r="B132" s="2"/>
      <c r="C132" s="2"/>
      <c r="D132" s="2"/>
      <c r="E132" s="2" t="b">
        <f t="shared" si="35"/>
        <v>1</v>
      </c>
      <c r="F132" s="2"/>
      <c r="G132" s="2" t="s">
        <v>282</v>
      </c>
      <c r="H132" s="2" t="str">
        <f t="shared" si="45"/>
        <v>Blanc</v>
      </c>
      <c r="I132" s="2" t="str">
        <f t="shared" si="36"/>
        <v>DOWC2448-CW</v>
      </c>
      <c r="J132" s="2" t="s">
        <v>232</v>
      </c>
      <c r="K132" s="2" t="s">
        <v>233</v>
      </c>
      <c r="L132" s="2" t="str">
        <f>IFERROR(VLOOKUP(J132,Categories!$A$2:$C$41,3,FALSE()),"⚠ slug introuvable")</f>
        <v>Armoire murale</v>
      </c>
      <c r="M132" s="2" t="str">
        <f>IFERROR(VLOOKUP(K132,Categories!$A$2:$C$41,3,FALSE()),"⚠ slug introuvable")</f>
        <v>Standard</v>
      </c>
      <c r="N132" s="2" t="s">
        <v>278</v>
      </c>
      <c r="O132" s="2" t="str">
        <f t="shared" si="51"/>
        <v>Armoire de cuisine du haut à 2 portes (24" x 48")</v>
      </c>
      <c r="P132" s="2" t="str">
        <f>_xlfn.CONCAT("2 portes"," (",AA132,""" x ",AB132,""")")</f>
        <v>2 portes (24" x 48")</v>
      </c>
      <c r="Q132" s="11">
        <v>1193</v>
      </c>
      <c r="R132" s="11">
        <f t="shared" si="38"/>
        <v>106.04444444444445</v>
      </c>
      <c r="S132" s="11">
        <f t="shared" si="39"/>
        <v>148.46222222222221</v>
      </c>
      <c r="T132" s="11">
        <f t="shared" si="40"/>
        <v>163.30844444444443</v>
      </c>
      <c r="U132" s="11">
        <f t="shared" si="53"/>
        <v>195.97013333333331</v>
      </c>
      <c r="V132" s="11">
        <f t="shared" si="53"/>
        <v>235.16415999999995</v>
      </c>
      <c r="W132" s="11">
        <f t="shared" si="41"/>
        <v>258.68057599999997</v>
      </c>
      <c r="X132" s="11">
        <f t="shared" si="42"/>
        <v>258.68057599999997</v>
      </c>
      <c r="Y132" s="14">
        <v>0.4</v>
      </c>
      <c r="Z132" s="11">
        <f t="shared" si="43"/>
        <v>431.13429333333329</v>
      </c>
      <c r="AA132" s="2">
        <v>24</v>
      </c>
      <c r="AB132" s="2">
        <v>48</v>
      </c>
      <c r="AC132" s="2">
        <v>12</v>
      </c>
      <c r="AD132" s="2">
        <v>2</v>
      </c>
      <c r="AE132" s="2">
        <v>0</v>
      </c>
    </row>
    <row r="133" spans="1:31" hidden="1">
      <c r="A133" s="2" t="s">
        <v>283</v>
      </c>
      <c r="B133" s="2" t="b">
        <v>1</v>
      </c>
      <c r="C133" s="2"/>
      <c r="D133" s="2"/>
      <c r="E133" s="2" t="b">
        <f t="shared" si="35"/>
        <v>0</v>
      </c>
      <c r="F133" s="2"/>
      <c r="G133" s="2"/>
      <c r="H133" s="2" t="str">
        <f t="shared" si="45"/>
        <v>Blanc</v>
      </c>
      <c r="I133" s="2" t="str">
        <f t="shared" si="36"/>
        <v>-CW</v>
      </c>
      <c r="J133" s="2" t="str">
        <f>IFERROR(VLOOKUP(K133,Categories!$A$2:$C$41,2,FALSE()),"⚠ slug introuvable")</f>
        <v>fillers-panels-moldings</v>
      </c>
      <c r="K133" s="2" t="s">
        <v>114</v>
      </c>
      <c r="L133" s="2" t="str">
        <f>IFERROR(VLOOKUP(J133,Categories!$A$2:$C$41,3,FALSE()),"⚠ slug introuvable")</f>
        <v>Fillers, panneaux &amp; moulures</v>
      </c>
      <c r="M133" s="2" t="str">
        <f>IFERROR(VLOOKUP(K133,Categories!$A$2:$C$41,3,FALSE()),"⚠ slug introuvable")</f>
        <v>Moulures</v>
      </c>
      <c r="N133" s="2"/>
      <c r="O133" s="2">
        <f>N133</f>
        <v>0</v>
      </c>
      <c r="P133" s="2">
        <f>O133</f>
        <v>0</v>
      </c>
      <c r="Q133" s="11">
        <v>0</v>
      </c>
      <c r="R133" s="11">
        <f t="shared" si="38"/>
        <v>0</v>
      </c>
      <c r="S133" s="11">
        <f t="shared" si="39"/>
        <v>0</v>
      </c>
      <c r="T133" s="11">
        <f t="shared" si="40"/>
        <v>0</v>
      </c>
      <c r="U133" s="11">
        <f t="shared" si="53"/>
        <v>0</v>
      </c>
      <c r="V133" s="11">
        <f t="shared" si="53"/>
        <v>0</v>
      </c>
      <c r="W133" s="11">
        <f t="shared" si="41"/>
        <v>0</v>
      </c>
      <c r="X133" s="11">
        <f t="shared" si="42"/>
        <v>0</v>
      </c>
      <c r="Y133" s="14">
        <v>0.4</v>
      </c>
      <c r="Z133" s="11">
        <f t="shared" si="43"/>
        <v>0</v>
      </c>
      <c r="AA133" s="2">
        <v>96</v>
      </c>
      <c r="AB133" s="2">
        <v>1.5</v>
      </c>
      <c r="AC133" s="2">
        <v>0.375</v>
      </c>
      <c r="AD133" s="2"/>
      <c r="AE133" s="2"/>
    </row>
    <row r="134" spans="1:31" hidden="1">
      <c r="A134" s="2" t="s">
        <v>284</v>
      </c>
      <c r="B134" s="2" t="b">
        <v>1</v>
      </c>
      <c r="C134" s="2"/>
      <c r="D134" s="2"/>
      <c r="E134" s="2" t="b">
        <f t="shared" si="35"/>
        <v>0</v>
      </c>
      <c r="F134" s="2"/>
      <c r="G134" s="2"/>
      <c r="H134" s="2" t="str">
        <f t="shared" si="45"/>
        <v>Blanc</v>
      </c>
      <c r="I134" s="2" t="str">
        <f t="shared" si="36"/>
        <v>-CW</v>
      </c>
      <c r="J134" s="2" t="str">
        <f>IFERROR(VLOOKUP(K134,Categories!$A$2:$C$41,2,FALSE()),"⚠ slug introuvable")</f>
        <v>fillers-panels-moldings</v>
      </c>
      <c r="K134" s="2" t="s">
        <v>114</v>
      </c>
      <c r="L134" s="2" t="str">
        <f>IFERROR(VLOOKUP(J134,Categories!$A$2:$C$41,3,FALSE()),"⚠ slug introuvable")</f>
        <v>Fillers, panneaux &amp; moulures</v>
      </c>
      <c r="M134" s="2" t="str">
        <f>IFERROR(VLOOKUP(K134,Categories!$A$2:$C$41,3,FALSE()),"⚠ slug introuvable")</f>
        <v>Moulures</v>
      </c>
      <c r="N134" s="2"/>
      <c r="O134" s="2">
        <f>N134</f>
        <v>0</v>
      </c>
      <c r="P134" s="2">
        <f>O134</f>
        <v>0</v>
      </c>
      <c r="Q134" s="11">
        <v>0</v>
      </c>
      <c r="R134" s="11">
        <f t="shared" si="38"/>
        <v>0</v>
      </c>
      <c r="S134" s="11">
        <f t="shared" si="39"/>
        <v>0</v>
      </c>
      <c r="T134" s="11">
        <f t="shared" si="40"/>
        <v>0</v>
      </c>
      <c r="U134" s="11">
        <f t="shared" si="53"/>
        <v>0</v>
      </c>
      <c r="V134" s="11">
        <f t="shared" si="53"/>
        <v>0</v>
      </c>
      <c r="W134" s="11">
        <f t="shared" si="41"/>
        <v>0</v>
      </c>
      <c r="X134" s="11">
        <f t="shared" si="42"/>
        <v>0</v>
      </c>
      <c r="Y134" s="14">
        <v>0.4</v>
      </c>
      <c r="Z134" s="11">
        <f t="shared" si="43"/>
        <v>0</v>
      </c>
      <c r="AA134" s="2">
        <v>120</v>
      </c>
      <c r="AB134" s="2">
        <v>1.5</v>
      </c>
      <c r="AC134" s="2">
        <v>0.375</v>
      </c>
      <c r="AD134" s="2"/>
      <c r="AE134" s="2"/>
    </row>
    <row r="135" spans="1:31">
      <c r="A135" s="2" t="s">
        <v>285</v>
      </c>
      <c r="B135" s="2"/>
      <c r="C135" s="2"/>
      <c r="D135" s="2"/>
      <c r="E135" s="2" t="b">
        <f t="shared" si="35"/>
        <v>1</v>
      </c>
      <c r="F135" s="2"/>
      <c r="G135" s="2" t="s">
        <v>286</v>
      </c>
      <c r="H135" s="2" t="str">
        <f t="shared" si="45"/>
        <v>Blanc</v>
      </c>
      <c r="I135" s="2" t="str">
        <f t="shared" si="36"/>
        <v>DOWC2730-CW</v>
      </c>
      <c r="J135" s="2" t="s">
        <v>232</v>
      </c>
      <c r="K135" s="2" t="s">
        <v>233</v>
      </c>
      <c r="L135" s="2" t="str">
        <f>IFERROR(VLOOKUP(J135,Categories!$A$2:$C$41,3,FALSE()),"⚠ slug introuvable")</f>
        <v>Armoire murale</v>
      </c>
      <c r="M135" s="2" t="str">
        <f>IFERROR(VLOOKUP(K135,Categories!$A$2:$C$41,3,FALSE()),"⚠ slug introuvable")</f>
        <v>Standard</v>
      </c>
      <c r="N135" s="2" t="s">
        <v>278</v>
      </c>
      <c r="O135" s="2" t="str">
        <f t="shared" ref="O135:O153" si="54">_xlfn.CONCAT(N135," (",AA135,""" x ",AB135,""")")</f>
        <v>Armoire de cuisine du haut à 2 portes (27" x 30")</v>
      </c>
      <c r="P135" s="2" t="str">
        <f t="shared" ref="P135:P148" si="55">_xlfn.CONCAT("2 portes"," (",AA135,""" x ",AB135,""")")</f>
        <v>2 portes (27" x 30")</v>
      </c>
      <c r="Q135" s="11">
        <v>613</v>
      </c>
      <c r="R135" s="11">
        <f t="shared" si="38"/>
        <v>54.488888888888887</v>
      </c>
      <c r="S135" s="11">
        <f t="shared" si="39"/>
        <v>76.284444444444432</v>
      </c>
      <c r="T135" s="11">
        <f t="shared" si="40"/>
        <v>83.912888888888887</v>
      </c>
      <c r="U135" s="11">
        <f t="shared" si="53"/>
        <v>100.69546666666666</v>
      </c>
      <c r="V135" s="11">
        <f t="shared" si="53"/>
        <v>120.83455999999998</v>
      </c>
      <c r="W135" s="11">
        <f t="shared" si="41"/>
        <v>132.91801599999999</v>
      </c>
      <c r="X135" s="11">
        <f t="shared" si="42"/>
        <v>132.91801599999999</v>
      </c>
      <c r="Y135" s="14">
        <v>0.4</v>
      </c>
      <c r="Z135" s="11">
        <f t="shared" si="43"/>
        <v>221.53002666666666</v>
      </c>
      <c r="AA135" s="2">
        <v>27</v>
      </c>
      <c r="AB135" s="2">
        <v>30</v>
      </c>
      <c r="AC135" s="2">
        <v>12</v>
      </c>
      <c r="AD135" s="2">
        <v>2</v>
      </c>
      <c r="AE135" s="2">
        <v>0</v>
      </c>
    </row>
    <row r="136" spans="1:31">
      <c r="A136" s="2" t="s">
        <v>287</v>
      </c>
      <c r="B136" s="2"/>
      <c r="C136" s="2"/>
      <c r="D136" s="2"/>
      <c r="E136" s="2" t="b">
        <f t="shared" si="35"/>
        <v>1</v>
      </c>
      <c r="F136" s="2"/>
      <c r="G136" s="2" t="s">
        <v>288</v>
      </c>
      <c r="H136" s="2" t="str">
        <f t="shared" si="45"/>
        <v>Blanc</v>
      </c>
      <c r="I136" s="2" t="str">
        <f t="shared" si="36"/>
        <v>DOWC2736-CW</v>
      </c>
      <c r="J136" s="2" t="s">
        <v>232</v>
      </c>
      <c r="K136" s="2" t="s">
        <v>233</v>
      </c>
      <c r="L136" s="2" t="str">
        <f>IFERROR(VLOOKUP(J136,Categories!$A$2:$C$41,3,FALSE()),"⚠ slug introuvable")</f>
        <v>Armoire murale</v>
      </c>
      <c r="M136" s="2" t="str">
        <f>IFERROR(VLOOKUP(K136,Categories!$A$2:$C$41,3,FALSE()),"⚠ slug introuvable")</f>
        <v>Standard</v>
      </c>
      <c r="N136" s="2" t="s">
        <v>278</v>
      </c>
      <c r="O136" s="2" t="str">
        <f t="shared" si="54"/>
        <v>Armoire de cuisine du haut à 2 portes (27" x 36")</v>
      </c>
      <c r="P136" s="2" t="str">
        <f t="shared" si="55"/>
        <v>2 portes (27" x 36")</v>
      </c>
      <c r="Q136" s="11">
        <v>702</v>
      </c>
      <c r="R136" s="11">
        <f t="shared" si="38"/>
        <v>62.4</v>
      </c>
      <c r="S136" s="11">
        <f t="shared" si="39"/>
        <v>87.36</v>
      </c>
      <c r="T136" s="11">
        <f t="shared" si="40"/>
        <v>96.096000000000004</v>
      </c>
      <c r="U136" s="11">
        <f t="shared" si="53"/>
        <v>115.3152</v>
      </c>
      <c r="V136" s="11">
        <f t="shared" si="53"/>
        <v>138.37824000000001</v>
      </c>
      <c r="W136" s="11">
        <f t="shared" si="41"/>
        <v>152.21606400000002</v>
      </c>
      <c r="X136" s="11">
        <f t="shared" si="42"/>
        <v>152.21606400000002</v>
      </c>
      <c r="Y136" s="14">
        <v>0.4</v>
      </c>
      <c r="Z136" s="11">
        <f t="shared" si="43"/>
        <v>253.69344000000004</v>
      </c>
      <c r="AA136" s="2">
        <v>27</v>
      </c>
      <c r="AB136" s="2">
        <v>36</v>
      </c>
      <c r="AC136" s="2">
        <v>12</v>
      </c>
      <c r="AD136" s="2">
        <v>2</v>
      </c>
      <c r="AE136" s="2">
        <v>0</v>
      </c>
    </row>
    <row r="137" spans="1:31">
      <c r="A137" s="2" t="s">
        <v>289</v>
      </c>
      <c r="B137" s="2"/>
      <c r="C137" s="2"/>
      <c r="D137" s="2"/>
      <c r="E137" s="2" t="b">
        <f t="shared" si="35"/>
        <v>1</v>
      </c>
      <c r="F137" s="2"/>
      <c r="G137" s="2" t="s">
        <v>290</v>
      </c>
      <c r="H137" s="2" t="str">
        <f t="shared" si="45"/>
        <v>Blanc</v>
      </c>
      <c r="I137" s="2" t="str">
        <f t="shared" si="36"/>
        <v>DOWC2748-CW</v>
      </c>
      <c r="J137" s="2" t="s">
        <v>232</v>
      </c>
      <c r="K137" s="2" t="s">
        <v>233</v>
      </c>
      <c r="L137" s="2" t="str">
        <f>IFERROR(VLOOKUP(J137,Categories!$A$2:$C$41,3,FALSE()),"⚠ slug introuvable")</f>
        <v>Armoire murale</v>
      </c>
      <c r="M137" s="2" t="str">
        <f>IFERROR(VLOOKUP(K137,Categories!$A$2:$C$41,3,FALSE()),"⚠ slug introuvable")</f>
        <v>Standard</v>
      </c>
      <c r="N137" s="2" t="s">
        <v>278</v>
      </c>
      <c r="O137" s="2" t="str">
        <f t="shared" si="54"/>
        <v>Armoire de cuisine du haut à 2 portes (27" x 48")</v>
      </c>
      <c r="P137" s="2" t="str">
        <f t="shared" si="55"/>
        <v>2 portes (27" x 48")</v>
      </c>
      <c r="Q137" s="11">
        <v>1289</v>
      </c>
      <c r="R137" s="11">
        <f t="shared" si="38"/>
        <v>114.57777777777778</v>
      </c>
      <c r="S137" s="11">
        <f t="shared" si="39"/>
        <v>160.4088888888889</v>
      </c>
      <c r="T137" s="11">
        <f t="shared" si="40"/>
        <v>176.4497777777778</v>
      </c>
      <c r="U137" s="11">
        <f t="shared" si="53"/>
        <v>211.73973333333336</v>
      </c>
      <c r="V137" s="11">
        <f t="shared" si="53"/>
        <v>254.08768000000003</v>
      </c>
      <c r="W137" s="11">
        <f t="shared" si="41"/>
        <v>279.49644800000004</v>
      </c>
      <c r="X137" s="11">
        <f t="shared" si="42"/>
        <v>279.49644800000004</v>
      </c>
      <c r="Y137" s="14">
        <v>0.4</v>
      </c>
      <c r="Z137" s="11">
        <f t="shared" si="43"/>
        <v>465.82741333333342</v>
      </c>
      <c r="AA137" s="2">
        <v>27</v>
      </c>
      <c r="AB137" s="2">
        <v>48</v>
      </c>
      <c r="AC137" s="2">
        <v>12</v>
      </c>
      <c r="AD137" s="2">
        <v>2</v>
      </c>
      <c r="AE137" s="2">
        <v>0</v>
      </c>
    </row>
    <row r="138" spans="1:31">
      <c r="A138" s="2" t="s">
        <v>291</v>
      </c>
      <c r="B138" s="2"/>
      <c r="C138" s="2"/>
      <c r="D138" s="2"/>
      <c r="E138" s="2" t="b">
        <f t="shared" ref="E138:E201" si="56">IF(OR(B138=TRUE,C138=TRUE,D138=TRUE),FALSE,TRUE)</f>
        <v>1</v>
      </c>
      <c r="F138" s="2"/>
      <c r="G138" s="2" t="s">
        <v>292</v>
      </c>
      <c r="H138" s="2" t="str">
        <f t="shared" si="45"/>
        <v>Blanc</v>
      </c>
      <c r="I138" s="2" t="str">
        <f t="shared" ref="I138:I201" si="57">_xlfn.CONCAT(G138,IF(H138="","",IF(H138="Blanc","-CW","-WWO")))</f>
        <v>DOWC3012-CW</v>
      </c>
      <c r="J138" s="2" t="s">
        <v>232</v>
      </c>
      <c r="K138" s="2" t="s">
        <v>233</v>
      </c>
      <c r="L138" s="2" t="str">
        <f>IFERROR(VLOOKUP(J138,Categories!$A$2:$C$41,3,FALSE()),"⚠ slug introuvable")</f>
        <v>Armoire murale</v>
      </c>
      <c r="M138" s="2" t="str">
        <f>IFERROR(VLOOKUP(K138,Categories!$A$2:$C$41,3,FALSE()),"⚠ slug introuvable")</f>
        <v>Standard</v>
      </c>
      <c r="N138" s="2" t="s">
        <v>278</v>
      </c>
      <c r="O138" s="2" t="str">
        <f t="shared" si="54"/>
        <v>Armoire de cuisine du haut à 2 portes (30" x 12")</v>
      </c>
      <c r="P138" s="2" t="str">
        <f t="shared" si="55"/>
        <v>2 portes (30" x 12")</v>
      </c>
      <c r="Q138" s="11">
        <v>314</v>
      </c>
      <c r="R138" s="11">
        <f t="shared" ref="R138:R201" si="58">Q138/11.25</f>
        <v>27.911111111111111</v>
      </c>
      <c r="S138" s="11">
        <f t="shared" ref="S138:S201" si="59">R138*1.4</f>
        <v>39.075555555555553</v>
      </c>
      <c r="T138" s="11">
        <f t="shared" ref="T138:T201" si="60">S138*1.1</f>
        <v>42.983111111111114</v>
      </c>
      <c r="U138" s="11">
        <f t="shared" si="53"/>
        <v>51.579733333333337</v>
      </c>
      <c r="V138" s="11">
        <f t="shared" si="53"/>
        <v>61.895679999999999</v>
      </c>
      <c r="W138" s="11">
        <f t="shared" ref="W138:W201" si="61">V138*1.1</f>
        <v>68.085248000000007</v>
      </c>
      <c r="X138" s="11">
        <f t="shared" ref="X138:X201" si="62">W138</f>
        <v>68.085248000000007</v>
      </c>
      <c r="Y138" s="14">
        <v>0.4</v>
      </c>
      <c r="Z138" s="11">
        <f t="shared" ref="Z138:Z201" si="63">X138/(1-Y138)</f>
        <v>113.47541333333335</v>
      </c>
      <c r="AA138" s="2">
        <v>30</v>
      </c>
      <c r="AB138" s="2">
        <v>12</v>
      </c>
      <c r="AC138" s="2">
        <v>12</v>
      </c>
      <c r="AD138" s="2">
        <v>2</v>
      </c>
      <c r="AE138" s="2">
        <v>0</v>
      </c>
    </row>
    <row r="139" spans="1:31">
      <c r="A139" s="2" t="s">
        <v>293</v>
      </c>
      <c r="B139" s="2"/>
      <c r="C139" s="2"/>
      <c r="D139" s="2"/>
      <c r="E139" s="2" t="b">
        <f t="shared" si="56"/>
        <v>1</v>
      </c>
      <c r="F139" s="2"/>
      <c r="G139" s="2" t="s">
        <v>294</v>
      </c>
      <c r="H139" s="2" t="str">
        <f t="shared" si="45"/>
        <v>Blanc</v>
      </c>
      <c r="I139" s="2" t="str">
        <f t="shared" si="57"/>
        <v>DOWC3015-CW</v>
      </c>
      <c r="J139" s="2" t="s">
        <v>232</v>
      </c>
      <c r="K139" s="2" t="s">
        <v>233</v>
      </c>
      <c r="L139" s="2" t="str">
        <f>IFERROR(VLOOKUP(J139,Categories!$A$2:$C$41,3,FALSE()),"⚠ slug introuvable")</f>
        <v>Armoire murale</v>
      </c>
      <c r="M139" s="2" t="str">
        <f>IFERROR(VLOOKUP(K139,Categories!$A$2:$C$41,3,FALSE()),"⚠ slug introuvable")</f>
        <v>Standard</v>
      </c>
      <c r="N139" s="2" t="s">
        <v>278</v>
      </c>
      <c r="O139" s="2" t="str">
        <f t="shared" si="54"/>
        <v>Armoire de cuisine du haut à 2 portes (30" x 15")</v>
      </c>
      <c r="P139" s="2" t="str">
        <f t="shared" si="55"/>
        <v>2 portes (30" x 15")</v>
      </c>
      <c r="Q139" s="11">
        <v>357</v>
      </c>
      <c r="R139" s="11">
        <f t="shared" si="58"/>
        <v>31.733333333333334</v>
      </c>
      <c r="S139" s="11">
        <f t="shared" si="59"/>
        <v>44.426666666666662</v>
      </c>
      <c r="T139" s="11">
        <f t="shared" si="60"/>
        <v>48.86933333333333</v>
      </c>
      <c r="U139" s="11">
        <f t="shared" si="53"/>
        <v>58.643199999999993</v>
      </c>
      <c r="V139" s="11">
        <f t="shared" si="53"/>
        <v>70.371839999999992</v>
      </c>
      <c r="W139" s="11">
        <f t="shared" si="61"/>
        <v>77.409024000000002</v>
      </c>
      <c r="X139" s="11">
        <f t="shared" si="62"/>
        <v>77.409024000000002</v>
      </c>
      <c r="Y139" s="14">
        <v>0.4</v>
      </c>
      <c r="Z139" s="11">
        <f t="shared" si="63"/>
        <v>129.01504</v>
      </c>
      <c r="AA139" s="2">
        <v>30</v>
      </c>
      <c r="AB139" s="2">
        <v>15</v>
      </c>
      <c r="AC139" s="2">
        <v>12</v>
      </c>
      <c r="AD139" s="2">
        <v>2</v>
      </c>
      <c r="AE139" s="2">
        <v>0</v>
      </c>
    </row>
    <row r="140" spans="1:31">
      <c r="A140" s="2" t="s">
        <v>295</v>
      </c>
      <c r="B140" s="2"/>
      <c r="C140" s="2"/>
      <c r="D140" s="2"/>
      <c r="E140" s="2" t="b">
        <f t="shared" si="56"/>
        <v>1</v>
      </c>
      <c r="F140" s="2"/>
      <c r="G140" s="2" t="s">
        <v>296</v>
      </c>
      <c r="H140" s="2" t="str">
        <f t="shared" si="45"/>
        <v>Blanc</v>
      </c>
      <c r="I140" s="2" t="str">
        <f t="shared" si="57"/>
        <v>DOWC3018-CW</v>
      </c>
      <c r="J140" s="2" t="s">
        <v>232</v>
      </c>
      <c r="K140" s="2" t="s">
        <v>233</v>
      </c>
      <c r="L140" s="2" t="str">
        <f>IFERROR(VLOOKUP(J140,Categories!$A$2:$C$41,3,FALSE()),"⚠ slug introuvable")</f>
        <v>Armoire murale</v>
      </c>
      <c r="M140" s="2" t="str">
        <f>IFERROR(VLOOKUP(K140,Categories!$A$2:$C$41,3,FALSE()),"⚠ slug introuvable")</f>
        <v>Standard</v>
      </c>
      <c r="N140" s="2" t="s">
        <v>278</v>
      </c>
      <c r="O140" s="2" t="str">
        <f t="shared" si="54"/>
        <v>Armoire de cuisine du haut à 2 portes (30" x 18")</v>
      </c>
      <c r="P140" s="2" t="str">
        <f t="shared" si="55"/>
        <v>2 portes (30" x 18")</v>
      </c>
      <c r="Q140" s="11">
        <v>409</v>
      </c>
      <c r="R140" s="11">
        <f t="shared" si="58"/>
        <v>36.355555555555554</v>
      </c>
      <c r="S140" s="11">
        <f t="shared" si="59"/>
        <v>50.897777777777776</v>
      </c>
      <c r="T140" s="11">
        <f t="shared" si="60"/>
        <v>55.987555555555559</v>
      </c>
      <c r="U140" s="11">
        <f t="shared" si="53"/>
        <v>67.185066666666671</v>
      </c>
      <c r="V140" s="11">
        <f t="shared" si="53"/>
        <v>80.622079999999997</v>
      </c>
      <c r="W140" s="11">
        <f t="shared" si="61"/>
        <v>88.684288000000009</v>
      </c>
      <c r="X140" s="11">
        <f t="shared" si="62"/>
        <v>88.684288000000009</v>
      </c>
      <c r="Y140" s="14">
        <v>0.4</v>
      </c>
      <c r="Z140" s="11">
        <f t="shared" si="63"/>
        <v>147.80714666666668</v>
      </c>
      <c r="AA140" s="2">
        <v>30</v>
      </c>
      <c r="AB140" s="2">
        <v>18</v>
      </c>
      <c r="AC140" s="2">
        <v>12</v>
      </c>
      <c r="AD140" s="2">
        <v>2</v>
      </c>
      <c r="AE140" s="2">
        <v>0</v>
      </c>
    </row>
    <row r="141" spans="1:31">
      <c r="A141" s="2" t="s">
        <v>297</v>
      </c>
      <c r="B141" s="2"/>
      <c r="C141" s="2"/>
      <c r="D141" s="2"/>
      <c r="E141" s="2" t="b">
        <f t="shared" si="56"/>
        <v>1</v>
      </c>
      <c r="F141" s="2"/>
      <c r="G141" s="2" t="s">
        <v>298</v>
      </c>
      <c r="H141" s="2" t="str">
        <f t="shared" si="45"/>
        <v>Blanc</v>
      </c>
      <c r="I141" s="2" t="str">
        <f t="shared" si="57"/>
        <v>DOWC3021-CW</v>
      </c>
      <c r="J141" s="2" t="s">
        <v>232</v>
      </c>
      <c r="K141" s="2" t="s">
        <v>233</v>
      </c>
      <c r="L141" s="2" t="str">
        <f>IFERROR(VLOOKUP(J141,Categories!$A$2:$C$41,3,FALSE()),"⚠ slug introuvable")</f>
        <v>Armoire murale</v>
      </c>
      <c r="M141" s="2" t="str">
        <f>IFERROR(VLOOKUP(K141,Categories!$A$2:$C$41,3,FALSE()),"⚠ slug introuvable")</f>
        <v>Standard</v>
      </c>
      <c r="N141" s="2" t="s">
        <v>278</v>
      </c>
      <c r="O141" s="2" t="str">
        <f t="shared" si="54"/>
        <v>Armoire de cuisine du haut à 2 portes (30" x 21")</v>
      </c>
      <c r="P141" s="2" t="str">
        <f t="shared" si="55"/>
        <v>2 portes (30" x 21")</v>
      </c>
      <c r="Q141" s="11">
        <v>515</v>
      </c>
      <c r="R141" s="11">
        <f t="shared" si="58"/>
        <v>45.777777777777779</v>
      </c>
      <c r="S141" s="11">
        <f t="shared" si="59"/>
        <v>64.088888888888889</v>
      </c>
      <c r="T141" s="11">
        <f t="shared" si="60"/>
        <v>70.497777777777785</v>
      </c>
      <c r="U141" s="11">
        <f t="shared" si="53"/>
        <v>84.597333333333339</v>
      </c>
      <c r="V141" s="11">
        <f t="shared" si="53"/>
        <v>101.5168</v>
      </c>
      <c r="W141" s="11">
        <f t="shared" si="61"/>
        <v>111.66848000000002</v>
      </c>
      <c r="X141" s="11">
        <f t="shared" si="62"/>
        <v>111.66848000000002</v>
      </c>
      <c r="Y141" s="14">
        <v>0.4</v>
      </c>
      <c r="Z141" s="11">
        <f t="shared" si="63"/>
        <v>186.11413333333337</v>
      </c>
      <c r="AA141" s="2">
        <v>30</v>
      </c>
      <c r="AB141" s="2">
        <v>21</v>
      </c>
      <c r="AC141" s="2">
        <v>12</v>
      </c>
      <c r="AD141" s="2">
        <v>2</v>
      </c>
      <c r="AE141" s="2">
        <v>0</v>
      </c>
    </row>
    <row r="142" spans="1:31">
      <c r="A142" s="2" t="s">
        <v>299</v>
      </c>
      <c r="B142" s="2"/>
      <c r="C142" s="2"/>
      <c r="D142" s="2"/>
      <c r="E142" s="2" t="b">
        <f t="shared" si="56"/>
        <v>1</v>
      </c>
      <c r="F142" s="2"/>
      <c r="G142" s="2" t="s">
        <v>300</v>
      </c>
      <c r="H142" s="2" t="str">
        <f t="shared" si="45"/>
        <v>Blanc</v>
      </c>
      <c r="I142" s="2" t="str">
        <f t="shared" si="57"/>
        <v>DOWC3024-CW</v>
      </c>
      <c r="J142" s="2" t="s">
        <v>232</v>
      </c>
      <c r="K142" s="2" t="s">
        <v>233</v>
      </c>
      <c r="L142" s="2" t="str">
        <f>IFERROR(VLOOKUP(J142,Categories!$A$2:$C$41,3,FALSE()),"⚠ slug introuvable")</f>
        <v>Armoire murale</v>
      </c>
      <c r="M142" s="2" t="str">
        <f>IFERROR(VLOOKUP(K142,Categories!$A$2:$C$41,3,FALSE()),"⚠ slug introuvable")</f>
        <v>Standard</v>
      </c>
      <c r="N142" s="2" t="s">
        <v>278</v>
      </c>
      <c r="O142" s="2" t="str">
        <f t="shared" si="54"/>
        <v>Armoire de cuisine du haut à 2 portes (30" x 24")</v>
      </c>
      <c r="P142" s="2" t="str">
        <f t="shared" si="55"/>
        <v>2 portes (30" x 24")</v>
      </c>
      <c r="Q142" s="11">
        <v>557</v>
      </c>
      <c r="R142" s="11">
        <f t="shared" si="58"/>
        <v>49.511111111111113</v>
      </c>
      <c r="S142" s="11">
        <f t="shared" si="59"/>
        <v>69.315555555555548</v>
      </c>
      <c r="T142" s="11">
        <f t="shared" si="60"/>
        <v>76.24711111111111</v>
      </c>
      <c r="U142" s="11">
        <f t="shared" si="53"/>
        <v>91.496533333333332</v>
      </c>
      <c r="V142" s="11">
        <f t="shared" si="53"/>
        <v>109.79584</v>
      </c>
      <c r="W142" s="11">
        <f t="shared" si="61"/>
        <v>120.775424</v>
      </c>
      <c r="X142" s="11">
        <f t="shared" si="62"/>
        <v>120.775424</v>
      </c>
      <c r="Y142" s="14">
        <v>0.4</v>
      </c>
      <c r="Z142" s="11">
        <f t="shared" si="63"/>
        <v>201.29237333333333</v>
      </c>
      <c r="AA142" s="2">
        <v>30</v>
      </c>
      <c r="AB142" s="2">
        <v>24</v>
      </c>
      <c r="AC142" s="2">
        <v>12</v>
      </c>
      <c r="AD142" s="2">
        <v>2</v>
      </c>
      <c r="AE142" s="2">
        <v>0</v>
      </c>
    </row>
    <row r="143" spans="1:31">
      <c r="A143" s="2" t="s">
        <v>301</v>
      </c>
      <c r="B143" s="2"/>
      <c r="C143" s="2"/>
      <c r="D143" s="2"/>
      <c r="E143" s="2" t="b">
        <f t="shared" si="56"/>
        <v>1</v>
      </c>
      <c r="F143" s="2"/>
      <c r="G143" s="2" t="s">
        <v>302</v>
      </c>
      <c r="H143" s="2" t="str">
        <f t="shared" si="45"/>
        <v>Blanc</v>
      </c>
      <c r="I143" s="2" t="str">
        <f t="shared" si="57"/>
        <v>DOWC3027-CW</v>
      </c>
      <c r="J143" s="2" t="s">
        <v>232</v>
      </c>
      <c r="K143" s="2" t="s">
        <v>233</v>
      </c>
      <c r="L143" s="2" t="str">
        <f>IFERROR(VLOOKUP(J143,Categories!$A$2:$C$41,3,FALSE()),"⚠ slug introuvable")</f>
        <v>Armoire murale</v>
      </c>
      <c r="M143" s="2" t="str">
        <f>IFERROR(VLOOKUP(K143,Categories!$A$2:$C$41,3,FALSE()),"⚠ slug introuvable")</f>
        <v>Standard</v>
      </c>
      <c r="N143" s="2" t="s">
        <v>278</v>
      </c>
      <c r="O143" s="2" t="str">
        <f t="shared" si="54"/>
        <v>Armoire de cuisine du haut à 2 portes (30" x 27")</v>
      </c>
      <c r="P143" s="2" t="str">
        <f t="shared" si="55"/>
        <v>2 portes (30" x 27")</v>
      </c>
      <c r="Q143" s="11">
        <v>603</v>
      </c>
      <c r="R143" s="11">
        <f t="shared" si="58"/>
        <v>53.6</v>
      </c>
      <c r="S143" s="11">
        <f t="shared" si="59"/>
        <v>75.039999999999992</v>
      </c>
      <c r="T143" s="11">
        <f t="shared" si="60"/>
        <v>82.543999999999997</v>
      </c>
      <c r="U143" s="11">
        <f t="shared" si="53"/>
        <v>99.052799999999991</v>
      </c>
      <c r="V143" s="11">
        <f t="shared" si="53"/>
        <v>118.86335999999999</v>
      </c>
      <c r="W143" s="11">
        <f t="shared" si="61"/>
        <v>130.749696</v>
      </c>
      <c r="X143" s="11">
        <f t="shared" si="62"/>
        <v>130.749696</v>
      </c>
      <c r="Y143" s="14">
        <v>0.4</v>
      </c>
      <c r="Z143" s="11">
        <f t="shared" si="63"/>
        <v>217.91616000000002</v>
      </c>
      <c r="AA143" s="2">
        <v>30</v>
      </c>
      <c r="AB143" s="2">
        <v>27</v>
      </c>
      <c r="AC143" s="2">
        <v>12</v>
      </c>
      <c r="AD143" s="2">
        <v>2</v>
      </c>
      <c r="AE143" s="2">
        <v>0</v>
      </c>
    </row>
    <row r="144" spans="1:31">
      <c r="A144" s="2" t="s">
        <v>303</v>
      </c>
      <c r="B144" s="2"/>
      <c r="C144" s="2"/>
      <c r="D144" s="2"/>
      <c r="E144" s="2" t="b">
        <f t="shared" si="56"/>
        <v>1</v>
      </c>
      <c r="F144" s="2"/>
      <c r="G144" s="2" t="s">
        <v>304</v>
      </c>
      <c r="H144" s="2" t="str">
        <f t="shared" si="45"/>
        <v>Blanc</v>
      </c>
      <c r="I144" s="2" t="str">
        <f t="shared" si="57"/>
        <v>DOWC3030-CW</v>
      </c>
      <c r="J144" s="2" t="s">
        <v>232</v>
      </c>
      <c r="K144" s="2" t="s">
        <v>233</v>
      </c>
      <c r="L144" s="2" t="str">
        <f>IFERROR(VLOOKUP(J144,Categories!$A$2:$C$41,3,FALSE()),"⚠ slug introuvable")</f>
        <v>Armoire murale</v>
      </c>
      <c r="M144" s="2" t="str">
        <f>IFERROR(VLOOKUP(K144,Categories!$A$2:$C$41,3,FALSE()),"⚠ slug introuvable")</f>
        <v>Standard</v>
      </c>
      <c r="N144" s="2" t="s">
        <v>278</v>
      </c>
      <c r="O144" s="2" t="str">
        <f t="shared" si="54"/>
        <v>Armoire de cuisine du haut à 2 portes (30" x 30")</v>
      </c>
      <c r="P144" s="2" t="str">
        <f t="shared" si="55"/>
        <v>2 portes (30" x 30")</v>
      </c>
      <c r="Q144" s="11">
        <v>648</v>
      </c>
      <c r="R144" s="11">
        <f t="shared" si="58"/>
        <v>57.6</v>
      </c>
      <c r="S144" s="11">
        <f t="shared" si="59"/>
        <v>80.64</v>
      </c>
      <c r="T144" s="11">
        <f t="shared" si="60"/>
        <v>88.704000000000008</v>
      </c>
      <c r="U144" s="11">
        <f t="shared" si="53"/>
        <v>106.4448</v>
      </c>
      <c r="V144" s="11">
        <f t="shared" si="53"/>
        <v>127.73375999999999</v>
      </c>
      <c r="W144" s="11">
        <f t="shared" si="61"/>
        <v>140.507136</v>
      </c>
      <c r="X144" s="11">
        <f t="shared" si="62"/>
        <v>140.507136</v>
      </c>
      <c r="Y144" s="14">
        <v>0.4</v>
      </c>
      <c r="Z144" s="11">
        <f t="shared" si="63"/>
        <v>234.17856</v>
      </c>
      <c r="AA144" s="2">
        <v>30</v>
      </c>
      <c r="AB144" s="2">
        <v>30</v>
      </c>
      <c r="AC144" s="2">
        <v>12</v>
      </c>
      <c r="AD144" s="2">
        <v>2</v>
      </c>
      <c r="AE144" s="2">
        <v>0</v>
      </c>
    </row>
    <row r="145" spans="1:31">
      <c r="A145" s="2" t="s">
        <v>305</v>
      </c>
      <c r="B145" s="2"/>
      <c r="C145" s="2"/>
      <c r="D145" s="2"/>
      <c r="E145" s="2" t="b">
        <f t="shared" si="56"/>
        <v>1</v>
      </c>
      <c r="F145" s="2"/>
      <c r="G145" s="2" t="s">
        <v>306</v>
      </c>
      <c r="H145" s="2" t="str">
        <f t="shared" si="45"/>
        <v>Blanc</v>
      </c>
      <c r="I145" s="2" t="str">
        <f t="shared" si="57"/>
        <v>DOWC3036-CW</v>
      </c>
      <c r="J145" s="2" t="s">
        <v>232</v>
      </c>
      <c r="K145" s="2" t="s">
        <v>233</v>
      </c>
      <c r="L145" s="2" t="str">
        <f>IFERROR(VLOOKUP(J145,Categories!$A$2:$C$41,3,FALSE()),"⚠ slug introuvable")</f>
        <v>Armoire murale</v>
      </c>
      <c r="M145" s="2" t="str">
        <f>IFERROR(VLOOKUP(K145,Categories!$A$2:$C$41,3,FALSE()),"⚠ slug introuvable")</f>
        <v>Standard</v>
      </c>
      <c r="N145" s="2" t="s">
        <v>278</v>
      </c>
      <c r="O145" s="2" t="str">
        <f t="shared" si="54"/>
        <v>Armoire de cuisine du haut à 2 portes (30" x 36")</v>
      </c>
      <c r="P145" s="2" t="str">
        <f t="shared" si="55"/>
        <v>2 portes (30" x 36")</v>
      </c>
      <c r="Q145" s="11">
        <v>758</v>
      </c>
      <c r="R145" s="11">
        <f t="shared" si="58"/>
        <v>67.37777777777778</v>
      </c>
      <c r="S145" s="11">
        <f t="shared" si="59"/>
        <v>94.328888888888883</v>
      </c>
      <c r="T145" s="11">
        <f t="shared" si="60"/>
        <v>103.76177777777778</v>
      </c>
      <c r="U145" s="11">
        <f t="shared" si="53"/>
        <v>124.51413333333333</v>
      </c>
      <c r="V145" s="11">
        <f t="shared" si="53"/>
        <v>149.41695999999999</v>
      </c>
      <c r="W145" s="11">
        <f t="shared" si="61"/>
        <v>164.358656</v>
      </c>
      <c r="X145" s="11">
        <f t="shared" si="62"/>
        <v>164.358656</v>
      </c>
      <c r="Y145" s="14">
        <v>0.4</v>
      </c>
      <c r="Z145" s="11">
        <f t="shared" si="63"/>
        <v>273.93109333333337</v>
      </c>
      <c r="AA145" s="2">
        <v>30</v>
      </c>
      <c r="AB145" s="2">
        <v>36</v>
      </c>
      <c r="AC145" s="2">
        <v>12</v>
      </c>
      <c r="AD145" s="2">
        <v>2</v>
      </c>
      <c r="AE145" s="2">
        <v>0</v>
      </c>
    </row>
    <row r="146" spans="1:31">
      <c r="A146" s="2" t="s">
        <v>307</v>
      </c>
      <c r="B146" s="2"/>
      <c r="C146" s="2"/>
      <c r="D146" s="2"/>
      <c r="E146" s="2" t="b">
        <f t="shared" si="56"/>
        <v>1</v>
      </c>
      <c r="F146" s="2"/>
      <c r="G146" s="2" t="s">
        <v>308</v>
      </c>
      <c r="H146" s="2" t="str">
        <f t="shared" si="45"/>
        <v>Blanc</v>
      </c>
      <c r="I146" s="2" t="str">
        <f t="shared" si="57"/>
        <v>DOWC3042-CW</v>
      </c>
      <c r="J146" s="2" t="s">
        <v>232</v>
      </c>
      <c r="K146" s="2" t="s">
        <v>233</v>
      </c>
      <c r="L146" s="2" t="str">
        <f>IFERROR(VLOOKUP(J146,Categories!$A$2:$C$41,3,FALSE()),"⚠ slug introuvable")</f>
        <v>Armoire murale</v>
      </c>
      <c r="M146" s="2" t="str">
        <f>IFERROR(VLOOKUP(K146,Categories!$A$2:$C$41,3,FALSE()),"⚠ slug introuvable")</f>
        <v>Standard</v>
      </c>
      <c r="N146" s="2" t="s">
        <v>278</v>
      </c>
      <c r="O146" s="2" t="str">
        <f t="shared" si="54"/>
        <v>Armoire de cuisine du haut à 2 portes (30" x 42")</v>
      </c>
      <c r="P146" s="2" t="str">
        <f t="shared" si="55"/>
        <v>2 portes (30" x 42")</v>
      </c>
      <c r="Q146" s="11">
        <v>872</v>
      </c>
      <c r="R146" s="11">
        <f t="shared" si="58"/>
        <v>77.511111111111106</v>
      </c>
      <c r="S146" s="11">
        <f t="shared" si="59"/>
        <v>108.51555555555554</v>
      </c>
      <c r="T146" s="11">
        <f t="shared" si="60"/>
        <v>119.3671111111111</v>
      </c>
      <c r="U146" s="11">
        <f t="shared" si="53"/>
        <v>143.2405333333333</v>
      </c>
      <c r="V146" s="11">
        <f t="shared" si="53"/>
        <v>171.88863999999995</v>
      </c>
      <c r="W146" s="11">
        <f t="shared" si="61"/>
        <v>189.07750399999998</v>
      </c>
      <c r="X146" s="11">
        <f t="shared" si="62"/>
        <v>189.07750399999998</v>
      </c>
      <c r="Y146" s="14">
        <v>0.4</v>
      </c>
      <c r="Z146" s="11">
        <f t="shared" si="63"/>
        <v>315.12917333333331</v>
      </c>
      <c r="AA146" s="2">
        <v>30</v>
      </c>
      <c r="AB146" s="2">
        <v>42</v>
      </c>
      <c r="AC146" s="2">
        <v>12</v>
      </c>
      <c r="AD146" s="2">
        <v>2</v>
      </c>
      <c r="AE146" s="2">
        <v>0</v>
      </c>
    </row>
    <row r="147" spans="1:31">
      <c r="A147" s="2" t="s">
        <v>309</v>
      </c>
      <c r="B147" s="2"/>
      <c r="C147" s="2"/>
      <c r="D147" s="2"/>
      <c r="E147" s="2" t="b">
        <f t="shared" si="56"/>
        <v>1</v>
      </c>
      <c r="F147" s="2"/>
      <c r="G147" s="2" t="s">
        <v>310</v>
      </c>
      <c r="H147" s="2" t="str">
        <f t="shared" si="45"/>
        <v>Blanc</v>
      </c>
      <c r="I147" s="2" t="str">
        <f t="shared" si="57"/>
        <v>DOWC3048-CW</v>
      </c>
      <c r="J147" s="2" t="s">
        <v>232</v>
      </c>
      <c r="K147" s="2" t="s">
        <v>233</v>
      </c>
      <c r="L147" s="2" t="str">
        <f>IFERROR(VLOOKUP(J147,Categories!$A$2:$C$41,3,FALSE()),"⚠ slug introuvable")</f>
        <v>Armoire murale</v>
      </c>
      <c r="M147" s="2" t="str">
        <f>IFERROR(VLOOKUP(K147,Categories!$A$2:$C$41,3,FALSE()),"⚠ slug introuvable")</f>
        <v>Standard</v>
      </c>
      <c r="N147" s="2" t="s">
        <v>278</v>
      </c>
      <c r="O147" s="2" t="str">
        <f t="shared" si="54"/>
        <v>Armoire de cuisine du haut à 2 portes (30" x 48")</v>
      </c>
      <c r="P147" s="2" t="str">
        <f t="shared" si="55"/>
        <v>2 portes (30" x 48")</v>
      </c>
      <c r="Q147" s="11">
        <v>1378</v>
      </c>
      <c r="R147" s="11">
        <f t="shared" si="58"/>
        <v>122.48888888888889</v>
      </c>
      <c r="S147" s="11">
        <f t="shared" si="59"/>
        <v>171.48444444444445</v>
      </c>
      <c r="T147" s="11">
        <f t="shared" si="60"/>
        <v>188.63288888888891</v>
      </c>
      <c r="U147" s="11">
        <f t="shared" si="53"/>
        <v>226.35946666666669</v>
      </c>
      <c r="V147" s="11">
        <f t="shared" si="53"/>
        <v>271.63136000000003</v>
      </c>
      <c r="W147" s="11">
        <f t="shared" si="61"/>
        <v>298.79449600000004</v>
      </c>
      <c r="X147" s="11">
        <f t="shared" si="62"/>
        <v>298.79449600000004</v>
      </c>
      <c r="Y147" s="14">
        <v>0.4</v>
      </c>
      <c r="Z147" s="11">
        <f t="shared" si="63"/>
        <v>497.99082666666675</v>
      </c>
      <c r="AA147" s="2">
        <v>30</v>
      </c>
      <c r="AB147" s="2">
        <v>48</v>
      </c>
      <c r="AC147" s="2">
        <v>12</v>
      </c>
      <c r="AD147" s="2">
        <v>2</v>
      </c>
      <c r="AE147" s="2">
        <v>0</v>
      </c>
    </row>
    <row r="148" spans="1:31">
      <c r="A148" s="2" t="s">
        <v>311</v>
      </c>
      <c r="B148" s="2"/>
      <c r="C148" s="2"/>
      <c r="D148" s="2"/>
      <c r="E148" s="2" t="b">
        <f t="shared" si="56"/>
        <v>1</v>
      </c>
      <c r="F148" s="2"/>
      <c r="G148" s="2" t="s">
        <v>312</v>
      </c>
      <c r="H148" s="2" t="str">
        <f t="shared" si="45"/>
        <v>Blanc</v>
      </c>
      <c r="I148" s="2" t="str">
        <f t="shared" si="57"/>
        <v>DOWC30-19.5-CW</v>
      </c>
      <c r="J148" s="2" t="s">
        <v>232</v>
      </c>
      <c r="K148" s="2" t="s">
        <v>233</v>
      </c>
      <c r="L148" s="2" t="str">
        <f>IFERROR(VLOOKUP(J148,Categories!$A$2:$C$41,3,FALSE()),"⚠ slug introuvable")</f>
        <v>Armoire murale</v>
      </c>
      <c r="M148" s="2" t="str">
        <f>IFERROR(VLOOKUP(K148,Categories!$A$2:$C$41,3,FALSE()),"⚠ slug introuvable")</f>
        <v>Standard</v>
      </c>
      <c r="N148" s="2" t="s">
        <v>278</v>
      </c>
      <c r="O148" s="2" t="str">
        <f t="shared" si="54"/>
        <v>Armoire de cuisine du haut à 2 portes (30" x 19.5")</v>
      </c>
      <c r="P148" s="2" t="str">
        <f t="shared" si="55"/>
        <v>2 portes (30" x 19.5")</v>
      </c>
      <c r="Q148" s="11">
        <v>447</v>
      </c>
      <c r="R148" s="11">
        <f t="shared" si="58"/>
        <v>39.733333333333334</v>
      </c>
      <c r="S148" s="11">
        <f t="shared" si="59"/>
        <v>55.626666666666665</v>
      </c>
      <c r="T148" s="11">
        <f t="shared" si="60"/>
        <v>61.189333333333337</v>
      </c>
      <c r="U148" s="11">
        <f t="shared" si="53"/>
        <v>73.427199999999999</v>
      </c>
      <c r="V148" s="11">
        <f t="shared" si="53"/>
        <v>88.112639999999999</v>
      </c>
      <c r="W148" s="11">
        <f t="shared" si="61"/>
        <v>96.923904000000007</v>
      </c>
      <c r="X148" s="11">
        <f t="shared" si="62"/>
        <v>96.923904000000007</v>
      </c>
      <c r="Y148" s="14">
        <v>0.4</v>
      </c>
      <c r="Z148" s="11">
        <f t="shared" si="63"/>
        <v>161.53984000000003</v>
      </c>
      <c r="AA148" s="2">
        <v>30</v>
      </c>
      <c r="AB148" s="2">
        <v>19.5</v>
      </c>
      <c r="AC148" s="2">
        <v>12</v>
      </c>
      <c r="AD148" s="2">
        <v>2</v>
      </c>
      <c r="AE148" s="2">
        <v>0</v>
      </c>
    </row>
    <row r="149" spans="1:31">
      <c r="A149" s="2" t="s">
        <v>313</v>
      </c>
      <c r="B149" s="2"/>
      <c r="C149" s="2"/>
      <c r="D149" s="2"/>
      <c r="E149" s="2" t="b">
        <f t="shared" si="56"/>
        <v>1</v>
      </c>
      <c r="F149" s="2"/>
      <c r="G149" s="2" t="s">
        <v>314</v>
      </c>
      <c r="H149" s="2" t="str">
        <f t="shared" ref="H149:H212" si="64">IF(ISNUMBER(SEARCH("muf",A149)),"Chêne blanc","Blanc")</f>
        <v>Blanc</v>
      </c>
      <c r="I149" s="2" t="str">
        <f t="shared" si="57"/>
        <v>DOWRC33.5-12-CW</v>
      </c>
      <c r="J149" s="2" t="s">
        <v>232</v>
      </c>
      <c r="K149" s="2" t="s">
        <v>315</v>
      </c>
      <c r="L149" s="2" t="str">
        <f>IFERROR(VLOOKUP(J149,Categories!$A$2:$C$41,3,FALSE()),"⚠ slug introuvable")</f>
        <v>Armoire murale</v>
      </c>
      <c r="M149" s="2" t="str">
        <f>IFERROR(VLOOKUP(K149,Categories!$A$2:$C$41,3,FALSE()),"⚠ slug introuvable")</f>
        <v>Dessus du réfrigérateur</v>
      </c>
      <c r="N149" s="2" t="s">
        <v>316</v>
      </c>
      <c r="O149" s="2" t="str">
        <f t="shared" si="54"/>
        <v>Armoire de cuisine du haut à 2 portes pour dessus de réfrigérateur (33.5" x 12")</v>
      </c>
      <c r="P149" s="2" t="str">
        <f>_xlfn.CONCAT("Dessus de réfrigérateur"," (",AA149,""" x ",AB149,""")")</f>
        <v>Dessus de réfrigérateur (33.5" x 12")</v>
      </c>
      <c r="Q149" s="11">
        <v>460</v>
      </c>
      <c r="R149" s="11">
        <f t="shared" si="58"/>
        <v>40.888888888888886</v>
      </c>
      <c r="S149" s="11">
        <f t="shared" si="59"/>
        <v>57.244444444444433</v>
      </c>
      <c r="T149" s="11">
        <f t="shared" si="60"/>
        <v>62.968888888888884</v>
      </c>
      <c r="U149" s="11">
        <f t="shared" si="53"/>
        <v>75.562666666666658</v>
      </c>
      <c r="V149" s="11">
        <f t="shared" si="53"/>
        <v>90.67519999999999</v>
      </c>
      <c r="W149" s="11">
        <f t="shared" si="61"/>
        <v>99.742719999999991</v>
      </c>
      <c r="X149" s="11">
        <f t="shared" si="62"/>
        <v>99.742719999999991</v>
      </c>
      <c r="Y149" s="14">
        <v>0.4</v>
      </c>
      <c r="Z149" s="11">
        <f t="shared" si="63"/>
        <v>166.23786666666666</v>
      </c>
      <c r="AA149" s="2">
        <v>33.5</v>
      </c>
      <c r="AB149" s="2">
        <v>12</v>
      </c>
      <c r="AC149" s="2">
        <v>27</v>
      </c>
      <c r="AD149" s="2">
        <v>2</v>
      </c>
      <c r="AE149" s="2">
        <v>0</v>
      </c>
    </row>
    <row r="150" spans="1:31">
      <c r="A150" s="2" t="s">
        <v>317</v>
      </c>
      <c r="B150" s="2"/>
      <c r="C150" s="2"/>
      <c r="D150" s="2"/>
      <c r="E150" s="2" t="b">
        <f t="shared" si="56"/>
        <v>1</v>
      </c>
      <c r="F150" s="2"/>
      <c r="G150" s="2" t="s">
        <v>318</v>
      </c>
      <c r="H150" s="2" t="str">
        <f t="shared" si="64"/>
        <v>Blanc</v>
      </c>
      <c r="I150" s="2" t="str">
        <f t="shared" si="57"/>
        <v>DOWRC33.5-18-CW</v>
      </c>
      <c r="J150" s="2" t="s">
        <v>232</v>
      </c>
      <c r="K150" s="2" t="s">
        <v>315</v>
      </c>
      <c r="L150" s="2" t="str">
        <f>IFERROR(VLOOKUP(J150,Categories!$A$2:$C$41,3,FALSE()),"⚠ slug introuvable")</f>
        <v>Armoire murale</v>
      </c>
      <c r="M150" s="2" t="str">
        <f>IFERROR(VLOOKUP(K150,Categories!$A$2:$C$41,3,FALSE()),"⚠ slug introuvable")</f>
        <v>Dessus du réfrigérateur</v>
      </c>
      <c r="N150" s="2" t="s">
        <v>316</v>
      </c>
      <c r="O150" s="2" t="str">
        <f t="shared" si="54"/>
        <v>Armoire de cuisine du haut à 2 portes pour dessus de réfrigérateur (33.5" x 18")</v>
      </c>
      <c r="P150" s="2" t="str">
        <f>_xlfn.CONCAT("Dessus de réfrigérateur"," (",AA150,""" x ",AB150,""")")</f>
        <v>Dessus de réfrigérateur (33.5" x 18")</v>
      </c>
      <c r="Q150" s="11">
        <v>623</v>
      </c>
      <c r="R150" s="11">
        <f t="shared" si="58"/>
        <v>55.37777777777778</v>
      </c>
      <c r="S150" s="11">
        <f t="shared" si="59"/>
        <v>77.528888888888886</v>
      </c>
      <c r="T150" s="11">
        <f t="shared" si="60"/>
        <v>85.281777777777776</v>
      </c>
      <c r="U150" s="11">
        <f t="shared" ref="U150:V169" si="65">T150*1.2</f>
        <v>102.33813333333333</v>
      </c>
      <c r="V150" s="11">
        <f t="shared" si="65"/>
        <v>122.80575999999999</v>
      </c>
      <c r="W150" s="11">
        <f t="shared" si="61"/>
        <v>135.08633599999999</v>
      </c>
      <c r="X150" s="11">
        <f t="shared" si="62"/>
        <v>135.08633599999999</v>
      </c>
      <c r="Y150" s="14">
        <v>0.4</v>
      </c>
      <c r="Z150" s="11">
        <f t="shared" si="63"/>
        <v>225.14389333333332</v>
      </c>
      <c r="AA150" s="2">
        <v>33.5</v>
      </c>
      <c r="AB150" s="2">
        <v>18</v>
      </c>
      <c r="AC150" s="2">
        <v>27</v>
      </c>
      <c r="AD150" s="2">
        <v>2</v>
      </c>
      <c r="AE150" s="2">
        <v>0</v>
      </c>
    </row>
    <row r="151" spans="1:31">
      <c r="A151" s="2" t="s">
        <v>319</v>
      </c>
      <c r="B151" s="2"/>
      <c r="C151" s="2"/>
      <c r="D151" s="2"/>
      <c r="E151" s="2" t="b">
        <f t="shared" si="56"/>
        <v>1</v>
      </c>
      <c r="F151" s="2"/>
      <c r="G151" s="2" t="s">
        <v>320</v>
      </c>
      <c r="H151" s="2" t="str">
        <f t="shared" si="64"/>
        <v>Blanc</v>
      </c>
      <c r="I151" s="2" t="str">
        <f t="shared" si="57"/>
        <v>DOWRC33.5-20-CW</v>
      </c>
      <c r="J151" s="2" t="s">
        <v>232</v>
      </c>
      <c r="K151" s="2" t="s">
        <v>315</v>
      </c>
      <c r="L151" s="2" t="str">
        <f>IFERROR(VLOOKUP(J151,Categories!$A$2:$C$41,3,FALSE()),"⚠ slug introuvable")</f>
        <v>Armoire murale</v>
      </c>
      <c r="M151" s="2" t="str">
        <f>IFERROR(VLOOKUP(K151,Categories!$A$2:$C$41,3,FALSE()),"⚠ slug introuvable")</f>
        <v>Dessus du réfrigérateur</v>
      </c>
      <c r="N151" s="2" t="s">
        <v>316</v>
      </c>
      <c r="O151" s="2" t="str">
        <f t="shared" si="54"/>
        <v>Armoire de cuisine du haut à 2 portes pour dessus de réfrigérateur (33.5" x 20")</v>
      </c>
      <c r="P151" s="2" t="str">
        <f>_xlfn.CONCAT("Dessus de réfrigérateur"," (",AA151,""" x ",AB151,""")")</f>
        <v>Dessus de réfrigérateur (33.5" x 20")</v>
      </c>
      <c r="Q151" s="11">
        <v>636</v>
      </c>
      <c r="R151" s="11">
        <f t="shared" si="58"/>
        <v>56.533333333333331</v>
      </c>
      <c r="S151" s="11">
        <f t="shared" si="59"/>
        <v>79.146666666666661</v>
      </c>
      <c r="T151" s="11">
        <f t="shared" si="60"/>
        <v>87.061333333333337</v>
      </c>
      <c r="U151" s="11">
        <f t="shared" si="65"/>
        <v>104.4736</v>
      </c>
      <c r="V151" s="11">
        <f t="shared" si="65"/>
        <v>125.36832</v>
      </c>
      <c r="W151" s="11">
        <f t="shared" si="61"/>
        <v>137.90515200000002</v>
      </c>
      <c r="X151" s="11">
        <f t="shared" si="62"/>
        <v>137.90515200000002</v>
      </c>
      <c r="Y151" s="14">
        <v>0.4</v>
      </c>
      <c r="Z151" s="11">
        <f t="shared" si="63"/>
        <v>229.84192000000004</v>
      </c>
      <c r="AA151" s="2">
        <v>33.5</v>
      </c>
      <c r="AB151" s="2">
        <v>20</v>
      </c>
      <c r="AC151" s="2">
        <v>27</v>
      </c>
      <c r="AD151" s="2">
        <v>2</v>
      </c>
      <c r="AE151" s="2">
        <v>0</v>
      </c>
    </row>
    <row r="152" spans="1:31">
      <c r="A152" s="2" t="s">
        <v>321</v>
      </c>
      <c r="B152" s="2"/>
      <c r="C152" s="2"/>
      <c r="D152" s="2"/>
      <c r="E152" s="2" t="b">
        <f t="shared" si="56"/>
        <v>1</v>
      </c>
      <c r="F152" s="2"/>
      <c r="G152" s="2" t="s">
        <v>322</v>
      </c>
      <c r="H152" s="2" t="str">
        <f t="shared" si="64"/>
        <v>Blanc</v>
      </c>
      <c r="I152" s="2" t="str">
        <f t="shared" si="57"/>
        <v>DOWRC33.5-30-CW</v>
      </c>
      <c r="J152" s="2" t="s">
        <v>232</v>
      </c>
      <c r="K152" s="2" t="s">
        <v>315</v>
      </c>
      <c r="L152" s="2" t="str">
        <f>IFERROR(VLOOKUP(J152,Categories!$A$2:$C$41,3,FALSE()),"⚠ slug introuvable")</f>
        <v>Armoire murale</v>
      </c>
      <c r="M152" s="2" t="str">
        <f>IFERROR(VLOOKUP(K152,Categories!$A$2:$C$41,3,FALSE()),"⚠ slug introuvable")</f>
        <v>Dessus du réfrigérateur</v>
      </c>
      <c r="N152" s="2" t="s">
        <v>316</v>
      </c>
      <c r="O152" s="2" t="str">
        <f t="shared" si="54"/>
        <v>Armoire de cuisine du haut à 2 portes pour dessus de réfrigérateur (33.5" x 30")</v>
      </c>
      <c r="P152" s="2" t="str">
        <f>_xlfn.CONCAT("Dessus de réfrigérateur"," (",AA152,""" x ",AB152,""")")</f>
        <v>Dessus de réfrigérateur (33.5" x 30")</v>
      </c>
      <c r="Q152" s="11">
        <v>834</v>
      </c>
      <c r="R152" s="11">
        <f t="shared" si="58"/>
        <v>74.13333333333334</v>
      </c>
      <c r="S152" s="11">
        <f t="shared" si="59"/>
        <v>103.78666666666668</v>
      </c>
      <c r="T152" s="11">
        <f t="shared" si="60"/>
        <v>114.16533333333335</v>
      </c>
      <c r="U152" s="11">
        <f t="shared" si="65"/>
        <v>136.9984</v>
      </c>
      <c r="V152" s="11">
        <f t="shared" si="65"/>
        <v>164.39807999999999</v>
      </c>
      <c r="W152" s="11">
        <f t="shared" si="61"/>
        <v>180.83788800000002</v>
      </c>
      <c r="X152" s="11">
        <f t="shared" si="62"/>
        <v>180.83788800000002</v>
      </c>
      <c r="Y152" s="14">
        <v>0.4</v>
      </c>
      <c r="Z152" s="11">
        <f t="shared" si="63"/>
        <v>301.39648000000005</v>
      </c>
      <c r="AA152" s="2">
        <v>33.5</v>
      </c>
      <c r="AB152" s="2">
        <v>30</v>
      </c>
      <c r="AC152" s="2">
        <v>27</v>
      </c>
      <c r="AD152" s="2">
        <v>2</v>
      </c>
      <c r="AE152" s="2">
        <v>0</v>
      </c>
    </row>
    <row r="153" spans="1:31">
      <c r="A153" s="2" t="s">
        <v>323</v>
      </c>
      <c r="B153" s="2"/>
      <c r="C153" s="2"/>
      <c r="D153" s="2"/>
      <c r="E153" s="2" t="b">
        <f t="shared" si="56"/>
        <v>1</v>
      </c>
      <c r="F153" s="2"/>
      <c r="G153" s="2" t="s">
        <v>324</v>
      </c>
      <c r="H153" s="2" t="str">
        <f t="shared" si="64"/>
        <v>Blanc</v>
      </c>
      <c r="I153" s="2" t="str">
        <f t="shared" si="57"/>
        <v>DOWC3312-CW</v>
      </c>
      <c r="J153" s="2" t="s">
        <v>232</v>
      </c>
      <c r="K153" s="2" t="s">
        <v>233</v>
      </c>
      <c r="L153" s="2" t="str">
        <f>IFERROR(VLOOKUP(J153,Categories!$A$2:$C$41,3,FALSE()),"⚠ slug introuvable")</f>
        <v>Armoire murale</v>
      </c>
      <c r="M153" s="2" t="str">
        <f>IFERROR(VLOOKUP(K153,Categories!$A$2:$C$41,3,FALSE()),"⚠ slug introuvable")</f>
        <v>Standard</v>
      </c>
      <c r="N153" s="2" t="s">
        <v>278</v>
      </c>
      <c r="O153" s="2" t="str">
        <f t="shared" si="54"/>
        <v>Armoire de cuisine du haut à 2 portes (33" x 12")</v>
      </c>
      <c r="P153" s="2" t="str">
        <f>_xlfn.CONCAT("2 portes"," (",AA153,""" x ",AB153,""")")</f>
        <v>2 portes (33" x 12")</v>
      </c>
      <c r="Q153" s="11">
        <v>338</v>
      </c>
      <c r="R153" s="11">
        <f t="shared" si="58"/>
        <v>30.044444444444444</v>
      </c>
      <c r="S153" s="11">
        <f t="shared" si="59"/>
        <v>42.062222222222218</v>
      </c>
      <c r="T153" s="11">
        <f t="shared" si="60"/>
        <v>46.268444444444441</v>
      </c>
      <c r="U153" s="11">
        <f t="shared" si="65"/>
        <v>55.522133333333329</v>
      </c>
      <c r="V153" s="11">
        <f t="shared" si="65"/>
        <v>66.626559999999998</v>
      </c>
      <c r="W153" s="11">
        <f t="shared" si="61"/>
        <v>73.28921600000001</v>
      </c>
      <c r="X153" s="11">
        <f t="shared" si="62"/>
        <v>73.28921600000001</v>
      </c>
      <c r="Y153" s="14">
        <v>0.4</v>
      </c>
      <c r="Z153" s="11">
        <f t="shared" si="63"/>
        <v>122.14869333333336</v>
      </c>
      <c r="AA153" s="2">
        <v>33</v>
      </c>
      <c r="AB153" s="2">
        <v>12</v>
      </c>
      <c r="AC153" s="2">
        <v>12</v>
      </c>
      <c r="AD153" s="2">
        <v>2</v>
      </c>
      <c r="AE153" s="2">
        <v>0</v>
      </c>
    </row>
    <row r="154" spans="1:31" hidden="1">
      <c r="A154" s="2" t="s">
        <v>325</v>
      </c>
      <c r="B154" s="2" t="b">
        <v>1</v>
      </c>
      <c r="C154" s="2"/>
      <c r="D154" s="2"/>
      <c r="E154" s="2" t="b">
        <f t="shared" si="56"/>
        <v>0</v>
      </c>
      <c r="F154" s="2"/>
      <c r="G154" s="2"/>
      <c r="H154" s="2" t="str">
        <f t="shared" si="64"/>
        <v>Blanc</v>
      </c>
      <c r="I154" s="2" t="str">
        <f t="shared" si="57"/>
        <v>-CW</v>
      </c>
      <c r="J154" s="2"/>
      <c r="K154" s="2" t="s">
        <v>326</v>
      </c>
      <c r="L154" s="2"/>
      <c r="M154" s="2" t="str">
        <f>IFERROR(VLOOKUP(K154,Categories!$A$2:$C$41,3,FALSE()),"⚠ slug introuvable")</f>
        <v>⚠ slug introuvable</v>
      </c>
      <c r="N154" s="2" t="s">
        <v>327</v>
      </c>
      <c r="O154" s="2"/>
      <c r="P154" s="2"/>
      <c r="Q154" s="11">
        <v>0</v>
      </c>
      <c r="R154" s="11">
        <f t="shared" si="58"/>
        <v>0</v>
      </c>
      <c r="S154" s="11">
        <f t="shared" si="59"/>
        <v>0</v>
      </c>
      <c r="T154" s="11">
        <f t="shared" si="60"/>
        <v>0</v>
      </c>
      <c r="U154" s="11">
        <f t="shared" si="65"/>
        <v>0</v>
      </c>
      <c r="V154" s="11">
        <f t="shared" si="65"/>
        <v>0</v>
      </c>
      <c r="W154" s="11">
        <f t="shared" si="61"/>
        <v>0</v>
      </c>
      <c r="X154" s="11">
        <f t="shared" si="62"/>
        <v>0</v>
      </c>
      <c r="Y154" s="14">
        <v>0.4</v>
      </c>
      <c r="Z154" s="11">
        <f t="shared" si="63"/>
        <v>0</v>
      </c>
      <c r="AA154" s="2">
        <v>9</v>
      </c>
      <c r="AB154" s="2">
        <v>36</v>
      </c>
      <c r="AC154" s="2">
        <v>12</v>
      </c>
      <c r="AD154" s="2"/>
      <c r="AE154" s="2"/>
    </row>
    <row r="155" spans="1:31">
      <c r="A155" s="2" t="s">
        <v>328</v>
      </c>
      <c r="B155" s="2"/>
      <c r="C155" s="2"/>
      <c r="D155" s="2"/>
      <c r="E155" s="2" t="b">
        <f t="shared" si="56"/>
        <v>1</v>
      </c>
      <c r="F155" s="2"/>
      <c r="G155" s="2" t="s">
        <v>329</v>
      </c>
      <c r="H155" s="2" t="str">
        <f t="shared" si="64"/>
        <v>Blanc</v>
      </c>
      <c r="I155" s="2" t="str">
        <f t="shared" si="57"/>
        <v>DOWC3318-CW</v>
      </c>
      <c r="J155" s="2" t="s">
        <v>232</v>
      </c>
      <c r="K155" s="2" t="s">
        <v>233</v>
      </c>
      <c r="L155" s="2" t="str">
        <f>IFERROR(VLOOKUP(J155,Categories!$A$2:$C$41,3,FALSE()),"⚠ slug introuvable")</f>
        <v>Armoire murale</v>
      </c>
      <c r="M155" s="2" t="str">
        <f>IFERROR(VLOOKUP(K155,Categories!$A$2:$C$41,3,FALSE()),"⚠ slug introuvable")</f>
        <v>Standard</v>
      </c>
      <c r="N155" s="2" t="s">
        <v>278</v>
      </c>
      <c r="O155" s="2" t="str">
        <f>_xlfn.CONCAT(N155," (",AA155,""" x ",AB155,""")")</f>
        <v>Armoire de cuisine du haut à 2 portes (33" x 18")</v>
      </c>
      <c r="P155" s="2" t="str">
        <f>_xlfn.CONCAT("2 portes"," (",AA155,""" x ",AB155,""")")</f>
        <v>2 portes (33" x 18")</v>
      </c>
      <c r="Q155" s="11">
        <v>464</v>
      </c>
      <c r="R155" s="11">
        <f t="shared" si="58"/>
        <v>41.244444444444447</v>
      </c>
      <c r="S155" s="11">
        <f t="shared" si="59"/>
        <v>57.742222222222225</v>
      </c>
      <c r="T155" s="11">
        <f t="shared" si="60"/>
        <v>63.516444444444453</v>
      </c>
      <c r="U155" s="11">
        <f t="shared" si="65"/>
        <v>76.219733333333338</v>
      </c>
      <c r="V155" s="11">
        <f t="shared" si="65"/>
        <v>91.463679999999997</v>
      </c>
      <c r="W155" s="11">
        <f t="shared" si="61"/>
        <v>100.61004800000001</v>
      </c>
      <c r="X155" s="11">
        <f t="shared" si="62"/>
        <v>100.61004800000001</v>
      </c>
      <c r="Y155" s="14">
        <v>0.4</v>
      </c>
      <c r="Z155" s="11">
        <f t="shared" si="63"/>
        <v>167.68341333333336</v>
      </c>
      <c r="AA155" s="2">
        <v>33</v>
      </c>
      <c r="AB155" s="2">
        <v>18</v>
      </c>
      <c r="AC155" s="2">
        <v>12</v>
      </c>
      <c r="AD155" s="2">
        <v>2</v>
      </c>
      <c r="AE155" s="2">
        <v>0</v>
      </c>
    </row>
    <row r="156" spans="1:31">
      <c r="A156" s="2" t="s">
        <v>330</v>
      </c>
      <c r="B156" s="2"/>
      <c r="C156" s="2"/>
      <c r="D156" s="2"/>
      <c r="E156" s="2" t="b">
        <f t="shared" si="56"/>
        <v>1</v>
      </c>
      <c r="F156" s="2"/>
      <c r="G156" s="2" t="s">
        <v>331</v>
      </c>
      <c r="H156" s="2" t="str">
        <f t="shared" si="64"/>
        <v>Blanc</v>
      </c>
      <c r="I156" s="2" t="str">
        <f t="shared" si="57"/>
        <v>DOWC3330-CW</v>
      </c>
      <c r="J156" s="2" t="s">
        <v>232</v>
      </c>
      <c r="K156" s="2" t="s">
        <v>233</v>
      </c>
      <c r="L156" s="2" t="str">
        <f>IFERROR(VLOOKUP(J156,Categories!$A$2:$C$41,3,FALSE()),"⚠ slug introuvable")</f>
        <v>Armoire murale</v>
      </c>
      <c r="M156" s="2" t="str">
        <f>IFERROR(VLOOKUP(K156,Categories!$A$2:$C$41,3,FALSE()),"⚠ slug introuvable")</f>
        <v>Standard</v>
      </c>
      <c r="N156" s="2" t="s">
        <v>278</v>
      </c>
      <c r="O156" s="2" t="str">
        <f>_xlfn.CONCAT(N156," (",AA156,""" x ",AB156,""")")</f>
        <v>Armoire de cuisine du haut à 2 portes (33" x 30")</v>
      </c>
      <c r="P156" s="2" t="str">
        <f>_xlfn.CONCAT("2 portes"," (",AA156,""" x ",AB156,""")")</f>
        <v>2 portes (33" x 30")</v>
      </c>
      <c r="Q156" s="11">
        <v>708</v>
      </c>
      <c r="R156" s="11">
        <f t="shared" si="58"/>
        <v>62.93333333333333</v>
      </c>
      <c r="S156" s="11">
        <f t="shared" si="59"/>
        <v>88.106666666666655</v>
      </c>
      <c r="T156" s="11">
        <f t="shared" si="60"/>
        <v>96.917333333333332</v>
      </c>
      <c r="U156" s="11">
        <f t="shared" si="65"/>
        <v>116.3008</v>
      </c>
      <c r="V156" s="11">
        <f t="shared" si="65"/>
        <v>139.56095999999999</v>
      </c>
      <c r="W156" s="11">
        <f t="shared" si="61"/>
        <v>153.517056</v>
      </c>
      <c r="X156" s="11">
        <f t="shared" si="62"/>
        <v>153.517056</v>
      </c>
      <c r="Y156" s="14">
        <v>0.4</v>
      </c>
      <c r="Z156" s="11">
        <f t="shared" si="63"/>
        <v>255.86176</v>
      </c>
      <c r="AA156" s="2">
        <v>33</v>
      </c>
      <c r="AB156" s="2">
        <v>30</v>
      </c>
      <c r="AC156" s="2">
        <v>12</v>
      </c>
      <c r="AD156" s="2">
        <v>2</v>
      </c>
      <c r="AE156" s="2">
        <v>0</v>
      </c>
    </row>
    <row r="157" spans="1:31" hidden="1">
      <c r="A157" s="2" t="s">
        <v>332</v>
      </c>
      <c r="B157" s="2" t="b">
        <v>1</v>
      </c>
      <c r="C157" s="2"/>
      <c r="D157" s="2"/>
      <c r="E157" s="2" t="b">
        <f t="shared" si="56"/>
        <v>0</v>
      </c>
      <c r="F157" s="2"/>
      <c r="G157" s="2"/>
      <c r="H157" s="2" t="str">
        <f t="shared" si="64"/>
        <v>Blanc</v>
      </c>
      <c r="I157" s="2" t="str">
        <f t="shared" si="57"/>
        <v>-CW</v>
      </c>
      <c r="J157" s="2"/>
      <c r="K157" s="2" t="s">
        <v>326</v>
      </c>
      <c r="L157" s="2"/>
      <c r="M157" s="2" t="str">
        <f>IFERROR(VLOOKUP(K157,Categories!$A$2:$C$41,3,FALSE()),"⚠ slug introuvable")</f>
        <v>⚠ slug introuvable</v>
      </c>
      <c r="N157" s="2" t="s">
        <v>333</v>
      </c>
      <c r="O157" s="2"/>
      <c r="P157" s="2"/>
      <c r="Q157" s="11">
        <v>0</v>
      </c>
      <c r="R157" s="11">
        <f t="shared" si="58"/>
        <v>0</v>
      </c>
      <c r="S157" s="11">
        <f t="shared" si="59"/>
        <v>0</v>
      </c>
      <c r="T157" s="11">
        <f t="shared" si="60"/>
        <v>0</v>
      </c>
      <c r="U157" s="11">
        <f t="shared" si="65"/>
        <v>0</v>
      </c>
      <c r="V157" s="11">
        <f t="shared" si="65"/>
        <v>0</v>
      </c>
      <c r="W157" s="11">
        <f t="shared" si="61"/>
        <v>0</v>
      </c>
      <c r="X157" s="11">
        <f t="shared" si="62"/>
        <v>0</v>
      </c>
      <c r="Y157" s="14">
        <v>0.4</v>
      </c>
      <c r="Z157" s="11">
        <f t="shared" si="63"/>
        <v>0</v>
      </c>
      <c r="AA157" s="2">
        <v>12</v>
      </c>
      <c r="AB157" s="2">
        <v>36</v>
      </c>
      <c r="AC157" s="2">
        <v>12</v>
      </c>
      <c r="AD157" s="2">
        <v>1</v>
      </c>
      <c r="AE157" s="2">
        <v>0</v>
      </c>
    </row>
    <row r="158" spans="1:31">
      <c r="A158" s="2" t="s">
        <v>334</v>
      </c>
      <c r="B158" s="2"/>
      <c r="C158" s="2"/>
      <c r="D158" s="2"/>
      <c r="E158" s="2" t="b">
        <f t="shared" si="56"/>
        <v>1</v>
      </c>
      <c r="F158" s="2"/>
      <c r="G158" s="2" t="s">
        <v>335</v>
      </c>
      <c r="H158" s="2" t="str">
        <f t="shared" si="64"/>
        <v>Blanc</v>
      </c>
      <c r="I158" s="2" t="str">
        <f t="shared" si="57"/>
        <v>DOWC3336-CW</v>
      </c>
      <c r="J158" s="2" t="s">
        <v>232</v>
      </c>
      <c r="K158" s="2" t="s">
        <v>233</v>
      </c>
      <c r="L158" s="2" t="str">
        <f>IFERROR(VLOOKUP(J158,Categories!$A$2:$C$41,3,FALSE()),"⚠ slug introuvable")</f>
        <v>Armoire murale</v>
      </c>
      <c r="M158" s="2" t="str">
        <f>IFERROR(VLOOKUP(K158,Categories!$A$2:$C$41,3,FALSE()),"⚠ slug introuvable")</f>
        <v>Standard</v>
      </c>
      <c r="N158" s="2" t="s">
        <v>278</v>
      </c>
      <c r="O158" s="2" t="str">
        <f>_xlfn.CONCAT(N158," (",AA158,""" x ",AB158,""")")</f>
        <v>Armoire de cuisine du haut à 2 portes (33" x 36")</v>
      </c>
      <c r="P158" s="2" t="str">
        <f>_xlfn.CONCAT("2 portes"," (",AA158,""" x ",AB158,""")")</f>
        <v>2 portes (33" x 36")</v>
      </c>
      <c r="Q158" s="11">
        <v>814</v>
      </c>
      <c r="R158" s="11">
        <f t="shared" si="58"/>
        <v>72.355555555555554</v>
      </c>
      <c r="S158" s="11">
        <f t="shared" si="59"/>
        <v>101.29777777777777</v>
      </c>
      <c r="T158" s="11">
        <f t="shared" si="60"/>
        <v>111.42755555555556</v>
      </c>
      <c r="U158" s="11">
        <f t="shared" si="65"/>
        <v>133.71306666666666</v>
      </c>
      <c r="V158" s="11">
        <f t="shared" si="65"/>
        <v>160.45568</v>
      </c>
      <c r="W158" s="11">
        <f t="shared" si="61"/>
        <v>176.501248</v>
      </c>
      <c r="X158" s="11">
        <f t="shared" si="62"/>
        <v>176.501248</v>
      </c>
      <c r="Y158" s="14">
        <v>0.4</v>
      </c>
      <c r="Z158" s="11">
        <f t="shared" si="63"/>
        <v>294.16874666666666</v>
      </c>
      <c r="AA158" s="2">
        <v>33</v>
      </c>
      <c r="AB158" s="2">
        <v>36</v>
      </c>
      <c r="AC158" s="2">
        <v>12</v>
      </c>
      <c r="AD158" s="2">
        <v>2</v>
      </c>
      <c r="AE158" s="2">
        <v>0</v>
      </c>
    </row>
    <row r="159" spans="1:31">
      <c r="A159" s="2" t="s">
        <v>336</v>
      </c>
      <c r="B159" s="2"/>
      <c r="C159" s="2"/>
      <c r="D159" s="2"/>
      <c r="E159" s="2" t="b">
        <f t="shared" si="56"/>
        <v>1</v>
      </c>
      <c r="F159" s="2"/>
      <c r="G159" s="2" t="s">
        <v>337</v>
      </c>
      <c r="H159" s="2" t="str">
        <f t="shared" si="64"/>
        <v>Blanc</v>
      </c>
      <c r="I159" s="2" t="str">
        <f t="shared" si="57"/>
        <v>DOWC3348-CW</v>
      </c>
      <c r="J159" s="2" t="s">
        <v>232</v>
      </c>
      <c r="K159" s="2" t="s">
        <v>233</v>
      </c>
      <c r="L159" s="2" t="str">
        <f>IFERROR(VLOOKUP(J159,Categories!$A$2:$C$41,3,FALSE()),"⚠ slug introuvable")</f>
        <v>Armoire murale</v>
      </c>
      <c r="M159" s="2" t="str">
        <f>IFERROR(VLOOKUP(K159,Categories!$A$2:$C$41,3,FALSE()),"⚠ slug introuvable")</f>
        <v>Standard</v>
      </c>
      <c r="N159" s="2" t="s">
        <v>278</v>
      </c>
      <c r="O159" s="2" t="str">
        <f>_xlfn.CONCAT(N159," (",AA159,""" x ",AB159,""")")</f>
        <v>Armoire de cuisine du haut à 2 portes (33" x 48")</v>
      </c>
      <c r="P159" s="2" t="str">
        <f>_xlfn.CONCAT("2 portes"," (",AA159,""" x ",AB159,""")")</f>
        <v>2 portes (33" x 48")</v>
      </c>
      <c r="Q159" s="11">
        <v>1500</v>
      </c>
      <c r="R159" s="11">
        <f t="shared" si="58"/>
        <v>133.33333333333334</v>
      </c>
      <c r="S159" s="11">
        <f t="shared" si="59"/>
        <v>186.66666666666666</v>
      </c>
      <c r="T159" s="11">
        <f t="shared" si="60"/>
        <v>205.33333333333334</v>
      </c>
      <c r="U159" s="11">
        <f t="shared" si="65"/>
        <v>246.4</v>
      </c>
      <c r="V159" s="11">
        <f t="shared" si="65"/>
        <v>295.68</v>
      </c>
      <c r="W159" s="11">
        <f t="shared" si="61"/>
        <v>325.24800000000005</v>
      </c>
      <c r="X159" s="11">
        <f t="shared" si="62"/>
        <v>325.24800000000005</v>
      </c>
      <c r="Y159" s="14">
        <v>0.4</v>
      </c>
      <c r="Z159" s="11">
        <f t="shared" si="63"/>
        <v>542.08000000000015</v>
      </c>
      <c r="AA159" s="2">
        <v>33</v>
      </c>
      <c r="AB159" s="2">
        <v>48</v>
      </c>
      <c r="AC159" s="2">
        <v>12</v>
      </c>
      <c r="AD159" s="2">
        <v>2</v>
      </c>
      <c r="AE159" s="2">
        <v>0</v>
      </c>
    </row>
    <row r="160" spans="1:31">
      <c r="A160" s="2" t="s">
        <v>338</v>
      </c>
      <c r="B160" s="2"/>
      <c r="C160" s="2"/>
      <c r="D160" s="2"/>
      <c r="E160" s="2" t="b">
        <f t="shared" si="56"/>
        <v>1</v>
      </c>
      <c r="F160" s="2"/>
      <c r="G160" s="2" t="s">
        <v>339</v>
      </c>
      <c r="H160" s="2" t="str">
        <f t="shared" si="64"/>
        <v>Blanc</v>
      </c>
      <c r="I160" s="2" t="str">
        <f t="shared" si="57"/>
        <v>DOWRC33-19.5-CW</v>
      </c>
      <c r="J160" s="2" t="s">
        <v>232</v>
      </c>
      <c r="K160" s="2" t="s">
        <v>233</v>
      </c>
      <c r="L160" s="2" t="str">
        <f>IFERROR(VLOOKUP(J160,Categories!$A$2:$C$41,3,FALSE()),"⚠ slug introuvable")</f>
        <v>Armoire murale</v>
      </c>
      <c r="M160" s="2" t="str">
        <f>IFERROR(VLOOKUP(K160,Categories!$A$2:$C$41,3,FALSE()),"⚠ slug introuvable")</f>
        <v>Standard</v>
      </c>
      <c r="N160" s="2" t="s">
        <v>278</v>
      </c>
      <c r="O160" s="2" t="str">
        <f>_xlfn.CONCAT(N160," (",AA160,""" x ",AB160,""")")</f>
        <v>Armoire de cuisine du haut à 2 portes (33" x 19.5")</v>
      </c>
      <c r="P160" s="2" t="str">
        <f>_xlfn.CONCAT("2 portes"," (",AA160,""" x ",AB160,""")")</f>
        <v>2 portes (33" x 19.5")</v>
      </c>
      <c r="Q160" s="11">
        <v>489</v>
      </c>
      <c r="R160" s="11">
        <f t="shared" si="58"/>
        <v>43.466666666666669</v>
      </c>
      <c r="S160" s="11">
        <f t="shared" si="59"/>
        <v>60.853333333333332</v>
      </c>
      <c r="T160" s="11">
        <f t="shared" si="60"/>
        <v>66.938666666666677</v>
      </c>
      <c r="U160" s="11">
        <f t="shared" si="65"/>
        <v>80.326400000000007</v>
      </c>
      <c r="V160" s="11">
        <f t="shared" si="65"/>
        <v>96.391680000000008</v>
      </c>
      <c r="W160" s="11">
        <f t="shared" si="61"/>
        <v>106.03084800000002</v>
      </c>
      <c r="X160" s="11">
        <f t="shared" si="62"/>
        <v>106.03084800000002</v>
      </c>
      <c r="Y160" s="14">
        <v>0.4</v>
      </c>
      <c r="Z160" s="11">
        <f t="shared" si="63"/>
        <v>176.71808000000004</v>
      </c>
      <c r="AA160" s="2">
        <v>33</v>
      </c>
      <c r="AB160" s="2">
        <v>19.5</v>
      </c>
      <c r="AC160" s="2">
        <v>12</v>
      </c>
      <c r="AD160" s="2">
        <v>2</v>
      </c>
      <c r="AE160" s="2">
        <v>0</v>
      </c>
    </row>
    <row r="161" spans="1:31">
      <c r="A161" s="2" t="s">
        <v>340</v>
      </c>
      <c r="B161" s="2"/>
      <c r="C161" s="2"/>
      <c r="D161" s="2"/>
      <c r="E161" s="2" t="b">
        <f t="shared" si="56"/>
        <v>1</v>
      </c>
      <c r="F161" s="2"/>
      <c r="G161" s="2" t="s">
        <v>341</v>
      </c>
      <c r="H161" s="2" t="str">
        <f t="shared" si="64"/>
        <v>Blanc</v>
      </c>
      <c r="I161" s="2" t="str">
        <f t="shared" si="57"/>
        <v>DOWRC36.5-12-CW</v>
      </c>
      <c r="J161" s="2" t="s">
        <v>232</v>
      </c>
      <c r="K161" s="2" t="s">
        <v>315</v>
      </c>
      <c r="L161" s="2" t="str">
        <f>IFERROR(VLOOKUP(J161,Categories!$A$2:$C$41,3,FALSE()),"⚠ slug introuvable")</f>
        <v>Armoire murale</v>
      </c>
      <c r="M161" s="2" t="str">
        <f>IFERROR(VLOOKUP(K161,Categories!$A$2:$C$41,3,FALSE()),"⚠ slug introuvable")</f>
        <v>Dessus du réfrigérateur</v>
      </c>
      <c r="N161" s="2" t="s">
        <v>316</v>
      </c>
      <c r="O161" s="2" t="str">
        <f>_xlfn.CONCAT(N161," (",AA161,""" x ",AB161,""")")</f>
        <v>Armoire de cuisine du haut à 2 portes pour dessus de réfrigérateur (36.5" x 12")</v>
      </c>
      <c r="P161" s="2" t="str">
        <f>_xlfn.CONCAT("Dessus de réfrigérateur"," (",AA161,""" x ",AB161,""")")</f>
        <v>Dessus de réfrigérateur (36.5" x 12")</v>
      </c>
      <c r="Q161" s="11">
        <v>536</v>
      </c>
      <c r="R161" s="11">
        <f t="shared" si="58"/>
        <v>47.644444444444446</v>
      </c>
      <c r="S161" s="11">
        <f t="shared" si="59"/>
        <v>66.702222222222218</v>
      </c>
      <c r="T161" s="11">
        <f t="shared" si="60"/>
        <v>73.37244444444444</v>
      </c>
      <c r="U161" s="11">
        <f t="shared" si="65"/>
        <v>88.046933333333328</v>
      </c>
      <c r="V161" s="11">
        <f t="shared" si="65"/>
        <v>105.65631999999999</v>
      </c>
      <c r="W161" s="11">
        <f t="shared" si="61"/>
        <v>116.221952</v>
      </c>
      <c r="X161" s="11">
        <f t="shared" si="62"/>
        <v>116.221952</v>
      </c>
      <c r="Y161" s="14">
        <v>0.4</v>
      </c>
      <c r="Z161" s="11">
        <f t="shared" si="63"/>
        <v>193.70325333333335</v>
      </c>
      <c r="AA161" s="2">
        <v>36.5</v>
      </c>
      <c r="AB161" s="2">
        <v>12</v>
      </c>
      <c r="AC161" s="2">
        <v>27</v>
      </c>
      <c r="AD161" s="2">
        <v>2</v>
      </c>
      <c r="AE161" s="2">
        <v>0</v>
      </c>
    </row>
    <row r="162" spans="1:31" hidden="1">
      <c r="A162" s="2" t="s">
        <v>342</v>
      </c>
      <c r="B162" s="2" t="b">
        <v>1</v>
      </c>
      <c r="C162" s="2"/>
      <c r="D162" s="2"/>
      <c r="E162" s="2" t="b">
        <f t="shared" si="56"/>
        <v>0</v>
      </c>
      <c r="F162" s="2"/>
      <c r="G162" s="2"/>
      <c r="H162" s="2" t="str">
        <f t="shared" si="64"/>
        <v>Blanc</v>
      </c>
      <c r="I162" s="2" t="str">
        <f t="shared" si="57"/>
        <v>-CW</v>
      </c>
      <c r="J162" s="2"/>
      <c r="K162" s="2" t="s">
        <v>326</v>
      </c>
      <c r="L162" s="2"/>
      <c r="M162" s="2" t="str">
        <f>IFERROR(VLOOKUP(K162,Categories!$A$2:$C$41,3,FALSE()),"⚠ slug introuvable")</f>
        <v>⚠ slug introuvable</v>
      </c>
      <c r="N162" s="2" t="s">
        <v>343</v>
      </c>
      <c r="O162" s="2"/>
      <c r="P162" s="2"/>
      <c r="Q162" s="11">
        <v>0</v>
      </c>
      <c r="R162" s="11">
        <f t="shared" si="58"/>
        <v>0</v>
      </c>
      <c r="S162" s="11">
        <f t="shared" si="59"/>
        <v>0</v>
      </c>
      <c r="T162" s="11">
        <f t="shared" si="60"/>
        <v>0</v>
      </c>
      <c r="U162" s="11">
        <f t="shared" si="65"/>
        <v>0</v>
      </c>
      <c r="V162" s="11">
        <f t="shared" si="65"/>
        <v>0</v>
      </c>
      <c r="W162" s="11">
        <f t="shared" si="61"/>
        <v>0</v>
      </c>
      <c r="X162" s="11">
        <f t="shared" si="62"/>
        <v>0</v>
      </c>
      <c r="Y162" s="14">
        <v>0.4</v>
      </c>
      <c r="Z162" s="11">
        <f t="shared" si="63"/>
        <v>0</v>
      </c>
      <c r="AA162" s="2">
        <v>15</v>
      </c>
      <c r="AB162" s="2">
        <v>36</v>
      </c>
      <c r="AC162" s="2">
        <v>12</v>
      </c>
      <c r="AD162" s="2">
        <v>1</v>
      </c>
      <c r="AE162" s="2">
        <v>0</v>
      </c>
    </row>
    <row r="163" spans="1:31">
      <c r="A163" s="2" t="s">
        <v>344</v>
      </c>
      <c r="B163" s="2"/>
      <c r="C163" s="2"/>
      <c r="D163" s="2"/>
      <c r="E163" s="2" t="b">
        <f t="shared" si="56"/>
        <v>1</v>
      </c>
      <c r="F163" s="2"/>
      <c r="G163" s="2" t="s">
        <v>345</v>
      </c>
      <c r="H163" s="2" t="str">
        <f t="shared" si="64"/>
        <v>Blanc</v>
      </c>
      <c r="I163" s="2" t="str">
        <f t="shared" si="57"/>
        <v>DOWRC36.5-18-CW</v>
      </c>
      <c r="J163" s="2" t="s">
        <v>232</v>
      </c>
      <c r="K163" s="2" t="s">
        <v>315</v>
      </c>
      <c r="L163" s="2" t="str">
        <f>IFERROR(VLOOKUP(J163,Categories!$A$2:$C$41,3,FALSE()),"⚠ slug introuvable")</f>
        <v>Armoire murale</v>
      </c>
      <c r="M163" s="2" t="str">
        <f>IFERROR(VLOOKUP(K163,Categories!$A$2:$C$41,3,FALSE()),"⚠ slug introuvable")</f>
        <v>Dessus du réfrigérateur</v>
      </c>
      <c r="N163" s="2" t="s">
        <v>316</v>
      </c>
      <c r="O163" s="2" t="str">
        <f>_xlfn.CONCAT(N163," (",AA163,""" x ",AB163,""")")</f>
        <v>Armoire de cuisine du haut à 2 portes pour dessus de réfrigérateur (36.5" x 18")</v>
      </c>
      <c r="P163" s="2" t="str">
        <f>_xlfn.CONCAT("Dessus de réfrigérateur"," (",AA163,""" x ",AB163,""")")</f>
        <v>Dessus de réfrigérateur (36.5" x 18")</v>
      </c>
      <c r="Q163" s="11">
        <v>662</v>
      </c>
      <c r="R163" s="11">
        <f t="shared" si="58"/>
        <v>58.844444444444441</v>
      </c>
      <c r="S163" s="11">
        <f t="shared" si="59"/>
        <v>82.382222222222211</v>
      </c>
      <c r="T163" s="11">
        <f t="shared" si="60"/>
        <v>90.620444444444445</v>
      </c>
      <c r="U163" s="11">
        <f t="shared" si="65"/>
        <v>108.74453333333334</v>
      </c>
      <c r="V163" s="11">
        <f t="shared" si="65"/>
        <v>130.49343999999999</v>
      </c>
      <c r="W163" s="11">
        <f t="shared" si="61"/>
        <v>143.54278400000001</v>
      </c>
      <c r="X163" s="11">
        <f t="shared" si="62"/>
        <v>143.54278400000001</v>
      </c>
      <c r="Y163" s="14">
        <v>0.4</v>
      </c>
      <c r="Z163" s="11">
        <f t="shared" si="63"/>
        <v>239.23797333333337</v>
      </c>
      <c r="AA163" s="2">
        <v>36.5</v>
      </c>
      <c r="AB163" s="2">
        <v>18</v>
      </c>
      <c r="AC163" s="2">
        <v>27</v>
      </c>
      <c r="AD163" s="2">
        <v>2</v>
      </c>
      <c r="AE163" s="2">
        <v>0</v>
      </c>
    </row>
    <row r="164" spans="1:31">
      <c r="A164" s="2" t="s">
        <v>346</v>
      </c>
      <c r="B164" s="2"/>
      <c r="C164" s="2"/>
      <c r="D164" s="2"/>
      <c r="E164" s="2" t="b">
        <f t="shared" si="56"/>
        <v>1</v>
      </c>
      <c r="F164" s="2"/>
      <c r="G164" s="2" t="s">
        <v>347</v>
      </c>
      <c r="H164" s="2" t="str">
        <f t="shared" si="64"/>
        <v>Blanc</v>
      </c>
      <c r="I164" s="2" t="str">
        <f t="shared" si="57"/>
        <v>DOWRC36.5-20-CW</v>
      </c>
      <c r="J164" s="2" t="s">
        <v>232</v>
      </c>
      <c r="K164" s="2" t="s">
        <v>315</v>
      </c>
      <c r="L164" s="2" t="str">
        <f>IFERROR(VLOOKUP(J164,Categories!$A$2:$C$41,3,FALSE()),"⚠ slug introuvable")</f>
        <v>Armoire murale</v>
      </c>
      <c r="M164" s="2" t="str">
        <f>IFERROR(VLOOKUP(K164,Categories!$A$2:$C$41,3,FALSE()),"⚠ slug introuvable")</f>
        <v>Dessus du réfrigérateur</v>
      </c>
      <c r="N164" s="2" t="s">
        <v>316</v>
      </c>
      <c r="O164" s="2" t="str">
        <f>_xlfn.CONCAT(N164," (",AA164,""" x ",AB164,""")")</f>
        <v>Armoire de cuisine du haut à 2 portes pour dessus de réfrigérateur (36.5" x 20")</v>
      </c>
      <c r="P164" s="2" t="str">
        <f>_xlfn.CONCAT("Dessus de réfrigérateur"," (",AA164,""" x ",AB164,""")")</f>
        <v>Dessus de réfrigérateur (36.5" x 20")</v>
      </c>
      <c r="Q164" s="11">
        <v>655</v>
      </c>
      <c r="R164" s="11">
        <f t="shared" si="58"/>
        <v>58.222222222222221</v>
      </c>
      <c r="S164" s="11">
        <f t="shared" si="59"/>
        <v>81.511111111111106</v>
      </c>
      <c r="T164" s="11">
        <f t="shared" si="60"/>
        <v>89.662222222222226</v>
      </c>
      <c r="U164" s="11">
        <f t="shared" si="65"/>
        <v>107.59466666666667</v>
      </c>
      <c r="V164" s="11">
        <f t="shared" si="65"/>
        <v>129.11359999999999</v>
      </c>
      <c r="W164" s="11">
        <f t="shared" si="61"/>
        <v>142.02495999999999</v>
      </c>
      <c r="X164" s="11">
        <f t="shared" si="62"/>
        <v>142.02495999999999</v>
      </c>
      <c r="Y164" s="14">
        <v>0.4</v>
      </c>
      <c r="Z164" s="11">
        <f t="shared" si="63"/>
        <v>236.70826666666667</v>
      </c>
      <c r="AA164" s="2">
        <v>36.5</v>
      </c>
      <c r="AB164" s="2">
        <v>20</v>
      </c>
      <c r="AC164" s="2">
        <v>27</v>
      </c>
      <c r="AD164" s="2">
        <v>2</v>
      </c>
      <c r="AE164" s="2">
        <v>0</v>
      </c>
    </row>
    <row r="165" spans="1:31">
      <c r="A165" s="2" t="s">
        <v>348</v>
      </c>
      <c r="B165" s="2"/>
      <c r="C165" s="2"/>
      <c r="D165" s="2"/>
      <c r="E165" s="2" t="b">
        <f t="shared" si="56"/>
        <v>1</v>
      </c>
      <c r="F165" s="2"/>
      <c r="G165" s="2" t="s">
        <v>349</v>
      </c>
      <c r="H165" s="2" t="str">
        <f t="shared" si="64"/>
        <v>Blanc</v>
      </c>
      <c r="I165" s="2" t="str">
        <f t="shared" si="57"/>
        <v>DOWRC36.5-30-CW</v>
      </c>
      <c r="J165" s="2" t="s">
        <v>232</v>
      </c>
      <c r="K165" s="2" t="s">
        <v>315</v>
      </c>
      <c r="L165" s="2" t="str">
        <f>IFERROR(VLOOKUP(J165,Categories!$A$2:$C$41,3,FALSE()),"⚠ slug introuvable")</f>
        <v>Armoire murale</v>
      </c>
      <c r="M165" s="2" t="str">
        <f>IFERROR(VLOOKUP(K165,Categories!$A$2:$C$41,3,FALSE()),"⚠ slug introuvable")</f>
        <v>Dessus du réfrigérateur</v>
      </c>
      <c r="N165" s="2" t="s">
        <v>316</v>
      </c>
      <c r="O165" s="2" t="str">
        <f>_xlfn.CONCAT(N165," (",AA165,""" x ",AB165,""")")</f>
        <v>Armoire de cuisine du haut à 2 portes pour dessus de réfrigérateur (36.5" x 30")</v>
      </c>
      <c r="P165" s="2" t="str">
        <f>_xlfn.CONCAT("Dessus de réfrigérateur"," (",AA165,""" x ",AB165,""")")</f>
        <v>Dessus de réfrigérateur (36.5" x 30")</v>
      </c>
      <c r="Q165" s="11">
        <v>890</v>
      </c>
      <c r="R165" s="11">
        <f t="shared" si="58"/>
        <v>79.111111111111114</v>
      </c>
      <c r="S165" s="11">
        <f t="shared" si="59"/>
        <v>110.75555555555556</v>
      </c>
      <c r="T165" s="11">
        <f t="shared" si="60"/>
        <v>121.83111111111113</v>
      </c>
      <c r="U165" s="11">
        <f t="shared" si="65"/>
        <v>146.19733333333335</v>
      </c>
      <c r="V165" s="11">
        <f t="shared" si="65"/>
        <v>175.43680000000001</v>
      </c>
      <c r="W165" s="11">
        <f t="shared" si="61"/>
        <v>192.98048000000003</v>
      </c>
      <c r="X165" s="11">
        <f t="shared" si="62"/>
        <v>192.98048000000003</v>
      </c>
      <c r="Y165" s="14">
        <v>0.4</v>
      </c>
      <c r="Z165" s="11">
        <f t="shared" si="63"/>
        <v>321.63413333333341</v>
      </c>
      <c r="AA165" s="2">
        <v>36.5</v>
      </c>
      <c r="AB165" s="2">
        <v>30</v>
      </c>
      <c r="AC165" s="2">
        <v>27</v>
      </c>
      <c r="AD165" s="2">
        <v>2</v>
      </c>
      <c r="AE165" s="2">
        <v>0</v>
      </c>
    </row>
    <row r="166" spans="1:31" hidden="1">
      <c r="A166" s="2" t="s">
        <v>350</v>
      </c>
      <c r="B166" s="2" t="b">
        <v>1</v>
      </c>
      <c r="C166" s="2"/>
      <c r="D166" s="2"/>
      <c r="E166" s="2" t="b">
        <f t="shared" si="56"/>
        <v>0</v>
      </c>
      <c r="F166" s="2"/>
      <c r="G166" s="2"/>
      <c r="H166" s="2" t="str">
        <f t="shared" si="64"/>
        <v>Blanc</v>
      </c>
      <c r="I166" s="2" t="str">
        <f t="shared" si="57"/>
        <v>-CW</v>
      </c>
      <c r="J166" s="2"/>
      <c r="K166" s="2" t="s">
        <v>326</v>
      </c>
      <c r="L166" s="2"/>
      <c r="M166" s="2" t="str">
        <f>IFERROR(VLOOKUP(K166,Categories!$A$2:$C$41,3,FALSE()),"⚠ slug introuvable")</f>
        <v>⚠ slug introuvable</v>
      </c>
      <c r="N166" s="2" t="s">
        <v>351</v>
      </c>
      <c r="O166" s="2"/>
      <c r="P166" s="2"/>
      <c r="Q166" s="11">
        <v>0</v>
      </c>
      <c r="R166" s="11">
        <f t="shared" si="58"/>
        <v>0</v>
      </c>
      <c r="S166" s="11">
        <f t="shared" si="59"/>
        <v>0</v>
      </c>
      <c r="T166" s="11">
        <f t="shared" si="60"/>
        <v>0</v>
      </c>
      <c r="U166" s="11">
        <f t="shared" si="65"/>
        <v>0</v>
      </c>
      <c r="V166" s="11">
        <f t="shared" si="65"/>
        <v>0</v>
      </c>
      <c r="W166" s="11">
        <f t="shared" si="61"/>
        <v>0</v>
      </c>
      <c r="X166" s="11">
        <f t="shared" si="62"/>
        <v>0</v>
      </c>
      <c r="Y166" s="14">
        <v>0.4</v>
      </c>
      <c r="Z166" s="11">
        <f t="shared" si="63"/>
        <v>0</v>
      </c>
      <c r="AA166" s="2">
        <v>18</v>
      </c>
      <c r="AB166" s="2">
        <v>36</v>
      </c>
      <c r="AC166" s="2">
        <v>12</v>
      </c>
      <c r="AD166" s="2">
        <v>1</v>
      </c>
      <c r="AE166" s="2">
        <v>0</v>
      </c>
    </row>
    <row r="167" spans="1:31">
      <c r="A167" s="2" t="s">
        <v>352</v>
      </c>
      <c r="B167" s="2"/>
      <c r="C167" s="2"/>
      <c r="D167" s="2"/>
      <c r="E167" s="2" t="b">
        <f t="shared" si="56"/>
        <v>1</v>
      </c>
      <c r="F167" s="2"/>
      <c r="G167" s="2" t="s">
        <v>353</v>
      </c>
      <c r="H167" s="2" t="str">
        <f t="shared" si="64"/>
        <v>Blanc</v>
      </c>
      <c r="I167" s="2" t="str">
        <f t="shared" si="57"/>
        <v>DOWRC36.5-31.5-CW</v>
      </c>
      <c r="J167" s="2" t="s">
        <v>232</v>
      </c>
      <c r="K167" s="2" t="s">
        <v>315</v>
      </c>
      <c r="L167" s="2" t="str">
        <f>IFERROR(VLOOKUP(J167,Categories!$A$2:$C$41,3,FALSE()),"⚠ slug introuvable")</f>
        <v>Armoire murale</v>
      </c>
      <c r="M167" s="2" t="str">
        <f>IFERROR(VLOOKUP(K167,Categories!$A$2:$C$41,3,FALSE()),"⚠ slug introuvable")</f>
        <v>Dessus du réfrigérateur</v>
      </c>
      <c r="N167" s="2" t="s">
        <v>316</v>
      </c>
      <c r="O167" s="2" t="str">
        <f>_xlfn.CONCAT(N167," (",AA167,""" x ",AB167,""")")</f>
        <v>Armoire de cuisine du haut à 2 portes pour dessus de réfrigérateur (36.5" x 31.5")</v>
      </c>
      <c r="P167" s="2" t="str">
        <f>_xlfn.CONCAT("Dessus de réfrigérateur"," (",AA167,""" x ",AB167,""")")</f>
        <v>Dessus de réfrigérateur (36.5" x 31.5")</v>
      </c>
      <c r="Q167" s="11">
        <v>974</v>
      </c>
      <c r="R167" s="11">
        <f t="shared" si="58"/>
        <v>86.577777777777783</v>
      </c>
      <c r="S167" s="11">
        <f t="shared" si="59"/>
        <v>121.20888888888889</v>
      </c>
      <c r="T167" s="11">
        <f t="shared" si="60"/>
        <v>133.32977777777779</v>
      </c>
      <c r="U167" s="11">
        <f t="shared" si="65"/>
        <v>159.99573333333333</v>
      </c>
      <c r="V167" s="11">
        <f t="shared" si="65"/>
        <v>191.99487999999999</v>
      </c>
      <c r="W167" s="11">
        <f t="shared" si="61"/>
        <v>211.194368</v>
      </c>
      <c r="X167" s="11">
        <f t="shared" si="62"/>
        <v>211.194368</v>
      </c>
      <c r="Y167" s="14">
        <v>0.4</v>
      </c>
      <c r="Z167" s="11">
        <f t="shared" si="63"/>
        <v>351.99061333333333</v>
      </c>
      <c r="AA167" s="2">
        <v>36.5</v>
      </c>
      <c r="AB167" s="2">
        <v>31.5</v>
      </c>
      <c r="AC167" s="2">
        <v>27</v>
      </c>
      <c r="AD167" s="2">
        <v>2</v>
      </c>
      <c r="AE167" s="2">
        <v>0</v>
      </c>
    </row>
    <row r="168" spans="1:31">
      <c r="A168" s="2" t="s">
        <v>354</v>
      </c>
      <c r="B168" s="2"/>
      <c r="C168" s="2"/>
      <c r="D168" s="2"/>
      <c r="E168" s="2" t="b">
        <f t="shared" si="56"/>
        <v>1</v>
      </c>
      <c r="F168" s="2"/>
      <c r="G168" s="2" t="s">
        <v>355</v>
      </c>
      <c r="H168" s="2" t="str">
        <f t="shared" si="64"/>
        <v>Blanc</v>
      </c>
      <c r="I168" s="2" t="str">
        <f t="shared" si="57"/>
        <v>DOWC3612-CW</v>
      </c>
      <c r="J168" s="2" t="s">
        <v>232</v>
      </c>
      <c r="K168" s="2" t="s">
        <v>233</v>
      </c>
      <c r="L168" s="2" t="str">
        <f>IFERROR(VLOOKUP(J168,Categories!$A$2:$C$41,3,FALSE()),"⚠ slug introuvable")</f>
        <v>Armoire murale</v>
      </c>
      <c r="M168" s="2" t="str">
        <f>IFERROR(VLOOKUP(K168,Categories!$A$2:$C$41,3,FALSE()),"⚠ slug introuvable")</f>
        <v>Standard</v>
      </c>
      <c r="N168" s="2" t="s">
        <v>278</v>
      </c>
      <c r="O168" s="2" t="str">
        <f>_xlfn.CONCAT(N168," (",AA168,""" x ",AB168,""")")</f>
        <v>Armoire de cuisine du haut à 2 portes (36" x 12")</v>
      </c>
      <c r="P168" s="2" t="str">
        <f>_xlfn.CONCAT("2 portes"," (",AA168,""" x ",AB168,""")")</f>
        <v>2 portes (36" x 12")</v>
      </c>
      <c r="Q168" s="11">
        <v>448</v>
      </c>
      <c r="R168" s="11">
        <f t="shared" si="58"/>
        <v>39.822222222222223</v>
      </c>
      <c r="S168" s="11">
        <f t="shared" si="59"/>
        <v>55.751111111111108</v>
      </c>
      <c r="T168" s="11">
        <f t="shared" si="60"/>
        <v>61.326222222222221</v>
      </c>
      <c r="U168" s="11">
        <f t="shared" si="65"/>
        <v>73.591466666666662</v>
      </c>
      <c r="V168" s="11">
        <f t="shared" si="65"/>
        <v>88.309759999999997</v>
      </c>
      <c r="W168" s="11">
        <f t="shared" si="61"/>
        <v>97.140736000000004</v>
      </c>
      <c r="X168" s="11">
        <f t="shared" si="62"/>
        <v>97.140736000000004</v>
      </c>
      <c r="Y168" s="14">
        <v>0.4</v>
      </c>
      <c r="Z168" s="11">
        <f t="shared" si="63"/>
        <v>161.90122666666667</v>
      </c>
      <c r="AA168" s="2">
        <v>36</v>
      </c>
      <c r="AB168" s="2">
        <v>12</v>
      </c>
      <c r="AC168" s="2">
        <v>12</v>
      </c>
      <c r="AD168" s="2">
        <v>2</v>
      </c>
      <c r="AE168" s="2">
        <v>0</v>
      </c>
    </row>
    <row r="169" spans="1:31">
      <c r="A169" s="2" t="s">
        <v>356</v>
      </c>
      <c r="B169" s="2"/>
      <c r="C169" s="2"/>
      <c r="D169" s="2"/>
      <c r="E169" s="2" t="b">
        <f t="shared" si="56"/>
        <v>1</v>
      </c>
      <c r="F169" s="2"/>
      <c r="G169" s="2" t="s">
        <v>357</v>
      </c>
      <c r="H169" s="2" t="str">
        <f t="shared" si="64"/>
        <v>Blanc</v>
      </c>
      <c r="I169" s="2" t="str">
        <f t="shared" si="57"/>
        <v>DOWC3618-CW</v>
      </c>
      <c r="J169" s="2" t="s">
        <v>232</v>
      </c>
      <c r="K169" s="2" t="s">
        <v>233</v>
      </c>
      <c r="L169" s="2" t="str">
        <f>IFERROR(VLOOKUP(J169,Categories!$A$2:$C$41,3,FALSE()),"⚠ slug introuvable")</f>
        <v>Armoire murale</v>
      </c>
      <c r="M169" s="2" t="str">
        <f>IFERROR(VLOOKUP(K169,Categories!$A$2:$C$41,3,FALSE()),"⚠ slug introuvable")</f>
        <v>Standard</v>
      </c>
      <c r="N169" s="2" t="s">
        <v>278</v>
      </c>
      <c r="O169" s="2" t="str">
        <f>_xlfn.CONCAT(N169," (",AA169,""" x ",AB169,""")")</f>
        <v>Armoire de cuisine du haut à 2 portes (36" x 18")</v>
      </c>
      <c r="P169" s="2" t="str">
        <f>_xlfn.CONCAT("2 portes"," (",AA169,""" x ",AB169,""")")</f>
        <v>2 portes (36" x 18")</v>
      </c>
      <c r="Q169" s="11">
        <v>499</v>
      </c>
      <c r="R169" s="11">
        <f t="shared" si="58"/>
        <v>44.355555555555554</v>
      </c>
      <c r="S169" s="11">
        <f t="shared" si="59"/>
        <v>62.097777777777772</v>
      </c>
      <c r="T169" s="11">
        <f t="shared" si="60"/>
        <v>68.307555555555552</v>
      </c>
      <c r="U169" s="11">
        <f t="shared" si="65"/>
        <v>81.969066666666663</v>
      </c>
      <c r="V169" s="11">
        <f t="shared" si="65"/>
        <v>98.36287999999999</v>
      </c>
      <c r="W169" s="11">
        <f t="shared" si="61"/>
        <v>108.199168</v>
      </c>
      <c r="X169" s="11">
        <f t="shared" si="62"/>
        <v>108.199168</v>
      </c>
      <c r="Y169" s="14">
        <v>0.4</v>
      </c>
      <c r="Z169" s="11">
        <f t="shared" si="63"/>
        <v>180.33194666666668</v>
      </c>
      <c r="AA169" s="2">
        <v>36</v>
      </c>
      <c r="AB169" s="2">
        <v>18</v>
      </c>
      <c r="AC169" s="2">
        <v>12</v>
      </c>
      <c r="AD169" s="2">
        <v>2</v>
      </c>
      <c r="AE169" s="2">
        <v>0</v>
      </c>
    </row>
    <row r="170" spans="1:31">
      <c r="A170" s="2" t="s">
        <v>358</v>
      </c>
      <c r="B170" s="2"/>
      <c r="C170" s="2"/>
      <c r="D170" s="2"/>
      <c r="E170" s="2" t="b">
        <f t="shared" si="56"/>
        <v>1</v>
      </c>
      <c r="F170" s="2"/>
      <c r="G170" s="2" t="s">
        <v>359</v>
      </c>
      <c r="H170" s="2" t="str">
        <f t="shared" si="64"/>
        <v>Blanc</v>
      </c>
      <c r="I170" s="2" t="str">
        <f t="shared" si="57"/>
        <v>DOWC3624-CW</v>
      </c>
      <c r="J170" s="2" t="s">
        <v>232</v>
      </c>
      <c r="K170" s="2" t="s">
        <v>233</v>
      </c>
      <c r="L170" s="2" t="str">
        <f>IFERROR(VLOOKUP(J170,Categories!$A$2:$C$41,3,FALSE()),"⚠ slug introuvable")</f>
        <v>Armoire murale</v>
      </c>
      <c r="M170" s="2" t="str">
        <f>IFERROR(VLOOKUP(K170,Categories!$A$2:$C$41,3,FALSE()),"⚠ slug introuvable")</f>
        <v>Standard</v>
      </c>
      <c r="N170" s="2" t="s">
        <v>278</v>
      </c>
      <c r="O170" s="2" t="str">
        <f>_xlfn.CONCAT(N170," (",AA170,""" x ",AB170,""")")</f>
        <v>Armoire de cuisine du haut à 2 portes (36" x 24")</v>
      </c>
      <c r="P170" s="2" t="str">
        <f>_xlfn.CONCAT("2 portes"," (",AA170,""" x ",AB170,""")")</f>
        <v>2 portes (36" x 24")</v>
      </c>
      <c r="Q170" s="11">
        <v>602</v>
      </c>
      <c r="R170" s="11">
        <f t="shared" si="58"/>
        <v>53.511111111111113</v>
      </c>
      <c r="S170" s="11">
        <f t="shared" si="59"/>
        <v>74.915555555555557</v>
      </c>
      <c r="T170" s="11">
        <f t="shared" si="60"/>
        <v>82.407111111111121</v>
      </c>
      <c r="U170" s="11">
        <f t="shared" ref="U170:V189" si="66">T170*1.2</f>
        <v>98.888533333333342</v>
      </c>
      <c r="V170" s="11">
        <f t="shared" si="66"/>
        <v>118.66624</v>
      </c>
      <c r="W170" s="11">
        <f t="shared" si="61"/>
        <v>130.53286400000002</v>
      </c>
      <c r="X170" s="11">
        <f t="shared" si="62"/>
        <v>130.53286400000002</v>
      </c>
      <c r="Y170" s="14">
        <v>0.4</v>
      </c>
      <c r="Z170" s="11">
        <f t="shared" si="63"/>
        <v>217.55477333333337</v>
      </c>
      <c r="AA170" s="2">
        <v>36</v>
      </c>
      <c r="AB170" s="2">
        <v>24</v>
      </c>
      <c r="AC170" s="2">
        <v>12</v>
      </c>
      <c r="AD170" s="2">
        <v>2</v>
      </c>
      <c r="AE170" s="2">
        <v>0</v>
      </c>
    </row>
    <row r="171" spans="1:31" hidden="1">
      <c r="A171" s="2" t="s">
        <v>360</v>
      </c>
      <c r="B171" s="2" t="b">
        <v>1</v>
      </c>
      <c r="C171" s="2"/>
      <c r="D171" s="2"/>
      <c r="E171" s="2" t="b">
        <f t="shared" si="56"/>
        <v>0</v>
      </c>
      <c r="F171" s="2"/>
      <c r="G171" s="2"/>
      <c r="H171" s="2" t="str">
        <f t="shared" si="64"/>
        <v>Blanc</v>
      </c>
      <c r="I171" s="2" t="str">
        <f t="shared" si="57"/>
        <v>-CW</v>
      </c>
      <c r="J171" s="2"/>
      <c r="K171" s="2" t="s">
        <v>326</v>
      </c>
      <c r="L171" s="2"/>
      <c r="M171" s="2" t="str">
        <f>IFERROR(VLOOKUP(K171,Categories!$A$2:$C$41,3,FALSE()),"⚠ slug introuvable")</f>
        <v>⚠ slug introuvable</v>
      </c>
      <c r="N171" s="2" t="s">
        <v>361</v>
      </c>
      <c r="O171" s="2"/>
      <c r="P171" s="2"/>
      <c r="Q171" s="11">
        <v>0</v>
      </c>
      <c r="R171" s="11">
        <f t="shared" si="58"/>
        <v>0</v>
      </c>
      <c r="S171" s="11">
        <f t="shared" si="59"/>
        <v>0</v>
      </c>
      <c r="T171" s="11">
        <f t="shared" si="60"/>
        <v>0</v>
      </c>
      <c r="U171" s="11">
        <f t="shared" si="66"/>
        <v>0</v>
      </c>
      <c r="V171" s="11">
        <f t="shared" si="66"/>
        <v>0</v>
      </c>
      <c r="W171" s="11">
        <f t="shared" si="61"/>
        <v>0</v>
      </c>
      <c r="X171" s="11">
        <f t="shared" si="62"/>
        <v>0</v>
      </c>
      <c r="Y171" s="14">
        <v>0.4</v>
      </c>
      <c r="Z171" s="11">
        <f t="shared" si="63"/>
        <v>0</v>
      </c>
      <c r="AA171" s="2">
        <v>21</v>
      </c>
      <c r="AB171" s="2">
        <v>36</v>
      </c>
      <c r="AC171" s="2">
        <v>12</v>
      </c>
      <c r="AD171" s="2">
        <v>1</v>
      </c>
      <c r="AE171" s="2">
        <v>0</v>
      </c>
    </row>
    <row r="172" spans="1:31">
      <c r="A172" s="2" t="s">
        <v>362</v>
      </c>
      <c r="B172" s="2"/>
      <c r="C172" s="2"/>
      <c r="D172" s="2"/>
      <c r="E172" s="2" t="b">
        <f t="shared" si="56"/>
        <v>1</v>
      </c>
      <c r="F172" s="2"/>
      <c r="G172" s="2" t="s">
        <v>363</v>
      </c>
      <c r="H172" s="2" t="str">
        <f t="shared" si="64"/>
        <v>Blanc</v>
      </c>
      <c r="I172" s="2" t="str">
        <f t="shared" si="57"/>
        <v>DOWC3630-CW</v>
      </c>
      <c r="J172" s="2" t="s">
        <v>232</v>
      </c>
      <c r="K172" s="2" t="s">
        <v>233</v>
      </c>
      <c r="L172" s="2" t="str">
        <f>IFERROR(VLOOKUP(J172,Categories!$A$2:$C$41,3,FALSE()),"⚠ slug introuvable")</f>
        <v>Armoire murale</v>
      </c>
      <c r="M172" s="2" t="str">
        <f>IFERROR(VLOOKUP(K172,Categories!$A$2:$C$41,3,FALSE()),"⚠ slug introuvable")</f>
        <v>Standard</v>
      </c>
      <c r="N172" s="2" t="s">
        <v>278</v>
      </c>
      <c r="O172" s="2" t="str">
        <f>_xlfn.CONCAT(N172," (",AA172,""" x ",AB172,""")")</f>
        <v>Armoire de cuisine du haut à 2 portes (36" x 30")</v>
      </c>
      <c r="P172" s="2" t="str">
        <f>_xlfn.CONCAT("2 portes"," (",AA172,""" x ",AB172,""")")</f>
        <v>2 portes (36" x 30")</v>
      </c>
      <c r="Q172" s="11">
        <v>752</v>
      </c>
      <c r="R172" s="11">
        <f t="shared" si="58"/>
        <v>66.844444444444449</v>
      </c>
      <c r="S172" s="11">
        <f t="shared" si="59"/>
        <v>93.582222222222228</v>
      </c>
      <c r="T172" s="11">
        <f t="shared" si="60"/>
        <v>102.94044444444445</v>
      </c>
      <c r="U172" s="11">
        <f t="shared" si="66"/>
        <v>123.52853333333334</v>
      </c>
      <c r="V172" s="11">
        <f t="shared" si="66"/>
        <v>148.23424</v>
      </c>
      <c r="W172" s="11">
        <f t="shared" si="61"/>
        <v>163.05766400000002</v>
      </c>
      <c r="X172" s="11">
        <f t="shared" si="62"/>
        <v>163.05766400000002</v>
      </c>
      <c r="Y172" s="14">
        <v>0.4</v>
      </c>
      <c r="Z172" s="11">
        <f t="shared" si="63"/>
        <v>271.76277333333337</v>
      </c>
      <c r="AA172" s="2">
        <v>36</v>
      </c>
      <c r="AB172" s="2">
        <v>30</v>
      </c>
      <c r="AC172" s="2">
        <v>12</v>
      </c>
      <c r="AD172" s="2">
        <v>2</v>
      </c>
      <c r="AE172" s="2">
        <v>0</v>
      </c>
    </row>
    <row r="173" spans="1:31">
      <c r="A173" s="2" t="s">
        <v>364</v>
      </c>
      <c r="B173" s="2"/>
      <c r="C173" s="2"/>
      <c r="D173" s="2"/>
      <c r="E173" s="2" t="b">
        <f t="shared" si="56"/>
        <v>1</v>
      </c>
      <c r="F173" s="2"/>
      <c r="G173" s="2" t="s">
        <v>365</v>
      </c>
      <c r="H173" s="2" t="str">
        <f t="shared" si="64"/>
        <v>Blanc</v>
      </c>
      <c r="I173" s="2" t="str">
        <f t="shared" si="57"/>
        <v>DOWC3636-CW</v>
      </c>
      <c r="J173" s="2" t="s">
        <v>232</v>
      </c>
      <c r="K173" s="2" t="s">
        <v>233</v>
      </c>
      <c r="L173" s="2" t="str">
        <f>IFERROR(VLOOKUP(J173,Categories!$A$2:$C$41,3,FALSE()),"⚠ slug introuvable")</f>
        <v>Armoire murale</v>
      </c>
      <c r="M173" s="2" t="str">
        <f>IFERROR(VLOOKUP(K173,Categories!$A$2:$C$41,3,FALSE()),"⚠ slug introuvable")</f>
        <v>Standard</v>
      </c>
      <c r="N173" s="2" t="s">
        <v>278</v>
      </c>
      <c r="O173" s="2" t="str">
        <f>_xlfn.CONCAT(N173," (",AA173,""" x ",AB173,""")")</f>
        <v>Armoire de cuisine du haut à 2 portes (36" x 36")</v>
      </c>
      <c r="P173" s="2" t="str">
        <f>_xlfn.CONCAT("2 portes"," (",AA173,""" x ",AB173,""")")</f>
        <v>2 portes (36" x 36")</v>
      </c>
      <c r="Q173" s="11">
        <v>853</v>
      </c>
      <c r="R173" s="11">
        <f t="shared" si="58"/>
        <v>75.822222222222223</v>
      </c>
      <c r="S173" s="11">
        <f t="shared" si="59"/>
        <v>106.15111111111111</v>
      </c>
      <c r="T173" s="11">
        <f t="shared" si="60"/>
        <v>116.76622222222223</v>
      </c>
      <c r="U173" s="11">
        <f t="shared" si="66"/>
        <v>140.11946666666665</v>
      </c>
      <c r="V173" s="11">
        <f t="shared" si="66"/>
        <v>168.14335999999997</v>
      </c>
      <c r="W173" s="11">
        <f t="shared" si="61"/>
        <v>184.957696</v>
      </c>
      <c r="X173" s="11">
        <f t="shared" si="62"/>
        <v>184.957696</v>
      </c>
      <c r="Y173" s="14">
        <v>0.4</v>
      </c>
      <c r="Z173" s="11">
        <f t="shared" si="63"/>
        <v>308.26282666666668</v>
      </c>
      <c r="AA173" s="2">
        <v>36</v>
      </c>
      <c r="AB173" s="2">
        <v>36</v>
      </c>
      <c r="AC173" s="2">
        <v>12</v>
      </c>
      <c r="AD173" s="2">
        <v>2</v>
      </c>
      <c r="AE173" s="2">
        <v>0</v>
      </c>
    </row>
    <row r="174" spans="1:31">
      <c r="A174" s="2" t="s">
        <v>366</v>
      </c>
      <c r="B174" s="2"/>
      <c r="C174" s="2"/>
      <c r="D174" s="2"/>
      <c r="E174" s="2" t="b">
        <f t="shared" si="56"/>
        <v>1</v>
      </c>
      <c r="F174" s="2"/>
      <c r="G174" s="2" t="s">
        <v>367</v>
      </c>
      <c r="H174" s="2" t="str">
        <f t="shared" si="64"/>
        <v>Blanc</v>
      </c>
      <c r="I174" s="2" t="str">
        <f t="shared" si="57"/>
        <v>DOWC3642-CW</v>
      </c>
      <c r="J174" s="2" t="s">
        <v>232</v>
      </c>
      <c r="K174" s="2" t="s">
        <v>233</v>
      </c>
      <c r="L174" s="2" t="str">
        <f>IFERROR(VLOOKUP(J174,Categories!$A$2:$C$41,3,FALSE()),"⚠ slug introuvable")</f>
        <v>Armoire murale</v>
      </c>
      <c r="M174" s="2" t="str">
        <f>IFERROR(VLOOKUP(K174,Categories!$A$2:$C$41,3,FALSE()),"⚠ slug introuvable")</f>
        <v>Standard</v>
      </c>
      <c r="N174" s="2" t="s">
        <v>278</v>
      </c>
      <c r="O174" s="2" t="str">
        <f>_xlfn.CONCAT(N174," (",AA174,""" x ",AB174,""")")</f>
        <v>Armoire de cuisine du haut à 2 portes (36" x 42")</v>
      </c>
      <c r="P174" s="2" t="str">
        <f>_xlfn.CONCAT("2 portes"," (",AA174,""" x ",AB174,""")")</f>
        <v>2 portes (36" x 42")</v>
      </c>
      <c r="Q174" s="11">
        <v>986</v>
      </c>
      <c r="R174" s="11">
        <f t="shared" si="58"/>
        <v>87.644444444444446</v>
      </c>
      <c r="S174" s="11">
        <f t="shared" si="59"/>
        <v>122.70222222222222</v>
      </c>
      <c r="T174" s="11">
        <f t="shared" si="60"/>
        <v>134.97244444444445</v>
      </c>
      <c r="U174" s="11">
        <f t="shared" si="66"/>
        <v>161.96693333333334</v>
      </c>
      <c r="V174" s="11">
        <f t="shared" si="66"/>
        <v>194.36032</v>
      </c>
      <c r="W174" s="11">
        <f t="shared" si="61"/>
        <v>213.79635200000001</v>
      </c>
      <c r="X174" s="11">
        <f t="shared" si="62"/>
        <v>213.79635200000001</v>
      </c>
      <c r="Y174" s="14">
        <v>0.4</v>
      </c>
      <c r="Z174" s="11">
        <f t="shared" si="63"/>
        <v>356.32725333333337</v>
      </c>
      <c r="AA174" s="2">
        <v>36</v>
      </c>
      <c r="AB174" s="2">
        <v>42</v>
      </c>
      <c r="AC174" s="2">
        <v>12</v>
      </c>
      <c r="AD174" s="2">
        <v>2</v>
      </c>
      <c r="AE174" s="2">
        <v>0</v>
      </c>
    </row>
    <row r="175" spans="1:31">
      <c r="A175" s="2" t="s">
        <v>368</v>
      </c>
      <c r="B175" s="2"/>
      <c r="C175" s="2"/>
      <c r="D175" s="2"/>
      <c r="E175" s="2" t="b">
        <f t="shared" si="56"/>
        <v>1</v>
      </c>
      <c r="F175" s="2"/>
      <c r="G175" s="2" t="s">
        <v>369</v>
      </c>
      <c r="H175" s="2" t="str">
        <f t="shared" si="64"/>
        <v>Blanc</v>
      </c>
      <c r="I175" s="2" t="str">
        <f t="shared" si="57"/>
        <v>DOWC3648-CW</v>
      </c>
      <c r="J175" s="2" t="s">
        <v>232</v>
      </c>
      <c r="K175" s="2" t="s">
        <v>233</v>
      </c>
      <c r="L175" s="2" t="str">
        <f>IFERROR(VLOOKUP(J175,Categories!$A$2:$C$41,3,FALSE()),"⚠ slug introuvable")</f>
        <v>Armoire murale</v>
      </c>
      <c r="M175" s="2" t="str">
        <f>IFERROR(VLOOKUP(K175,Categories!$A$2:$C$41,3,FALSE()),"⚠ slug introuvable")</f>
        <v>Standard</v>
      </c>
      <c r="N175" s="2" t="s">
        <v>278</v>
      </c>
      <c r="O175" s="2" t="str">
        <f>_xlfn.CONCAT(N175," (",AA175,""" x ",AB175,""")")</f>
        <v>Armoire de cuisine du haut à 2 portes (36" x 48")</v>
      </c>
      <c r="P175" s="2" t="str">
        <f>_xlfn.CONCAT("2 portes"," (",AA175,""" x ",AB175,""")")</f>
        <v>2 portes (36" x 48")</v>
      </c>
      <c r="Q175" s="11">
        <v>1578</v>
      </c>
      <c r="R175" s="11">
        <f t="shared" si="58"/>
        <v>140.26666666666668</v>
      </c>
      <c r="S175" s="11">
        <f t="shared" si="59"/>
        <v>196.37333333333333</v>
      </c>
      <c r="T175" s="11">
        <f t="shared" si="60"/>
        <v>216.01066666666668</v>
      </c>
      <c r="U175" s="11">
        <f t="shared" si="66"/>
        <v>259.21280000000002</v>
      </c>
      <c r="V175" s="11">
        <f t="shared" si="66"/>
        <v>311.05536000000001</v>
      </c>
      <c r="W175" s="11">
        <f t="shared" si="61"/>
        <v>342.16089600000004</v>
      </c>
      <c r="X175" s="11">
        <f t="shared" si="62"/>
        <v>342.16089600000004</v>
      </c>
      <c r="Y175" s="14">
        <v>0.4</v>
      </c>
      <c r="Z175" s="11">
        <f t="shared" si="63"/>
        <v>570.26816000000008</v>
      </c>
      <c r="AA175" s="2">
        <v>36</v>
      </c>
      <c r="AB175" s="2">
        <v>48</v>
      </c>
      <c r="AC175" s="2">
        <v>12</v>
      </c>
      <c r="AD175" s="2">
        <v>2</v>
      </c>
      <c r="AE175" s="2">
        <v>0</v>
      </c>
    </row>
    <row r="176" spans="1:31" hidden="1">
      <c r="A176" s="2" t="s">
        <v>370</v>
      </c>
      <c r="B176" s="2" t="b">
        <v>1</v>
      </c>
      <c r="C176" s="2"/>
      <c r="D176" s="2"/>
      <c r="E176" s="2" t="b">
        <f t="shared" si="56"/>
        <v>0</v>
      </c>
      <c r="F176" s="2"/>
      <c r="G176" s="2"/>
      <c r="H176" s="2" t="str">
        <f t="shared" si="64"/>
        <v>Blanc</v>
      </c>
      <c r="I176" s="2" t="str">
        <f t="shared" si="57"/>
        <v>-CW</v>
      </c>
      <c r="J176" s="2"/>
      <c r="K176" s="2" t="s">
        <v>326</v>
      </c>
      <c r="L176" s="2"/>
      <c r="M176" s="2" t="str">
        <f>IFERROR(VLOOKUP(K176,Categories!$A$2:$C$41,3,FALSE()),"⚠ slug introuvable")</f>
        <v>⚠ slug introuvable</v>
      </c>
      <c r="N176" s="2" t="s">
        <v>371</v>
      </c>
      <c r="O176" s="2"/>
      <c r="P176" s="2"/>
      <c r="Q176" s="11">
        <v>0</v>
      </c>
      <c r="R176" s="11">
        <f t="shared" si="58"/>
        <v>0</v>
      </c>
      <c r="S176" s="11">
        <f t="shared" si="59"/>
        <v>0</v>
      </c>
      <c r="T176" s="11">
        <f t="shared" si="60"/>
        <v>0</v>
      </c>
      <c r="U176" s="11">
        <f t="shared" si="66"/>
        <v>0</v>
      </c>
      <c r="V176" s="11">
        <f t="shared" si="66"/>
        <v>0</v>
      </c>
      <c r="W176" s="11">
        <f t="shared" si="61"/>
        <v>0</v>
      </c>
      <c r="X176" s="11">
        <f t="shared" si="62"/>
        <v>0</v>
      </c>
      <c r="Y176" s="14">
        <v>0.4</v>
      </c>
      <c r="Z176" s="11">
        <f t="shared" si="63"/>
        <v>0</v>
      </c>
      <c r="AA176" s="2">
        <v>24</v>
      </c>
      <c r="AB176" s="2">
        <v>36</v>
      </c>
      <c r="AC176" s="2">
        <v>12</v>
      </c>
      <c r="AD176" s="2">
        <v>2</v>
      </c>
      <c r="AE176" s="2">
        <v>0</v>
      </c>
    </row>
    <row r="177" spans="1:31">
      <c r="A177" s="2" t="s">
        <v>372</v>
      </c>
      <c r="B177" s="2"/>
      <c r="C177" s="2"/>
      <c r="D177" s="2"/>
      <c r="E177" s="2" t="b">
        <f t="shared" si="56"/>
        <v>1</v>
      </c>
      <c r="F177" s="2"/>
      <c r="G177" s="2" t="s">
        <v>373</v>
      </c>
      <c r="H177" s="2" t="str">
        <f t="shared" si="64"/>
        <v>Blanc</v>
      </c>
      <c r="I177" s="2" t="str">
        <f t="shared" si="57"/>
        <v>DOWC36-19.5-CW</v>
      </c>
      <c r="J177" s="2" t="s">
        <v>232</v>
      </c>
      <c r="K177" s="2" t="s">
        <v>233</v>
      </c>
      <c r="L177" s="2" t="str">
        <f>IFERROR(VLOOKUP(J177,Categories!$A$2:$C$41,3,FALSE()),"⚠ slug introuvable")</f>
        <v>Armoire murale</v>
      </c>
      <c r="M177" s="2" t="str">
        <f>IFERROR(VLOOKUP(K177,Categories!$A$2:$C$41,3,FALSE()),"⚠ slug introuvable")</f>
        <v>Standard</v>
      </c>
      <c r="N177" s="2" t="s">
        <v>278</v>
      </c>
      <c r="O177" s="2" t="str">
        <f>_xlfn.CONCAT(N177," (",AA177,""" x ",AB177,""")")</f>
        <v>Armoire de cuisine du haut à 2 portes (36" x 19.5")</v>
      </c>
      <c r="P177" s="2" t="str">
        <f>_xlfn.CONCAT("2 portes"," (",AA177,""" x ",AB177,""")")</f>
        <v>2 portes (36" x 19.5")</v>
      </c>
      <c r="Q177" s="11">
        <v>555</v>
      </c>
      <c r="R177" s="11">
        <f t="shared" si="58"/>
        <v>49.333333333333336</v>
      </c>
      <c r="S177" s="11">
        <f t="shared" si="59"/>
        <v>69.066666666666663</v>
      </c>
      <c r="T177" s="11">
        <f t="shared" si="60"/>
        <v>75.973333333333329</v>
      </c>
      <c r="U177" s="11">
        <f t="shared" si="66"/>
        <v>91.167999999999992</v>
      </c>
      <c r="V177" s="11">
        <f t="shared" si="66"/>
        <v>109.40159999999999</v>
      </c>
      <c r="W177" s="11">
        <f t="shared" si="61"/>
        <v>120.34175999999999</v>
      </c>
      <c r="X177" s="11">
        <f t="shared" si="62"/>
        <v>120.34175999999999</v>
      </c>
      <c r="Y177" s="14">
        <v>0.4</v>
      </c>
      <c r="Z177" s="11">
        <f t="shared" si="63"/>
        <v>200.56960000000001</v>
      </c>
      <c r="AA177" s="2">
        <v>36</v>
      </c>
      <c r="AB177" s="2">
        <v>19.5</v>
      </c>
      <c r="AC177" s="2">
        <v>12</v>
      </c>
      <c r="AD177" s="2">
        <v>2</v>
      </c>
      <c r="AE177" s="2">
        <v>0</v>
      </c>
    </row>
    <row r="178" spans="1:31">
      <c r="A178" s="2" t="s">
        <v>374</v>
      </c>
      <c r="B178" s="2"/>
      <c r="C178" s="2"/>
      <c r="D178" s="2"/>
      <c r="E178" s="2" t="b">
        <f t="shared" si="56"/>
        <v>1</v>
      </c>
      <c r="F178" s="2"/>
      <c r="G178" s="2" t="s">
        <v>375</v>
      </c>
      <c r="H178" s="2" t="str">
        <f t="shared" si="64"/>
        <v>Blanc</v>
      </c>
      <c r="I178" s="2" t="str">
        <f t="shared" si="57"/>
        <v>DOWC3930-CW</v>
      </c>
      <c r="J178" s="2" t="s">
        <v>232</v>
      </c>
      <c r="K178" s="2" t="s">
        <v>233</v>
      </c>
      <c r="L178" s="2" t="str">
        <f>IFERROR(VLOOKUP(J178,Categories!$A$2:$C$41,3,FALSE()),"⚠ slug introuvable")</f>
        <v>Armoire murale</v>
      </c>
      <c r="M178" s="2" t="str">
        <f>IFERROR(VLOOKUP(K178,Categories!$A$2:$C$41,3,FALSE()),"⚠ slug introuvable")</f>
        <v>Standard</v>
      </c>
      <c r="N178" s="2" t="s">
        <v>278</v>
      </c>
      <c r="O178" s="2" t="str">
        <f>_xlfn.CONCAT(N178," (",AA178,""" x ",AB178,""")")</f>
        <v>Armoire de cuisine du haut à 2 portes (39" x 30")</v>
      </c>
      <c r="P178" s="2" t="str">
        <f>_xlfn.CONCAT("2 portes"," (",AA178,""" x ",AB178,""")")</f>
        <v>2 portes (39" x 30")</v>
      </c>
      <c r="Q178" s="11">
        <v>990.97</v>
      </c>
      <c r="R178" s="11">
        <f t="shared" si="58"/>
        <v>88.086222222222219</v>
      </c>
      <c r="S178" s="11">
        <f t="shared" si="59"/>
        <v>123.32071111111109</v>
      </c>
      <c r="T178" s="11">
        <f t="shared" si="60"/>
        <v>135.65278222222221</v>
      </c>
      <c r="U178" s="11">
        <f t="shared" si="66"/>
        <v>162.78333866666665</v>
      </c>
      <c r="V178" s="11">
        <f t="shared" si="66"/>
        <v>195.34000639999996</v>
      </c>
      <c r="W178" s="11">
        <f t="shared" si="61"/>
        <v>214.87400703999998</v>
      </c>
      <c r="X178" s="11">
        <f t="shared" si="62"/>
        <v>214.87400703999998</v>
      </c>
      <c r="Y178" s="14">
        <v>0.4</v>
      </c>
      <c r="Z178" s="11">
        <f t="shared" si="63"/>
        <v>358.12334506666667</v>
      </c>
      <c r="AA178" s="2">
        <v>39</v>
      </c>
      <c r="AB178" s="2">
        <v>30</v>
      </c>
      <c r="AC178" s="2">
        <v>12</v>
      </c>
      <c r="AD178" s="2">
        <v>2</v>
      </c>
      <c r="AE178" s="2">
        <v>0</v>
      </c>
    </row>
    <row r="179" spans="1:31">
      <c r="A179" s="2" t="s">
        <v>376</v>
      </c>
      <c r="B179" s="2"/>
      <c r="C179" s="2"/>
      <c r="D179" s="2"/>
      <c r="E179" s="2" t="b">
        <f t="shared" si="56"/>
        <v>1</v>
      </c>
      <c r="F179" s="2"/>
      <c r="G179" s="2" t="s">
        <v>377</v>
      </c>
      <c r="H179" s="2" t="str">
        <f t="shared" si="64"/>
        <v>Blanc</v>
      </c>
      <c r="I179" s="2" t="str">
        <f t="shared" si="57"/>
        <v>DOWC3936-CW</v>
      </c>
      <c r="J179" s="2" t="s">
        <v>232</v>
      </c>
      <c r="K179" s="2" t="s">
        <v>233</v>
      </c>
      <c r="L179" s="2" t="str">
        <f>IFERROR(VLOOKUP(J179,Categories!$A$2:$C$41,3,FALSE()),"⚠ slug introuvable")</f>
        <v>Armoire murale</v>
      </c>
      <c r="M179" s="2" t="str">
        <f>IFERROR(VLOOKUP(K179,Categories!$A$2:$C$41,3,FALSE()),"⚠ slug introuvable")</f>
        <v>Standard</v>
      </c>
      <c r="N179" s="2" t="s">
        <v>278</v>
      </c>
      <c r="O179" s="2" t="str">
        <f>_xlfn.CONCAT(N179," (",AA179,""" x ",AB179,""")")</f>
        <v>Armoire de cuisine du haut à 2 portes (39" x 36")</v>
      </c>
      <c r="P179" s="2" t="str">
        <f>_xlfn.CONCAT("2 portes"," (",AA179,""" x ",AB179,""")")</f>
        <v>2 portes (39" x 36")</v>
      </c>
      <c r="Q179" s="11">
        <v>949</v>
      </c>
      <c r="R179" s="11">
        <f t="shared" si="58"/>
        <v>84.355555555555554</v>
      </c>
      <c r="S179" s="11">
        <f t="shared" si="59"/>
        <v>118.09777777777776</v>
      </c>
      <c r="T179" s="11">
        <f t="shared" si="60"/>
        <v>129.90755555555555</v>
      </c>
      <c r="U179" s="11">
        <f t="shared" si="66"/>
        <v>155.88906666666665</v>
      </c>
      <c r="V179" s="11">
        <f t="shared" si="66"/>
        <v>187.06687999999997</v>
      </c>
      <c r="W179" s="11">
        <f t="shared" si="61"/>
        <v>205.77356799999998</v>
      </c>
      <c r="X179" s="11">
        <f t="shared" si="62"/>
        <v>205.77356799999998</v>
      </c>
      <c r="Y179" s="14">
        <v>0.4</v>
      </c>
      <c r="Z179" s="11">
        <f t="shared" si="63"/>
        <v>342.95594666666665</v>
      </c>
      <c r="AA179" s="2">
        <v>39</v>
      </c>
      <c r="AB179" s="2">
        <v>36</v>
      </c>
      <c r="AC179" s="2">
        <v>12</v>
      </c>
      <c r="AD179" s="2">
        <v>2</v>
      </c>
      <c r="AE179" s="2">
        <v>0</v>
      </c>
    </row>
    <row r="180" spans="1:31" hidden="1">
      <c r="A180" s="2" t="s">
        <v>378</v>
      </c>
      <c r="B180" s="2" t="b">
        <v>1</v>
      </c>
      <c r="C180" s="2"/>
      <c r="D180" s="2"/>
      <c r="E180" s="2" t="b">
        <f t="shared" si="56"/>
        <v>0</v>
      </c>
      <c r="F180" s="2"/>
      <c r="G180" s="2"/>
      <c r="H180" s="2" t="str">
        <f t="shared" si="64"/>
        <v>Blanc</v>
      </c>
      <c r="I180" s="2" t="str">
        <f t="shared" si="57"/>
        <v>-CW</v>
      </c>
      <c r="J180" s="2"/>
      <c r="K180" s="2" t="s">
        <v>326</v>
      </c>
      <c r="L180" s="2"/>
      <c r="M180" s="2" t="str">
        <f>IFERROR(VLOOKUP(K180,Categories!$A$2:$C$41,3,FALSE()),"⚠ slug introuvable")</f>
        <v>⚠ slug introuvable</v>
      </c>
      <c r="N180" s="2" t="s">
        <v>379</v>
      </c>
      <c r="O180" s="2"/>
      <c r="P180" s="2"/>
      <c r="Q180" s="11">
        <v>0</v>
      </c>
      <c r="R180" s="11">
        <f t="shared" si="58"/>
        <v>0</v>
      </c>
      <c r="S180" s="11">
        <f t="shared" si="59"/>
        <v>0</v>
      </c>
      <c r="T180" s="11">
        <f t="shared" si="60"/>
        <v>0</v>
      </c>
      <c r="U180" s="11">
        <f t="shared" si="66"/>
        <v>0</v>
      </c>
      <c r="V180" s="11">
        <f t="shared" si="66"/>
        <v>0</v>
      </c>
      <c r="W180" s="11">
        <f t="shared" si="61"/>
        <v>0</v>
      </c>
      <c r="X180" s="11">
        <f t="shared" si="62"/>
        <v>0</v>
      </c>
      <c r="Y180" s="14">
        <v>0.4</v>
      </c>
      <c r="Z180" s="11">
        <f t="shared" si="63"/>
        <v>0</v>
      </c>
      <c r="AA180" s="2">
        <v>27</v>
      </c>
      <c r="AB180" s="2">
        <v>36</v>
      </c>
      <c r="AC180" s="2">
        <v>12</v>
      </c>
      <c r="AD180" s="2">
        <v>2</v>
      </c>
      <c r="AE180" s="2">
        <v>0</v>
      </c>
    </row>
    <row r="181" spans="1:31">
      <c r="A181" s="2" t="s">
        <v>380</v>
      </c>
      <c r="B181" s="2"/>
      <c r="C181" s="2"/>
      <c r="D181" s="2"/>
      <c r="E181" s="2" t="b">
        <f t="shared" si="56"/>
        <v>1</v>
      </c>
      <c r="F181" s="2"/>
      <c r="G181" s="2" t="s">
        <v>381</v>
      </c>
      <c r="H181" s="2" t="str">
        <f t="shared" si="64"/>
        <v>Blanc</v>
      </c>
      <c r="I181" s="2" t="str">
        <f t="shared" si="57"/>
        <v>DOWRC3920-CW</v>
      </c>
      <c r="J181" s="2" t="s">
        <v>232</v>
      </c>
      <c r="K181" s="2" t="s">
        <v>315</v>
      </c>
      <c r="L181" s="2" t="str">
        <f>IFERROR(VLOOKUP(J181,Categories!$A$2:$C$41,3,FALSE()),"⚠ slug introuvable")</f>
        <v>Armoire murale</v>
      </c>
      <c r="M181" s="2" t="str">
        <f>IFERROR(VLOOKUP(K181,Categories!$A$2:$C$41,3,FALSE()),"⚠ slug introuvable")</f>
        <v>Dessus du réfrigérateur</v>
      </c>
      <c r="N181" s="2" t="s">
        <v>316</v>
      </c>
      <c r="O181" s="2" t="str">
        <f t="shared" ref="O181:O189" si="67">_xlfn.CONCAT(N181," (",AA181,""" x ",AB181,""")")</f>
        <v>Armoire de cuisine du haut à 2 portes pour dessus de réfrigérateur (39" x 20")</v>
      </c>
      <c r="P181" s="2" t="str">
        <f>_xlfn.CONCAT("Dessus de réfrigérateur"," (",AA181,""" x ",AB181,""")")</f>
        <v>Dessus de réfrigérateur (39" x 20")</v>
      </c>
      <c r="Q181" s="11">
        <v>702</v>
      </c>
      <c r="R181" s="11">
        <f t="shared" si="58"/>
        <v>62.4</v>
      </c>
      <c r="S181" s="11">
        <f t="shared" si="59"/>
        <v>87.36</v>
      </c>
      <c r="T181" s="11">
        <f t="shared" si="60"/>
        <v>96.096000000000004</v>
      </c>
      <c r="U181" s="11">
        <f t="shared" si="66"/>
        <v>115.3152</v>
      </c>
      <c r="V181" s="11">
        <f t="shared" si="66"/>
        <v>138.37824000000001</v>
      </c>
      <c r="W181" s="11">
        <f t="shared" si="61"/>
        <v>152.21606400000002</v>
      </c>
      <c r="X181" s="11">
        <f t="shared" si="62"/>
        <v>152.21606400000002</v>
      </c>
      <c r="Y181" s="14">
        <v>0.4</v>
      </c>
      <c r="Z181" s="11">
        <f t="shared" si="63"/>
        <v>253.69344000000004</v>
      </c>
      <c r="AA181" s="2">
        <v>39</v>
      </c>
      <c r="AB181" s="2">
        <v>20</v>
      </c>
      <c r="AC181" s="2">
        <v>27</v>
      </c>
      <c r="AD181" s="2">
        <v>2</v>
      </c>
      <c r="AE181" s="2">
        <v>0</v>
      </c>
    </row>
    <row r="182" spans="1:31">
      <c r="A182" s="2" t="s">
        <v>382</v>
      </c>
      <c r="B182" s="2"/>
      <c r="C182" s="2"/>
      <c r="D182" s="2"/>
      <c r="E182" s="2" t="b">
        <f t="shared" si="56"/>
        <v>1</v>
      </c>
      <c r="F182" s="2"/>
      <c r="G182" s="2" t="s">
        <v>383</v>
      </c>
      <c r="H182" s="2" t="str">
        <f t="shared" si="64"/>
        <v>Blanc</v>
      </c>
      <c r="I182" s="2" t="str">
        <f t="shared" si="57"/>
        <v>DOWC4230-CW</v>
      </c>
      <c r="J182" s="2" t="s">
        <v>232</v>
      </c>
      <c r="K182" s="2" t="s">
        <v>233</v>
      </c>
      <c r="L182" s="2" t="str">
        <f>IFERROR(VLOOKUP(J182,Categories!$A$2:$C$41,3,FALSE()),"⚠ slug introuvable")</f>
        <v>Armoire murale</v>
      </c>
      <c r="M182" s="2" t="str">
        <f>IFERROR(VLOOKUP(K182,Categories!$A$2:$C$41,3,FALSE()),"⚠ slug introuvable")</f>
        <v>Standard</v>
      </c>
      <c r="N182" s="2" t="s">
        <v>278</v>
      </c>
      <c r="O182" s="2" t="str">
        <f t="shared" si="67"/>
        <v>Armoire de cuisine du haut à 2 portes (42" x 30")</v>
      </c>
      <c r="P182" s="2" t="str">
        <f>_xlfn.CONCAT("2 portes"," (",AA182,""" x ",AB182,""")")</f>
        <v>2 portes (42" x 30")</v>
      </c>
      <c r="Q182" s="11">
        <v>1001.9</v>
      </c>
      <c r="R182" s="11">
        <f t="shared" si="58"/>
        <v>89.057777777777773</v>
      </c>
      <c r="S182" s="11">
        <f t="shared" si="59"/>
        <v>124.68088888888887</v>
      </c>
      <c r="T182" s="11">
        <f t="shared" si="60"/>
        <v>137.14897777777776</v>
      </c>
      <c r="U182" s="11">
        <f t="shared" si="66"/>
        <v>164.57877333333332</v>
      </c>
      <c r="V182" s="11">
        <f t="shared" si="66"/>
        <v>197.49452799999997</v>
      </c>
      <c r="W182" s="11">
        <f t="shared" si="61"/>
        <v>217.2439808</v>
      </c>
      <c r="X182" s="11">
        <f t="shared" si="62"/>
        <v>217.2439808</v>
      </c>
      <c r="Y182" s="14">
        <v>0.4</v>
      </c>
      <c r="Z182" s="11">
        <f t="shared" si="63"/>
        <v>362.07330133333335</v>
      </c>
      <c r="AA182" s="2">
        <v>42</v>
      </c>
      <c r="AB182" s="2">
        <v>30</v>
      </c>
      <c r="AC182" s="2">
        <v>12</v>
      </c>
      <c r="AD182" s="2">
        <v>2</v>
      </c>
      <c r="AE182" s="2">
        <v>0</v>
      </c>
    </row>
    <row r="183" spans="1:31">
      <c r="A183" s="2" t="s">
        <v>384</v>
      </c>
      <c r="B183" s="2"/>
      <c r="C183" s="2"/>
      <c r="D183" s="2"/>
      <c r="E183" s="2" t="b">
        <f t="shared" si="56"/>
        <v>1</v>
      </c>
      <c r="F183" s="2"/>
      <c r="G183" s="2" t="s">
        <v>385</v>
      </c>
      <c r="H183" s="2" t="str">
        <f t="shared" si="64"/>
        <v>Blanc</v>
      </c>
      <c r="I183" s="2" t="str">
        <f t="shared" si="57"/>
        <v>DOWC4236-CW</v>
      </c>
      <c r="J183" s="2" t="s">
        <v>232</v>
      </c>
      <c r="K183" s="2" t="s">
        <v>233</v>
      </c>
      <c r="L183" s="2" t="str">
        <f>IFERROR(VLOOKUP(J183,Categories!$A$2:$C$41,3,FALSE()),"⚠ slug introuvable")</f>
        <v>Armoire murale</v>
      </c>
      <c r="M183" s="2" t="str">
        <f>IFERROR(VLOOKUP(K183,Categories!$A$2:$C$41,3,FALSE()),"⚠ slug introuvable")</f>
        <v>Standard</v>
      </c>
      <c r="N183" s="2" t="s">
        <v>278</v>
      </c>
      <c r="O183" s="2" t="str">
        <f t="shared" si="67"/>
        <v>Armoire de cuisine du haut à 2 portes (42" x 36")</v>
      </c>
      <c r="P183" s="2" t="str">
        <f>_xlfn.CONCAT("2 portes"," (",AA183,""" x ",AB183,""")")</f>
        <v>2 portes (42" x 36")</v>
      </c>
      <c r="Q183" s="11">
        <v>1127</v>
      </c>
      <c r="R183" s="11">
        <f t="shared" si="58"/>
        <v>100.17777777777778</v>
      </c>
      <c r="S183" s="11">
        <f t="shared" si="59"/>
        <v>140.24888888888887</v>
      </c>
      <c r="T183" s="11">
        <f t="shared" si="60"/>
        <v>154.27377777777778</v>
      </c>
      <c r="U183" s="11">
        <f t="shared" si="66"/>
        <v>185.12853333333334</v>
      </c>
      <c r="V183" s="11">
        <f t="shared" si="66"/>
        <v>222.15423999999999</v>
      </c>
      <c r="W183" s="11">
        <f t="shared" si="61"/>
        <v>244.369664</v>
      </c>
      <c r="X183" s="11">
        <f t="shared" si="62"/>
        <v>244.369664</v>
      </c>
      <c r="Y183" s="14">
        <v>0.4</v>
      </c>
      <c r="Z183" s="11">
        <f t="shared" si="63"/>
        <v>407.28277333333335</v>
      </c>
      <c r="AA183" s="2">
        <v>42</v>
      </c>
      <c r="AB183" s="2">
        <v>36</v>
      </c>
      <c r="AC183" s="2">
        <v>12</v>
      </c>
      <c r="AD183" s="2">
        <v>2</v>
      </c>
      <c r="AE183" s="2">
        <v>0</v>
      </c>
    </row>
    <row r="184" spans="1:31">
      <c r="A184" s="2" t="s">
        <v>386</v>
      </c>
      <c r="B184" s="2"/>
      <c r="C184" s="2"/>
      <c r="D184" s="2"/>
      <c r="E184" s="2" t="b">
        <f t="shared" si="56"/>
        <v>1</v>
      </c>
      <c r="F184" s="2"/>
      <c r="G184" s="2" t="s">
        <v>387</v>
      </c>
      <c r="H184" s="2" t="str">
        <f t="shared" si="64"/>
        <v>Blanc</v>
      </c>
      <c r="I184" s="2" t="str">
        <f t="shared" si="57"/>
        <v>BCWC3030-CW</v>
      </c>
      <c r="J184" s="2" t="s">
        <v>232</v>
      </c>
      <c r="K184" s="2" t="s">
        <v>388</v>
      </c>
      <c r="L184" s="2" t="str">
        <f>IFERROR(VLOOKUP(J184,Categories!$A$2:$C$41,3,FALSE()),"⚠ slug introuvable")</f>
        <v>Armoire murale</v>
      </c>
      <c r="M184" s="2" t="str">
        <f>IFERROR(VLOOKUP(K184,Categories!$A$2:$C$41,3,FALSE()),"⚠ slug introuvable")</f>
        <v>Coin</v>
      </c>
      <c r="N184" s="2" t="s">
        <v>389</v>
      </c>
      <c r="O184" s="2" t="str">
        <f t="shared" si="67"/>
        <v>Armoire de cuisine du haut coin mort (30" x 30")</v>
      </c>
      <c r="P184" s="2" t="str">
        <f t="shared" ref="P184:P189" si="68">_xlfn.CONCAT("Coin mort"," (",AA184,""" x ",AB184,""")")</f>
        <v>Coin mort (30" x 30")</v>
      </c>
      <c r="Q184" s="11">
        <v>664</v>
      </c>
      <c r="R184" s="11">
        <f t="shared" si="58"/>
        <v>59.022222222222226</v>
      </c>
      <c r="S184" s="11">
        <f t="shared" si="59"/>
        <v>82.63111111111111</v>
      </c>
      <c r="T184" s="11">
        <f t="shared" si="60"/>
        <v>90.894222222222226</v>
      </c>
      <c r="U184" s="11">
        <f t="shared" si="66"/>
        <v>109.07306666666666</v>
      </c>
      <c r="V184" s="11">
        <f t="shared" si="66"/>
        <v>130.88767999999999</v>
      </c>
      <c r="W184" s="11">
        <f t="shared" si="61"/>
        <v>143.976448</v>
      </c>
      <c r="X184" s="11">
        <f t="shared" si="62"/>
        <v>143.976448</v>
      </c>
      <c r="Y184" s="14">
        <v>0.4</v>
      </c>
      <c r="Z184" s="11">
        <f t="shared" si="63"/>
        <v>239.96074666666669</v>
      </c>
      <c r="AA184" s="2">
        <v>30</v>
      </c>
      <c r="AB184" s="2">
        <v>30</v>
      </c>
      <c r="AC184" s="2">
        <v>12</v>
      </c>
      <c r="AD184" s="2">
        <v>1</v>
      </c>
      <c r="AE184" s="2">
        <v>0</v>
      </c>
    </row>
    <row r="185" spans="1:31">
      <c r="A185" s="2" t="s">
        <v>390</v>
      </c>
      <c r="B185" s="2"/>
      <c r="C185" s="2"/>
      <c r="D185" s="2"/>
      <c r="E185" s="2" t="b">
        <f t="shared" si="56"/>
        <v>1</v>
      </c>
      <c r="F185" s="2"/>
      <c r="G185" s="2" t="s">
        <v>391</v>
      </c>
      <c r="H185" s="2" t="str">
        <f t="shared" si="64"/>
        <v>Blanc</v>
      </c>
      <c r="I185" s="2" t="str">
        <f t="shared" si="57"/>
        <v>BCWC3036-CW</v>
      </c>
      <c r="J185" s="2" t="s">
        <v>232</v>
      </c>
      <c r="K185" s="2" t="s">
        <v>388</v>
      </c>
      <c r="L185" s="2" t="str">
        <f>IFERROR(VLOOKUP(J185,Categories!$A$2:$C$41,3,FALSE()),"⚠ slug introuvable")</f>
        <v>Armoire murale</v>
      </c>
      <c r="M185" s="2" t="str">
        <f>IFERROR(VLOOKUP(K185,Categories!$A$2:$C$41,3,FALSE()),"⚠ slug introuvable")</f>
        <v>Coin</v>
      </c>
      <c r="N185" s="2" t="s">
        <v>389</v>
      </c>
      <c r="O185" s="2" t="str">
        <f t="shared" si="67"/>
        <v>Armoire de cuisine du haut coin mort (30" x 36")</v>
      </c>
      <c r="P185" s="2" t="str">
        <f t="shared" si="68"/>
        <v>Coin mort (30" x 36")</v>
      </c>
      <c r="Q185" s="11">
        <v>749</v>
      </c>
      <c r="R185" s="11">
        <f t="shared" si="58"/>
        <v>66.577777777777783</v>
      </c>
      <c r="S185" s="11">
        <f t="shared" si="59"/>
        <v>93.208888888888893</v>
      </c>
      <c r="T185" s="11">
        <f t="shared" si="60"/>
        <v>102.5297777777778</v>
      </c>
      <c r="U185" s="11">
        <f t="shared" si="66"/>
        <v>123.03573333333335</v>
      </c>
      <c r="V185" s="11">
        <f t="shared" si="66"/>
        <v>147.64288000000002</v>
      </c>
      <c r="W185" s="11">
        <f t="shared" si="61"/>
        <v>162.40716800000004</v>
      </c>
      <c r="X185" s="11">
        <f t="shared" si="62"/>
        <v>162.40716800000004</v>
      </c>
      <c r="Y185" s="14">
        <v>0.4</v>
      </c>
      <c r="Z185" s="11">
        <f t="shared" si="63"/>
        <v>270.67861333333343</v>
      </c>
      <c r="AA185" s="2">
        <v>30</v>
      </c>
      <c r="AB185" s="2">
        <v>36</v>
      </c>
      <c r="AC185" s="2">
        <v>12</v>
      </c>
      <c r="AD185" s="2">
        <v>1</v>
      </c>
      <c r="AE185" s="2">
        <v>0</v>
      </c>
    </row>
    <row r="186" spans="1:31">
      <c r="A186" s="2" t="s">
        <v>392</v>
      </c>
      <c r="B186" s="2"/>
      <c r="C186" s="2"/>
      <c r="D186" s="2"/>
      <c r="E186" s="2" t="b">
        <f t="shared" si="56"/>
        <v>1</v>
      </c>
      <c r="F186" s="4" t="s">
        <v>393</v>
      </c>
      <c r="G186" s="2" t="s">
        <v>394</v>
      </c>
      <c r="H186" s="2" t="str">
        <f t="shared" si="64"/>
        <v>Blanc</v>
      </c>
      <c r="I186" s="2" t="str">
        <f t="shared" si="57"/>
        <v>BCWC3330-CW</v>
      </c>
      <c r="J186" s="2" t="s">
        <v>232</v>
      </c>
      <c r="K186" s="2" t="s">
        <v>388</v>
      </c>
      <c r="L186" s="2" t="str">
        <f>IFERROR(VLOOKUP(J186,Categories!$A$2:$C$41,3,FALSE()),"⚠ slug introuvable")</f>
        <v>Armoire murale</v>
      </c>
      <c r="M186" s="2" t="str">
        <f>IFERROR(VLOOKUP(K186,Categories!$A$2:$C$41,3,FALSE()),"⚠ slug introuvable")</f>
        <v>Coin</v>
      </c>
      <c r="N186" s="2" t="s">
        <v>389</v>
      </c>
      <c r="O186" s="2" t="str">
        <f t="shared" si="67"/>
        <v>Armoire de cuisine du haut coin mort (33" x 30")</v>
      </c>
      <c r="P186" s="2" t="str">
        <f t="shared" si="68"/>
        <v>Coin mort (33" x 30")</v>
      </c>
      <c r="Q186" s="11">
        <v>711</v>
      </c>
      <c r="R186" s="11">
        <f t="shared" si="58"/>
        <v>63.2</v>
      </c>
      <c r="S186" s="11">
        <f t="shared" si="59"/>
        <v>88.48</v>
      </c>
      <c r="T186" s="11">
        <f t="shared" si="60"/>
        <v>97.328000000000017</v>
      </c>
      <c r="U186" s="11">
        <f t="shared" si="66"/>
        <v>116.79360000000001</v>
      </c>
      <c r="V186" s="11">
        <f t="shared" si="66"/>
        <v>140.15232</v>
      </c>
      <c r="W186" s="11">
        <f t="shared" si="61"/>
        <v>154.16755200000003</v>
      </c>
      <c r="X186" s="11">
        <f t="shared" si="62"/>
        <v>154.16755200000003</v>
      </c>
      <c r="Y186" s="14">
        <v>0.4</v>
      </c>
      <c r="Z186" s="11">
        <f t="shared" si="63"/>
        <v>256.94592000000006</v>
      </c>
      <c r="AA186" s="2">
        <v>33</v>
      </c>
      <c r="AB186" s="2">
        <v>30</v>
      </c>
      <c r="AC186" s="2">
        <v>12</v>
      </c>
      <c r="AD186" s="2">
        <v>1</v>
      </c>
      <c r="AE186" s="2">
        <v>0</v>
      </c>
    </row>
    <row r="187" spans="1:31">
      <c r="A187" s="2" t="s">
        <v>395</v>
      </c>
      <c r="B187" s="2"/>
      <c r="C187" s="2"/>
      <c r="D187" s="2"/>
      <c r="E187" s="2" t="b">
        <f t="shared" si="56"/>
        <v>1</v>
      </c>
      <c r="F187" s="2"/>
      <c r="G187" s="2" t="s">
        <v>396</v>
      </c>
      <c r="H187" s="2" t="str">
        <f t="shared" si="64"/>
        <v>Blanc</v>
      </c>
      <c r="I187" s="2" t="str">
        <f t="shared" si="57"/>
        <v>BCWC3336-CW</v>
      </c>
      <c r="J187" s="2" t="s">
        <v>232</v>
      </c>
      <c r="K187" s="2" t="s">
        <v>388</v>
      </c>
      <c r="L187" s="2" t="str">
        <f>IFERROR(VLOOKUP(J187,Categories!$A$2:$C$41,3,FALSE()),"⚠ slug introuvable")</f>
        <v>Armoire murale</v>
      </c>
      <c r="M187" s="2" t="str">
        <f>IFERROR(VLOOKUP(K187,Categories!$A$2:$C$41,3,FALSE()),"⚠ slug introuvable")</f>
        <v>Coin</v>
      </c>
      <c r="N187" s="2" t="s">
        <v>389</v>
      </c>
      <c r="O187" s="2" t="str">
        <f t="shared" si="67"/>
        <v>Armoire de cuisine du haut coin mort (33" x 36")</v>
      </c>
      <c r="P187" s="2" t="str">
        <f t="shared" si="68"/>
        <v>Coin mort (33" x 36")</v>
      </c>
      <c r="Q187" s="11">
        <v>795</v>
      </c>
      <c r="R187" s="11">
        <f t="shared" si="58"/>
        <v>70.666666666666671</v>
      </c>
      <c r="S187" s="11">
        <f t="shared" si="59"/>
        <v>98.933333333333337</v>
      </c>
      <c r="T187" s="11">
        <f t="shared" si="60"/>
        <v>108.82666666666668</v>
      </c>
      <c r="U187" s="11">
        <f t="shared" si="66"/>
        <v>130.59200000000001</v>
      </c>
      <c r="V187" s="11">
        <f t="shared" si="66"/>
        <v>156.71040000000002</v>
      </c>
      <c r="W187" s="11">
        <f t="shared" si="61"/>
        <v>172.38144000000003</v>
      </c>
      <c r="X187" s="11">
        <f t="shared" si="62"/>
        <v>172.38144000000003</v>
      </c>
      <c r="Y187" s="14">
        <v>0.4</v>
      </c>
      <c r="Z187" s="11">
        <f t="shared" si="63"/>
        <v>287.30240000000003</v>
      </c>
      <c r="AA187" s="2">
        <v>33</v>
      </c>
      <c r="AB187" s="2">
        <v>36</v>
      </c>
      <c r="AC187" s="2">
        <v>12</v>
      </c>
      <c r="AD187" s="2">
        <v>1</v>
      </c>
      <c r="AE187" s="2">
        <v>0</v>
      </c>
    </row>
    <row r="188" spans="1:31">
      <c r="A188" s="2" t="s">
        <v>397</v>
      </c>
      <c r="B188" s="2"/>
      <c r="C188" s="2"/>
      <c r="D188" s="2"/>
      <c r="E188" s="2" t="b">
        <f t="shared" si="56"/>
        <v>1</v>
      </c>
      <c r="F188" s="2"/>
      <c r="G188" s="2" t="s">
        <v>398</v>
      </c>
      <c r="H188" s="2" t="str">
        <f t="shared" si="64"/>
        <v>Blanc</v>
      </c>
      <c r="I188" s="2" t="str">
        <f t="shared" si="57"/>
        <v>BCWC3630-CW</v>
      </c>
      <c r="J188" s="2" t="s">
        <v>232</v>
      </c>
      <c r="K188" s="2" t="s">
        <v>388</v>
      </c>
      <c r="L188" s="2" t="str">
        <f>IFERROR(VLOOKUP(J188,Categories!$A$2:$C$41,3,FALSE()),"⚠ slug introuvable")</f>
        <v>Armoire murale</v>
      </c>
      <c r="M188" s="2" t="str">
        <f>IFERROR(VLOOKUP(K188,Categories!$A$2:$C$41,3,FALSE()),"⚠ slug introuvable")</f>
        <v>Coin</v>
      </c>
      <c r="N188" s="2" t="s">
        <v>389</v>
      </c>
      <c r="O188" s="2" t="str">
        <f t="shared" si="67"/>
        <v>Armoire de cuisine du haut coin mort (36" x 30")</v>
      </c>
      <c r="P188" s="2" t="str">
        <f t="shared" si="68"/>
        <v>Coin mort (36" x 30")</v>
      </c>
      <c r="Q188" s="11">
        <v>772</v>
      </c>
      <c r="R188" s="11">
        <f t="shared" si="58"/>
        <v>68.62222222222222</v>
      </c>
      <c r="S188" s="11">
        <f t="shared" si="59"/>
        <v>96.071111111111108</v>
      </c>
      <c r="T188" s="11">
        <f t="shared" si="60"/>
        <v>105.67822222222223</v>
      </c>
      <c r="U188" s="11">
        <f t="shared" si="66"/>
        <v>126.81386666666667</v>
      </c>
      <c r="V188" s="11">
        <f t="shared" si="66"/>
        <v>152.17663999999999</v>
      </c>
      <c r="W188" s="11">
        <f t="shared" si="61"/>
        <v>167.39430400000001</v>
      </c>
      <c r="X188" s="11">
        <f t="shared" si="62"/>
        <v>167.39430400000001</v>
      </c>
      <c r="Y188" s="14">
        <v>0.4</v>
      </c>
      <c r="Z188" s="11">
        <f t="shared" si="63"/>
        <v>278.9905066666667</v>
      </c>
      <c r="AA188" s="2">
        <v>36</v>
      </c>
      <c r="AB188" s="2">
        <v>30</v>
      </c>
      <c r="AC188" s="2">
        <v>12</v>
      </c>
      <c r="AD188" s="2">
        <v>1</v>
      </c>
      <c r="AE188" s="2">
        <v>0</v>
      </c>
    </row>
    <row r="189" spans="1:31">
      <c r="A189" s="2" t="s">
        <v>399</v>
      </c>
      <c r="B189" s="2"/>
      <c r="C189" s="2"/>
      <c r="D189" s="2"/>
      <c r="E189" s="2" t="b">
        <f t="shared" si="56"/>
        <v>1</v>
      </c>
      <c r="F189" s="2"/>
      <c r="G189" s="2" t="s">
        <v>400</v>
      </c>
      <c r="H189" s="2" t="str">
        <f t="shared" si="64"/>
        <v>Blanc</v>
      </c>
      <c r="I189" s="2" t="str">
        <f t="shared" si="57"/>
        <v>BCWC3636-CW</v>
      </c>
      <c r="J189" s="2" t="s">
        <v>232</v>
      </c>
      <c r="K189" s="2" t="s">
        <v>388</v>
      </c>
      <c r="L189" s="2" t="str">
        <f>IFERROR(VLOOKUP(J189,Categories!$A$2:$C$41,3,FALSE()),"⚠ slug introuvable")</f>
        <v>Armoire murale</v>
      </c>
      <c r="M189" s="2" t="str">
        <f>IFERROR(VLOOKUP(K189,Categories!$A$2:$C$41,3,FALSE()),"⚠ slug introuvable")</f>
        <v>Coin</v>
      </c>
      <c r="N189" s="2" t="s">
        <v>389</v>
      </c>
      <c r="O189" s="2" t="str">
        <f t="shared" si="67"/>
        <v>Armoire de cuisine du haut coin mort (36" x 36")</v>
      </c>
      <c r="P189" s="2" t="str">
        <f t="shared" si="68"/>
        <v>Coin mort (36" x 36")</v>
      </c>
      <c r="Q189" s="11">
        <v>850</v>
      </c>
      <c r="R189" s="11">
        <f t="shared" si="58"/>
        <v>75.555555555555557</v>
      </c>
      <c r="S189" s="11">
        <f t="shared" si="59"/>
        <v>105.77777777777777</v>
      </c>
      <c r="T189" s="11">
        <f t="shared" si="60"/>
        <v>116.35555555555555</v>
      </c>
      <c r="U189" s="11">
        <f t="shared" si="66"/>
        <v>139.62666666666667</v>
      </c>
      <c r="V189" s="11">
        <f t="shared" si="66"/>
        <v>167.55199999999999</v>
      </c>
      <c r="W189" s="11">
        <f t="shared" si="61"/>
        <v>184.30719999999999</v>
      </c>
      <c r="X189" s="11">
        <f t="shared" si="62"/>
        <v>184.30719999999999</v>
      </c>
      <c r="Y189" s="14">
        <v>0.4</v>
      </c>
      <c r="Z189" s="11">
        <f t="shared" si="63"/>
        <v>307.17866666666669</v>
      </c>
      <c r="AA189" s="2">
        <v>36</v>
      </c>
      <c r="AB189" s="2">
        <v>36</v>
      </c>
      <c r="AC189" s="2">
        <v>12</v>
      </c>
      <c r="AD189" s="2">
        <v>1</v>
      </c>
      <c r="AE189" s="2">
        <v>0</v>
      </c>
    </row>
    <row r="190" spans="1:31" hidden="1">
      <c r="A190" s="2" t="s">
        <v>401</v>
      </c>
      <c r="B190" s="2" t="b">
        <v>1</v>
      </c>
      <c r="C190" s="2"/>
      <c r="D190" s="2"/>
      <c r="E190" s="2" t="b">
        <f t="shared" si="56"/>
        <v>0</v>
      </c>
      <c r="F190" s="2"/>
      <c r="G190" s="2"/>
      <c r="H190" s="2" t="str">
        <f t="shared" si="64"/>
        <v>Blanc</v>
      </c>
      <c r="I190" s="2" t="str">
        <f t="shared" si="57"/>
        <v>-CW</v>
      </c>
      <c r="J190" s="2"/>
      <c r="K190" s="2" t="s">
        <v>326</v>
      </c>
      <c r="L190" s="2"/>
      <c r="M190" s="2" t="str">
        <f>IFERROR(VLOOKUP(K190,Categories!$A$2:$C$41,3,FALSE()),"⚠ slug introuvable")</f>
        <v>⚠ slug introuvable</v>
      </c>
      <c r="N190" s="2" t="s">
        <v>402</v>
      </c>
      <c r="O190" s="2"/>
      <c r="P190" s="2"/>
      <c r="Q190" s="11">
        <v>0</v>
      </c>
      <c r="R190" s="11">
        <f t="shared" si="58"/>
        <v>0</v>
      </c>
      <c r="S190" s="11">
        <f t="shared" si="59"/>
        <v>0</v>
      </c>
      <c r="T190" s="11">
        <f t="shared" si="60"/>
        <v>0</v>
      </c>
      <c r="U190" s="11">
        <f t="shared" ref="U190:V209" si="69">T190*1.2</f>
        <v>0</v>
      </c>
      <c r="V190" s="11">
        <f t="shared" si="69"/>
        <v>0</v>
      </c>
      <c r="W190" s="11">
        <f t="shared" si="61"/>
        <v>0</v>
      </c>
      <c r="X190" s="11">
        <f t="shared" si="62"/>
        <v>0</v>
      </c>
      <c r="Y190" s="14">
        <v>0.4</v>
      </c>
      <c r="Z190" s="11">
        <f t="shared" si="63"/>
        <v>0</v>
      </c>
      <c r="AA190" s="2">
        <v>30</v>
      </c>
      <c r="AB190" s="2">
        <v>36</v>
      </c>
      <c r="AC190" s="2">
        <v>12</v>
      </c>
      <c r="AD190" s="2">
        <v>2</v>
      </c>
      <c r="AE190" s="2">
        <v>0</v>
      </c>
    </row>
    <row r="191" spans="1:31">
      <c r="A191" s="2" t="s">
        <v>403</v>
      </c>
      <c r="B191" s="2"/>
      <c r="C191" s="2"/>
      <c r="D191" s="2"/>
      <c r="E191" s="2" t="b">
        <f t="shared" si="56"/>
        <v>1</v>
      </c>
      <c r="F191" s="2"/>
      <c r="G191" s="2" t="s">
        <v>404</v>
      </c>
      <c r="H191" s="2" t="str">
        <f t="shared" si="64"/>
        <v>Blanc</v>
      </c>
      <c r="I191" s="2" t="str">
        <f t="shared" si="57"/>
        <v>MWC2430-CW</v>
      </c>
      <c r="J191" s="2" t="s">
        <v>232</v>
      </c>
      <c r="K191" s="2" t="s">
        <v>405</v>
      </c>
      <c r="L191" s="2" t="str">
        <f>IFERROR(VLOOKUP(J191,Categories!$A$2:$C$41,3,FALSE()),"⚠ slug introuvable")</f>
        <v>Armoire murale</v>
      </c>
      <c r="M191" s="2" t="str">
        <f>IFERROR(VLOOKUP(K191,Categories!$A$2:$C$41,3,FALSE()),"⚠ slug introuvable")</f>
        <v>Micro-ondes</v>
      </c>
      <c r="N191" s="2" t="s">
        <v>406</v>
      </c>
      <c r="O191" s="2" t="str">
        <f>_xlfn.CONCAT(N191," (",AA191,""" x ",AB191,""")")</f>
        <v>Armoire de cuisine du haut avec espace micro-ondes et 2 portes (24" x 30")</v>
      </c>
      <c r="P191" s="2" t="str">
        <f>_xlfn.CONCAT("Micro-ondes"," (",AA191,""" x ",AB191,""")")</f>
        <v>Micro-ondes (24" x 30")</v>
      </c>
      <c r="Q191" s="11">
        <v>647</v>
      </c>
      <c r="R191" s="11">
        <f t="shared" si="58"/>
        <v>57.511111111111113</v>
      </c>
      <c r="S191" s="11">
        <f t="shared" si="59"/>
        <v>80.515555555555551</v>
      </c>
      <c r="T191" s="11">
        <f t="shared" si="60"/>
        <v>88.567111111111117</v>
      </c>
      <c r="U191" s="11">
        <f t="shared" si="69"/>
        <v>106.28053333333334</v>
      </c>
      <c r="V191" s="11">
        <f t="shared" si="69"/>
        <v>127.53664000000001</v>
      </c>
      <c r="W191" s="11">
        <f t="shared" si="61"/>
        <v>140.29030400000002</v>
      </c>
      <c r="X191" s="11">
        <f t="shared" si="62"/>
        <v>140.29030400000002</v>
      </c>
      <c r="Y191" s="14">
        <v>0.4</v>
      </c>
      <c r="Z191" s="11">
        <f t="shared" si="63"/>
        <v>233.81717333333339</v>
      </c>
      <c r="AA191" s="2">
        <v>24</v>
      </c>
      <c r="AB191" s="2">
        <v>30</v>
      </c>
      <c r="AC191" s="2">
        <v>12</v>
      </c>
      <c r="AD191" s="2">
        <v>2</v>
      </c>
      <c r="AE191" s="2">
        <v>0</v>
      </c>
    </row>
    <row r="192" spans="1:31">
      <c r="A192" s="2" t="s">
        <v>407</v>
      </c>
      <c r="B192" s="2"/>
      <c r="C192" s="2"/>
      <c r="D192" s="2"/>
      <c r="E192" s="2" t="b">
        <f t="shared" si="56"/>
        <v>1</v>
      </c>
      <c r="F192" s="2"/>
      <c r="G192" s="2" t="s">
        <v>408</v>
      </c>
      <c r="H192" s="2" t="str">
        <f t="shared" si="64"/>
        <v>Blanc</v>
      </c>
      <c r="I192" s="2" t="str">
        <f t="shared" si="57"/>
        <v>MWC2436-CW</v>
      </c>
      <c r="J192" s="2" t="s">
        <v>232</v>
      </c>
      <c r="K192" s="2" t="s">
        <v>405</v>
      </c>
      <c r="L192" s="2" t="str">
        <f>IFERROR(VLOOKUP(J192,Categories!$A$2:$C$41,3,FALSE()),"⚠ slug introuvable")</f>
        <v>Armoire murale</v>
      </c>
      <c r="M192" s="2" t="str">
        <f>IFERROR(VLOOKUP(K192,Categories!$A$2:$C$41,3,FALSE()),"⚠ slug introuvable")</f>
        <v>Micro-ondes</v>
      </c>
      <c r="N192" s="2" t="s">
        <v>406</v>
      </c>
      <c r="O192" s="2" t="str">
        <f>_xlfn.CONCAT(N192," (",AA192,""" x ",AB192,""")")</f>
        <v>Armoire de cuisine du haut avec espace micro-ondes et 2 portes (24" x 36")</v>
      </c>
      <c r="P192" s="2" t="str">
        <f>_xlfn.CONCAT("Micro-ondes"," (",AA192,""" x ",AB192,""")")</f>
        <v>Micro-ondes (24" x 36")</v>
      </c>
      <c r="Q192" s="11">
        <v>720</v>
      </c>
      <c r="R192" s="11">
        <f t="shared" si="58"/>
        <v>64</v>
      </c>
      <c r="S192" s="11">
        <f t="shared" si="59"/>
        <v>89.6</v>
      </c>
      <c r="T192" s="11">
        <f t="shared" si="60"/>
        <v>98.56</v>
      </c>
      <c r="U192" s="11">
        <f t="shared" si="69"/>
        <v>118.27199999999999</v>
      </c>
      <c r="V192" s="11">
        <f t="shared" si="69"/>
        <v>141.92639999999997</v>
      </c>
      <c r="W192" s="11">
        <f t="shared" si="61"/>
        <v>156.11903999999998</v>
      </c>
      <c r="X192" s="11">
        <f t="shared" si="62"/>
        <v>156.11903999999998</v>
      </c>
      <c r="Y192" s="14">
        <v>0.4</v>
      </c>
      <c r="Z192" s="11">
        <f t="shared" si="63"/>
        <v>260.19839999999999</v>
      </c>
      <c r="AA192" s="2">
        <v>24</v>
      </c>
      <c r="AB192" s="2">
        <v>36</v>
      </c>
      <c r="AC192" s="2">
        <v>12</v>
      </c>
      <c r="AD192" s="2">
        <v>2</v>
      </c>
      <c r="AE192" s="2">
        <v>0</v>
      </c>
    </row>
    <row r="193" spans="1:31" hidden="1">
      <c r="A193" s="2" t="s">
        <v>409</v>
      </c>
      <c r="B193" s="2" t="b">
        <v>1</v>
      </c>
      <c r="C193" s="2"/>
      <c r="D193" s="2"/>
      <c r="E193" s="2" t="b">
        <f t="shared" si="56"/>
        <v>0</v>
      </c>
      <c r="F193" s="2"/>
      <c r="G193" s="2"/>
      <c r="H193" s="2" t="str">
        <f t="shared" si="64"/>
        <v>Blanc</v>
      </c>
      <c r="I193" s="2" t="str">
        <f t="shared" si="57"/>
        <v>-CW</v>
      </c>
      <c r="J193" s="2"/>
      <c r="K193" s="2" t="s">
        <v>326</v>
      </c>
      <c r="L193" s="2"/>
      <c r="M193" s="2" t="str">
        <f>IFERROR(VLOOKUP(K193,Categories!$A$2:$C$41,3,FALSE()),"⚠ slug introuvable")</f>
        <v>⚠ slug introuvable</v>
      </c>
      <c r="N193" s="2" t="s">
        <v>410</v>
      </c>
      <c r="O193" s="2"/>
      <c r="P193" s="2"/>
      <c r="Q193" s="11">
        <v>0</v>
      </c>
      <c r="R193" s="11">
        <f t="shared" si="58"/>
        <v>0</v>
      </c>
      <c r="S193" s="11">
        <f t="shared" si="59"/>
        <v>0</v>
      </c>
      <c r="T193" s="11">
        <f t="shared" si="60"/>
        <v>0</v>
      </c>
      <c r="U193" s="11">
        <f t="shared" si="69"/>
        <v>0</v>
      </c>
      <c r="V193" s="11">
        <f t="shared" si="69"/>
        <v>0</v>
      </c>
      <c r="W193" s="11">
        <f t="shared" si="61"/>
        <v>0</v>
      </c>
      <c r="X193" s="11">
        <f t="shared" si="62"/>
        <v>0</v>
      </c>
      <c r="Y193" s="14">
        <v>0.4</v>
      </c>
      <c r="Z193" s="11">
        <f t="shared" si="63"/>
        <v>0</v>
      </c>
      <c r="AA193" s="2">
        <v>30</v>
      </c>
      <c r="AB193" s="2">
        <v>67.5</v>
      </c>
      <c r="AC193" s="2">
        <v>18</v>
      </c>
      <c r="AD193" s="2">
        <v>1</v>
      </c>
      <c r="AE193" s="2">
        <v>0</v>
      </c>
    </row>
    <row r="194" spans="1:31">
      <c r="A194" s="2" t="s">
        <v>411</v>
      </c>
      <c r="B194" s="2"/>
      <c r="C194" s="2"/>
      <c r="D194" s="2"/>
      <c r="E194" s="2" t="b">
        <f t="shared" si="56"/>
        <v>1</v>
      </c>
      <c r="F194" s="2"/>
      <c r="G194" s="2" t="s">
        <v>412</v>
      </c>
      <c r="H194" s="2" t="str">
        <f t="shared" si="64"/>
        <v>Blanc</v>
      </c>
      <c r="I194" s="2" t="str">
        <f t="shared" si="57"/>
        <v>MWC2730-CW</v>
      </c>
      <c r="J194" s="2" t="s">
        <v>232</v>
      </c>
      <c r="K194" s="2" t="s">
        <v>405</v>
      </c>
      <c r="L194" s="2" t="str">
        <f>IFERROR(VLOOKUP(J194,Categories!$A$2:$C$41,3,FALSE()),"⚠ slug introuvable")</f>
        <v>Armoire murale</v>
      </c>
      <c r="M194" s="2" t="str">
        <f>IFERROR(VLOOKUP(K194,Categories!$A$2:$C$41,3,FALSE()),"⚠ slug introuvable")</f>
        <v>Micro-ondes</v>
      </c>
      <c r="N194" s="2" t="s">
        <v>406</v>
      </c>
      <c r="O194" s="2" t="str">
        <f>_xlfn.CONCAT(N194," (",AA194,""" x ",AB194,""")")</f>
        <v>Armoire de cuisine du haut avec espace micro-ondes et 2 portes (27" x 30")</v>
      </c>
      <c r="P194" s="2" t="str">
        <f>_xlfn.CONCAT("Micro-ondes"," (",AA194,""" x ",AB194,""")")</f>
        <v>Micro-ondes (27" x 30")</v>
      </c>
      <c r="Q194" s="11">
        <v>681</v>
      </c>
      <c r="R194" s="11">
        <f t="shared" si="58"/>
        <v>60.533333333333331</v>
      </c>
      <c r="S194" s="11">
        <f t="shared" si="59"/>
        <v>84.746666666666655</v>
      </c>
      <c r="T194" s="11">
        <f t="shared" si="60"/>
        <v>93.221333333333334</v>
      </c>
      <c r="U194" s="11">
        <f t="shared" si="69"/>
        <v>111.8656</v>
      </c>
      <c r="V194" s="11">
        <f t="shared" si="69"/>
        <v>134.23872</v>
      </c>
      <c r="W194" s="11">
        <f t="shared" si="61"/>
        <v>147.66259200000002</v>
      </c>
      <c r="X194" s="11">
        <f t="shared" si="62"/>
        <v>147.66259200000002</v>
      </c>
      <c r="Y194" s="14">
        <v>0.4</v>
      </c>
      <c r="Z194" s="11">
        <f t="shared" si="63"/>
        <v>246.10432000000003</v>
      </c>
      <c r="AA194" s="2">
        <v>27</v>
      </c>
      <c r="AB194" s="2">
        <v>30</v>
      </c>
      <c r="AC194" s="2">
        <v>12</v>
      </c>
      <c r="AD194" s="2">
        <v>2</v>
      </c>
      <c r="AE194" s="2">
        <v>0</v>
      </c>
    </row>
    <row r="195" spans="1:31">
      <c r="A195" s="2" t="s">
        <v>413</v>
      </c>
      <c r="B195" s="2"/>
      <c r="C195" s="2"/>
      <c r="D195" s="2"/>
      <c r="E195" s="2" t="b">
        <f t="shared" si="56"/>
        <v>1</v>
      </c>
      <c r="F195" s="2"/>
      <c r="G195" s="2" t="s">
        <v>414</v>
      </c>
      <c r="H195" s="2" t="str">
        <f t="shared" si="64"/>
        <v>Blanc</v>
      </c>
      <c r="I195" s="2" t="str">
        <f t="shared" si="57"/>
        <v>MWC2736-CW</v>
      </c>
      <c r="J195" s="2" t="s">
        <v>232</v>
      </c>
      <c r="K195" s="2" t="s">
        <v>405</v>
      </c>
      <c r="L195" s="2" t="str">
        <f>IFERROR(VLOOKUP(J195,Categories!$A$2:$C$41,3,FALSE()),"⚠ slug introuvable")</f>
        <v>Armoire murale</v>
      </c>
      <c r="M195" s="2" t="str">
        <f>IFERROR(VLOOKUP(K195,Categories!$A$2:$C$41,3,FALSE()),"⚠ slug introuvable")</f>
        <v>Micro-ondes</v>
      </c>
      <c r="N195" s="2" t="s">
        <v>406</v>
      </c>
      <c r="O195" s="2" t="str">
        <f>_xlfn.CONCAT(N195," (",AA195,""" x ",AB195,""")")</f>
        <v>Armoire de cuisine du haut avec espace micro-ondes et 2 portes (27" x 36")</v>
      </c>
      <c r="P195" s="2" t="str">
        <f>_xlfn.CONCAT("Micro-ondes"," (",AA195,""" x ",AB195,""")")</f>
        <v>Micro-ondes (27" x 36")</v>
      </c>
      <c r="Q195" s="11">
        <v>754</v>
      </c>
      <c r="R195" s="11">
        <f t="shared" si="58"/>
        <v>67.022222222222226</v>
      </c>
      <c r="S195" s="11">
        <f t="shared" si="59"/>
        <v>93.831111111111113</v>
      </c>
      <c r="T195" s="11">
        <f t="shared" si="60"/>
        <v>103.21422222222223</v>
      </c>
      <c r="U195" s="11">
        <f t="shared" si="69"/>
        <v>123.85706666666667</v>
      </c>
      <c r="V195" s="11">
        <f t="shared" si="69"/>
        <v>148.62848</v>
      </c>
      <c r="W195" s="11">
        <f t="shared" si="61"/>
        <v>163.49132800000001</v>
      </c>
      <c r="X195" s="11">
        <f t="shared" si="62"/>
        <v>163.49132800000001</v>
      </c>
      <c r="Y195" s="14">
        <v>0.4</v>
      </c>
      <c r="Z195" s="11">
        <f t="shared" si="63"/>
        <v>272.48554666666672</v>
      </c>
      <c r="AA195" s="2">
        <v>27</v>
      </c>
      <c r="AB195" s="2">
        <v>36</v>
      </c>
      <c r="AC195" s="9">
        <v>12</v>
      </c>
      <c r="AD195" s="2">
        <v>2</v>
      </c>
      <c r="AE195" s="2">
        <v>0</v>
      </c>
    </row>
    <row r="196" spans="1:31">
      <c r="A196" s="2" t="s">
        <v>415</v>
      </c>
      <c r="B196" s="2"/>
      <c r="C196" s="2"/>
      <c r="D196" s="2"/>
      <c r="E196" s="2" t="b">
        <f t="shared" si="56"/>
        <v>1</v>
      </c>
      <c r="F196" s="2"/>
      <c r="G196" s="2" t="s">
        <v>416</v>
      </c>
      <c r="H196" s="2" t="str">
        <f t="shared" si="64"/>
        <v>Blanc</v>
      </c>
      <c r="I196" s="2" t="str">
        <f t="shared" si="57"/>
        <v>MWC2748-CW</v>
      </c>
      <c r="J196" s="2" t="s">
        <v>232</v>
      </c>
      <c r="K196" s="2" t="s">
        <v>405</v>
      </c>
      <c r="L196" s="2" t="str">
        <f>IFERROR(VLOOKUP(J196,Categories!$A$2:$C$41,3,FALSE()),"⚠ slug introuvable")</f>
        <v>Armoire murale</v>
      </c>
      <c r="M196" s="2" t="str">
        <f>IFERROR(VLOOKUP(K196,Categories!$A$2:$C$41,3,FALSE()),"⚠ slug introuvable")</f>
        <v>Micro-ondes</v>
      </c>
      <c r="N196" s="2" t="s">
        <v>406</v>
      </c>
      <c r="O196" s="2" t="str">
        <f>_xlfn.CONCAT(N196," (",AA196,""" x ",AB196,""")")</f>
        <v>Armoire de cuisine du haut avec espace micro-ondes et 2 portes (27" x 48")</v>
      </c>
      <c r="P196" s="2" t="str">
        <f>_xlfn.CONCAT("Micro-ondes"," (",AA196,""" x ",AB196,""")")</f>
        <v>Micro-ondes (27" x 48")</v>
      </c>
      <c r="Q196" s="11">
        <v>872</v>
      </c>
      <c r="R196" s="11">
        <f t="shared" si="58"/>
        <v>77.511111111111106</v>
      </c>
      <c r="S196" s="11">
        <f t="shared" si="59"/>
        <v>108.51555555555554</v>
      </c>
      <c r="T196" s="11">
        <f t="shared" si="60"/>
        <v>119.3671111111111</v>
      </c>
      <c r="U196" s="11">
        <f t="shared" si="69"/>
        <v>143.2405333333333</v>
      </c>
      <c r="V196" s="11">
        <f t="shared" si="69"/>
        <v>171.88863999999995</v>
      </c>
      <c r="W196" s="11">
        <f t="shared" si="61"/>
        <v>189.07750399999998</v>
      </c>
      <c r="X196" s="11">
        <f t="shared" si="62"/>
        <v>189.07750399999998</v>
      </c>
      <c r="Y196" s="14">
        <v>0.4</v>
      </c>
      <c r="Z196" s="11">
        <f t="shared" si="63"/>
        <v>315.12917333333331</v>
      </c>
      <c r="AA196" s="2">
        <v>27</v>
      </c>
      <c r="AB196" s="2">
        <v>48</v>
      </c>
      <c r="AC196" s="9">
        <v>12</v>
      </c>
      <c r="AD196" s="2">
        <v>2</v>
      </c>
      <c r="AE196" s="2">
        <v>0</v>
      </c>
    </row>
    <row r="197" spans="1:31">
      <c r="A197" s="2" t="s">
        <v>417</v>
      </c>
      <c r="B197" s="2"/>
      <c r="C197" s="2"/>
      <c r="D197" s="2"/>
      <c r="E197" s="2" t="b">
        <f t="shared" si="56"/>
        <v>1</v>
      </c>
      <c r="F197" s="2"/>
      <c r="G197" s="2" t="s">
        <v>418</v>
      </c>
      <c r="H197" s="2" t="str">
        <f t="shared" si="64"/>
        <v>Blanc</v>
      </c>
      <c r="I197" s="2" t="str">
        <f t="shared" si="57"/>
        <v>CDWC2430-CW</v>
      </c>
      <c r="J197" s="2" t="s">
        <v>232</v>
      </c>
      <c r="K197" s="2" t="s">
        <v>388</v>
      </c>
      <c r="L197" s="2" t="str">
        <f>IFERROR(VLOOKUP(J197,Categories!$A$2:$C$41,3,FALSE()),"⚠ slug introuvable")</f>
        <v>Armoire murale</v>
      </c>
      <c r="M197" s="2" t="str">
        <f>IFERROR(VLOOKUP(K197,Categories!$A$2:$C$41,3,FALSE()),"⚠ slug introuvable")</f>
        <v>Coin</v>
      </c>
      <c r="N197" s="2" t="s">
        <v>419</v>
      </c>
      <c r="O197" s="2" t="str">
        <f>_xlfn.CONCAT(N197," (",AA197,""" x ",AB197,""")")</f>
        <v>Armoire de cuisine du haut coin 45º (24" x 30")</v>
      </c>
      <c r="P197" s="2" t="str">
        <f>_xlfn.CONCAT("Coin 45º"," (",AA197,""" x ",AB197,""")")</f>
        <v>Coin 45º (24" x 30")</v>
      </c>
      <c r="Q197" s="11">
        <v>783</v>
      </c>
      <c r="R197" s="11">
        <f t="shared" si="58"/>
        <v>69.599999999999994</v>
      </c>
      <c r="S197" s="11">
        <f t="shared" si="59"/>
        <v>97.439999999999984</v>
      </c>
      <c r="T197" s="11">
        <f t="shared" si="60"/>
        <v>107.184</v>
      </c>
      <c r="U197" s="11">
        <f t="shared" si="69"/>
        <v>128.6208</v>
      </c>
      <c r="V197" s="11">
        <f t="shared" si="69"/>
        <v>154.34495999999999</v>
      </c>
      <c r="W197" s="11">
        <f t="shared" si="61"/>
        <v>169.77945600000001</v>
      </c>
      <c r="X197" s="11">
        <f t="shared" si="62"/>
        <v>169.77945600000001</v>
      </c>
      <c r="Y197" s="14">
        <v>0.4</v>
      </c>
      <c r="Z197" s="11">
        <f t="shared" si="63"/>
        <v>282.96576000000005</v>
      </c>
      <c r="AA197" s="2">
        <v>24</v>
      </c>
      <c r="AB197" s="2">
        <v>30</v>
      </c>
      <c r="AC197" s="9">
        <v>12</v>
      </c>
      <c r="AD197" s="2">
        <v>1</v>
      </c>
      <c r="AE197" s="2">
        <v>0</v>
      </c>
    </row>
    <row r="198" spans="1:31" hidden="1">
      <c r="A198" s="2" t="s">
        <v>420</v>
      </c>
      <c r="B198" s="2" t="b">
        <v>1</v>
      </c>
      <c r="C198" s="2"/>
      <c r="D198" s="2"/>
      <c r="E198" s="2" t="b">
        <f t="shared" si="56"/>
        <v>0</v>
      </c>
      <c r="F198" s="2"/>
      <c r="G198" s="2"/>
      <c r="H198" s="2" t="str">
        <f t="shared" si="64"/>
        <v>Blanc</v>
      </c>
      <c r="I198" s="2" t="str">
        <f t="shared" si="57"/>
        <v>-CW</v>
      </c>
      <c r="J198" s="2"/>
      <c r="K198" s="2" t="s">
        <v>326</v>
      </c>
      <c r="L198" s="2"/>
      <c r="M198" s="2" t="str">
        <f>IFERROR(VLOOKUP(K198,Categories!$A$2:$C$41,3,FALSE()),"⚠ slug introuvable")</f>
        <v>⚠ slug introuvable</v>
      </c>
      <c r="N198" s="2" t="s">
        <v>421</v>
      </c>
      <c r="O198" s="2"/>
      <c r="P198" s="2"/>
      <c r="Q198" s="11">
        <v>0</v>
      </c>
      <c r="R198" s="11">
        <f t="shared" si="58"/>
        <v>0</v>
      </c>
      <c r="S198" s="11">
        <f t="shared" si="59"/>
        <v>0</v>
      </c>
      <c r="T198" s="11">
        <f t="shared" si="60"/>
        <v>0</v>
      </c>
      <c r="U198" s="11">
        <f t="shared" si="69"/>
        <v>0</v>
      </c>
      <c r="V198" s="11">
        <f t="shared" si="69"/>
        <v>0</v>
      </c>
      <c r="W198" s="11">
        <f t="shared" si="61"/>
        <v>0</v>
      </c>
      <c r="X198" s="11">
        <f t="shared" si="62"/>
        <v>0</v>
      </c>
      <c r="Y198" s="14">
        <v>0.4</v>
      </c>
      <c r="Z198" s="11">
        <f t="shared" si="63"/>
        <v>0</v>
      </c>
      <c r="AA198" s="2">
        <v>33.5</v>
      </c>
      <c r="AB198" s="2">
        <v>20</v>
      </c>
      <c r="AD198" s="2"/>
      <c r="AE198" s="2"/>
    </row>
    <row r="199" spans="1:31" hidden="1">
      <c r="A199" s="2" t="s">
        <v>422</v>
      </c>
      <c r="B199" s="2" t="b">
        <v>1</v>
      </c>
      <c r="C199" s="2"/>
      <c r="D199" s="2"/>
      <c r="E199" s="2" t="b">
        <f t="shared" si="56"/>
        <v>0</v>
      </c>
      <c r="F199" s="2"/>
      <c r="G199" s="2"/>
      <c r="H199" s="2" t="str">
        <f t="shared" si="64"/>
        <v>Blanc</v>
      </c>
      <c r="I199" s="2" t="str">
        <f t="shared" si="57"/>
        <v>-CW</v>
      </c>
      <c r="J199" s="2"/>
      <c r="K199" s="2" t="s">
        <v>326</v>
      </c>
      <c r="L199" s="2"/>
      <c r="M199" s="2" t="str">
        <f>IFERROR(VLOOKUP(K199,Categories!$A$2:$C$41,3,FALSE()),"⚠ slug introuvable")</f>
        <v>⚠ slug introuvable</v>
      </c>
      <c r="N199" s="2" t="s">
        <v>423</v>
      </c>
      <c r="O199" s="2"/>
      <c r="P199" s="2"/>
      <c r="Q199" s="11">
        <v>0</v>
      </c>
      <c r="R199" s="11">
        <f t="shared" si="58"/>
        <v>0</v>
      </c>
      <c r="S199" s="11">
        <f t="shared" si="59"/>
        <v>0</v>
      </c>
      <c r="T199" s="11">
        <f t="shared" si="60"/>
        <v>0</v>
      </c>
      <c r="U199" s="11">
        <f t="shared" si="69"/>
        <v>0</v>
      </c>
      <c r="V199" s="11">
        <f t="shared" si="69"/>
        <v>0</v>
      </c>
      <c r="W199" s="11">
        <f t="shared" si="61"/>
        <v>0</v>
      </c>
      <c r="X199" s="11">
        <f t="shared" si="62"/>
        <v>0</v>
      </c>
      <c r="Y199" s="14">
        <v>0.4</v>
      </c>
      <c r="Z199" s="11">
        <f t="shared" si="63"/>
        <v>0</v>
      </c>
      <c r="AA199" s="2">
        <v>33.5</v>
      </c>
      <c r="AB199" s="2">
        <v>12</v>
      </c>
      <c r="AD199" s="2">
        <v>1</v>
      </c>
      <c r="AE199" s="2">
        <v>0</v>
      </c>
    </row>
    <row r="200" spans="1:31">
      <c r="A200" s="2" t="s">
        <v>424</v>
      </c>
      <c r="B200" s="2"/>
      <c r="C200" s="2"/>
      <c r="D200" s="2"/>
      <c r="E200" s="2" t="b">
        <f t="shared" si="56"/>
        <v>1</v>
      </c>
      <c r="F200" s="2"/>
      <c r="G200" s="2" t="s">
        <v>425</v>
      </c>
      <c r="H200" s="2" t="str">
        <f t="shared" si="64"/>
        <v>Blanc</v>
      </c>
      <c r="I200" s="2" t="str">
        <f t="shared" si="57"/>
        <v>CDWC2436-CW</v>
      </c>
      <c r="J200" s="2" t="s">
        <v>232</v>
      </c>
      <c r="K200" s="2" t="s">
        <v>388</v>
      </c>
      <c r="L200" s="2" t="str">
        <f>IFERROR(VLOOKUP(J200,Categories!$A$2:$C$41,3,FALSE()),"⚠ slug introuvable")</f>
        <v>Armoire murale</v>
      </c>
      <c r="M200" s="2" t="str">
        <f>IFERROR(VLOOKUP(K200,Categories!$A$2:$C$41,3,FALSE()),"⚠ slug introuvable")</f>
        <v>Coin</v>
      </c>
      <c r="N200" s="2" t="s">
        <v>419</v>
      </c>
      <c r="O200" s="2" t="str">
        <f>_xlfn.CONCAT(N200," (",AA200,""" x ",AB200,""")")</f>
        <v>Armoire de cuisine du haut coin 45º (24" x 36")</v>
      </c>
      <c r="P200" s="2" t="str">
        <f>_xlfn.CONCAT("Coin 45º"," (",AA200,""" x ",AB200,""")")</f>
        <v>Coin 45º (24" x 36")</v>
      </c>
      <c r="Q200" s="11">
        <v>833</v>
      </c>
      <c r="R200" s="11">
        <f t="shared" si="58"/>
        <v>74.044444444444451</v>
      </c>
      <c r="S200" s="11">
        <f t="shared" si="59"/>
        <v>103.66222222222223</v>
      </c>
      <c r="T200" s="11">
        <f t="shared" si="60"/>
        <v>114.02844444444446</v>
      </c>
      <c r="U200" s="11">
        <f t="shared" si="69"/>
        <v>136.83413333333334</v>
      </c>
      <c r="V200" s="11">
        <f t="shared" si="69"/>
        <v>164.20096000000001</v>
      </c>
      <c r="W200" s="11">
        <f t="shared" si="61"/>
        <v>180.62105600000004</v>
      </c>
      <c r="X200" s="11">
        <f t="shared" si="62"/>
        <v>180.62105600000004</v>
      </c>
      <c r="Y200" s="14">
        <v>0.4</v>
      </c>
      <c r="Z200" s="11">
        <f t="shared" si="63"/>
        <v>301.03509333333341</v>
      </c>
      <c r="AA200" s="2">
        <v>24</v>
      </c>
      <c r="AB200" s="9">
        <v>36</v>
      </c>
      <c r="AC200" s="9">
        <v>12</v>
      </c>
      <c r="AD200" s="2">
        <v>1</v>
      </c>
      <c r="AE200" s="2">
        <v>0</v>
      </c>
    </row>
    <row r="201" spans="1:31">
      <c r="A201" s="2" t="s">
        <v>426</v>
      </c>
      <c r="B201" s="2"/>
      <c r="C201" s="2"/>
      <c r="D201" s="2"/>
      <c r="E201" s="2" t="b">
        <f t="shared" si="56"/>
        <v>1</v>
      </c>
      <c r="F201" s="2"/>
      <c r="G201" s="2" t="s">
        <v>427</v>
      </c>
      <c r="H201" s="2" t="str">
        <f t="shared" si="64"/>
        <v>Blanc</v>
      </c>
      <c r="I201" s="2" t="str">
        <f t="shared" si="57"/>
        <v>CDWC2448-CW</v>
      </c>
      <c r="J201" s="2" t="s">
        <v>232</v>
      </c>
      <c r="K201" s="2" t="s">
        <v>388</v>
      </c>
      <c r="L201" s="2" t="str">
        <f>IFERROR(VLOOKUP(J201,Categories!$A$2:$C$41,3,FALSE()),"⚠ slug introuvable")</f>
        <v>Armoire murale</v>
      </c>
      <c r="M201" s="2" t="str">
        <f>IFERROR(VLOOKUP(K201,Categories!$A$2:$C$41,3,FALSE()),"⚠ slug introuvable")</f>
        <v>Coin</v>
      </c>
      <c r="N201" s="2" t="s">
        <v>419</v>
      </c>
      <c r="O201" s="2" t="str">
        <f>_xlfn.CONCAT(N201," (",AA201,""" x ",AB201,""")")</f>
        <v>Armoire de cuisine du haut coin 45º (24" x 48")</v>
      </c>
      <c r="P201" s="2" t="str">
        <f>_xlfn.CONCAT("Coin 45º"," (",AA201,""" x ",AB201,""")")</f>
        <v>Coin 45º (24" x 48")</v>
      </c>
      <c r="Q201" s="11">
        <v>1207</v>
      </c>
      <c r="R201" s="11">
        <f t="shared" si="58"/>
        <v>107.28888888888889</v>
      </c>
      <c r="S201" s="11">
        <f t="shared" si="59"/>
        <v>150.20444444444445</v>
      </c>
      <c r="T201" s="11">
        <f t="shared" si="60"/>
        <v>165.2248888888889</v>
      </c>
      <c r="U201" s="11">
        <f t="shared" si="69"/>
        <v>198.26986666666667</v>
      </c>
      <c r="V201" s="11">
        <f t="shared" si="69"/>
        <v>237.92383999999998</v>
      </c>
      <c r="W201" s="11">
        <f t="shared" si="61"/>
        <v>261.71622400000001</v>
      </c>
      <c r="X201" s="11">
        <f t="shared" si="62"/>
        <v>261.71622400000001</v>
      </c>
      <c r="Y201" s="14">
        <v>0.4</v>
      </c>
      <c r="Z201" s="11">
        <f t="shared" si="63"/>
        <v>436.19370666666669</v>
      </c>
      <c r="AA201" s="2">
        <v>24</v>
      </c>
      <c r="AB201" s="2">
        <v>48</v>
      </c>
      <c r="AC201" s="2">
        <v>12</v>
      </c>
      <c r="AD201" s="2">
        <v>1</v>
      </c>
      <c r="AE201" s="2">
        <v>0</v>
      </c>
    </row>
    <row r="202" spans="1:31">
      <c r="A202" s="2" t="s">
        <v>428</v>
      </c>
      <c r="B202" s="2"/>
      <c r="C202" s="2"/>
      <c r="D202" s="2"/>
      <c r="E202" s="2" t="b">
        <f t="shared" ref="E202:E265" si="70">IF(OR(B202=TRUE,C202=TRUE,D202=TRUE),FALSE,TRUE)</f>
        <v>1</v>
      </c>
      <c r="F202" s="2"/>
      <c r="G202" s="2" t="s">
        <v>429</v>
      </c>
      <c r="H202" s="2" t="str">
        <f t="shared" si="64"/>
        <v>Blanc</v>
      </c>
      <c r="I202" s="2" t="str">
        <f t="shared" ref="I202:I221" si="71">_xlfn.CONCAT(G202,IF(H202="","",IF(H202="Blanc","-CW","-WWO")))</f>
        <v>PUC1293-CW</v>
      </c>
      <c r="J202" s="2" t="s">
        <v>430</v>
      </c>
      <c r="K202" s="2" t="s">
        <v>431</v>
      </c>
      <c r="L202" s="2" t="str">
        <f>IFERROR(VLOOKUP(J202,Categories!$A$2:$C$41,3,FALSE()),"⚠ slug introuvable")</f>
        <v>Armoire utilitaire</v>
      </c>
      <c r="M202" s="2" t="str">
        <f>IFERROR(VLOOKUP(K202,Categories!$A$2:$C$41,3,FALSE()),"⚠ slug introuvable")</f>
        <v>Garde-manger</v>
      </c>
      <c r="N202" s="2" t="s">
        <v>432</v>
      </c>
      <c r="O202" s="2" t="str">
        <f>_xlfn.CONCAT(N202," (",AA202,""" x ",AB202,""")")</f>
        <v>Armoire de cuisine garde-manger (12" x 93")</v>
      </c>
      <c r="P202" s="2" t="str">
        <f>_xlfn.CONCAT("Garde-manger"," (",AA202,""" x ",AB202,""")")</f>
        <v>Garde-manger (12" x 93")</v>
      </c>
      <c r="Q202" s="11">
        <v>1528</v>
      </c>
      <c r="R202" s="11">
        <f t="shared" ref="R202:R221" si="72">Q202/11.25</f>
        <v>135.82222222222222</v>
      </c>
      <c r="S202" s="11">
        <f t="shared" ref="S202:S221" si="73">R202*1.4</f>
        <v>190.15111111111111</v>
      </c>
      <c r="T202" s="11">
        <f t="shared" ref="T202:T221" si="74">S202*1.1</f>
        <v>209.16622222222225</v>
      </c>
      <c r="U202" s="11">
        <f t="shared" si="69"/>
        <v>250.99946666666668</v>
      </c>
      <c r="V202" s="11">
        <f t="shared" si="69"/>
        <v>301.19936000000001</v>
      </c>
      <c r="W202" s="11">
        <f t="shared" ref="W202:W221" si="75">V202*1.1</f>
        <v>331.31929600000007</v>
      </c>
      <c r="X202" s="11">
        <f t="shared" ref="X202:X221" si="76">W202</f>
        <v>331.31929600000007</v>
      </c>
      <c r="Y202" s="14">
        <v>0.4</v>
      </c>
      <c r="Z202" s="11">
        <f t="shared" ref="Z202:Z265" si="77">X202/(1-Y202)</f>
        <v>552.19882666666683</v>
      </c>
      <c r="AA202" s="2">
        <v>12</v>
      </c>
      <c r="AB202" s="2">
        <v>93</v>
      </c>
      <c r="AC202" s="2">
        <v>27</v>
      </c>
      <c r="AD202" s="2">
        <v>2</v>
      </c>
      <c r="AE202" s="2">
        <v>0</v>
      </c>
    </row>
    <row r="203" spans="1:31">
      <c r="A203" s="2" t="s">
        <v>433</v>
      </c>
      <c r="B203" s="2"/>
      <c r="C203" s="2"/>
      <c r="D203" s="2"/>
      <c r="E203" s="2" t="b">
        <f t="shared" si="70"/>
        <v>1</v>
      </c>
      <c r="F203" s="2"/>
      <c r="G203" s="2" t="s">
        <v>434</v>
      </c>
      <c r="H203" s="2" t="str">
        <f t="shared" si="64"/>
        <v>Blanc</v>
      </c>
      <c r="I203" s="2" t="str">
        <f t="shared" si="71"/>
        <v>PUC1593-CW</v>
      </c>
      <c r="J203" s="2" t="s">
        <v>430</v>
      </c>
      <c r="K203" s="2" t="s">
        <v>431</v>
      </c>
      <c r="L203" s="2" t="str">
        <f>IFERROR(VLOOKUP(J203,Categories!$A$2:$C$41,3,FALSE()),"⚠ slug introuvable")</f>
        <v>Armoire utilitaire</v>
      </c>
      <c r="M203" s="2" t="str">
        <f>IFERROR(VLOOKUP(K203,Categories!$A$2:$C$41,3,FALSE()),"⚠ slug introuvable")</f>
        <v>Garde-manger</v>
      </c>
      <c r="N203" s="2" t="s">
        <v>432</v>
      </c>
      <c r="O203" s="2" t="str">
        <f>_xlfn.CONCAT(N203," (",AA203,""" x ",AB203,""")")</f>
        <v>Armoire de cuisine garde-manger (15" x 93")</v>
      </c>
      <c r="P203" s="2" t="str">
        <f>_xlfn.CONCAT("Garde-manger"," (",AA203,""" x ",AB203,""")")</f>
        <v>Garde-manger (15" x 93")</v>
      </c>
      <c r="Q203" s="11">
        <v>1650</v>
      </c>
      <c r="R203" s="11">
        <f t="shared" si="72"/>
        <v>146.66666666666666</v>
      </c>
      <c r="S203" s="11">
        <f t="shared" si="73"/>
        <v>205.33333333333331</v>
      </c>
      <c r="T203" s="11">
        <f t="shared" si="74"/>
        <v>225.86666666666667</v>
      </c>
      <c r="U203" s="11">
        <f t="shared" si="69"/>
        <v>271.04000000000002</v>
      </c>
      <c r="V203" s="11">
        <f t="shared" si="69"/>
        <v>325.24799999999999</v>
      </c>
      <c r="W203" s="11">
        <f t="shared" si="75"/>
        <v>357.77280000000002</v>
      </c>
      <c r="X203" s="11">
        <f t="shared" si="76"/>
        <v>357.77280000000002</v>
      </c>
      <c r="Y203" s="14">
        <v>0.4</v>
      </c>
      <c r="Z203" s="11">
        <f t="shared" si="77"/>
        <v>596.28800000000001</v>
      </c>
      <c r="AA203" s="2">
        <v>15</v>
      </c>
      <c r="AB203" s="2">
        <v>93</v>
      </c>
      <c r="AC203" s="2">
        <v>27</v>
      </c>
      <c r="AD203" s="2">
        <v>2</v>
      </c>
      <c r="AE203" s="2">
        <v>0</v>
      </c>
    </row>
    <row r="204" spans="1:31">
      <c r="A204" s="2" t="s">
        <v>435</v>
      </c>
      <c r="B204" s="2"/>
      <c r="C204" s="2"/>
      <c r="D204" s="2"/>
      <c r="E204" s="2" t="b">
        <f t="shared" si="70"/>
        <v>1</v>
      </c>
      <c r="F204" s="2"/>
      <c r="G204" s="2" t="s">
        <v>436</v>
      </c>
      <c r="H204" s="2" t="str">
        <f t="shared" si="64"/>
        <v>Blanc</v>
      </c>
      <c r="I204" s="2" t="str">
        <f t="shared" si="71"/>
        <v>PUC1884-CW</v>
      </c>
      <c r="J204" s="2" t="s">
        <v>430</v>
      </c>
      <c r="K204" s="2" t="s">
        <v>431</v>
      </c>
      <c r="L204" s="2" t="str">
        <f>IFERROR(VLOOKUP(J204,Categories!$A$2:$C$41,3,FALSE()),"⚠ slug introuvable")</f>
        <v>Armoire utilitaire</v>
      </c>
      <c r="M204" s="2" t="str">
        <f>IFERROR(VLOOKUP(K204,Categories!$A$2:$C$41,3,FALSE()),"⚠ slug introuvable")</f>
        <v>Garde-manger</v>
      </c>
      <c r="N204" s="2" t="s">
        <v>432</v>
      </c>
      <c r="O204" s="2" t="str">
        <f>_xlfn.CONCAT(N204," (",AA204,""" x ",AB204,""")")</f>
        <v>Armoire de cuisine garde-manger (18" x 84")</v>
      </c>
      <c r="P204" s="2" t="str">
        <f>_xlfn.CONCAT("Garde-manger"," (",AA204,""" x ",AB204,""")")</f>
        <v>Garde-manger (18" x 84")</v>
      </c>
      <c r="Q204" s="11">
        <v>1216</v>
      </c>
      <c r="R204" s="11">
        <f t="shared" si="72"/>
        <v>108.08888888888889</v>
      </c>
      <c r="S204" s="11">
        <f t="shared" si="73"/>
        <v>151.32444444444442</v>
      </c>
      <c r="T204" s="11">
        <f t="shared" si="74"/>
        <v>166.45688888888887</v>
      </c>
      <c r="U204" s="11">
        <f t="shared" si="69"/>
        <v>199.74826666666664</v>
      </c>
      <c r="V204" s="11">
        <f t="shared" si="69"/>
        <v>239.69791999999995</v>
      </c>
      <c r="W204" s="11">
        <f t="shared" si="75"/>
        <v>263.66771199999999</v>
      </c>
      <c r="X204" s="11">
        <f t="shared" si="76"/>
        <v>263.66771199999999</v>
      </c>
      <c r="Y204" s="14">
        <v>0.4</v>
      </c>
      <c r="Z204" s="11">
        <f t="shared" si="77"/>
        <v>439.44618666666668</v>
      </c>
      <c r="AA204" s="2">
        <v>18</v>
      </c>
      <c r="AB204" s="2">
        <v>84</v>
      </c>
      <c r="AC204" s="2">
        <v>27</v>
      </c>
      <c r="AD204" s="2">
        <v>2</v>
      </c>
      <c r="AE204" s="2">
        <v>0</v>
      </c>
    </row>
    <row r="205" spans="1:31" hidden="1">
      <c r="A205" s="2" t="s">
        <v>437</v>
      </c>
      <c r="B205" s="2" t="b">
        <v>1</v>
      </c>
      <c r="C205" s="2"/>
      <c r="D205" s="2"/>
      <c r="E205" s="2" t="b">
        <f t="shared" si="70"/>
        <v>0</v>
      </c>
      <c r="F205" s="2"/>
      <c r="G205" s="2"/>
      <c r="H205" s="2" t="str">
        <f t="shared" si="64"/>
        <v>Blanc</v>
      </c>
      <c r="I205" s="2" t="str">
        <f t="shared" si="71"/>
        <v>-CW</v>
      </c>
      <c r="J205" s="2"/>
      <c r="K205" s="2" t="s">
        <v>326</v>
      </c>
      <c r="L205" s="2"/>
      <c r="M205" s="2" t="str">
        <f>IFERROR(VLOOKUP(K205,Categories!$A$2:$C$41,3,FALSE()),"⚠ slug introuvable")</f>
        <v>⚠ slug introuvable</v>
      </c>
      <c r="N205" s="2" t="s">
        <v>438</v>
      </c>
      <c r="O205" s="2"/>
      <c r="P205" s="2"/>
      <c r="Q205" s="11">
        <v>0</v>
      </c>
      <c r="R205" s="11">
        <f t="shared" si="72"/>
        <v>0</v>
      </c>
      <c r="S205" s="11">
        <f t="shared" si="73"/>
        <v>0</v>
      </c>
      <c r="T205" s="11">
        <f t="shared" si="74"/>
        <v>0</v>
      </c>
      <c r="U205" s="11">
        <f t="shared" si="69"/>
        <v>0</v>
      </c>
      <c r="V205" s="11">
        <f t="shared" si="69"/>
        <v>0</v>
      </c>
      <c r="W205" s="11">
        <f t="shared" si="75"/>
        <v>0</v>
      </c>
      <c r="X205" s="11">
        <f t="shared" si="76"/>
        <v>0</v>
      </c>
      <c r="Y205" s="14">
        <v>0.4</v>
      </c>
      <c r="Z205" s="11">
        <f t="shared" si="77"/>
        <v>0</v>
      </c>
      <c r="AA205" s="2">
        <v>33</v>
      </c>
      <c r="AB205" s="2">
        <v>36</v>
      </c>
      <c r="AC205" s="2">
        <v>12</v>
      </c>
      <c r="AD205" s="2">
        <v>2</v>
      </c>
      <c r="AE205" s="2">
        <v>0</v>
      </c>
    </row>
    <row r="206" spans="1:31">
      <c r="A206" s="2" t="s">
        <v>439</v>
      </c>
      <c r="B206" s="2"/>
      <c r="C206" s="2"/>
      <c r="D206" s="2"/>
      <c r="E206" s="2" t="b">
        <f t="shared" si="70"/>
        <v>1</v>
      </c>
      <c r="F206" s="2"/>
      <c r="G206" s="2" t="s">
        <v>440</v>
      </c>
      <c r="H206" s="2" t="str">
        <f t="shared" si="64"/>
        <v>Blanc</v>
      </c>
      <c r="I206" s="2" t="str">
        <f t="shared" si="71"/>
        <v>PUC1890-CW</v>
      </c>
      <c r="J206" s="2" t="s">
        <v>430</v>
      </c>
      <c r="K206" s="2" t="s">
        <v>431</v>
      </c>
      <c r="L206" s="2" t="str">
        <f>IFERROR(VLOOKUP(J206,Categories!$A$2:$C$41,3,FALSE()),"⚠ slug introuvable")</f>
        <v>Armoire utilitaire</v>
      </c>
      <c r="M206" s="2" t="str">
        <f>IFERROR(VLOOKUP(K206,Categories!$A$2:$C$41,3,FALSE()),"⚠ slug introuvable")</f>
        <v>Garde-manger</v>
      </c>
      <c r="N206" s="2" t="s">
        <v>432</v>
      </c>
      <c r="O206" s="2" t="str">
        <f>_xlfn.CONCAT(N206," (",AA206,""" x ",AB206,""")")</f>
        <v>Armoire de cuisine garde-manger (18" x 90")</v>
      </c>
      <c r="P206" s="2" t="str">
        <f>_xlfn.CONCAT("Garde-manger"," (",AA206,""" x ",AB206,""")")</f>
        <v>Garde-manger (18" x 90")</v>
      </c>
      <c r="Q206" s="11">
        <v>1349</v>
      </c>
      <c r="R206" s="11">
        <f t="shared" si="72"/>
        <v>119.91111111111111</v>
      </c>
      <c r="S206" s="11">
        <f t="shared" si="73"/>
        <v>167.87555555555554</v>
      </c>
      <c r="T206" s="11">
        <f t="shared" si="74"/>
        <v>184.66311111111111</v>
      </c>
      <c r="U206" s="11">
        <f t="shared" si="69"/>
        <v>221.59573333333333</v>
      </c>
      <c r="V206" s="11">
        <f t="shared" si="69"/>
        <v>265.91487999999998</v>
      </c>
      <c r="W206" s="11">
        <f t="shared" si="75"/>
        <v>292.50636800000001</v>
      </c>
      <c r="X206" s="11">
        <f t="shared" si="76"/>
        <v>292.50636800000001</v>
      </c>
      <c r="Y206" s="14">
        <v>0.4</v>
      </c>
      <c r="Z206" s="11">
        <f t="shared" si="77"/>
        <v>487.51061333333337</v>
      </c>
      <c r="AA206" s="2">
        <v>18</v>
      </c>
      <c r="AB206" s="2">
        <v>90</v>
      </c>
      <c r="AC206" s="2">
        <v>27</v>
      </c>
      <c r="AD206" s="2">
        <v>2</v>
      </c>
      <c r="AE206" s="2">
        <v>0</v>
      </c>
    </row>
    <row r="207" spans="1:31">
      <c r="A207" s="2" t="s">
        <v>441</v>
      </c>
      <c r="B207" s="2"/>
      <c r="C207" s="2"/>
      <c r="D207" s="2"/>
      <c r="E207" s="2" t="b">
        <f t="shared" si="70"/>
        <v>1</v>
      </c>
      <c r="F207" s="2"/>
      <c r="G207" s="2" t="s">
        <v>442</v>
      </c>
      <c r="H207" s="2" t="str">
        <f t="shared" si="64"/>
        <v>Blanc</v>
      </c>
      <c r="I207" s="2" t="str">
        <f t="shared" si="71"/>
        <v>PUC1893-CW</v>
      </c>
      <c r="J207" s="2" t="s">
        <v>430</v>
      </c>
      <c r="K207" s="2" t="s">
        <v>431</v>
      </c>
      <c r="L207" s="2" t="str">
        <f>IFERROR(VLOOKUP(J207,Categories!$A$2:$C$41,3,FALSE()),"⚠ slug introuvable")</f>
        <v>Armoire utilitaire</v>
      </c>
      <c r="M207" s="2" t="str">
        <f>IFERROR(VLOOKUP(K207,Categories!$A$2:$C$41,3,FALSE()),"⚠ slug introuvable")</f>
        <v>Garde-manger</v>
      </c>
      <c r="N207" s="2" t="s">
        <v>432</v>
      </c>
      <c r="O207" s="2" t="str">
        <f>_xlfn.CONCAT(N207," (",AA207,""" x ",AB207,""")")</f>
        <v>Armoire de cuisine garde-manger (18" x 93")</v>
      </c>
      <c r="P207" s="2" t="str">
        <f>_xlfn.CONCAT("Garde-manger"," (",AA207,""" x ",AB207,""")")</f>
        <v>Garde-manger (18" x 93")</v>
      </c>
      <c r="Q207" s="11">
        <v>1768</v>
      </c>
      <c r="R207" s="11">
        <f t="shared" si="72"/>
        <v>157.15555555555557</v>
      </c>
      <c r="S207" s="11">
        <f t="shared" si="73"/>
        <v>220.01777777777778</v>
      </c>
      <c r="T207" s="11">
        <f t="shared" si="74"/>
        <v>242.01955555555557</v>
      </c>
      <c r="U207" s="11">
        <f t="shared" si="69"/>
        <v>290.42346666666668</v>
      </c>
      <c r="V207" s="11">
        <f t="shared" si="69"/>
        <v>348.50816000000003</v>
      </c>
      <c r="W207" s="11">
        <f t="shared" si="75"/>
        <v>383.35897600000004</v>
      </c>
      <c r="X207" s="11">
        <f t="shared" si="76"/>
        <v>383.35897600000004</v>
      </c>
      <c r="Y207" s="14">
        <v>0.4</v>
      </c>
      <c r="Z207" s="11">
        <f t="shared" si="77"/>
        <v>638.93162666666672</v>
      </c>
      <c r="AA207" s="2">
        <v>18</v>
      </c>
      <c r="AB207" s="2">
        <v>93</v>
      </c>
      <c r="AC207" s="2">
        <v>27</v>
      </c>
      <c r="AD207" s="2">
        <v>2</v>
      </c>
      <c r="AE207" s="2">
        <v>0</v>
      </c>
    </row>
    <row r="208" spans="1:31">
      <c r="A208" s="2" t="s">
        <v>443</v>
      </c>
      <c r="B208" s="2"/>
      <c r="C208" s="2"/>
      <c r="D208" s="2"/>
      <c r="E208" s="2" t="b">
        <f t="shared" si="70"/>
        <v>1</v>
      </c>
      <c r="F208" s="2"/>
      <c r="G208" s="2" t="s">
        <v>444</v>
      </c>
      <c r="H208" s="2" t="str">
        <f t="shared" si="64"/>
        <v>Blanc</v>
      </c>
      <c r="I208" s="2" t="str">
        <f t="shared" si="71"/>
        <v>PUC18-91.5-CW</v>
      </c>
      <c r="J208" s="2" t="s">
        <v>430</v>
      </c>
      <c r="K208" s="2" t="s">
        <v>431</v>
      </c>
      <c r="L208" s="2" t="str">
        <f>IFERROR(VLOOKUP(J208,Categories!$A$2:$C$41,3,FALSE()),"⚠ slug introuvable")</f>
        <v>Armoire utilitaire</v>
      </c>
      <c r="M208" s="2" t="str">
        <f>IFERROR(VLOOKUP(K208,Categories!$A$2:$C$41,3,FALSE()),"⚠ slug introuvable")</f>
        <v>Garde-manger</v>
      </c>
      <c r="N208" s="2" t="s">
        <v>432</v>
      </c>
      <c r="O208" s="2" t="str">
        <f>_xlfn.CONCAT(N208," (",AA208,""" x ",AB208,""")")</f>
        <v>Armoire de cuisine garde-manger (18" x 91.5")</v>
      </c>
      <c r="P208" s="2" t="str">
        <f>_xlfn.CONCAT("Garde-manger"," (",AA208,""" x ",AB208,""")")</f>
        <v>Garde-manger (18" x 91.5")</v>
      </c>
      <c r="Q208" s="11">
        <v>1646</v>
      </c>
      <c r="R208" s="11">
        <f t="shared" si="72"/>
        <v>146.3111111111111</v>
      </c>
      <c r="S208" s="11">
        <f t="shared" si="73"/>
        <v>204.83555555555554</v>
      </c>
      <c r="T208" s="11">
        <f t="shared" si="74"/>
        <v>225.31911111111111</v>
      </c>
      <c r="U208" s="11">
        <f t="shared" si="69"/>
        <v>270.38293333333331</v>
      </c>
      <c r="V208" s="11">
        <f t="shared" si="69"/>
        <v>324.45951999999994</v>
      </c>
      <c r="W208" s="11">
        <f t="shared" si="75"/>
        <v>356.90547199999997</v>
      </c>
      <c r="X208" s="11">
        <f t="shared" si="76"/>
        <v>356.90547199999997</v>
      </c>
      <c r="Y208" s="14">
        <v>0.4</v>
      </c>
      <c r="Z208" s="11">
        <f t="shared" si="77"/>
        <v>594.84245333333331</v>
      </c>
      <c r="AA208" s="2">
        <v>18</v>
      </c>
      <c r="AB208" s="2">
        <v>91.5</v>
      </c>
      <c r="AC208" s="2">
        <v>27</v>
      </c>
      <c r="AD208" s="2">
        <v>2</v>
      </c>
      <c r="AE208" s="2">
        <v>0</v>
      </c>
    </row>
    <row r="209" spans="1:31">
      <c r="A209" s="2" t="s">
        <v>445</v>
      </c>
      <c r="B209" s="2"/>
      <c r="C209" s="2"/>
      <c r="D209" s="2"/>
      <c r="E209" s="2" t="b">
        <f t="shared" si="70"/>
        <v>1</v>
      </c>
      <c r="F209" s="2"/>
      <c r="G209" s="2" t="s">
        <v>446</v>
      </c>
      <c r="H209" s="2" t="str">
        <f t="shared" si="64"/>
        <v>Blanc</v>
      </c>
      <c r="I209" s="2" t="str">
        <f t="shared" si="71"/>
        <v>PUC2484-CW</v>
      </c>
      <c r="J209" s="2" t="s">
        <v>430</v>
      </c>
      <c r="K209" s="2" t="s">
        <v>431</v>
      </c>
      <c r="L209" s="2" t="str">
        <f>IFERROR(VLOOKUP(J209,Categories!$A$2:$C$41,3,FALSE()),"⚠ slug introuvable")</f>
        <v>Armoire utilitaire</v>
      </c>
      <c r="M209" s="2" t="str">
        <f>IFERROR(VLOOKUP(K209,Categories!$A$2:$C$41,3,FALSE()),"⚠ slug introuvable")</f>
        <v>Garde-manger</v>
      </c>
      <c r="N209" s="2" t="s">
        <v>432</v>
      </c>
      <c r="O209" s="2" t="str">
        <f>_xlfn.CONCAT(N209," (",AA209,""" x ",AB209,""")")</f>
        <v>Armoire de cuisine garde-manger (24" x 84")</v>
      </c>
      <c r="P209" s="2" t="str">
        <f>_xlfn.CONCAT("Garde-manger"," (",AA209,""" x ",AB209,""")")</f>
        <v>Garde-manger (24" x 84")</v>
      </c>
      <c r="Q209" s="11">
        <v>1589</v>
      </c>
      <c r="R209" s="11">
        <f t="shared" si="72"/>
        <v>141.24444444444444</v>
      </c>
      <c r="S209" s="11">
        <f t="shared" si="73"/>
        <v>197.74222222222221</v>
      </c>
      <c r="T209" s="11">
        <f t="shared" si="74"/>
        <v>217.51644444444446</v>
      </c>
      <c r="U209" s="11">
        <f t="shared" si="69"/>
        <v>261.01973333333336</v>
      </c>
      <c r="V209" s="11">
        <f t="shared" si="69"/>
        <v>313.22368</v>
      </c>
      <c r="W209" s="11">
        <f t="shared" si="75"/>
        <v>344.54604800000004</v>
      </c>
      <c r="X209" s="11">
        <f t="shared" si="76"/>
        <v>344.54604800000004</v>
      </c>
      <c r="Y209" s="14">
        <v>0.4</v>
      </c>
      <c r="Z209" s="11">
        <f t="shared" si="77"/>
        <v>574.24341333333348</v>
      </c>
      <c r="AA209" s="2">
        <v>24</v>
      </c>
      <c r="AB209" s="2">
        <v>84</v>
      </c>
      <c r="AC209" s="2">
        <v>27</v>
      </c>
      <c r="AD209" s="2">
        <v>4</v>
      </c>
      <c r="AE209" s="2">
        <v>0</v>
      </c>
    </row>
    <row r="210" spans="1:31" hidden="1">
      <c r="A210" s="2" t="s">
        <v>447</v>
      </c>
      <c r="B210" s="2" t="b">
        <v>1</v>
      </c>
      <c r="C210" s="2"/>
      <c r="D210" s="2"/>
      <c r="E210" s="2" t="b">
        <f t="shared" si="70"/>
        <v>0</v>
      </c>
      <c r="F210" s="2"/>
      <c r="G210" s="2"/>
      <c r="H210" s="2" t="str">
        <f t="shared" si="64"/>
        <v>Blanc</v>
      </c>
      <c r="I210" s="2" t="str">
        <f t="shared" si="71"/>
        <v>-CW</v>
      </c>
      <c r="J210" s="2"/>
      <c r="K210" s="2" t="s">
        <v>326</v>
      </c>
      <c r="L210" s="2"/>
      <c r="M210" s="2" t="str">
        <f>IFERROR(VLOOKUP(K210,Categories!$A$2:$C$41,3,FALSE()),"⚠ slug introuvable")</f>
        <v>⚠ slug introuvable</v>
      </c>
      <c r="N210" s="2" t="s">
        <v>448</v>
      </c>
      <c r="O210" s="2"/>
      <c r="P210" s="2"/>
      <c r="Q210" s="11"/>
      <c r="R210" s="11">
        <f t="shared" si="72"/>
        <v>0</v>
      </c>
      <c r="S210" s="11">
        <f t="shared" si="73"/>
        <v>0</v>
      </c>
      <c r="T210" s="11">
        <f t="shared" si="74"/>
        <v>0</v>
      </c>
      <c r="U210" s="11">
        <f t="shared" ref="U210:V221" si="78">T210*1.2</f>
        <v>0</v>
      </c>
      <c r="V210" s="11">
        <f t="shared" si="78"/>
        <v>0</v>
      </c>
      <c r="W210" s="11">
        <f t="shared" si="75"/>
        <v>0</v>
      </c>
      <c r="X210" s="11">
        <f t="shared" si="76"/>
        <v>0</v>
      </c>
      <c r="Y210" s="14">
        <v>0.4</v>
      </c>
      <c r="Z210" s="11">
        <f t="shared" si="77"/>
        <v>0</v>
      </c>
      <c r="AA210" s="2">
        <v>36.5</v>
      </c>
      <c r="AB210" s="2">
        <v>27</v>
      </c>
      <c r="AC210" s="2">
        <v>20</v>
      </c>
      <c r="AD210" s="2">
        <v>1</v>
      </c>
      <c r="AE210" s="2">
        <v>0</v>
      </c>
    </row>
    <row r="211" spans="1:31">
      <c r="A211" s="2" t="s">
        <v>449</v>
      </c>
      <c r="B211" s="2"/>
      <c r="C211" s="2"/>
      <c r="D211" s="2"/>
      <c r="E211" s="2" t="b">
        <f t="shared" si="70"/>
        <v>1</v>
      </c>
      <c r="F211" s="2"/>
      <c r="G211" s="2" t="s">
        <v>450</v>
      </c>
      <c r="H211" s="2" t="str">
        <f t="shared" si="64"/>
        <v>Blanc</v>
      </c>
      <c r="I211" s="2" t="str">
        <f t="shared" si="71"/>
        <v>PUC2490-CW</v>
      </c>
      <c r="J211" s="2" t="s">
        <v>430</v>
      </c>
      <c r="K211" s="2" t="s">
        <v>431</v>
      </c>
      <c r="L211" s="2" t="str">
        <f>IFERROR(VLOOKUP(J211,Categories!$A$2:$C$41,3,FALSE()),"⚠ slug introuvable")</f>
        <v>Armoire utilitaire</v>
      </c>
      <c r="M211" s="2" t="str">
        <f>IFERROR(VLOOKUP(K211,Categories!$A$2:$C$41,3,FALSE()),"⚠ slug introuvable")</f>
        <v>Garde-manger</v>
      </c>
      <c r="N211" s="2" t="s">
        <v>432</v>
      </c>
      <c r="O211" s="2" t="str">
        <f t="shared" ref="O211:O218" si="79">_xlfn.CONCAT(N211," (",AA211,""" x ",AB211,""")")</f>
        <v>Armoire de cuisine garde-manger (24" x 90")</v>
      </c>
      <c r="P211" s="2" t="str">
        <f t="shared" ref="P211:P218" si="80">_xlfn.CONCAT("Garde-manger"," (",AA211,""" x ",AB211,""")")</f>
        <v>Garde-manger (24" x 90")</v>
      </c>
      <c r="Q211" s="11">
        <v>1695</v>
      </c>
      <c r="R211" s="11">
        <f t="shared" si="72"/>
        <v>150.66666666666666</v>
      </c>
      <c r="S211" s="11">
        <f t="shared" si="73"/>
        <v>210.93333333333331</v>
      </c>
      <c r="T211" s="11">
        <f t="shared" si="74"/>
        <v>232.02666666666667</v>
      </c>
      <c r="U211" s="11">
        <f t="shared" si="78"/>
        <v>278.43200000000002</v>
      </c>
      <c r="V211" s="11">
        <f t="shared" si="78"/>
        <v>334.11840000000001</v>
      </c>
      <c r="W211" s="11">
        <f t="shared" si="75"/>
        <v>367.53024000000005</v>
      </c>
      <c r="X211" s="11">
        <f t="shared" si="76"/>
        <v>367.53024000000005</v>
      </c>
      <c r="Y211" s="14">
        <v>0.4</v>
      </c>
      <c r="Z211" s="11">
        <f t="shared" si="77"/>
        <v>612.55040000000008</v>
      </c>
      <c r="AA211" s="2">
        <v>24</v>
      </c>
      <c r="AB211" s="2">
        <v>90</v>
      </c>
      <c r="AC211" s="2">
        <v>27</v>
      </c>
      <c r="AD211" s="2">
        <v>4</v>
      </c>
      <c r="AE211" s="2">
        <v>0</v>
      </c>
    </row>
    <row r="212" spans="1:31">
      <c r="A212" s="2" t="s">
        <v>451</v>
      </c>
      <c r="B212" s="2"/>
      <c r="C212" s="2"/>
      <c r="D212" s="2"/>
      <c r="E212" s="2" t="b">
        <f t="shared" si="70"/>
        <v>1</v>
      </c>
      <c r="F212" s="2"/>
      <c r="G212" s="2" t="s">
        <v>452</v>
      </c>
      <c r="H212" s="2" t="str">
        <f t="shared" si="64"/>
        <v>Blanc</v>
      </c>
      <c r="I212" s="2" t="str">
        <f t="shared" si="71"/>
        <v>PUC24-91.5-CW</v>
      </c>
      <c r="J212" s="2" t="s">
        <v>430</v>
      </c>
      <c r="K212" s="2" t="s">
        <v>431</v>
      </c>
      <c r="L212" s="2" t="str">
        <f>IFERROR(VLOOKUP(J212,Categories!$A$2:$C$41,3,FALSE()),"⚠ slug introuvable")</f>
        <v>Armoire utilitaire</v>
      </c>
      <c r="M212" s="2" t="str">
        <f>IFERROR(VLOOKUP(K212,Categories!$A$2:$C$41,3,FALSE()),"⚠ slug introuvable")</f>
        <v>Garde-manger</v>
      </c>
      <c r="N212" s="2" t="s">
        <v>432</v>
      </c>
      <c r="O212" s="2" t="str">
        <f t="shared" si="79"/>
        <v>Armoire de cuisine garde-manger (24" x 91.5")</v>
      </c>
      <c r="P212" s="2" t="str">
        <f t="shared" si="80"/>
        <v>Garde-manger (24" x 91.5")</v>
      </c>
      <c r="Q212" s="11">
        <v>1870</v>
      </c>
      <c r="R212" s="11">
        <f t="shared" si="72"/>
        <v>166.22222222222223</v>
      </c>
      <c r="S212" s="11">
        <f t="shared" si="73"/>
        <v>232.71111111111111</v>
      </c>
      <c r="T212" s="11">
        <f t="shared" si="74"/>
        <v>255.98222222222225</v>
      </c>
      <c r="U212" s="11">
        <f t="shared" si="78"/>
        <v>307.17866666666669</v>
      </c>
      <c r="V212" s="11">
        <f t="shared" si="78"/>
        <v>368.61439999999999</v>
      </c>
      <c r="W212" s="11">
        <f t="shared" si="75"/>
        <v>405.47584000000001</v>
      </c>
      <c r="X212" s="11">
        <f t="shared" si="76"/>
        <v>405.47584000000001</v>
      </c>
      <c r="Y212" s="14">
        <v>0.4</v>
      </c>
      <c r="Z212" s="11">
        <f t="shared" si="77"/>
        <v>675.79306666666673</v>
      </c>
      <c r="AA212" s="2">
        <v>24</v>
      </c>
      <c r="AB212" s="2">
        <v>91.5</v>
      </c>
      <c r="AC212" s="2">
        <v>27</v>
      </c>
      <c r="AD212" s="2">
        <v>4</v>
      </c>
      <c r="AE212" s="2">
        <v>0</v>
      </c>
    </row>
    <row r="213" spans="1:31">
      <c r="A213" s="2" t="s">
        <v>453</v>
      </c>
      <c r="B213" s="2"/>
      <c r="C213" s="2"/>
      <c r="D213" s="2"/>
      <c r="E213" s="2" t="b">
        <f t="shared" si="70"/>
        <v>1</v>
      </c>
      <c r="F213" s="2"/>
      <c r="G213" s="2" t="s">
        <v>454</v>
      </c>
      <c r="H213" s="2" t="str">
        <f t="shared" ref="H213:H276" si="81">IF(ISNUMBER(SEARCH("muf",A213)),"Chêne blanc","Blanc")</f>
        <v>Blanc</v>
      </c>
      <c r="I213" s="2" t="str">
        <f t="shared" si="71"/>
        <v>PUC2493-CW</v>
      </c>
      <c r="J213" s="2" t="s">
        <v>430</v>
      </c>
      <c r="K213" s="2" t="s">
        <v>431</v>
      </c>
      <c r="L213" s="2" t="str">
        <f>IFERROR(VLOOKUP(J213,Categories!$A$2:$C$41,3,FALSE()),"⚠ slug introuvable")</f>
        <v>Armoire utilitaire</v>
      </c>
      <c r="M213" s="2" t="str">
        <f>IFERROR(VLOOKUP(K213,Categories!$A$2:$C$41,3,FALSE()),"⚠ slug introuvable")</f>
        <v>Garde-manger</v>
      </c>
      <c r="N213" s="2" t="s">
        <v>432</v>
      </c>
      <c r="O213" s="2" t="str">
        <f t="shared" si="79"/>
        <v>Armoire de cuisine garde-manger (24" x 93")</v>
      </c>
      <c r="P213" s="2" t="str">
        <f t="shared" si="80"/>
        <v>Garde-manger (24" x 93")</v>
      </c>
      <c r="Q213" s="11">
        <v>1894</v>
      </c>
      <c r="R213" s="11">
        <f t="shared" si="72"/>
        <v>168.35555555555555</v>
      </c>
      <c r="S213" s="11">
        <f t="shared" si="73"/>
        <v>235.69777777777776</v>
      </c>
      <c r="T213" s="11">
        <f t="shared" si="74"/>
        <v>259.26755555555553</v>
      </c>
      <c r="U213" s="11">
        <f t="shared" si="78"/>
        <v>311.12106666666665</v>
      </c>
      <c r="V213" s="11">
        <f t="shared" si="78"/>
        <v>373.34527999999995</v>
      </c>
      <c r="W213" s="11">
        <f t="shared" si="75"/>
        <v>410.67980799999998</v>
      </c>
      <c r="X213" s="11">
        <f t="shared" si="76"/>
        <v>410.67980799999998</v>
      </c>
      <c r="Y213" s="14">
        <v>0.4</v>
      </c>
      <c r="Z213" s="11">
        <f t="shared" si="77"/>
        <v>684.46634666666671</v>
      </c>
      <c r="AA213" s="2">
        <v>24</v>
      </c>
      <c r="AB213" s="2">
        <v>93</v>
      </c>
      <c r="AC213" s="2">
        <v>27</v>
      </c>
      <c r="AD213" s="2">
        <v>4</v>
      </c>
      <c r="AE213" s="2">
        <v>0</v>
      </c>
    </row>
    <row r="214" spans="1:31">
      <c r="A214" s="2" t="s">
        <v>455</v>
      </c>
      <c r="B214" s="2"/>
      <c r="C214" s="2"/>
      <c r="D214" s="2"/>
      <c r="E214" s="2" t="b">
        <f t="shared" si="70"/>
        <v>1</v>
      </c>
      <c r="F214" s="2"/>
      <c r="G214" s="2" t="s">
        <v>456</v>
      </c>
      <c r="H214" s="2" t="str">
        <f t="shared" si="81"/>
        <v>Blanc</v>
      </c>
      <c r="I214" s="2" t="str">
        <f t="shared" si="71"/>
        <v>PUC2496-CW</v>
      </c>
      <c r="J214" s="2" t="s">
        <v>430</v>
      </c>
      <c r="K214" s="2" t="s">
        <v>431</v>
      </c>
      <c r="L214" s="2" t="str">
        <f>IFERROR(VLOOKUP(J214,Categories!$A$2:$C$41,3,FALSE()),"⚠ slug introuvable")</f>
        <v>Armoire utilitaire</v>
      </c>
      <c r="M214" s="2" t="str">
        <f>IFERROR(VLOOKUP(K214,Categories!$A$2:$C$41,3,FALSE()),"⚠ slug introuvable")</f>
        <v>Garde-manger</v>
      </c>
      <c r="N214" s="2" t="s">
        <v>432</v>
      </c>
      <c r="O214" s="2" t="str">
        <f t="shared" si="79"/>
        <v>Armoire de cuisine garde-manger (24" x 96")</v>
      </c>
      <c r="P214" s="2" t="str">
        <f t="shared" si="80"/>
        <v>Garde-manger (24" x 96")</v>
      </c>
      <c r="Q214" s="11">
        <v>1885</v>
      </c>
      <c r="R214" s="11">
        <f t="shared" si="72"/>
        <v>167.55555555555554</v>
      </c>
      <c r="S214" s="11">
        <f t="shared" si="73"/>
        <v>234.57777777777775</v>
      </c>
      <c r="T214" s="11">
        <f t="shared" si="74"/>
        <v>258.03555555555556</v>
      </c>
      <c r="U214" s="11">
        <f t="shared" si="78"/>
        <v>309.64266666666668</v>
      </c>
      <c r="V214" s="11">
        <f t="shared" si="78"/>
        <v>371.57120000000003</v>
      </c>
      <c r="W214" s="11">
        <f t="shared" si="75"/>
        <v>408.72832000000005</v>
      </c>
      <c r="X214" s="11">
        <f t="shared" si="76"/>
        <v>408.72832000000005</v>
      </c>
      <c r="Y214" s="14">
        <v>0.4</v>
      </c>
      <c r="Z214" s="11">
        <f t="shared" si="77"/>
        <v>681.21386666666683</v>
      </c>
      <c r="AA214" s="2">
        <v>24</v>
      </c>
      <c r="AB214" s="2">
        <v>96</v>
      </c>
      <c r="AC214" s="2">
        <v>27</v>
      </c>
      <c r="AD214" s="2">
        <v>4</v>
      </c>
      <c r="AE214" s="2">
        <v>0</v>
      </c>
    </row>
    <row r="215" spans="1:31">
      <c r="A215" s="2" t="s">
        <v>457</v>
      </c>
      <c r="B215" s="2"/>
      <c r="C215" s="2"/>
      <c r="D215" s="2"/>
      <c r="E215" s="2" t="b">
        <f t="shared" si="70"/>
        <v>1</v>
      </c>
      <c r="F215" s="2"/>
      <c r="G215" s="2" t="s">
        <v>458</v>
      </c>
      <c r="H215" s="2" t="str">
        <f t="shared" si="81"/>
        <v>Blanc</v>
      </c>
      <c r="I215" s="2" t="str">
        <f t="shared" si="71"/>
        <v>PUC24-103.5-CW</v>
      </c>
      <c r="J215" s="2" t="s">
        <v>430</v>
      </c>
      <c r="K215" s="2" t="s">
        <v>431</v>
      </c>
      <c r="L215" s="2" t="str">
        <f>IFERROR(VLOOKUP(J215,Categories!$A$2:$C$41,3,FALSE()),"⚠ slug introuvable")</f>
        <v>Armoire utilitaire</v>
      </c>
      <c r="M215" s="2" t="str">
        <f>IFERROR(VLOOKUP(K215,Categories!$A$2:$C$41,3,FALSE()),"⚠ slug introuvable")</f>
        <v>Garde-manger</v>
      </c>
      <c r="N215" s="2" t="s">
        <v>432</v>
      </c>
      <c r="O215" s="2" t="str">
        <f t="shared" si="79"/>
        <v>Armoire de cuisine garde-manger (24" x 103.5")</v>
      </c>
      <c r="P215" s="2" t="str">
        <f t="shared" si="80"/>
        <v>Garde-manger (24" x 103.5")</v>
      </c>
      <c r="Q215" s="11">
        <v>2724</v>
      </c>
      <c r="R215" s="11">
        <f t="shared" si="72"/>
        <v>242.13333333333333</v>
      </c>
      <c r="S215" s="11">
        <f t="shared" si="73"/>
        <v>338.98666666666662</v>
      </c>
      <c r="T215" s="11">
        <f t="shared" si="74"/>
        <v>372.88533333333334</v>
      </c>
      <c r="U215" s="11">
        <f t="shared" si="78"/>
        <v>447.4624</v>
      </c>
      <c r="V215" s="11">
        <f t="shared" si="78"/>
        <v>536.95488</v>
      </c>
      <c r="W215" s="11">
        <f t="shared" si="75"/>
        <v>590.65036800000007</v>
      </c>
      <c r="X215" s="11">
        <f t="shared" si="76"/>
        <v>590.65036800000007</v>
      </c>
      <c r="Y215" s="14">
        <v>0.4</v>
      </c>
      <c r="Z215" s="11">
        <f t="shared" si="77"/>
        <v>984.41728000000012</v>
      </c>
      <c r="AA215" s="2">
        <v>24</v>
      </c>
      <c r="AB215" s="2">
        <v>103.5</v>
      </c>
      <c r="AC215" s="2">
        <v>27</v>
      </c>
      <c r="AD215" s="2">
        <v>4</v>
      </c>
      <c r="AE215" s="2">
        <v>0</v>
      </c>
    </row>
    <row r="216" spans="1:31">
      <c r="A216" s="2" t="s">
        <v>459</v>
      </c>
      <c r="B216" s="2"/>
      <c r="C216" s="2"/>
      <c r="D216" s="2"/>
      <c r="E216" s="2" t="b">
        <f t="shared" si="70"/>
        <v>1</v>
      </c>
      <c r="F216" s="2"/>
      <c r="G216" s="2" t="s">
        <v>460</v>
      </c>
      <c r="H216" s="2" t="str">
        <f t="shared" si="81"/>
        <v>Blanc</v>
      </c>
      <c r="I216" s="2" t="str">
        <f t="shared" si="71"/>
        <v>PUC27-91.5-CW</v>
      </c>
      <c r="J216" s="2" t="s">
        <v>430</v>
      </c>
      <c r="K216" s="2" t="s">
        <v>431</v>
      </c>
      <c r="L216" s="2" t="str">
        <f>IFERROR(VLOOKUP(J216,Categories!$A$2:$C$41,3,FALSE()),"⚠ slug introuvable")</f>
        <v>Armoire utilitaire</v>
      </c>
      <c r="M216" s="2" t="str">
        <f>IFERROR(VLOOKUP(K216,Categories!$A$2:$C$41,3,FALSE()),"⚠ slug introuvable")</f>
        <v>Garde-manger</v>
      </c>
      <c r="N216" s="2" t="s">
        <v>432</v>
      </c>
      <c r="O216" s="2" t="str">
        <f t="shared" si="79"/>
        <v>Armoire de cuisine garde-manger (27" x 91.5")</v>
      </c>
      <c r="P216" s="2" t="str">
        <f t="shared" si="80"/>
        <v>Garde-manger (27" x 91.5")</v>
      </c>
      <c r="Q216" s="11">
        <v>2081</v>
      </c>
      <c r="R216" s="11">
        <f t="shared" si="72"/>
        <v>184.97777777777779</v>
      </c>
      <c r="S216" s="11">
        <f t="shared" si="73"/>
        <v>258.9688888888889</v>
      </c>
      <c r="T216" s="11">
        <f t="shared" si="74"/>
        <v>284.86577777777779</v>
      </c>
      <c r="U216" s="11">
        <f t="shared" si="78"/>
        <v>341.83893333333333</v>
      </c>
      <c r="V216" s="11">
        <f t="shared" si="78"/>
        <v>410.20671999999996</v>
      </c>
      <c r="W216" s="11">
        <f t="shared" si="75"/>
        <v>451.22739200000001</v>
      </c>
      <c r="X216" s="11">
        <f t="shared" si="76"/>
        <v>451.22739200000001</v>
      </c>
      <c r="Y216" s="14">
        <v>0.4</v>
      </c>
      <c r="Z216" s="11">
        <f t="shared" si="77"/>
        <v>752.04565333333335</v>
      </c>
      <c r="AA216" s="2">
        <v>27</v>
      </c>
      <c r="AB216" s="2">
        <v>91.5</v>
      </c>
      <c r="AC216" s="2">
        <v>27</v>
      </c>
      <c r="AD216" s="2">
        <v>4</v>
      </c>
      <c r="AE216" s="2">
        <v>0</v>
      </c>
    </row>
    <row r="217" spans="1:31">
      <c r="A217" s="2" t="s">
        <v>461</v>
      </c>
      <c r="B217" s="2"/>
      <c r="C217" s="2"/>
      <c r="D217" s="2"/>
      <c r="E217" s="2" t="b">
        <f t="shared" si="70"/>
        <v>1</v>
      </c>
      <c r="F217" s="2"/>
      <c r="G217" s="2" t="s">
        <v>462</v>
      </c>
      <c r="H217" s="2" t="str">
        <f t="shared" si="81"/>
        <v>Blanc</v>
      </c>
      <c r="I217" s="2" t="str">
        <f t="shared" si="71"/>
        <v>PUC2793-CW</v>
      </c>
      <c r="J217" s="2" t="s">
        <v>430</v>
      </c>
      <c r="K217" s="2" t="s">
        <v>431</v>
      </c>
      <c r="L217" s="2" t="str">
        <f>IFERROR(VLOOKUP(J217,Categories!$A$2:$C$41,3,FALSE()),"⚠ slug introuvable")</f>
        <v>Armoire utilitaire</v>
      </c>
      <c r="M217" s="2" t="str">
        <f>IFERROR(VLOOKUP(K217,Categories!$A$2:$C$41,3,FALSE()),"⚠ slug introuvable")</f>
        <v>Garde-manger</v>
      </c>
      <c r="N217" s="2" t="s">
        <v>432</v>
      </c>
      <c r="O217" s="2" t="str">
        <f t="shared" si="79"/>
        <v>Armoire de cuisine garde-manger (27" x 93")</v>
      </c>
      <c r="P217" s="2" t="str">
        <f t="shared" si="80"/>
        <v>Garde-manger (27" x 93")</v>
      </c>
      <c r="Q217" s="11">
        <v>2103</v>
      </c>
      <c r="R217" s="11">
        <f t="shared" si="72"/>
        <v>186.93333333333334</v>
      </c>
      <c r="S217" s="11">
        <f t="shared" si="73"/>
        <v>261.70666666666665</v>
      </c>
      <c r="T217" s="11">
        <f t="shared" si="74"/>
        <v>287.87733333333335</v>
      </c>
      <c r="U217" s="11">
        <f t="shared" si="78"/>
        <v>345.45280000000002</v>
      </c>
      <c r="V217" s="11">
        <f t="shared" si="78"/>
        <v>414.54336000000001</v>
      </c>
      <c r="W217" s="11">
        <f t="shared" si="75"/>
        <v>455.99769600000002</v>
      </c>
      <c r="X217" s="11">
        <f t="shared" si="76"/>
        <v>455.99769600000002</v>
      </c>
      <c r="Y217" s="14">
        <v>0.4</v>
      </c>
      <c r="Z217" s="11">
        <f t="shared" si="77"/>
        <v>759.99616000000003</v>
      </c>
      <c r="AA217" s="2">
        <v>27</v>
      </c>
      <c r="AB217" s="2">
        <v>93</v>
      </c>
      <c r="AC217" s="2">
        <v>27</v>
      </c>
      <c r="AD217" s="2">
        <v>4</v>
      </c>
      <c r="AE217" s="2">
        <v>0</v>
      </c>
    </row>
    <row r="218" spans="1:31">
      <c r="A218" s="2" t="s">
        <v>463</v>
      </c>
      <c r="B218" s="2"/>
      <c r="C218" s="2"/>
      <c r="D218" s="2"/>
      <c r="E218" s="2" t="b">
        <f t="shared" si="70"/>
        <v>1</v>
      </c>
      <c r="F218" s="2"/>
      <c r="G218" s="2" t="s">
        <v>464</v>
      </c>
      <c r="H218" s="2" t="str">
        <f t="shared" si="81"/>
        <v>Blanc</v>
      </c>
      <c r="I218" s="2" t="str">
        <f t="shared" si="71"/>
        <v>PUC2796-CW</v>
      </c>
      <c r="J218" s="2" t="s">
        <v>430</v>
      </c>
      <c r="K218" s="2" t="s">
        <v>431</v>
      </c>
      <c r="L218" s="2" t="str">
        <f>IFERROR(VLOOKUP(J218,Categories!$A$2:$C$41,3,FALSE()),"⚠ slug introuvable")</f>
        <v>Armoire utilitaire</v>
      </c>
      <c r="M218" s="2" t="str">
        <f>IFERROR(VLOOKUP(K218,Categories!$A$2:$C$41,3,FALSE()),"⚠ slug introuvable")</f>
        <v>Garde-manger</v>
      </c>
      <c r="N218" s="2" t="s">
        <v>432</v>
      </c>
      <c r="O218" s="2" t="str">
        <f t="shared" si="79"/>
        <v>Armoire de cuisine garde-manger (27" x 96")</v>
      </c>
      <c r="P218" s="2" t="str">
        <f t="shared" si="80"/>
        <v>Garde-manger (27" x 96")</v>
      </c>
      <c r="Q218" s="11">
        <v>2007</v>
      </c>
      <c r="R218" s="11">
        <f t="shared" si="72"/>
        <v>178.4</v>
      </c>
      <c r="S218" s="11">
        <f t="shared" si="73"/>
        <v>249.76</v>
      </c>
      <c r="T218" s="11">
        <f t="shared" si="74"/>
        <v>274.73599999999999</v>
      </c>
      <c r="U218" s="11">
        <f t="shared" si="78"/>
        <v>329.6832</v>
      </c>
      <c r="V218" s="11">
        <f t="shared" si="78"/>
        <v>395.61984000000001</v>
      </c>
      <c r="W218" s="11">
        <f t="shared" si="75"/>
        <v>435.18182400000006</v>
      </c>
      <c r="X218" s="11">
        <f t="shared" si="76"/>
        <v>435.18182400000006</v>
      </c>
      <c r="Y218" s="14">
        <v>0.4</v>
      </c>
      <c r="Z218" s="11">
        <f t="shared" si="77"/>
        <v>725.30304000000012</v>
      </c>
      <c r="AA218" s="2">
        <v>27</v>
      </c>
      <c r="AB218" s="2">
        <v>96</v>
      </c>
      <c r="AC218" s="2">
        <v>27</v>
      </c>
      <c r="AD218" s="2">
        <v>4</v>
      </c>
      <c r="AE218" s="2">
        <v>0</v>
      </c>
    </row>
    <row r="219" spans="1:31" hidden="1">
      <c r="A219" s="2" t="s">
        <v>465</v>
      </c>
      <c r="B219" s="2" t="b">
        <v>1</v>
      </c>
      <c r="C219" s="2"/>
      <c r="D219" s="2"/>
      <c r="E219" s="2" t="b">
        <f t="shared" si="70"/>
        <v>0</v>
      </c>
      <c r="F219" s="2"/>
      <c r="G219" s="2"/>
      <c r="H219" s="2" t="str">
        <f t="shared" si="81"/>
        <v>Blanc</v>
      </c>
      <c r="I219" s="2" t="str">
        <f t="shared" si="71"/>
        <v>-CW</v>
      </c>
      <c r="J219" s="2"/>
      <c r="K219" s="2" t="s">
        <v>326</v>
      </c>
      <c r="L219" s="2"/>
      <c r="M219" s="2" t="str">
        <f>IFERROR(VLOOKUP(K219,Categories!$A$2:$C$41,3,FALSE()),"⚠ slug introuvable")</f>
        <v>⚠ slug introuvable</v>
      </c>
      <c r="N219" s="2" t="s">
        <v>466</v>
      </c>
      <c r="O219" s="2"/>
      <c r="P219" s="2"/>
      <c r="Q219" s="11"/>
      <c r="R219" s="11">
        <f t="shared" si="72"/>
        <v>0</v>
      </c>
      <c r="S219" s="11">
        <f t="shared" si="73"/>
        <v>0</v>
      </c>
      <c r="T219" s="11">
        <f t="shared" si="74"/>
        <v>0</v>
      </c>
      <c r="U219" s="11">
        <f t="shared" si="78"/>
        <v>0</v>
      </c>
      <c r="V219" s="11">
        <f t="shared" si="78"/>
        <v>0</v>
      </c>
      <c r="W219" s="11">
        <f t="shared" si="75"/>
        <v>0</v>
      </c>
      <c r="X219" s="11">
        <f t="shared" si="76"/>
        <v>0</v>
      </c>
      <c r="Y219" s="14">
        <v>0.4</v>
      </c>
      <c r="Z219" s="11">
        <f t="shared" si="77"/>
        <v>0</v>
      </c>
      <c r="AA219" s="2">
        <v>36</v>
      </c>
      <c r="AB219" s="2">
        <v>36</v>
      </c>
      <c r="AC219" s="2">
        <v>12</v>
      </c>
      <c r="AD219" s="2">
        <v>2</v>
      </c>
      <c r="AE219" s="2">
        <v>0</v>
      </c>
    </row>
    <row r="220" spans="1:31">
      <c r="A220" s="2" t="s">
        <v>467</v>
      </c>
      <c r="B220" s="2"/>
      <c r="C220" s="2"/>
      <c r="D220" s="2"/>
      <c r="E220" s="2" t="b">
        <f t="shared" si="70"/>
        <v>1</v>
      </c>
      <c r="F220" s="2"/>
      <c r="G220" s="2" t="s">
        <v>468</v>
      </c>
      <c r="H220" s="2" t="str">
        <f t="shared" si="81"/>
        <v>Blanc</v>
      </c>
      <c r="I220" s="2" t="str">
        <f t="shared" si="71"/>
        <v>PUC3084-CW</v>
      </c>
      <c r="J220" s="2" t="s">
        <v>430</v>
      </c>
      <c r="K220" s="2" t="s">
        <v>431</v>
      </c>
      <c r="L220" s="2" t="str">
        <f>IFERROR(VLOOKUP(J220,Categories!$A$2:$C$41,3,FALSE()),"⚠ slug introuvable")</f>
        <v>Armoire utilitaire</v>
      </c>
      <c r="M220" s="2" t="str">
        <f>IFERROR(VLOOKUP(K220,Categories!$A$2:$C$41,3,FALSE()),"⚠ slug introuvable")</f>
        <v>Garde-manger</v>
      </c>
      <c r="N220" s="2" t="s">
        <v>432</v>
      </c>
      <c r="O220" s="2" t="str">
        <f>_xlfn.CONCAT(N220," (",AA220,""" x ",AB220,""")")</f>
        <v>Armoire de cuisine garde-manger (30" x 84")</v>
      </c>
      <c r="P220" s="2" t="str">
        <f>_xlfn.CONCAT("Garde-manger"," (",AA220,""" x ",AB220,""")")</f>
        <v>Garde-manger (30" x 84")</v>
      </c>
      <c r="Q220" s="11">
        <v>1954</v>
      </c>
      <c r="R220" s="11">
        <f t="shared" si="72"/>
        <v>173.6888888888889</v>
      </c>
      <c r="S220" s="11">
        <f t="shared" si="73"/>
        <v>243.16444444444443</v>
      </c>
      <c r="T220" s="11">
        <f t="shared" si="74"/>
        <v>267.4808888888889</v>
      </c>
      <c r="U220" s="11">
        <f t="shared" si="78"/>
        <v>320.97706666666664</v>
      </c>
      <c r="V220" s="11">
        <f t="shared" si="78"/>
        <v>385.17247999999995</v>
      </c>
      <c r="W220" s="11">
        <f t="shared" si="75"/>
        <v>423.689728</v>
      </c>
      <c r="X220" s="11">
        <f t="shared" si="76"/>
        <v>423.689728</v>
      </c>
      <c r="Y220" s="14">
        <v>0.4</v>
      </c>
      <c r="Z220" s="11">
        <f t="shared" si="77"/>
        <v>706.14954666666665</v>
      </c>
      <c r="AA220" s="2">
        <v>30</v>
      </c>
      <c r="AB220" s="2">
        <v>84</v>
      </c>
      <c r="AC220" s="2">
        <v>27</v>
      </c>
      <c r="AD220" s="2">
        <v>4</v>
      </c>
      <c r="AE220" s="2">
        <v>0</v>
      </c>
    </row>
    <row r="221" spans="1:31">
      <c r="A221" s="2" t="s">
        <v>469</v>
      </c>
      <c r="B221" s="2"/>
      <c r="C221" s="2"/>
      <c r="D221" s="2"/>
      <c r="E221" s="2" t="b">
        <f t="shared" si="70"/>
        <v>1</v>
      </c>
      <c r="F221" s="2"/>
      <c r="G221" s="2" t="s">
        <v>470</v>
      </c>
      <c r="H221" s="2" t="str">
        <f t="shared" si="81"/>
        <v>Blanc</v>
      </c>
      <c r="I221" s="2" t="str">
        <f t="shared" si="71"/>
        <v>PUC3090-CW</v>
      </c>
      <c r="J221" s="2" t="s">
        <v>430</v>
      </c>
      <c r="K221" s="2" t="s">
        <v>431</v>
      </c>
      <c r="L221" s="2" t="str">
        <f>IFERROR(VLOOKUP(J221,Categories!$A$2:$C$41,3,FALSE()),"⚠ slug introuvable")</f>
        <v>Armoire utilitaire</v>
      </c>
      <c r="M221" s="2" t="str">
        <f>IFERROR(VLOOKUP(K221,Categories!$A$2:$C$41,3,FALSE()),"⚠ slug introuvable")</f>
        <v>Garde-manger</v>
      </c>
      <c r="N221" s="2" t="s">
        <v>432</v>
      </c>
      <c r="O221" s="2" t="str">
        <f>_xlfn.CONCAT(N221," (",AA221,""" x ",AB221,""")")</f>
        <v>Armoire de cuisine garde-manger (30" x 90")</v>
      </c>
      <c r="P221" s="2" t="str">
        <f>_xlfn.CONCAT("Garde-manger"," (",AA221,""" x ",AB221,""")")</f>
        <v>Garde-manger (30" x 90")</v>
      </c>
      <c r="Q221" s="11">
        <v>2236</v>
      </c>
      <c r="R221" s="11">
        <f t="shared" si="72"/>
        <v>198.75555555555556</v>
      </c>
      <c r="S221" s="11">
        <f t="shared" si="73"/>
        <v>278.25777777777779</v>
      </c>
      <c r="T221" s="11">
        <f t="shared" si="74"/>
        <v>306.08355555555562</v>
      </c>
      <c r="U221" s="11">
        <f t="shared" si="78"/>
        <v>367.30026666666674</v>
      </c>
      <c r="V221" s="11">
        <f t="shared" si="78"/>
        <v>440.76032000000009</v>
      </c>
      <c r="W221" s="11">
        <f t="shared" si="75"/>
        <v>484.83635200000015</v>
      </c>
      <c r="X221" s="11">
        <f t="shared" si="76"/>
        <v>484.83635200000015</v>
      </c>
      <c r="Y221" s="14">
        <v>0.4</v>
      </c>
      <c r="Z221" s="11">
        <f t="shared" si="77"/>
        <v>808.06058666666695</v>
      </c>
      <c r="AA221" s="2">
        <v>30</v>
      </c>
      <c r="AB221" s="2">
        <v>90</v>
      </c>
      <c r="AC221" s="2">
        <v>27</v>
      </c>
      <c r="AD221" s="2">
        <v>4</v>
      </c>
      <c r="AE221" s="2">
        <v>0</v>
      </c>
    </row>
    <row r="222" spans="1:31" hidden="1">
      <c r="A222" s="2" t="s">
        <v>368</v>
      </c>
      <c r="B222" s="2"/>
      <c r="C222" s="2" t="b">
        <v>1</v>
      </c>
      <c r="D222" s="2"/>
      <c r="E222" s="2" t="b">
        <f t="shared" si="70"/>
        <v>0</v>
      </c>
      <c r="F222" s="4" t="s">
        <v>471</v>
      </c>
      <c r="G222" s="2"/>
      <c r="H222" s="2" t="str">
        <f t="shared" si="81"/>
        <v>Blanc</v>
      </c>
      <c r="I222" s="2"/>
      <c r="J222" s="2"/>
      <c r="K222" s="2"/>
      <c r="L222" s="2"/>
      <c r="M222" s="2"/>
      <c r="N222" s="2"/>
      <c r="O222" s="2"/>
      <c r="P222" s="2"/>
      <c r="Q222" s="11"/>
      <c r="R222" s="11"/>
      <c r="S222" s="11"/>
      <c r="T222" s="11"/>
      <c r="U222" s="11"/>
      <c r="V222" s="11"/>
      <c r="W222" s="11"/>
      <c r="X222" s="11"/>
      <c r="Y222" s="14"/>
      <c r="Z222" s="11">
        <f t="shared" si="77"/>
        <v>0</v>
      </c>
      <c r="AA222" s="2"/>
      <c r="AB222" s="2"/>
      <c r="AC222" s="2"/>
      <c r="AD222" s="2"/>
      <c r="AE222" s="2"/>
    </row>
    <row r="223" spans="1:31">
      <c r="A223" s="2" t="s">
        <v>472</v>
      </c>
      <c r="B223" s="2"/>
      <c r="C223" s="2"/>
      <c r="D223" s="2"/>
      <c r="E223" s="2" t="b">
        <f t="shared" si="70"/>
        <v>1</v>
      </c>
      <c r="F223" s="2"/>
      <c r="G223" s="2" t="s">
        <v>473</v>
      </c>
      <c r="H223" s="2" t="str">
        <f t="shared" si="81"/>
        <v>Blanc</v>
      </c>
      <c r="I223" s="2" t="str">
        <f t="shared" ref="I223:I254" si="82">_xlfn.CONCAT(G223,IF(H223="","",IF(H223="Blanc","-CW","-WWO")))</f>
        <v>PUC3093-CW</v>
      </c>
      <c r="J223" s="2" t="s">
        <v>430</v>
      </c>
      <c r="K223" s="2" t="s">
        <v>431</v>
      </c>
      <c r="L223" s="2" t="str">
        <f>IFERROR(VLOOKUP(J223,Categories!$A$2:$C$41,3,FALSE()),"⚠ slug introuvable")</f>
        <v>Armoire utilitaire</v>
      </c>
      <c r="M223" s="2" t="str">
        <f>IFERROR(VLOOKUP(K223,Categories!$A$2:$C$41,3,FALSE()),"⚠ slug introuvable")</f>
        <v>Garde-manger</v>
      </c>
      <c r="N223" s="2" t="s">
        <v>432</v>
      </c>
      <c r="O223" s="2" t="str">
        <f>_xlfn.CONCAT(N223," (",AA223,""" x ",AB223,""")")</f>
        <v>Armoire de cuisine garde-manger (30" x 93")</v>
      </c>
      <c r="P223" s="2" t="str">
        <f>_xlfn.CONCAT("Garde-manger"," (",AA223,""" x ",AB223,""")")</f>
        <v>Garde-manger (30" x 93")</v>
      </c>
      <c r="Q223" s="11">
        <v>2405</v>
      </c>
      <c r="R223" s="11">
        <f t="shared" ref="R223:R254" si="83">Q223/11.25</f>
        <v>213.77777777777777</v>
      </c>
      <c r="S223" s="11">
        <f t="shared" ref="S223:S254" si="84">R223*1.4</f>
        <v>299.28888888888883</v>
      </c>
      <c r="T223" s="11">
        <f t="shared" ref="T223:T254" si="85">S223*1.1</f>
        <v>329.21777777777777</v>
      </c>
      <c r="U223" s="11">
        <f t="shared" ref="U223:V242" si="86">T223*1.2</f>
        <v>395.06133333333332</v>
      </c>
      <c r="V223" s="11">
        <f t="shared" si="86"/>
        <v>474.07359999999994</v>
      </c>
      <c r="W223" s="11">
        <f t="shared" ref="W223:W254" si="87">V223*1.1</f>
        <v>521.48095999999998</v>
      </c>
      <c r="X223" s="11">
        <f t="shared" ref="X223:X254" si="88">W223</f>
        <v>521.48095999999998</v>
      </c>
      <c r="Y223" s="14">
        <v>0.4</v>
      </c>
      <c r="Z223" s="11">
        <f t="shared" si="77"/>
        <v>869.13493333333338</v>
      </c>
      <c r="AA223" s="2">
        <v>30</v>
      </c>
      <c r="AB223" s="2">
        <v>93</v>
      </c>
      <c r="AC223" s="2">
        <v>27</v>
      </c>
      <c r="AD223" s="2">
        <v>4</v>
      </c>
      <c r="AE223" s="2">
        <v>0</v>
      </c>
    </row>
    <row r="224" spans="1:31">
      <c r="A224" s="2" t="s">
        <v>474</v>
      </c>
      <c r="B224" s="2"/>
      <c r="C224" s="2"/>
      <c r="D224" s="2"/>
      <c r="E224" s="2" t="b">
        <f t="shared" si="70"/>
        <v>1</v>
      </c>
      <c r="F224" s="2"/>
      <c r="G224" s="2" t="s">
        <v>475</v>
      </c>
      <c r="H224" s="2" t="str">
        <f t="shared" si="81"/>
        <v>Blanc</v>
      </c>
      <c r="I224" s="2" t="str">
        <f t="shared" si="82"/>
        <v>PUC3096-CW</v>
      </c>
      <c r="J224" s="2" t="s">
        <v>430</v>
      </c>
      <c r="K224" s="2" t="s">
        <v>431</v>
      </c>
      <c r="L224" s="2" t="str">
        <f>IFERROR(VLOOKUP(J224,Categories!$A$2:$C$41,3,FALSE()),"⚠ slug introuvable")</f>
        <v>Armoire utilitaire</v>
      </c>
      <c r="M224" s="2" t="str">
        <f>IFERROR(VLOOKUP(K224,Categories!$A$2:$C$41,3,FALSE()),"⚠ slug introuvable")</f>
        <v>Garde-manger</v>
      </c>
      <c r="N224" s="2" t="s">
        <v>432</v>
      </c>
      <c r="O224" s="2" t="str">
        <f>_xlfn.CONCAT(N224," (",AA224,""" x ",AB224,""")")</f>
        <v>Armoire de cuisine garde-manger (30" x 96")</v>
      </c>
      <c r="P224" s="2" t="str">
        <f>_xlfn.CONCAT("Garde-manger"," (",AA224,""" x ",AB224,""")")</f>
        <v>Garde-manger (30" x 96")</v>
      </c>
      <c r="Q224" s="11">
        <v>2078</v>
      </c>
      <c r="R224" s="11">
        <f t="shared" si="83"/>
        <v>184.71111111111111</v>
      </c>
      <c r="S224" s="11">
        <f t="shared" si="84"/>
        <v>258.59555555555556</v>
      </c>
      <c r="T224" s="11">
        <f t="shared" si="85"/>
        <v>284.45511111111114</v>
      </c>
      <c r="U224" s="11">
        <f t="shared" si="86"/>
        <v>341.34613333333334</v>
      </c>
      <c r="V224" s="11">
        <f t="shared" si="86"/>
        <v>409.61536000000001</v>
      </c>
      <c r="W224" s="11">
        <f t="shared" si="87"/>
        <v>450.57689600000003</v>
      </c>
      <c r="X224" s="11">
        <f t="shared" si="88"/>
        <v>450.57689600000003</v>
      </c>
      <c r="Y224" s="14">
        <v>0.4</v>
      </c>
      <c r="Z224" s="11">
        <f t="shared" si="77"/>
        <v>750.96149333333346</v>
      </c>
      <c r="AA224" s="2">
        <v>30</v>
      </c>
      <c r="AB224" s="2">
        <v>96</v>
      </c>
      <c r="AC224" s="2">
        <v>27</v>
      </c>
      <c r="AD224" s="2">
        <v>4</v>
      </c>
      <c r="AE224" s="2">
        <v>0</v>
      </c>
    </row>
    <row r="225" spans="1:31">
      <c r="A225" s="2" t="s">
        <v>476</v>
      </c>
      <c r="B225" s="2"/>
      <c r="C225" s="2"/>
      <c r="D225" s="2"/>
      <c r="E225" s="2" t="b">
        <f t="shared" si="70"/>
        <v>1</v>
      </c>
      <c r="F225" s="2"/>
      <c r="G225" s="2" t="s">
        <v>477</v>
      </c>
      <c r="H225" s="2" t="str">
        <f t="shared" si="81"/>
        <v>Blanc</v>
      </c>
      <c r="I225" s="2" t="str">
        <f t="shared" si="82"/>
        <v>PUC30-103.5-CW</v>
      </c>
      <c r="J225" s="2" t="s">
        <v>430</v>
      </c>
      <c r="K225" s="2" t="s">
        <v>431</v>
      </c>
      <c r="L225" s="2" t="str">
        <f>IFERROR(VLOOKUP(J225,Categories!$A$2:$C$41,3,FALSE()),"⚠ slug introuvable")</f>
        <v>Armoire utilitaire</v>
      </c>
      <c r="M225" s="2" t="str">
        <f>IFERROR(VLOOKUP(K225,Categories!$A$2:$C$41,3,FALSE()),"⚠ slug introuvable")</f>
        <v>Garde-manger</v>
      </c>
      <c r="N225" s="2" t="s">
        <v>432</v>
      </c>
      <c r="O225" s="2" t="str">
        <f>_xlfn.CONCAT(N225," (",AA225,""" x ",AB225,""")")</f>
        <v>Armoire de cuisine garde-manger (30" x 103.5")</v>
      </c>
      <c r="P225" s="2" t="str">
        <f>_xlfn.CONCAT("Garde-manger"," (",AA225,""" x ",AB225,""")")</f>
        <v>Garde-manger (30" x 103.5")</v>
      </c>
      <c r="Q225" s="11">
        <v>2927</v>
      </c>
      <c r="R225" s="11">
        <f t="shared" si="83"/>
        <v>260.17777777777781</v>
      </c>
      <c r="S225" s="11">
        <f t="shared" si="84"/>
        <v>364.24888888888893</v>
      </c>
      <c r="T225" s="11">
        <f t="shared" si="85"/>
        <v>400.67377777777784</v>
      </c>
      <c r="U225" s="11">
        <f t="shared" si="86"/>
        <v>480.8085333333334</v>
      </c>
      <c r="V225" s="11">
        <f t="shared" si="86"/>
        <v>576.9702400000001</v>
      </c>
      <c r="W225" s="11">
        <f t="shared" si="87"/>
        <v>634.66726400000016</v>
      </c>
      <c r="X225" s="11">
        <f t="shared" si="88"/>
        <v>634.66726400000016</v>
      </c>
      <c r="Y225" s="14">
        <v>0.4</v>
      </c>
      <c r="Z225" s="11">
        <f t="shared" si="77"/>
        <v>1057.7787733333337</v>
      </c>
      <c r="AA225" s="2">
        <v>30</v>
      </c>
      <c r="AB225" s="2">
        <v>103.5</v>
      </c>
      <c r="AC225" s="2">
        <v>27</v>
      </c>
      <c r="AD225" s="2">
        <v>4</v>
      </c>
      <c r="AE225" s="2">
        <v>0</v>
      </c>
    </row>
    <row r="226" spans="1:31">
      <c r="A226" s="2" t="s">
        <v>478</v>
      </c>
      <c r="B226" s="2"/>
      <c r="C226" s="2"/>
      <c r="D226" s="2"/>
      <c r="E226" s="2" t="b">
        <f t="shared" si="70"/>
        <v>1</v>
      </c>
      <c r="F226" s="2"/>
      <c r="G226" s="2" t="s">
        <v>479</v>
      </c>
      <c r="H226" s="2" t="str">
        <f t="shared" si="81"/>
        <v>Blanc</v>
      </c>
      <c r="I226" s="2" t="str">
        <f t="shared" si="82"/>
        <v>DDBC12.75-36-CW</v>
      </c>
      <c r="J226" s="2" t="s">
        <v>480</v>
      </c>
      <c r="K226" s="2" t="s">
        <v>481</v>
      </c>
      <c r="L226" s="2" t="str">
        <f>IFERROR(VLOOKUP(J226,Categories!$A$2:$C$41,3,FALSE()),"⚠ slug introuvable")</f>
        <v>Fillers, panneaux &amp; moulures</v>
      </c>
      <c r="M226" s="2" t="str">
        <f>IFERROR(VLOOKUP(K226,Categories!$A$2:$C$41,3,FALSE()),"⚠ slug introuvable")</f>
        <v>Fausse porte</v>
      </c>
      <c r="N226" s="2" t="s">
        <v>482</v>
      </c>
      <c r="O226" s="2" t="str">
        <f>_xlfn.CONCAT(N226," (",AA226,""" x ",AB226,""")")</f>
        <v>Fausse porte pour armoire de cuisine du bas (12.75" x 36")</v>
      </c>
      <c r="P226" s="2" t="str">
        <f>_xlfn.CONCAT("Fausse porte - Bas"," (",AA226,""" x ",AB226,""")")</f>
        <v>Fausse porte - Bas (12.75" x 36")</v>
      </c>
      <c r="Q226" s="11">
        <v>132</v>
      </c>
      <c r="R226" s="11">
        <f t="shared" si="83"/>
        <v>11.733333333333333</v>
      </c>
      <c r="S226" s="11">
        <f t="shared" si="84"/>
        <v>16.426666666666666</v>
      </c>
      <c r="T226" s="11">
        <f t="shared" si="85"/>
        <v>18.069333333333333</v>
      </c>
      <c r="U226" s="11">
        <f t="shared" si="86"/>
        <v>21.683199999999999</v>
      </c>
      <c r="V226" s="11">
        <f t="shared" si="86"/>
        <v>26.019839999999999</v>
      </c>
      <c r="W226" s="11">
        <f t="shared" si="87"/>
        <v>28.621824</v>
      </c>
      <c r="X226" s="11">
        <f t="shared" si="88"/>
        <v>28.621824</v>
      </c>
      <c r="Y226" s="14">
        <v>0.4</v>
      </c>
      <c r="Z226" s="11">
        <f t="shared" si="77"/>
        <v>47.703040000000001</v>
      </c>
      <c r="AA226" s="2">
        <v>12.75</v>
      </c>
      <c r="AB226" s="2">
        <v>36</v>
      </c>
      <c r="AC226" s="2">
        <v>0.75</v>
      </c>
      <c r="AD226" s="2" t="s">
        <v>51</v>
      </c>
      <c r="AE226" s="2" t="s">
        <v>51</v>
      </c>
    </row>
    <row r="227" spans="1:31" hidden="1">
      <c r="A227" s="2" t="s">
        <v>483</v>
      </c>
      <c r="B227" s="2" t="b">
        <v>1</v>
      </c>
      <c r="C227" s="2"/>
      <c r="D227" s="2"/>
      <c r="E227" s="2" t="b">
        <f t="shared" si="70"/>
        <v>0</v>
      </c>
      <c r="F227" s="2"/>
      <c r="G227" s="2"/>
      <c r="H227" s="2" t="str">
        <f t="shared" si="81"/>
        <v>Blanc</v>
      </c>
      <c r="I227" s="2" t="str">
        <f t="shared" si="82"/>
        <v>-CW</v>
      </c>
      <c r="J227" s="2"/>
      <c r="K227" s="2" t="s">
        <v>326</v>
      </c>
      <c r="L227" s="2"/>
      <c r="M227" s="2" t="str">
        <f>IFERROR(VLOOKUP(K227,Categories!$A$2:$C$41,3,FALSE()),"⚠ slug introuvable")</f>
        <v>⚠ slug introuvable</v>
      </c>
      <c r="N227" s="2" t="s">
        <v>484</v>
      </c>
      <c r="O227" s="2"/>
      <c r="P227" s="2"/>
      <c r="Q227" s="11">
        <v>0</v>
      </c>
      <c r="R227" s="11">
        <f t="shared" si="83"/>
        <v>0</v>
      </c>
      <c r="S227" s="11">
        <f t="shared" si="84"/>
        <v>0</v>
      </c>
      <c r="T227" s="11">
        <f t="shared" si="85"/>
        <v>0</v>
      </c>
      <c r="U227" s="11">
        <f t="shared" si="86"/>
        <v>0</v>
      </c>
      <c r="V227" s="11">
        <f t="shared" si="86"/>
        <v>0</v>
      </c>
      <c r="W227" s="11">
        <f t="shared" si="87"/>
        <v>0</v>
      </c>
      <c r="X227" s="11">
        <f t="shared" si="88"/>
        <v>0</v>
      </c>
      <c r="Y227" s="14">
        <v>0.4</v>
      </c>
      <c r="Z227" s="11">
        <f t="shared" si="77"/>
        <v>0</v>
      </c>
      <c r="AA227" s="2">
        <v>42.5</v>
      </c>
      <c r="AB227" s="2">
        <v>18</v>
      </c>
      <c r="AC227" s="2">
        <v>12</v>
      </c>
      <c r="AD227" s="2">
        <v>1</v>
      </c>
      <c r="AE227" s="2">
        <v>0</v>
      </c>
    </row>
    <row r="228" spans="1:31">
      <c r="A228" s="2" t="s">
        <v>485</v>
      </c>
      <c r="B228" s="2"/>
      <c r="C228" s="2"/>
      <c r="D228" s="2"/>
      <c r="E228" s="2" t="b">
        <f t="shared" si="70"/>
        <v>1</v>
      </c>
      <c r="F228" s="2"/>
      <c r="G228" s="2" t="s">
        <v>479</v>
      </c>
      <c r="H228" s="2" t="str">
        <f t="shared" si="81"/>
        <v>Chêne blanc</v>
      </c>
      <c r="I228" s="2" t="str">
        <f t="shared" si="82"/>
        <v>DDBC12.75-36-WWO</v>
      </c>
      <c r="J228" s="2" t="s">
        <v>480</v>
      </c>
      <c r="K228" s="2" t="s">
        <v>481</v>
      </c>
      <c r="L228" s="2" t="str">
        <f>IFERROR(VLOOKUP(J228,Categories!$A$2:$C$41,3,FALSE()),"⚠ slug introuvable")</f>
        <v>Fillers, panneaux &amp; moulures</v>
      </c>
      <c r="M228" s="2" t="str">
        <f>IFERROR(VLOOKUP(K228,Categories!$A$2:$C$41,3,FALSE()),"⚠ slug introuvable")</f>
        <v>Fausse porte</v>
      </c>
      <c r="N228" s="2" t="s">
        <v>482</v>
      </c>
      <c r="O228" s="2" t="str">
        <f>_xlfn.CONCAT(N228," (",AA228,""" x ",AB228,""")")</f>
        <v>Fausse porte pour armoire de cuisine du bas (12.75" x 36")</v>
      </c>
      <c r="P228" s="2" t="str">
        <f>_xlfn.CONCAT("Fausse porte - Bas"," (",AA228,""" x ",AB228,""")")</f>
        <v>Fausse porte - Bas (12.75" x 36")</v>
      </c>
      <c r="Q228" s="11">
        <v>193</v>
      </c>
      <c r="R228" s="11">
        <f t="shared" si="83"/>
        <v>17.155555555555555</v>
      </c>
      <c r="S228" s="11">
        <f t="shared" si="84"/>
        <v>24.017777777777777</v>
      </c>
      <c r="T228" s="11">
        <f t="shared" si="85"/>
        <v>26.419555555555558</v>
      </c>
      <c r="U228" s="11">
        <f t="shared" si="86"/>
        <v>31.703466666666667</v>
      </c>
      <c r="V228" s="11">
        <f t="shared" si="86"/>
        <v>38.044159999999998</v>
      </c>
      <c r="W228" s="11">
        <f t="shared" si="87"/>
        <v>41.848576000000001</v>
      </c>
      <c r="X228" s="11">
        <f t="shared" si="88"/>
        <v>41.848576000000001</v>
      </c>
      <c r="Y228" s="14">
        <v>0.4</v>
      </c>
      <c r="Z228" s="11">
        <f t="shared" si="77"/>
        <v>69.747626666666676</v>
      </c>
      <c r="AA228" s="2">
        <v>12.75</v>
      </c>
      <c r="AB228" s="2">
        <v>36</v>
      </c>
      <c r="AC228" s="2">
        <v>0.75</v>
      </c>
      <c r="AD228" s="2" t="s">
        <v>51</v>
      </c>
      <c r="AE228" s="2" t="s">
        <v>51</v>
      </c>
    </row>
    <row r="229" spans="1:31">
      <c r="A229" s="2" t="s">
        <v>486</v>
      </c>
      <c r="B229" s="2"/>
      <c r="C229" s="2"/>
      <c r="D229" s="2"/>
      <c r="E229" s="2" t="b">
        <f t="shared" si="70"/>
        <v>1</v>
      </c>
      <c r="F229" s="2"/>
      <c r="G229" s="2" t="s">
        <v>487</v>
      </c>
      <c r="H229" s="2" t="str">
        <f t="shared" si="81"/>
        <v>Blanc</v>
      </c>
      <c r="I229" s="2" t="str">
        <f t="shared" si="82"/>
        <v>DDBC21.75-36-CW</v>
      </c>
      <c r="J229" s="2" t="s">
        <v>480</v>
      </c>
      <c r="K229" s="2" t="s">
        <v>481</v>
      </c>
      <c r="L229" s="2" t="str">
        <f>IFERROR(VLOOKUP(J229,Categories!$A$2:$C$41,3,FALSE()),"⚠ slug introuvable")</f>
        <v>Fillers, panneaux &amp; moulures</v>
      </c>
      <c r="M229" s="2" t="str">
        <f>IFERROR(VLOOKUP(K229,Categories!$A$2:$C$41,3,FALSE()),"⚠ slug introuvable")</f>
        <v>Fausse porte</v>
      </c>
      <c r="N229" s="2" t="s">
        <v>482</v>
      </c>
      <c r="O229" s="2" t="str">
        <f>_xlfn.CONCAT(N229," (",AA229,""" x ",AB229,""")")</f>
        <v>Fausse porte pour armoire de cuisine du bas (21.75" x 36")</v>
      </c>
      <c r="P229" s="2" t="str">
        <f>_xlfn.CONCAT("Fausse porte - Bas"," (",AA229,""" x ",AB229,""")")</f>
        <v>Fausse porte - Bas (21.75" x 36")</v>
      </c>
      <c r="Q229" s="11">
        <v>209</v>
      </c>
      <c r="R229" s="11">
        <f t="shared" si="83"/>
        <v>18.577777777777779</v>
      </c>
      <c r="S229" s="11">
        <f t="shared" si="84"/>
        <v>26.00888888888889</v>
      </c>
      <c r="T229" s="11">
        <f t="shared" si="85"/>
        <v>28.609777777777783</v>
      </c>
      <c r="U229" s="11">
        <f t="shared" si="86"/>
        <v>34.331733333333339</v>
      </c>
      <c r="V229" s="11">
        <f t="shared" si="86"/>
        <v>41.198080000000004</v>
      </c>
      <c r="W229" s="11">
        <f t="shared" si="87"/>
        <v>45.317888000000011</v>
      </c>
      <c r="X229" s="11">
        <f t="shared" si="88"/>
        <v>45.317888000000011</v>
      </c>
      <c r="Y229" s="14">
        <v>0.4</v>
      </c>
      <c r="Z229" s="11">
        <f t="shared" si="77"/>
        <v>75.529813333333351</v>
      </c>
      <c r="AA229" s="2">
        <v>21.75</v>
      </c>
      <c r="AB229" s="2">
        <v>36</v>
      </c>
      <c r="AC229" s="2">
        <v>0.75</v>
      </c>
      <c r="AD229" s="2" t="s">
        <v>51</v>
      </c>
      <c r="AE229" s="2" t="s">
        <v>51</v>
      </c>
    </row>
    <row r="230" spans="1:31" hidden="1">
      <c r="A230" s="2" t="s">
        <v>488</v>
      </c>
      <c r="B230" s="2" t="b">
        <v>1</v>
      </c>
      <c r="C230" s="2"/>
      <c r="D230" s="2"/>
      <c r="E230" s="2" t="b">
        <f t="shared" si="70"/>
        <v>0</v>
      </c>
      <c r="F230" s="2"/>
      <c r="G230" s="2"/>
      <c r="H230" s="2" t="str">
        <f t="shared" si="81"/>
        <v>Blanc</v>
      </c>
      <c r="I230" s="2" t="str">
        <f t="shared" si="82"/>
        <v>-CW</v>
      </c>
      <c r="J230" s="2"/>
      <c r="K230" s="2" t="s">
        <v>489</v>
      </c>
      <c r="L230" s="2"/>
      <c r="M230" s="2" t="str">
        <f>IFERROR(VLOOKUP(K230,Categories!$A$2:$C$41,3,FALSE()),"⚠ slug introuvable")</f>
        <v>Coin aveugle mural</v>
      </c>
      <c r="N230" s="2" t="s">
        <v>490</v>
      </c>
      <c r="O230" s="2"/>
      <c r="P230" s="2"/>
      <c r="Q230" s="11">
        <v>0</v>
      </c>
      <c r="R230" s="11">
        <f t="shared" si="83"/>
        <v>0</v>
      </c>
      <c r="S230" s="11">
        <f t="shared" si="84"/>
        <v>0</v>
      </c>
      <c r="T230" s="11">
        <f t="shared" si="85"/>
        <v>0</v>
      </c>
      <c r="U230" s="11">
        <f t="shared" si="86"/>
        <v>0</v>
      </c>
      <c r="V230" s="11">
        <f t="shared" si="86"/>
        <v>0</v>
      </c>
      <c r="W230" s="11">
        <f t="shared" si="87"/>
        <v>0</v>
      </c>
      <c r="X230" s="11">
        <f t="shared" si="88"/>
        <v>0</v>
      </c>
      <c r="Y230" s="14">
        <v>0.4</v>
      </c>
      <c r="Z230" s="11">
        <f t="shared" si="77"/>
        <v>0</v>
      </c>
      <c r="AA230" s="2">
        <v>27</v>
      </c>
      <c r="AB230" s="2">
        <v>30</v>
      </c>
      <c r="AC230" s="2">
        <v>12</v>
      </c>
      <c r="AD230" s="2"/>
      <c r="AE230" s="2"/>
    </row>
    <row r="231" spans="1:31" hidden="1">
      <c r="A231" s="2" t="s">
        <v>491</v>
      </c>
      <c r="B231" s="2" t="b">
        <v>1</v>
      </c>
      <c r="C231" s="2"/>
      <c r="D231" s="2"/>
      <c r="E231" s="2" t="b">
        <f t="shared" si="70"/>
        <v>0</v>
      </c>
      <c r="F231" s="2"/>
      <c r="G231" s="2"/>
      <c r="H231" s="2" t="str">
        <f t="shared" si="81"/>
        <v>Blanc</v>
      </c>
      <c r="I231" s="2" t="str">
        <f t="shared" si="82"/>
        <v>-CW</v>
      </c>
      <c r="J231" s="2"/>
      <c r="K231" s="2" t="s">
        <v>489</v>
      </c>
      <c r="L231" s="2"/>
      <c r="M231" s="2" t="str">
        <f>IFERROR(VLOOKUP(K231,Categories!$A$2:$C$41,3,FALSE()),"⚠ slug introuvable")</f>
        <v>Coin aveugle mural</v>
      </c>
      <c r="N231" s="2" t="s">
        <v>492</v>
      </c>
      <c r="O231" s="2"/>
      <c r="P231" s="2"/>
      <c r="Q231" s="11">
        <v>0</v>
      </c>
      <c r="R231" s="11">
        <f t="shared" si="83"/>
        <v>0</v>
      </c>
      <c r="S231" s="11">
        <f t="shared" si="84"/>
        <v>0</v>
      </c>
      <c r="T231" s="11">
        <f t="shared" si="85"/>
        <v>0</v>
      </c>
      <c r="U231" s="11">
        <f t="shared" si="86"/>
        <v>0</v>
      </c>
      <c r="V231" s="11">
        <f t="shared" si="86"/>
        <v>0</v>
      </c>
      <c r="W231" s="11">
        <f t="shared" si="87"/>
        <v>0</v>
      </c>
      <c r="X231" s="11">
        <f t="shared" si="88"/>
        <v>0</v>
      </c>
      <c r="Y231" s="14">
        <v>0.4</v>
      </c>
      <c r="Z231" s="11">
        <f t="shared" si="77"/>
        <v>0</v>
      </c>
      <c r="AA231" s="2">
        <v>27</v>
      </c>
      <c r="AB231" s="2">
        <v>36</v>
      </c>
      <c r="AC231" s="2">
        <v>12</v>
      </c>
      <c r="AD231" s="2"/>
      <c r="AE231" s="2"/>
    </row>
    <row r="232" spans="1:31" hidden="1">
      <c r="A232" s="2" t="s">
        <v>493</v>
      </c>
      <c r="B232" s="2" t="b">
        <v>1</v>
      </c>
      <c r="C232" s="2"/>
      <c r="D232" s="2"/>
      <c r="E232" s="2" t="b">
        <f t="shared" si="70"/>
        <v>0</v>
      </c>
      <c r="F232" s="2"/>
      <c r="G232" s="2"/>
      <c r="H232" s="2" t="str">
        <f t="shared" si="81"/>
        <v>Blanc</v>
      </c>
      <c r="I232" s="2" t="str">
        <f t="shared" si="82"/>
        <v>-CW</v>
      </c>
      <c r="J232" s="2"/>
      <c r="K232" s="2" t="s">
        <v>489</v>
      </c>
      <c r="L232" s="2"/>
      <c r="M232" s="2" t="str">
        <f>IFERROR(VLOOKUP(K232,Categories!$A$2:$C$41,3,FALSE()),"⚠ slug introuvable")</f>
        <v>Coin aveugle mural</v>
      </c>
      <c r="N232" s="2" t="s">
        <v>494</v>
      </c>
      <c r="O232" s="2"/>
      <c r="P232" s="2"/>
      <c r="Q232" s="11">
        <v>0</v>
      </c>
      <c r="R232" s="11">
        <f t="shared" si="83"/>
        <v>0</v>
      </c>
      <c r="S232" s="11">
        <f t="shared" si="84"/>
        <v>0</v>
      </c>
      <c r="T232" s="11">
        <f t="shared" si="85"/>
        <v>0</v>
      </c>
      <c r="U232" s="11">
        <f t="shared" si="86"/>
        <v>0</v>
      </c>
      <c r="V232" s="11">
        <f t="shared" si="86"/>
        <v>0</v>
      </c>
      <c r="W232" s="11">
        <f t="shared" si="87"/>
        <v>0</v>
      </c>
      <c r="X232" s="11">
        <f t="shared" si="88"/>
        <v>0</v>
      </c>
      <c r="Y232" s="14">
        <v>0.4</v>
      </c>
      <c r="Z232" s="11">
        <f t="shared" si="77"/>
        <v>0</v>
      </c>
      <c r="AA232" s="2">
        <v>27</v>
      </c>
      <c r="AB232" s="2">
        <v>36</v>
      </c>
      <c r="AC232" s="2">
        <v>12</v>
      </c>
      <c r="AD232" s="2"/>
      <c r="AE232" s="2"/>
    </row>
    <row r="233" spans="1:31" hidden="1">
      <c r="A233" s="2" t="s">
        <v>495</v>
      </c>
      <c r="B233" s="2" t="b">
        <v>1</v>
      </c>
      <c r="C233" s="2"/>
      <c r="D233" s="2"/>
      <c r="E233" s="2" t="b">
        <f t="shared" si="70"/>
        <v>0</v>
      </c>
      <c r="F233" s="2"/>
      <c r="G233" s="2"/>
      <c r="H233" s="2" t="str">
        <f t="shared" si="81"/>
        <v>Blanc</v>
      </c>
      <c r="I233" s="2" t="str">
        <f t="shared" si="82"/>
        <v>-CW</v>
      </c>
      <c r="J233" s="2"/>
      <c r="K233" s="2" t="s">
        <v>489</v>
      </c>
      <c r="L233" s="2"/>
      <c r="M233" s="2" t="str">
        <f>IFERROR(VLOOKUP(K233,Categories!$A$2:$C$41,3,FALSE()),"⚠ slug introuvable")</f>
        <v>Coin aveugle mural</v>
      </c>
      <c r="N233" s="2" t="s">
        <v>496</v>
      </c>
      <c r="O233" s="2"/>
      <c r="P233" s="2"/>
      <c r="Q233" s="11">
        <v>0</v>
      </c>
      <c r="R233" s="11">
        <f t="shared" si="83"/>
        <v>0</v>
      </c>
      <c r="S233" s="11">
        <f t="shared" si="84"/>
        <v>0</v>
      </c>
      <c r="T233" s="11">
        <f t="shared" si="85"/>
        <v>0</v>
      </c>
      <c r="U233" s="11">
        <f t="shared" si="86"/>
        <v>0</v>
      </c>
      <c r="V233" s="11">
        <f t="shared" si="86"/>
        <v>0</v>
      </c>
      <c r="W233" s="11">
        <f t="shared" si="87"/>
        <v>0</v>
      </c>
      <c r="X233" s="11">
        <f t="shared" si="88"/>
        <v>0</v>
      </c>
      <c r="Y233" s="14">
        <v>0.4</v>
      </c>
      <c r="Z233" s="11">
        <f t="shared" si="77"/>
        <v>0</v>
      </c>
      <c r="AA233" s="2">
        <v>27</v>
      </c>
      <c r="AB233" s="2">
        <v>48</v>
      </c>
      <c r="AC233" s="2">
        <v>12</v>
      </c>
      <c r="AD233" s="2"/>
      <c r="AE233" s="2"/>
    </row>
    <row r="234" spans="1:31" hidden="1">
      <c r="A234" s="2" t="s">
        <v>497</v>
      </c>
      <c r="B234" s="2" t="b">
        <v>1</v>
      </c>
      <c r="C234" s="2"/>
      <c r="D234" s="2"/>
      <c r="E234" s="2" t="b">
        <f t="shared" si="70"/>
        <v>0</v>
      </c>
      <c r="F234" s="2"/>
      <c r="G234" s="2"/>
      <c r="H234" s="2" t="str">
        <f t="shared" si="81"/>
        <v>Blanc</v>
      </c>
      <c r="I234" s="2" t="str">
        <f t="shared" si="82"/>
        <v>-CW</v>
      </c>
      <c r="J234" s="2"/>
      <c r="K234" s="2" t="s">
        <v>489</v>
      </c>
      <c r="L234" s="2"/>
      <c r="M234" s="2" t="str">
        <f>IFERROR(VLOOKUP(K234,Categories!$A$2:$C$41,3,FALSE()),"⚠ slug introuvable")</f>
        <v>Coin aveugle mural</v>
      </c>
      <c r="N234" s="2" t="s">
        <v>498</v>
      </c>
      <c r="O234" s="2"/>
      <c r="P234" s="2"/>
      <c r="Q234" s="11">
        <v>0</v>
      </c>
      <c r="R234" s="11">
        <f t="shared" si="83"/>
        <v>0</v>
      </c>
      <c r="S234" s="11">
        <f t="shared" si="84"/>
        <v>0</v>
      </c>
      <c r="T234" s="11">
        <f t="shared" si="85"/>
        <v>0</v>
      </c>
      <c r="U234" s="11">
        <f t="shared" si="86"/>
        <v>0</v>
      </c>
      <c r="V234" s="11">
        <f t="shared" si="86"/>
        <v>0</v>
      </c>
      <c r="W234" s="11">
        <f t="shared" si="87"/>
        <v>0</v>
      </c>
      <c r="X234" s="11">
        <f t="shared" si="88"/>
        <v>0</v>
      </c>
      <c r="Y234" s="14">
        <v>0.4</v>
      </c>
      <c r="Z234" s="11">
        <f t="shared" si="77"/>
        <v>0</v>
      </c>
      <c r="AA234" s="2">
        <v>27</v>
      </c>
      <c r="AB234" s="2">
        <v>48</v>
      </c>
      <c r="AC234" s="2">
        <v>12</v>
      </c>
      <c r="AD234" s="2"/>
      <c r="AE234" s="2"/>
    </row>
    <row r="235" spans="1:31">
      <c r="A235" s="2" t="s">
        <v>499</v>
      </c>
      <c r="B235" s="2"/>
      <c r="C235" s="2"/>
      <c r="D235" s="2"/>
      <c r="E235" s="2" t="b">
        <f t="shared" si="70"/>
        <v>1</v>
      </c>
      <c r="F235" s="2"/>
      <c r="G235" s="2" t="s">
        <v>487</v>
      </c>
      <c r="H235" s="2" t="str">
        <f t="shared" si="81"/>
        <v>Chêne blanc</v>
      </c>
      <c r="I235" s="2" t="str">
        <f t="shared" si="82"/>
        <v>DDBC21.75-36-WWO</v>
      </c>
      <c r="J235" s="2" t="s">
        <v>480</v>
      </c>
      <c r="K235" s="2" t="s">
        <v>481</v>
      </c>
      <c r="L235" s="2" t="str">
        <f>IFERROR(VLOOKUP(J235,Categories!$A$2:$C$41,3,FALSE()),"⚠ slug introuvable")</f>
        <v>Fillers, panneaux &amp; moulures</v>
      </c>
      <c r="M235" s="2" t="str">
        <f>IFERROR(VLOOKUP(K235,Categories!$A$2:$C$41,3,FALSE()),"⚠ slug introuvable")</f>
        <v>Fausse porte</v>
      </c>
      <c r="N235" s="2" t="s">
        <v>482</v>
      </c>
      <c r="O235" s="2" t="str">
        <f t="shared" ref="O235:O240" si="89">_xlfn.CONCAT(N235," (",AA235,""" x ",AB235,""")")</f>
        <v>Fausse porte pour armoire de cuisine du bas (21.75" x 36")</v>
      </c>
      <c r="P235" s="2" t="str">
        <f t="shared" ref="P235:P240" si="90">_xlfn.CONCAT("Fausse porte - Bas"," (",AA235,""" x ",AB235,""")")</f>
        <v>Fausse porte - Bas (21.75" x 36")</v>
      </c>
      <c r="Q235" s="11">
        <v>307</v>
      </c>
      <c r="R235" s="11">
        <f t="shared" si="83"/>
        <v>27.288888888888888</v>
      </c>
      <c r="S235" s="11">
        <f t="shared" si="84"/>
        <v>38.204444444444441</v>
      </c>
      <c r="T235" s="11">
        <f t="shared" si="85"/>
        <v>42.024888888888889</v>
      </c>
      <c r="U235" s="11">
        <f t="shared" si="86"/>
        <v>50.429866666666662</v>
      </c>
      <c r="V235" s="11">
        <f t="shared" si="86"/>
        <v>60.51583999999999</v>
      </c>
      <c r="W235" s="11">
        <f t="shared" si="87"/>
        <v>66.567423999999988</v>
      </c>
      <c r="X235" s="11">
        <f t="shared" si="88"/>
        <v>66.567423999999988</v>
      </c>
      <c r="Y235" s="14">
        <v>0.4</v>
      </c>
      <c r="Z235" s="11">
        <f t="shared" si="77"/>
        <v>110.94570666666665</v>
      </c>
      <c r="AA235" s="2">
        <v>21.75</v>
      </c>
      <c r="AB235" s="2">
        <v>36</v>
      </c>
      <c r="AC235" s="2">
        <v>0.75</v>
      </c>
      <c r="AD235" s="2" t="s">
        <v>51</v>
      </c>
      <c r="AE235" s="2" t="s">
        <v>51</v>
      </c>
    </row>
    <row r="236" spans="1:31">
      <c r="A236" s="2" t="s">
        <v>500</v>
      </c>
      <c r="B236" s="2"/>
      <c r="C236" s="2"/>
      <c r="D236" s="2"/>
      <c r="E236" s="2" t="b">
        <f t="shared" si="70"/>
        <v>1</v>
      </c>
      <c r="F236" s="2"/>
      <c r="G236" s="2" t="s">
        <v>501</v>
      </c>
      <c r="H236" s="2" t="str">
        <f t="shared" si="81"/>
        <v>Blanc</v>
      </c>
      <c r="I236" s="2" t="str">
        <f t="shared" si="82"/>
        <v>DDBC24.75-36-CW</v>
      </c>
      <c r="J236" s="2" t="s">
        <v>480</v>
      </c>
      <c r="K236" s="2" t="s">
        <v>481</v>
      </c>
      <c r="L236" s="2" t="str">
        <f>IFERROR(VLOOKUP(J236,Categories!$A$2:$C$41,3,FALSE()),"⚠ slug introuvable")</f>
        <v>Fillers, panneaux &amp; moulures</v>
      </c>
      <c r="M236" s="2" t="str">
        <f>IFERROR(VLOOKUP(K236,Categories!$A$2:$C$41,3,FALSE()),"⚠ slug introuvable")</f>
        <v>Fausse porte</v>
      </c>
      <c r="N236" s="2" t="s">
        <v>482</v>
      </c>
      <c r="O236" s="2" t="str">
        <f t="shared" si="89"/>
        <v>Fausse porte pour armoire de cuisine du bas (24.75" x 36")</v>
      </c>
      <c r="P236" s="2" t="str">
        <f t="shared" si="90"/>
        <v>Fausse porte - Bas (24.75" x 36")</v>
      </c>
      <c r="Q236" s="11">
        <v>221</v>
      </c>
      <c r="R236" s="11">
        <f t="shared" si="83"/>
        <v>19.644444444444446</v>
      </c>
      <c r="S236" s="11">
        <f t="shared" si="84"/>
        <v>27.502222222222223</v>
      </c>
      <c r="T236" s="11">
        <f t="shared" si="85"/>
        <v>30.252444444444446</v>
      </c>
      <c r="U236" s="11">
        <f t="shared" si="86"/>
        <v>36.302933333333335</v>
      </c>
      <c r="V236" s="11">
        <f t="shared" si="86"/>
        <v>43.563520000000004</v>
      </c>
      <c r="W236" s="11">
        <f t="shared" si="87"/>
        <v>47.919872000000005</v>
      </c>
      <c r="X236" s="11">
        <f t="shared" si="88"/>
        <v>47.919872000000005</v>
      </c>
      <c r="Y236" s="14">
        <v>0.4</v>
      </c>
      <c r="Z236" s="11">
        <f t="shared" si="77"/>
        <v>79.86645333333334</v>
      </c>
      <c r="AA236" s="2">
        <v>24.75</v>
      </c>
      <c r="AB236" s="2">
        <v>36</v>
      </c>
      <c r="AC236" s="2">
        <v>0.75</v>
      </c>
      <c r="AD236" s="2" t="s">
        <v>51</v>
      </c>
      <c r="AE236" s="2" t="s">
        <v>51</v>
      </c>
    </row>
    <row r="237" spans="1:31">
      <c r="A237" s="2" t="s">
        <v>502</v>
      </c>
      <c r="B237" s="2"/>
      <c r="C237" s="2"/>
      <c r="D237" s="2"/>
      <c r="E237" s="2" t="b">
        <f t="shared" si="70"/>
        <v>1</v>
      </c>
      <c r="F237" s="2"/>
      <c r="G237" s="2" t="s">
        <v>501</v>
      </c>
      <c r="H237" s="2" t="str">
        <f t="shared" si="81"/>
        <v>Chêne blanc</v>
      </c>
      <c r="I237" s="2" t="str">
        <f t="shared" si="82"/>
        <v>DDBC24.75-36-WWO</v>
      </c>
      <c r="J237" s="2" t="s">
        <v>480</v>
      </c>
      <c r="K237" s="2" t="s">
        <v>481</v>
      </c>
      <c r="L237" s="2" t="str">
        <f>IFERROR(VLOOKUP(J237,Categories!$A$2:$C$41,3,FALSE()),"⚠ slug introuvable")</f>
        <v>Fillers, panneaux &amp; moulures</v>
      </c>
      <c r="M237" s="2" t="str">
        <f>IFERROR(VLOOKUP(K237,Categories!$A$2:$C$41,3,FALSE()),"⚠ slug introuvable")</f>
        <v>Fausse porte</v>
      </c>
      <c r="N237" s="2" t="s">
        <v>482</v>
      </c>
      <c r="O237" s="2" t="str">
        <f t="shared" si="89"/>
        <v>Fausse porte pour armoire de cuisine du bas (24.75" x 36")</v>
      </c>
      <c r="P237" s="2" t="str">
        <f t="shared" si="90"/>
        <v>Fausse porte - Bas (24.75" x 36")</v>
      </c>
      <c r="Q237" s="11">
        <v>661.95</v>
      </c>
      <c r="R237" s="11">
        <f t="shared" si="83"/>
        <v>58.84</v>
      </c>
      <c r="S237" s="11">
        <f t="shared" si="84"/>
        <v>82.376000000000005</v>
      </c>
      <c r="T237" s="11">
        <f t="shared" si="85"/>
        <v>90.613600000000019</v>
      </c>
      <c r="U237" s="11">
        <f t="shared" si="86"/>
        <v>108.73632000000002</v>
      </c>
      <c r="V237" s="11">
        <f t="shared" si="86"/>
        <v>130.48358400000001</v>
      </c>
      <c r="W237" s="11">
        <f t="shared" si="87"/>
        <v>143.53194240000002</v>
      </c>
      <c r="X237" s="11">
        <f t="shared" si="88"/>
        <v>143.53194240000002</v>
      </c>
      <c r="Y237" s="14">
        <v>0.4</v>
      </c>
      <c r="Z237" s="11">
        <f t="shared" si="77"/>
        <v>239.21990400000004</v>
      </c>
      <c r="AA237" s="2">
        <v>24.75</v>
      </c>
      <c r="AB237" s="2">
        <v>36</v>
      </c>
      <c r="AC237" s="2">
        <v>0.75</v>
      </c>
      <c r="AD237" s="2" t="s">
        <v>51</v>
      </c>
      <c r="AE237" s="2" t="s">
        <v>51</v>
      </c>
    </row>
    <row r="238" spans="1:31">
      <c r="A238" s="2" t="s">
        <v>503</v>
      </c>
      <c r="B238" s="2"/>
      <c r="C238" s="2"/>
      <c r="D238" s="2"/>
      <c r="E238" s="2" t="b">
        <f t="shared" si="70"/>
        <v>1</v>
      </c>
      <c r="F238" s="2"/>
      <c r="G238" s="2" t="s">
        <v>504</v>
      </c>
      <c r="H238" s="2" t="str">
        <f t="shared" si="81"/>
        <v>Blanc</v>
      </c>
      <c r="I238" s="2" t="str">
        <f t="shared" si="82"/>
        <v>DDBC24-30-CW</v>
      </c>
      <c r="J238" s="2" t="s">
        <v>480</v>
      </c>
      <c r="K238" s="2" t="s">
        <v>481</v>
      </c>
      <c r="L238" s="2" t="str">
        <f>IFERROR(VLOOKUP(J238,Categories!$A$2:$C$41,3,FALSE()),"⚠ slug introuvable")</f>
        <v>Fillers, panneaux &amp; moulures</v>
      </c>
      <c r="M238" s="2" t="str">
        <f>IFERROR(VLOOKUP(K238,Categories!$A$2:$C$41,3,FALSE()),"⚠ slug introuvable")</f>
        <v>Fausse porte</v>
      </c>
      <c r="N238" s="2" t="s">
        <v>482</v>
      </c>
      <c r="O238" s="2" t="str">
        <f t="shared" si="89"/>
        <v>Fausse porte pour armoire de cuisine du bas (24" x 30")</v>
      </c>
      <c r="P238" s="2" t="str">
        <f t="shared" si="90"/>
        <v>Fausse porte - Bas (24" x 30")</v>
      </c>
      <c r="Q238" s="11">
        <v>169</v>
      </c>
      <c r="R238" s="11">
        <f t="shared" si="83"/>
        <v>15.022222222222222</v>
      </c>
      <c r="S238" s="11">
        <f t="shared" si="84"/>
        <v>21.031111111111109</v>
      </c>
      <c r="T238" s="11">
        <f t="shared" si="85"/>
        <v>23.13422222222222</v>
      </c>
      <c r="U238" s="11">
        <f t="shared" si="86"/>
        <v>27.761066666666665</v>
      </c>
      <c r="V238" s="11">
        <f t="shared" si="86"/>
        <v>33.313279999999999</v>
      </c>
      <c r="W238" s="11">
        <f t="shared" si="87"/>
        <v>36.644608000000005</v>
      </c>
      <c r="X238" s="11">
        <f t="shared" si="88"/>
        <v>36.644608000000005</v>
      </c>
      <c r="Y238" s="14">
        <v>0.4</v>
      </c>
      <c r="Z238" s="11">
        <f t="shared" si="77"/>
        <v>61.074346666666678</v>
      </c>
      <c r="AA238" s="2">
        <v>24</v>
      </c>
      <c r="AB238" s="2">
        <v>30</v>
      </c>
      <c r="AC238" s="2">
        <v>0.75</v>
      </c>
      <c r="AD238" s="2" t="s">
        <v>51</v>
      </c>
      <c r="AE238" s="2" t="s">
        <v>51</v>
      </c>
    </row>
    <row r="239" spans="1:31">
      <c r="A239" s="2" t="s">
        <v>505</v>
      </c>
      <c r="B239" s="2"/>
      <c r="C239" s="2"/>
      <c r="D239" s="2"/>
      <c r="E239" s="2" t="b">
        <f t="shared" si="70"/>
        <v>1</v>
      </c>
      <c r="F239" s="2"/>
      <c r="G239" s="2" t="s">
        <v>504</v>
      </c>
      <c r="H239" s="2" t="str">
        <f t="shared" si="81"/>
        <v>Chêne blanc</v>
      </c>
      <c r="I239" s="2" t="str">
        <f t="shared" si="82"/>
        <v>DDBC24-30-WWO</v>
      </c>
      <c r="J239" s="2" t="s">
        <v>480</v>
      </c>
      <c r="K239" s="2" t="s">
        <v>481</v>
      </c>
      <c r="L239" s="2" t="str">
        <f>IFERROR(VLOOKUP(J239,Categories!$A$2:$C$41,3,FALSE()),"⚠ slug introuvable")</f>
        <v>Fillers, panneaux &amp; moulures</v>
      </c>
      <c r="M239" s="2" t="str">
        <f>IFERROR(VLOOKUP(K239,Categories!$A$2:$C$41,3,FALSE()),"⚠ slug introuvable")</f>
        <v>Fausse porte</v>
      </c>
      <c r="N239" s="2" t="s">
        <v>482</v>
      </c>
      <c r="O239" s="2" t="str">
        <f t="shared" si="89"/>
        <v>Fausse porte pour armoire de cuisine du bas (24" x 30")</v>
      </c>
      <c r="P239" s="2" t="str">
        <f t="shared" si="90"/>
        <v>Fausse porte - Bas (24" x 30")</v>
      </c>
      <c r="Q239" s="11">
        <v>254</v>
      </c>
      <c r="R239" s="11">
        <f t="shared" si="83"/>
        <v>22.577777777777779</v>
      </c>
      <c r="S239" s="11">
        <f t="shared" si="84"/>
        <v>31.608888888888888</v>
      </c>
      <c r="T239" s="11">
        <f t="shared" si="85"/>
        <v>34.769777777777783</v>
      </c>
      <c r="U239" s="11">
        <f t="shared" si="86"/>
        <v>41.723733333333335</v>
      </c>
      <c r="V239" s="11">
        <f t="shared" si="86"/>
        <v>50.068480000000001</v>
      </c>
      <c r="W239" s="11">
        <f t="shared" si="87"/>
        <v>55.075328000000006</v>
      </c>
      <c r="X239" s="11">
        <f t="shared" si="88"/>
        <v>55.075328000000006</v>
      </c>
      <c r="Y239" s="14">
        <v>0.4</v>
      </c>
      <c r="Z239" s="11">
        <f t="shared" si="77"/>
        <v>91.792213333333351</v>
      </c>
      <c r="AA239" s="2">
        <v>24</v>
      </c>
      <c r="AB239" s="2">
        <v>30</v>
      </c>
      <c r="AC239" s="2">
        <v>0.75</v>
      </c>
      <c r="AD239" s="2" t="s">
        <v>51</v>
      </c>
      <c r="AE239" s="2" t="s">
        <v>51</v>
      </c>
    </row>
    <row r="240" spans="1:31">
      <c r="A240" s="2" t="s">
        <v>506</v>
      </c>
      <c r="B240" s="2"/>
      <c r="C240" s="2"/>
      <c r="D240" s="2"/>
      <c r="E240" s="2" t="b">
        <f t="shared" si="70"/>
        <v>1</v>
      </c>
      <c r="F240" s="2"/>
      <c r="G240" s="2" t="s">
        <v>507</v>
      </c>
      <c r="H240" s="2" t="str">
        <f t="shared" si="81"/>
        <v>Blanc</v>
      </c>
      <c r="I240" s="2" t="str">
        <f t="shared" si="82"/>
        <v>DDBC25.75-36-CW</v>
      </c>
      <c r="J240" s="2" t="s">
        <v>480</v>
      </c>
      <c r="K240" s="2" t="s">
        <v>481</v>
      </c>
      <c r="L240" s="2" t="str">
        <f>IFERROR(VLOOKUP(J240,Categories!$A$2:$C$41,3,FALSE()),"⚠ slug introuvable")</f>
        <v>Fillers, panneaux &amp; moulures</v>
      </c>
      <c r="M240" s="2" t="str">
        <f>IFERROR(VLOOKUP(K240,Categories!$A$2:$C$41,3,FALSE()),"⚠ slug introuvable")</f>
        <v>Fausse porte</v>
      </c>
      <c r="N240" s="2" t="s">
        <v>482</v>
      </c>
      <c r="O240" s="2" t="str">
        <f t="shared" si="89"/>
        <v>Fausse porte pour armoire de cuisine du bas (25.75" x 36")</v>
      </c>
      <c r="P240" s="2" t="str">
        <f t="shared" si="90"/>
        <v>Fausse porte - Bas (25.75" x 36")</v>
      </c>
      <c r="Q240" s="11">
        <v>225</v>
      </c>
      <c r="R240" s="11">
        <f t="shared" si="83"/>
        <v>20</v>
      </c>
      <c r="S240" s="11">
        <f t="shared" si="84"/>
        <v>28</v>
      </c>
      <c r="T240" s="11">
        <f t="shared" si="85"/>
        <v>30.800000000000004</v>
      </c>
      <c r="U240" s="11">
        <f t="shared" si="86"/>
        <v>36.96</v>
      </c>
      <c r="V240" s="11">
        <f t="shared" si="86"/>
        <v>44.351999999999997</v>
      </c>
      <c r="W240" s="11">
        <f t="shared" si="87"/>
        <v>48.787199999999999</v>
      </c>
      <c r="X240" s="11">
        <f t="shared" si="88"/>
        <v>48.787199999999999</v>
      </c>
      <c r="Y240" s="14">
        <v>0.4</v>
      </c>
      <c r="Z240" s="11">
        <f t="shared" si="77"/>
        <v>81.311999999999998</v>
      </c>
      <c r="AA240" s="2">
        <v>25.75</v>
      </c>
      <c r="AB240" s="2">
        <v>36</v>
      </c>
      <c r="AC240" s="2">
        <v>0.75</v>
      </c>
      <c r="AD240" s="2" t="s">
        <v>51</v>
      </c>
      <c r="AE240" s="2" t="s">
        <v>51</v>
      </c>
    </row>
    <row r="241" spans="1:31" hidden="1">
      <c r="A241" s="2" t="s">
        <v>508</v>
      </c>
      <c r="B241" s="2" t="b">
        <v>1</v>
      </c>
      <c r="C241" s="2"/>
      <c r="D241" s="2"/>
      <c r="E241" s="2" t="b">
        <f t="shared" si="70"/>
        <v>0</v>
      </c>
      <c r="F241" s="2"/>
      <c r="G241" s="2"/>
      <c r="H241" s="2" t="str">
        <f t="shared" si="81"/>
        <v>Blanc</v>
      </c>
      <c r="I241" s="2" t="str">
        <f t="shared" si="82"/>
        <v>-CW</v>
      </c>
      <c r="J241" s="2"/>
      <c r="K241" s="2" t="s">
        <v>489</v>
      </c>
      <c r="L241" s="2"/>
      <c r="M241" s="2" t="str">
        <f>IFERROR(VLOOKUP(K241,Categories!$A$2:$C$41,3,FALSE()),"⚠ slug introuvable")</f>
        <v>Coin aveugle mural</v>
      </c>
      <c r="N241" s="2" t="s">
        <v>509</v>
      </c>
      <c r="O241" s="2"/>
      <c r="P241" s="2"/>
      <c r="Q241" s="11">
        <v>0</v>
      </c>
      <c r="R241" s="11">
        <f t="shared" si="83"/>
        <v>0</v>
      </c>
      <c r="S241" s="11">
        <f t="shared" si="84"/>
        <v>0</v>
      </c>
      <c r="T241" s="11">
        <f t="shared" si="85"/>
        <v>0</v>
      </c>
      <c r="U241" s="11">
        <f t="shared" si="86"/>
        <v>0</v>
      </c>
      <c r="V241" s="11">
        <f t="shared" si="86"/>
        <v>0</v>
      </c>
      <c r="W241" s="11">
        <f t="shared" si="87"/>
        <v>0</v>
      </c>
      <c r="X241" s="11">
        <f t="shared" si="88"/>
        <v>0</v>
      </c>
      <c r="Y241" s="14">
        <v>0.4</v>
      </c>
      <c r="Z241" s="11">
        <f t="shared" si="77"/>
        <v>0</v>
      </c>
      <c r="AA241" s="2">
        <v>36</v>
      </c>
      <c r="AB241" s="2">
        <v>48</v>
      </c>
      <c r="AC241" s="2">
        <v>12</v>
      </c>
      <c r="AD241" s="2"/>
      <c r="AE241" s="2"/>
    </row>
    <row r="242" spans="1:31" hidden="1">
      <c r="A242" s="2" t="s">
        <v>510</v>
      </c>
      <c r="B242" s="2" t="b">
        <v>1</v>
      </c>
      <c r="C242" s="2"/>
      <c r="D242" s="2"/>
      <c r="E242" s="2" t="b">
        <f t="shared" si="70"/>
        <v>0</v>
      </c>
      <c r="F242" s="2"/>
      <c r="G242" s="2"/>
      <c r="H242" s="2" t="str">
        <f t="shared" si="81"/>
        <v>Blanc</v>
      </c>
      <c r="I242" s="2" t="str">
        <f t="shared" si="82"/>
        <v>-CW</v>
      </c>
      <c r="J242" s="2"/>
      <c r="K242" s="2" t="s">
        <v>489</v>
      </c>
      <c r="L242" s="2"/>
      <c r="M242" s="2" t="str">
        <f>IFERROR(VLOOKUP(K242,Categories!$A$2:$C$41,3,FALSE()),"⚠ slug introuvable")</f>
        <v>Coin aveugle mural</v>
      </c>
      <c r="N242" s="2" t="s">
        <v>511</v>
      </c>
      <c r="O242" s="2"/>
      <c r="P242" s="2"/>
      <c r="Q242" s="11">
        <v>0</v>
      </c>
      <c r="R242" s="11">
        <f t="shared" si="83"/>
        <v>0</v>
      </c>
      <c r="S242" s="11">
        <f t="shared" si="84"/>
        <v>0</v>
      </c>
      <c r="T242" s="11">
        <f t="shared" si="85"/>
        <v>0</v>
      </c>
      <c r="U242" s="11">
        <f t="shared" si="86"/>
        <v>0</v>
      </c>
      <c r="V242" s="11">
        <f t="shared" si="86"/>
        <v>0</v>
      </c>
      <c r="W242" s="11">
        <f t="shared" si="87"/>
        <v>0</v>
      </c>
      <c r="X242" s="11">
        <f t="shared" si="88"/>
        <v>0</v>
      </c>
      <c r="Y242" s="14">
        <v>0.4</v>
      </c>
      <c r="Z242" s="11">
        <f t="shared" si="77"/>
        <v>0</v>
      </c>
      <c r="AA242" s="2">
        <v>36</v>
      </c>
      <c r="AB242" s="2">
        <v>48</v>
      </c>
      <c r="AC242" s="2">
        <v>12</v>
      </c>
      <c r="AD242" s="2"/>
      <c r="AE242" s="2"/>
    </row>
    <row r="243" spans="1:31" hidden="1">
      <c r="A243" s="2" t="s">
        <v>512</v>
      </c>
      <c r="B243" s="2" t="b">
        <v>1</v>
      </c>
      <c r="C243" s="2"/>
      <c r="D243" s="2"/>
      <c r="E243" s="2" t="b">
        <f t="shared" si="70"/>
        <v>0</v>
      </c>
      <c r="F243" s="2"/>
      <c r="G243" s="2"/>
      <c r="H243" s="2" t="str">
        <f t="shared" si="81"/>
        <v>Blanc</v>
      </c>
      <c r="I243" s="2" t="str">
        <f t="shared" si="82"/>
        <v>-CW</v>
      </c>
      <c r="J243" s="2"/>
      <c r="K243" s="2" t="s">
        <v>513</v>
      </c>
      <c r="L243" s="2"/>
      <c r="M243" s="2" t="str">
        <f>IFERROR(VLOOKUP(K243,Categories!$A$2:$C$41,3,FALSE()),"⚠ slug introuvable")</f>
        <v>Coin aveugle mural haut</v>
      </c>
      <c r="N243" s="2" t="s">
        <v>514</v>
      </c>
      <c r="O243" s="2"/>
      <c r="P243" s="2"/>
      <c r="Q243" s="11">
        <v>0</v>
      </c>
      <c r="R243" s="11">
        <f t="shared" si="83"/>
        <v>0</v>
      </c>
      <c r="S243" s="11">
        <f t="shared" si="84"/>
        <v>0</v>
      </c>
      <c r="T243" s="11">
        <f t="shared" si="85"/>
        <v>0</v>
      </c>
      <c r="U243" s="11">
        <f t="shared" ref="U243:V262" si="91">T243*1.2</f>
        <v>0</v>
      </c>
      <c r="V243" s="11">
        <f t="shared" si="91"/>
        <v>0</v>
      </c>
      <c r="W243" s="11">
        <f t="shared" si="87"/>
        <v>0</v>
      </c>
      <c r="X243" s="11">
        <f t="shared" si="88"/>
        <v>0</v>
      </c>
      <c r="Y243" s="14">
        <v>0.4</v>
      </c>
      <c r="Z243" s="11">
        <f t="shared" si="77"/>
        <v>0</v>
      </c>
      <c r="AA243" s="2">
        <v>15</v>
      </c>
      <c r="AB243" s="2">
        <v>30</v>
      </c>
      <c r="AC243" s="2">
        <v>12</v>
      </c>
      <c r="AD243" s="2"/>
      <c r="AE243" s="2"/>
    </row>
    <row r="244" spans="1:31" hidden="1">
      <c r="A244" s="2" t="s">
        <v>515</v>
      </c>
      <c r="B244" s="2" t="b">
        <v>1</v>
      </c>
      <c r="C244" s="2"/>
      <c r="D244" s="2"/>
      <c r="E244" s="2" t="b">
        <f t="shared" si="70"/>
        <v>0</v>
      </c>
      <c r="F244" s="2"/>
      <c r="G244" s="2"/>
      <c r="H244" s="2" t="str">
        <f t="shared" si="81"/>
        <v>Blanc</v>
      </c>
      <c r="I244" s="2" t="str">
        <f t="shared" si="82"/>
        <v>-CW</v>
      </c>
      <c r="J244" s="2"/>
      <c r="K244" s="2" t="s">
        <v>513</v>
      </c>
      <c r="L244" s="2"/>
      <c r="M244" s="2" t="str">
        <f>IFERROR(VLOOKUP(K244,Categories!$A$2:$C$41,3,FALSE()),"⚠ slug introuvable")</f>
        <v>Coin aveugle mural haut</v>
      </c>
      <c r="N244" s="2" t="s">
        <v>516</v>
      </c>
      <c r="O244" s="2"/>
      <c r="P244" s="2"/>
      <c r="Q244" s="11">
        <v>0</v>
      </c>
      <c r="R244" s="11">
        <f t="shared" si="83"/>
        <v>0</v>
      </c>
      <c r="S244" s="11">
        <f t="shared" si="84"/>
        <v>0</v>
      </c>
      <c r="T244" s="11">
        <f t="shared" si="85"/>
        <v>0</v>
      </c>
      <c r="U244" s="11">
        <f t="shared" si="91"/>
        <v>0</v>
      </c>
      <c r="V244" s="11">
        <f t="shared" si="91"/>
        <v>0</v>
      </c>
      <c r="W244" s="11">
        <f t="shared" si="87"/>
        <v>0</v>
      </c>
      <c r="X244" s="11">
        <f t="shared" si="88"/>
        <v>0</v>
      </c>
      <c r="Y244" s="14">
        <v>0.4</v>
      </c>
      <c r="Z244" s="11">
        <f t="shared" si="77"/>
        <v>0</v>
      </c>
      <c r="AA244" s="2">
        <v>15</v>
      </c>
      <c r="AB244" s="2">
        <v>36</v>
      </c>
      <c r="AC244" s="2">
        <v>12</v>
      </c>
      <c r="AD244" s="2"/>
      <c r="AE244" s="2"/>
    </row>
    <row r="245" spans="1:31" hidden="1">
      <c r="A245" s="2" t="s">
        <v>517</v>
      </c>
      <c r="B245" s="2" t="b">
        <v>1</v>
      </c>
      <c r="C245" s="2"/>
      <c r="D245" s="2"/>
      <c r="E245" s="2" t="b">
        <f t="shared" si="70"/>
        <v>0</v>
      </c>
      <c r="F245" s="2"/>
      <c r="G245" s="2"/>
      <c r="H245" s="2" t="str">
        <f t="shared" si="81"/>
        <v>Blanc</v>
      </c>
      <c r="I245" s="2" t="str">
        <f t="shared" si="82"/>
        <v>-CW</v>
      </c>
      <c r="J245" s="2"/>
      <c r="K245" s="2" t="s">
        <v>513</v>
      </c>
      <c r="L245" s="2"/>
      <c r="M245" s="2" t="str">
        <f>IFERROR(VLOOKUP(K245,Categories!$A$2:$C$41,3,FALSE()),"⚠ slug introuvable")</f>
        <v>Coin aveugle mural haut</v>
      </c>
      <c r="N245" s="2" t="s">
        <v>518</v>
      </c>
      <c r="O245" s="2"/>
      <c r="P245" s="2"/>
      <c r="Q245" s="11">
        <v>0</v>
      </c>
      <c r="R245" s="11">
        <f t="shared" si="83"/>
        <v>0</v>
      </c>
      <c r="S245" s="11">
        <f t="shared" si="84"/>
        <v>0</v>
      </c>
      <c r="T245" s="11">
        <f t="shared" si="85"/>
        <v>0</v>
      </c>
      <c r="U245" s="11">
        <f t="shared" si="91"/>
        <v>0</v>
      </c>
      <c r="V245" s="11">
        <f t="shared" si="91"/>
        <v>0</v>
      </c>
      <c r="W245" s="11">
        <f t="shared" si="87"/>
        <v>0</v>
      </c>
      <c r="X245" s="11">
        <f t="shared" si="88"/>
        <v>0</v>
      </c>
      <c r="Y245" s="14">
        <v>0.4</v>
      </c>
      <c r="Z245" s="11">
        <f t="shared" si="77"/>
        <v>0</v>
      </c>
      <c r="AA245" s="2">
        <v>18</v>
      </c>
      <c r="AB245" s="2">
        <v>30</v>
      </c>
      <c r="AC245" s="2">
        <v>12</v>
      </c>
      <c r="AD245" s="2"/>
      <c r="AE245" s="2"/>
    </row>
    <row r="246" spans="1:31" hidden="1">
      <c r="A246" s="2" t="s">
        <v>519</v>
      </c>
      <c r="B246" s="2" t="b">
        <v>1</v>
      </c>
      <c r="C246" s="2"/>
      <c r="D246" s="2"/>
      <c r="E246" s="2" t="b">
        <f t="shared" si="70"/>
        <v>0</v>
      </c>
      <c r="F246" s="2"/>
      <c r="G246" s="2"/>
      <c r="H246" s="2" t="str">
        <f t="shared" si="81"/>
        <v>Blanc</v>
      </c>
      <c r="I246" s="2" t="str">
        <f t="shared" si="82"/>
        <v>-CW</v>
      </c>
      <c r="J246" s="2"/>
      <c r="K246" s="2" t="s">
        <v>513</v>
      </c>
      <c r="L246" s="2"/>
      <c r="M246" s="2" t="str">
        <f>IFERROR(VLOOKUP(K246,Categories!$A$2:$C$41,3,FALSE()),"⚠ slug introuvable")</f>
        <v>Coin aveugle mural haut</v>
      </c>
      <c r="N246" s="2" t="s">
        <v>520</v>
      </c>
      <c r="O246" s="2"/>
      <c r="P246" s="2"/>
      <c r="Q246" s="11">
        <v>0</v>
      </c>
      <c r="R246" s="11">
        <f t="shared" si="83"/>
        <v>0</v>
      </c>
      <c r="S246" s="11">
        <f t="shared" si="84"/>
        <v>0</v>
      </c>
      <c r="T246" s="11">
        <f t="shared" si="85"/>
        <v>0</v>
      </c>
      <c r="U246" s="11">
        <f t="shared" si="91"/>
        <v>0</v>
      </c>
      <c r="V246" s="11">
        <f t="shared" si="91"/>
        <v>0</v>
      </c>
      <c r="W246" s="11">
        <f t="shared" si="87"/>
        <v>0</v>
      </c>
      <c r="X246" s="11">
        <f t="shared" si="88"/>
        <v>0</v>
      </c>
      <c r="Y246" s="14">
        <v>0.4</v>
      </c>
      <c r="Z246" s="11">
        <f t="shared" si="77"/>
        <v>0</v>
      </c>
      <c r="AA246" s="2">
        <v>18</v>
      </c>
      <c r="AB246" s="2">
        <v>36</v>
      </c>
      <c r="AC246" s="2">
        <v>12</v>
      </c>
      <c r="AD246" s="2"/>
      <c r="AE246" s="2"/>
    </row>
    <row r="247" spans="1:31" hidden="1">
      <c r="A247" s="2" t="s">
        <v>521</v>
      </c>
      <c r="B247" s="2" t="b">
        <v>1</v>
      </c>
      <c r="C247" s="2"/>
      <c r="D247" s="2"/>
      <c r="E247" s="2" t="b">
        <f t="shared" si="70"/>
        <v>0</v>
      </c>
      <c r="F247" s="2"/>
      <c r="G247" s="2"/>
      <c r="H247" s="2" t="str">
        <f t="shared" si="81"/>
        <v>Blanc</v>
      </c>
      <c r="I247" s="2" t="str">
        <f t="shared" si="82"/>
        <v>-CW</v>
      </c>
      <c r="J247" s="2"/>
      <c r="K247" s="2" t="s">
        <v>513</v>
      </c>
      <c r="L247" s="2"/>
      <c r="M247" s="2" t="str">
        <f>IFERROR(VLOOKUP(K247,Categories!$A$2:$C$41,3,FALSE()),"⚠ slug introuvable")</f>
        <v>Coin aveugle mural haut</v>
      </c>
      <c r="N247" s="2" t="s">
        <v>522</v>
      </c>
      <c r="O247" s="2"/>
      <c r="P247" s="2"/>
      <c r="Q247" s="11">
        <v>0</v>
      </c>
      <c r="R247" s="11">
        <f t="shared" si="83"/>
        <v>0</v>
      </c>
      <c r="S247" s="11">
        <f t="shared" si="84"/>
        <v>0</v>
      </c>
      <c r="T247" s="11">
        <f t="shared" si="85"/>
        <v>0</v>
      </c>
      <c r="U247" s="11">
        <f t="shared" si="91"/>
        <v>0</v>
      </c>
      <c r="V247" s="11">
        <f t="shared" si="91"/>
        <v>0</v>
      </c>
      <c r="W247" s="11">
        <f t="shared" si="87"/>
        <v>0</v>
      </c>
      <c r="X247" s="11">
        <f t="shared" si="88"/>
        <v>0</v>
      </c>
      <c r="Y247" s="14">
        <v>0.4</v>
      </c>
      <c r="Z247" s="11">
        <f t="shared" si="77"/>
        <v>0</v>
      </c>
      <c r="AA247" s="2">
        <v>21</v>
      </c>
      <c r="AB247" s="2">
        <v>30</v>
      </c>
      <c r="AC247" s="2">
        <v>12</v>
      </c>
      <c r="AD247" s="2"/>
      <c r="AE247" s="2"/>
    </row>
    <row r="248" spans="1:31" hidden="1">
      <c r="A248" s="2" t="s">
        <v>523</v>
      </c>
      <c r="B248" s="2" t="b">
        <v>1</v>
      </c>
      <c r="C248" s="2"/>
      <c r="D248" s="2"/>
      <c r="E248" s="2" t="b">
        <f t="shared" si="70"/>
        <v>0</v>
      </c>
      <c r="F248" s="2"/>
      <c r="G248" s="2"/>
      <c r="H248" s="2" t="str">
        <f t="shared" si="81"/>
        <v>Blanc</v>
      </c>
      <c r="I248" s="2" t="str">
        <f t="shared" si="82"/>
        <v>-CW</v>
      </c>
      <c r="J248" s="2"/>
      <c r="K248" s="2" t="s">
        <v>513</v>
      </c>
      <c r="L248" s="2"/>
      <c r="M248" s="2" t="str">
        <f>IFERROR(VLOOKUP(K248,Categories!$A$2:$C$41,3,FALSE()),"⚠ slug introuvable")</f>
        <v>Coin aveugle mural haut</v>
      </c>
      <c r="N248" s="2" t="s">
        <v>524</v>
      </c>
      <c r="O248" s="2"/>
      <c r="P248" s="2"/>
      <c r="Q248" s="11">
        <v>0</v>
      </c>
      <c r="R248" s="11">
        <f t="shared" si="83"/>
        <v>0</v>
      </c>
      <c r="S248" s="11">
        <f t="shared" si="84"/>
        <v>0</v>
      </c>
      <c r="T248" s="11">
        <f t="shared" si="85"/>
        <v>0</v>
      </c>
      <c r="U248" s="11">
        <f t="shared" si="91"/>
        <v>0</v>
      </c>
      <c r="V248" s="11">
        <f t="shared" si="91"/>
        <v>0</v>
      </c>
      <c r="W248" s="11">
        <f t="shared" si="87"/>
        <v>0</v>
      </c>
      <c r="X248" s="11">
        <f t="shared" si="88"/>
        <v>0</v>
      </c>
      <c r="Y248" s="14">
        <v>0.4</v>
      </c>
      <c r="Z248" s="11">
        <f t="shared" si="77"/>
        <v>0</v>
      </c>
      <c r="AA248" s="2">
        <v>21</v>
      </c>
      <c r="AB248" s="2">
        <v>36</v>
      </c>
      <c r="AC248" s="2">
        <v>12</v>
      </c>
      <c r="AD248" s="2"/>
      <c r="AE248" s="2"/>
    </row>
    <row r="249" spans="1:31" hidden="1">
      <c r="A249" s="2" t="s">
        <v>525</v>
      </c>
      <c r="B249" s="2" t="b">
        <v>1</v>
      </c>
      <c r="C249" s="2"/>
      <c r="D249" s="2"/>
      <c r="E249" s="2" t="b">
        <f t="shared" si="70"/>
        <v>0</v>
      </c>
      <c r="F249" s="2"/>
      <c r="G249" s="2"/>
      <c r="H249" s="2" t="str">
        <f t="shared" si="81"/>
        <v>Blanc</v>
      </c>
      <c r="I249" s="2" t="str">
        <f t="shared" si="82"/>
        <v>-CW</v>
      </c>
      <c r="J249" s="2"/>
      <c r="K249" s="2" t="s">
        <v>513</v>
      </c>
      <c r="L249" s="2"/>
      <c r="M249" s="2" t="str">
        <f>IFERROR(VLOOKUP(K249,Categories!$A$2:$C$41,3,FALSE()),"⚠ slug introuvable")</f>
        <v>Coin aveugle mural haut</v>
      </c>
      <c r="N249" s="2" t="s">
        <v>526</v>
      </c>
      <c r="O249" s="2"/>
      <c r="P249" s="2"/>
      <c r="Q249" s="11">
        <v>0</v>
      </c>
      <c r="R249" s="11">
        <f t="shared" si="83"/>
        <v>0</v>
      </c>
      <c r="S249" s="11">
        <f t="shared" si="84"/>
        <v>0</v>
      </c>
      <c r="T249" s="11">
        <f t="shared" si="85"/>
        <v>0</v>
      </c>
      <c r="U249" s="11">
        <f t="shared" si="91"/>
        <v>0</v>
      </c>
      <c r="V249" s="11">
        <f t="shared" si="91"/>
        <v>0</v>
      </c>
      <c r="W249" s="11">
        <f t="shared" si="87"/>
        <v>0</v>
      </c>
      <c r="X249" s="11">
        <f t="shared" si="88"/>
        <v>0</v>
      </c>
      <c r="Y249" s="14">
        <v>0.4</v>
      </c>
      <c r="Z249" s="11">
        <f t="shared" si="77"/>
        <v>0</v>
      </c>
      <c r="AA249" s="2">
        <v>21</v>
      </c>
      <c r="AB249" s="2">
        <v>36</v>
      </c>
      <c r="AC249" s="2">
        <v>12</v>
      </c>
      <c r="AD249" s="2"/>
      <c r="AE249" s="2"/>
    </row>
    <row r="250" spans="1:31" hidden="1">
      <c r="A250" s="2" t="s">
        <v>527</v>
      </c>
      <c r="B250" s="2" t="b">
        <v>1</v>
      </c>
      <c r="C250" s="2"/>
      <c r="D250" s="2"/>
      <c r="E250" s="2" t="b">
        <f t="shared" si="70"/>
        <v>0</v>
      </c>
      <c r="F250" s="2"/>
      <c r="G250" s="2"/>
      <c r="H250" s="2" t="str">
        <f t="shared" si="81"/>
        <v>Blanc</v>
      </c>
      <c r="I250" s="2" t="str">
        <f t="shared" si="82"/>
        <v>-CW</v>
      </c>
      <c r="J250" s="2"/>
      <c r="K250" s="2" t="s">
        <v>513</v>
      </c>
      <c r="L250" s="2"/>
      <c r="M250" s="2" t="str">
        <f>IFERROR(VLOOKUP(K250,Categories!$A$2:$C$41,3,FALSE()),"⚠ slug introuvable")</f>
        <v>Coin aveugle mural haut</v>
      </c>
      <c r="N250" s="2" t="s">
        <v>528</v>
      </c>
      <c r="O250" s="2"/>
      <c r="P250" s="2"/>
      <c r="Q250" s="11">
        <v>0</v>
      </c>
      <c r="R250" s="11">
        <f t="shared" si="83"/>
        <v>0</v>
      </c>
      <c r="S250" s="11">
        <f t="shared" si="84"/>
        <v>0</v>
      </c>
      <c r="T250" s="11">
        <f t="shared" si="85"/>
        <v>0</v>
      </c>
      <c r="U250" s="11">
        <f t="shared" si="91"/>
        <v>0</v>
      </c>
      <c r="V250" s="11">
        <f t="shared" si="91"/>
        <v>0</v>
      </c>
      <c r="W250" s="11">
        <f t="shared" si="87"/>
        <v>0</v>
      </c>
      <c r="X250" s="11">
        <f t="shared" si="88"/>
        <v>0</v>
      </c>
      <c r="Y250" s="14">
        <v>0.4</v>
      </c>
      <c r="Z250" s="11">
        <f t="shared" si="77"/>
        <v>0</v>
      </c>
      <c r="AA250" s="2">
        <v>21</v>
      </c>
      <c r="AB250" s="2">
        <v>48</v>
      </c>
      <c r="AC250" s="2">
        <v>12</v>
      </c>
      <c r="AD250" s="2"/>
      <c r="AE250" s="2"/>
    </row>
    <row r="251" spans="1:31" hidden="1">
      <c r="A251" s="2" t="s">
        <v>529</v>
      </c>
      <c r="B251" s="2" t="b">
        <v>1</v>
      </c>
      <c r="C251" s="2"/>
      <c r="D251" s="2"/>
      <c r="E251" s="2" t="b">
        <f t="shared" si="70"/>
        <v>0</v>
      </c>
      <c r="F251" s="2"/>
      <c r="G251" s="2"/>
      <c r="H251" s="2" t="str">
        <f t="shared" si="81"/>
        <v>Blanc</v>
      </c>
      <c r="I251" s="2" t="str">
        <f t="shared" si="82"/>
        <v>-CW</v>
      </c>
      <c r="J251" s="2"/>
      <c r="K251" s="2" t="s">
        <v>513</v>
      </c>
      <c r="L251" s="2"/>
      <c r="M251" s="2" t="str">
        <f>IFERROR(VLOOKUP(K251,Categories!$A$2:$C$41,3,FALSE()),"⚠ slug introuvable")</f>
        <v>Coin aveugle mural haut</v>
      </c>
      <c r="N251" s="2" t="s">
        <v>530</v>
      </c>
      <c r="O251" s="2"/>
      <c r="P251" s="2"/>
      <c r="Q251" s="11">
        <v>0</v>
      </c>
      <c r="R251" s="11">
        <f t="shared" si="83"/>
        <v>0</v>
      </c>
      <c r="S251" s="11">
        <f t="shared" si="84"/>
        <v>0</v>
      </c>
      <c r="T251" s="11">
        <f t="shared" si="85"/>
        <v>0</v>
      </c>
      <c r="U251" s="11">
        <f t="shared" si="91"/>
        <v>0</v>
      </c>
      <c r="V251" s="11">
        <f t="shared" si="91"/>
        <v>0</v>
      </c>
      <c r="W251" s="11">
        <f t="shared" si="87"/>
        <v>0</v>
      </c>
      <c r="X251" s="11">
        <f t="shared" si="88"/>
        <v>0</v>
      </c>
      <c r="Y251" s="14">
        <v>0.4</v>
      </c>
      <c r="Z251" s="11">
        <f t="shared" si="77"/>
        <v>0</v>
      </c>
      <c r="AA251" s="2">
        <v>21</v>
      </c>
      <c r="AB251" s="2">
        <v>48</v>
      </c>
      <c r="AC251" s="2">
        <v>12</v>
      </c>
      <c r="AD251" s="2"/>
      <c r="AE251" s="2"/>
    </row>
    <row r="252" spans="1:31" hidden="1">
      <c r="A252" s="2" t="s">
        <v>531</v>
      </c>
      <c r="B252" s="2" t="b">
        <v>1</v>
      </c>
      <c r="C252" s="2"/>
      <c r="D252" s="2"/>
      <c r="E252" s="2" t="b">
        <f t="shared" si="70"/>
        <v>0</v>
      </c>
      <c r="F252" s="2"/>
      <c r="G252" s="2"/>
      <c r="H252" s="2" t="str">
        <f t="shared" si="81"/>
        <v>Blanc</v>
      </c>
      <c r="I252" s="2" t="str">
        <f t="shared" si="82"/>
        <v>-CW</v>
      </c>
      <c r="J252" s="2"/>
      <c r="K252" s="2" t="s">
        <v>513</v>
      </c>
      <c r="L252" s="2"/>
      <c r="M252" s="2" t="str">
        <f>IFERROR(VLOOKUP(K252,Categories!$A$2:$C$41,3,FALSE()),"⚠ slug introuvable")</f>
        <v>Coin aveugle mural haut</v>
      </c>
      <c r="N252" s="2" t="s">
        <v>532</v>
      </c>
      <c r="O252" s="2"/>
      <c r="P252" s="2"/>
      <c r="Q252" s="11">
        <v>0</v>
      </c>
      <c r="R252" s="11">
        <f t="shared" si="83"/>
        <v>0</v>
      </c>
      <c r="S252" s="11">
        <f t="shared" si="84"/>
        <v>0</v>
      </c>
      <c r="T252" s="11">
        <f t="shared" si="85"/>
        <v>0</v>
      </c>
      <c r="U252" s="11">
        <f t="shared" si="91"/>
        <v>0</v>
      </c>
      <c r="V252" s="11">
        <f t="shared" si="91"/>
        <v>0</v>
      </c>
      <c r="W252" s="11">
        <f t="shared" si="87"/>
        <v>0</v>
      </c>
      <c r="X252" s="11">
        <f t="shared" si="88"/>
        <v>0</v>
      </c>
      <c r="Y252" s="14">
        <v>0.4</v>
      </c>
      <c r="Z252" s="11">
        <f t="shared" si="77"/>
        <v>0</v>
      </c>
      <c r="AA252" s="2">
        <v>24</v>
      </c>
      <c r="AB252" s="2">
        <v>30</v>
      </c>
      <c r="AC252" s="2">
        <v>12</v>
      </c>
      <c r="AD252" s="2"/>
      <c r="AE252" s="2"/>
    </row>
    <row r="253" spans="1:31" hidden="1">
      <c r="A253" s="2" t="s">
        <v>533</v>
      </c>
      <c r="B253" s="2" t="b">
        <v>1</v>
      </c>
      <c r="C253" s="2"/>
      <c r="D253" s="2"/>
      <c r="E253" s="2" t="b">
        <f t="shared" si="70"/>
        <v>0</v>
      </c>
      <c r="F253" s="2"/>
      <c r="G253" s="2"/>
      <c r="H253" s="2" t="str">
        <f t="shared" si="81"/>
        <v>Blanc</v>
      </c>
      <c r="I253" s="2" t="str">
        <f t="shared" si="82"/>
        <v>-CW</v>
      </c>
      <c r="J253" s="2"/>
      <c r="K253" s="2" t="s">
        <v>513</v>
      </c>
      <c r="L253" s="2"/>
      <c r="M253" s="2" t="str">
        <f>IFERROR(VLOOKUP(K253,Categories!$A$2:$C$41,3,FALSE()),"⚠ slug introuvable")</f>
        <v>Coin aveugle mural haut</v>
      </c>
      <c r="N253" s="2" t="s">
        <v>534</v>
      </c>
      <c r="O253" s="2"/>
      <c r="P253" s="2"/>
      <c r="Q253" s="11">
        <v>0</v>
      </c>
      <c r="R253" s="11">
        <f t="shared" si="83"/>
        <v>0</v>
      </c>
      <c r="S253" s="11">
        <f t="shared" si="84"/>
        <v>0</v>
      </c>
      <c r="T253" s="11">
        <f t="shared" si="85"/>
        <v>0</v>
      </c>
      <c r="U253" s="11">
        <f t="shared" si="91"/>
        <v>0</v>
      </c>
      <c r="V253" s="11">
        <f t="shared" si="91"/>
        <v>0</v>
      </c>
      <c r="W253" s="11">
        <f t="shared" si="87"/>
        <v>0</v>
      </c>
      <c r="X253" s="11">
        <f t="shared" si="88"/>
        <v>0</v>
      </c>
      <c r="Y253" s="14">
        <v>0.4</v>
      </c>
      <c r="Z253" s="11">
        <f t="shared" si="77"/>
        <v>0</v>
      </c>
      <c r="AA253" s="2">
        <v>24</v>
      </c>
      <c r="AB253" s="2">
        <v>36</v>
      </c>
      <c r="AC253" s="2">
        <v>12</v>
      </c>
      <c r="AD253" s="2"/>
      <c r="AE253" s="2"/>
    </row>
    <row r="254" spans="1:31" hidden="1">
      <c r="A254" s="2" t="s">
        <v>535</v>
      </c>
      <c r="B254" s="2" t="b">
        <v>1</v>
      </c>
      <c r="C254" s="2"/>
      <c r="D254" s="2"/>
      <c r="E254" s="2" t="b">
        <f t="shared" si="70"/>
        <v>0</v>
      </c>
      <c r="F254" s="2"/>
      <c r="G254" s="2"/>
      <c r="H254" s="2" t="str">
        <f t="shared" si="81"/>
        <v>Blanc</v>
      </c>
      <c r="I254" s="2" t="str">
        <f t="shared" si="82"/>
        <v>-CW</v>
      </c>
      <c r="J254" s="2"/>
      <c r="K254" s="2" t="s">
        <v>513</v>
      </c>
      <c r="L254" s="2"/>
      <c r="M254" s="2" t="str">
        <f>IFERROR(VLOOKUP(K254,Categories!$A$2:$C$41,3,FALSE()),"⚠ slug introuvable")</f>
        <v>Coin aveugle mural haut</v>
      </c>
      <c r="N254" s="2" t="s">
        <v>536</v>
      </c>
      <c r="O254" s="2"/>
      <c r="P254" s="2"/>
      <c r="Q254" s="11">
        <v>0</v>
      </c>
      <c r="R254" s="11">
        <f t="shared" si="83"/>
        <v>0</v>
      </c>
      <c r="S254" s="11">
        <f t="shared" si="84"/>
        <v>0</v>
      </c>
      <c r="T254" s="11">
        <f t="shared" si="85"/>
        <v>0</v>
      </c>
      <c r="U254" s="11">
        <f t="shared" si="91"/>
        <v>0</v>
      </c>
      <c r="V254" s="11">
        <f t="shared" si="91"/>
        <v>0</v>
      </c>
      <c r="W254" s="11">
        <f t="shared" si="87"/>
        <v>0</v>
      </c>
      <c r="X254" s="11">
        <f t="shared" si="88"/>
        <v>0</v>
      </c>
      <c r="Y254" s="14">
        <v>0.4</v>
      </c>
      <c r="Z254" s="11">
        <f t="shared" si="77"/>
        <v>0</v>
      </c>
      <c r="AA254" s="2">
        <v>24</v>
      </c>
      <c r="AB254" s="2">
        <v>36</v>
      </c>
      <c r="AC254" s="2">
        <v>12</v>
      </c>
      <c r="AD254" s="2"/>
      <c r="AE254" s="2"/>
    </row>
    <row r="255" spans="1:31" hidden="1">
      <c r="A255" s="2" t="s">
        <v>537</v>
      </c>
      <c r="B255" s="2" t="b">
        <v>1</v>
      </c>
      <c r="C255" s="2"/>
      <c r="D255" s="2"/>
      <c r="E255" s="2" t="b">
        <f t="shared" si="70"/>
        <v>0</v>
      </c>
      <c r="F255" s="2"/>
      <c r="G255" s="2"/>
      <c r="H255" s="2" t="str">
        <f t="shared" si="81"/>
        <v>Blanc</v>
      </c>
      <c r="I255" s="2" t="str">
        <f t="shared" ref="I255:I286" si="92">_xlfn.CONCAT(G255,IF(H255="","",IF(H255="Blanc","-CW","-WWO")))</f>
        <v>-CW</v>
      </c>
      <c r="J255" s="2"/>
      <c r="K255" s="2" t="s">
        <v>513</v>
      </c>
      <c r="L255" s="2"/>
      <c r="M255" s="2" t="str">
        <f>IFERROR(VLOOKUP(K255,Categories!$A$2:$C$41,3,FALSE()),"⚠ slug introuvable")</f>
        <v>Coin aveugle mural haut</v>
      </c>
      <c r="N255" s="2" t="s">
        <v>538</v>
      </c>
      <c r="O255" s="2"/>
      <c r="P255" s="2"/>
      <c r="Q255" s="11">
        <v>0</v>
      </c>
      <c r="R255" s="11">
        <f t="shared" ref="R255:R286" si="93">Q255/11.25</f>
        <v>0</v>
      </c>
      <c r="S255" s="11">
        <f t="shared" ref="S255:S286" si="94">R255*1.4</f>
        <v>0</v>
      </c>
      <c r="T255" s="11">
        <f t="shared" ref="T255:T286" si="95">S255*1.1</f>
        <v>0</v>
      </c>
      <c r="U255" s="11">
        <f t="shared" si="91"/>
        <v>0</v>
      </c>
      <c r="V255" s="11">
        <f t="shared" si="91"/>
        <v>0</v>
      </c>
      <c r="W255" s="11">
        <f t="shared" ref="W255:W286" si="96">V255*1.1</f>
        <v>0</v>
      </c>
      <c r="X255" s="11">
        <f t="shared" ref="X255:X286" si="97">W255</f>
        <v>0</v>
      </c>
      <c r="Y255" s="14">
        <v>0.4</v>
      </c>
      <c r="Z255" s="11">
        <f t="shared" si="77"/>
        <v>0</v>
      </c>
      <c r="AA255" s="2">
        <v>24</v>
      </c>
      <c r="AB255" s="2">
        <v>48</v>
      </c>
      <c r="AC255" s="2">
        <v>12</v>
      </c>
      <c r="AD255" s="2"/>
      <c r="AE255" s="2"/>
    </row>
    <row r="256" spans="1:31" hidden="1">
      <c r="A256" s="2" t="s">
        <v>539</v>
      </c>
      <c r="B256" s="2" t="b">
        <v>1</v>
      </c>
      <c r="C256" s="2"/>
      <c r="D256" s="2"/>
      <c r="E256" s="2" t="b">
        <f t="shared" si="70"/>
        <v>0</v>
      </c>
      <c r="F256" s="2"/>
      <c r="G256" s="2"/>
      <c r="H256" s="2" t="str">
        <f t="shared" si="81"/>
        <v>Blanc</v>
      </c>
      <c r="I256" s="2" t="str">
        <f t="shared" si="92"/>
        <v>-CW</v>
      </c>
      <c r="J256" s="2"/>
      <c r="K256" s="2" t="s">
        <v>513</v>
      </c>
      <c r="L256" s="2"/>
      <c r="M256" s="2" t="str">
        <f>IFERROR(VLOOKUP(K256,Categories!$A$2:$C$41,3,FALSE()),"⚠ slug introuvable")</f>
        <v>Coin aveugle mural haut</v>
      </c>
      <c r="N256" s="2" t="s">
        <v>540</v>
      </c>
      <c r="O256" s="2"/>
      <c r="P256" s="2"/>
      <c r="Q256" s="11">
        <v>0</v>
      </c>
      <c r="R256" s="11">
        <f t="shared" si="93"/>
        <v>0</v>
      </c>
      <c r="S256" s="11">
        <f t="shared" si="94"/>
        <v>0</v>
      </c>
      <c r="T256" s="11">
        <f t="shared" si="95"/>
        <v>0</v>
      </c>
      <c r="U256" s="11">
        <f t="shared" si="91"/>
        <v>0</v>
      </c>
      <c r="V256" s="11">
        <f t="shared" si="91"/>
        <v>0</v>
      </c>
      <c r="W256" s="11">
        <f t="shared" si="96"/>
        <v>0</v>
      </c>
      <c r="X256" s="11">
        <f t="shared" si="97"/>
        <v>0</v>
      </c>
      <c r="Y256" s="14">
        <v>0.4</v>
      </c>
      <c r="Z256" s="11">
        <f t="shared" si="77"/>
        <v>0</v>
      </c>
      <c r="AA256" s="2">
        <v>24</v>
      </c>
      <c r="AB256" s="2">
        <v>48</v>
      </c>
      <c r="AC256" s="2">
        <v>12</v>
      </c>
      <c r="AD256" s="2"/>
      <c r="AE256" s="2"/>
    </row>
    <row r="257" spans="1:31" hidden="1">
      <c r="A257" s="2" t="s">
        <v>541</v>
      </c>
      <c r="B257" s="2" t="b">
        <v>1</v>
      </c>
      <c r="C257" s="2"/>
      <c r="D257" s="2"/>
      <c r="E257" s="2" t="b">
        <f t="shared" si="70"/>
        <v>0</v>
      </c>
      <c r="F257" s="2"/>
      <c r="G257" s="2"/>
      <c r="H257" s="2" t="str">
        <f t="shared" si="81"/>
        <v>Blanc</v>
      </c>
      <c r="I257" s="2" t="str">
        <f t="shared" si="92"/>
        <v>-CW</v>
      </c>
      <c r="J257" s="2"/>
      <c r="K257" s="2" t="s">
        <v>513</v>
      </c>
      <c r="L257" s="2"/>
      <c r="M257" s="2" t="str">
        <f>IFERROR(VLOOKUP(K257,Categories!$A$2:$C$41,3,FALSE()),"⚠ slug introuvable")</f>
        <v>Coin aveugle mural haut</v>
      </c>
      <c r="N257" s="2" t="s">
        <v>542</v>
      </c>
      <c r="O257" s="2"/>
      <c r="P257" s="2"/>
      <c r="Q257" s="11">
        <v>0</v>
      </c>
      <c r="R257" s="11">
        <f t="shared" si="93"/>
        <v>0</v>
      </c>
      <c r="S257" s="11">
        <f t="shared" si="94"/>
        <v>0</v>
      </c>
      <c r="T257" s="11">
        <f t="shared" si="95"/>
        <v>0</v>
      </c>
      <c r="U257" s="11">
        <f t="shared" si="91"/>
        <v>0</v>
      </c>
      <c r="V257" s="11">
        <f t="shared" si="91"/>
        <v>0</v>
      </c>
      <c r="W257" s="11">
        <f t="shared" si="96"/>
        <v>0</v>
      </c>
      <c r="X257" s="11">
        <f t="shared" si="97"/>
        <v>0</v>
      </c>
      <c r="Y257" s="14">
        <v>0.4</v>
      </c>
      <c r="Z257" s="11">
        <f t="shared" si="77"/>
        <v>0</v>
      </c>
      <c r="AA257" s="2">
        <v>27</v>
      </c>
      <c r="AB257" s="2">
        <v>30</v>
      </c>
      <c r="AC257" s="2">
        <v>12</v>
      </c>
      <c r="AD257" s="2"/>
      <c r="AE257" s="2"/>
    </row>
    <row r="258" spans="1:31" hidden="1">
      <c r="A258" s="2" t="s">
        <v>543</v>
      </c>
      <c r="B258" s="2" t="b">
        <v>1</v>
      </c>
      <c r="C258" s="2"/>
      <c r="D258" s="2"/>
      <c r="E258" s="2" t="b">
        <f t="shared" si="70"/>
        <v>0</v>
      </c>
      <c r="F258" s="2"/>
      <c r="G258" s="2"/>
      <c r="H258" s="2" t="str">
        <f t="shared" si="81"/>
        <v>Blanc</v>
      </c>
      <c r="I258" s="2" t="str">
        <f t="shared" si="92"/>
        <v>-CW</v>
      </c>
      <c r="J258" s="2"/>
      <c r="K258" s="2" t="s">
        <v>513</v>
      </c>
      <c r="L258" s="2"/>
      <c r="M258" s="2" t="str">
        <f>IFERROR(VLOOKUP(K258,Categories!$A$2:$C$41,3,FALSE()),"⚠ slug introuvable")</f>
        <v>Coin aveugle mural haut</v>
      </c>
      <c r="N258" s="2" t="s">
        <v>544</v>
      </c>
      <c r="O258" s="2"/>
      <c r="P258" s="2"/>
      <c r="Q258" s="11">
        <v>0</v>
      </c>
      <c r="R258" s="11">
        <f t="shared" si="93"/>
        <v>0</v>
      </c>
      <c r="S258" s="11">
        <f t="shared" si="94"/>
        <v>0</v>
      </c>
      <c r="T258" s="11">
        <f t="shared" si="95"/>
        <v>0</v>
      </c>
      <c r="U258" s="11">
        <f t="shared" si="91"/>
        <v>0</v>
      </c>
      <c r="V258" s="11">
        <f t="shared" si="91"/>
        <v>0</v>
      </c>
      <c r="W258" s="11">
        <f t="shared" si="96"/>
        <v>0</v>
      </c>
      <c r="X258" s="11">
        <f t="shared" si="97"/>
        <v>0</v>
      </c>
      <c r="Y258" s="14">
        <v>0.4</v>
      </c>
      <c r="Z258" s="11">
        <f t="shared" si="77"/>
        <v>0</v>
      </c>
      <c r="AA258" s="2">
        <v>27</v>
      </c>
      <c r="AB258" s="2">
        <v>36</v>
      </c>
      <c r="AC258" s="2">
        <v>12</v>
      </c>
      <c r="AD258" s="2"/>
      <c r="AE258" s="2"/>
    </row>
    <row r="259" spans="1:31" hidden="1">
      <c r="A259" s="2" t="s">
        <v>545</v>
      </c>
      <c r="B259" s="2" t="b">
        <v>1</v>
      </c>
      <c r="C259" s="2"/>
      <c r="D259" s="2"/>
      <c r="E259" s="2" t="b">
        <f t="shared" si="70"/>
        <v>0</v>
      </c>
      <c r="F259" s="2"/>
      <c r="G259" s="2"/>
      <c r="H259" s="2" t="str">
        <f t="shared" si="81"/>
        <v>Blanc</v>
      </c>
      <c r="I259" s="2" t="str">
        <f t="shared" si="92"/>
        <v>-CW</v>
      </c>
      <c r="J259" s="2"/>
      <c r="K259" s="2" t="s">
        <v>513</v>
      </c>
      <c r="L259" s="2"/>
      <c r="M259" s="2" t="str">
        <f>IFERROR(VLOOKUP(K259,Categories!$A$2:$C$41,3,FALSE()),"⚠ slug introuvable")</f>
        <v>Coin aveugle mural haut</v>
      </c>
      <c r="N259" s="2" t="s">
        <v>546</v>
      </c>
      <c r="O259" s="2"/>
      <c r="P259" s="2"/>
      <c r="Q259" s="11">
        <v>0</v>
      </c>
      <c r="R259" s="11">
        <f t="shared" si="93"/>
        <v>0</v>
      </c>
      <c r="S259" s="11">
        <f t="shared" si="94"/>
        <v>0</v>
      </c>
      <c r="T259" s="11">
        <f t="shared" si="95"/>
        <v>0</v>
      </c>
      <c r="U259" s="11">
        <f t="shared" si="91"/>
        <v>0</v>
      </c>
      <c r="V259" s="11">
        <f t="shared" si="91"/>
        <v>0</v>
      </c>
      <c r="W259" s="11">
        <f t="shared" si="96"/>
        <v>0</v>
      </c>
      <c r="X259" s="11">
        <f t="shared" si="97"/>
        <v>0</v>
      </c>
      <c r="Y259" s="14">
        <v>0.4</v>
      </c>
      <c r="Z259" s="11">
        <f t="shared" si="77"/>
        <v>0</v>
      </c>
      <c r="AA259" s="2">
        <v>30</v>
      </c>
      <c r="AB259" s="2">
        <v>30</v>
      </c>
      <c r="AC259" s="2">
        <v>12</v>
      </c>
      <c r="AD259" s="2"/>
      <c r="AE259" s="2"/>
    </row>
    <row r="260" spans="1:31" hidden="1">
      <c r="A260" s="2" t="s">
        <v>547</v>
      </c>
      <c r="B260" s="2" t="b">
        <v>1</v>
      </c>
      <c r="C260" s="2"/>
      <c r="D260" s="2"/>
      <c r="E260" s="2" t="b">
        <f t="shared" si="70"/>
        <v>0</v>
      </c>
      <c r="F260" s="2"/>
      <c r="G260" s="2"/>
      <c r="H260" s="2" t="str">
        <f t="shared" si="81"/>
        <v>Blanc</v>
      </c>
      <c r="I260" s="2" t="str">
        <f t="shared" si="92"/>
        <v>-CW</v>
      </c>
      <c r="J260" s="2"/>
      <c r="K260" s="2" t="s">
        <v>513</v>
      </c>
      <c r="L260" s="2"/>
      <c r="M260" s="2" t="str">
        <f>IFERROR(VLOOKUP(K260,Categories!$A$2:$C$41,3,FALSE()),"⚠ slug introuvable")</f>
        <v>Coin aveugle mural haut</v>
      </c>
      <c r="N260" s="2" t="s">
        <v>548</v>
      </c>
      <c r="O260" s="2"/>
      <c r="P260" s="2"/>
      <c r="Q260" s="11">
        <v>0</v>
      </c>
      <c r="R260" s="11">
        <f t="shared" si="93"/>
        <v>0</v>
      </c>
      <c r="S260" s="11">
        <f t="shared" si="94"/>
        <v>0</v>
      </c>
      <c r="T260" s="11">
        <f t="shared" si="95"/>
        <v>0</v>
      </c>
      <c r="U260" s="11">
        <f t="shared" si="91"/>
        <v>0</v>
      </c>
      <c r="V260" s="11">
        <f t="shared" si="91"/>
        <v>0</v>
      </c>
      <c r="W260" s="11">
        <f t="shared" si="96"/>
        <v>0</v>
      </c>
      <c r="X260" s="11">
        <f t="shared" si="97"/>
        <v>0</v>
      </c>
      <c r="Y260" s="14">
        <v>0.4</v>
      </c>
      <c r="Z260" s="11">
        <f t="shared" si="77"/>
        <v>0</v>
      </c>
      <c r="AA260" s="2">
        <v>30</v>
      </c>
      <c r="AB260" s="2">
        <v>36</v>
      </c>
      <c r="AC260" s="2">
        <v>12</v>
      </c>
      <c r="AD260" s="2"/>
      <c r="AE260" s="2"/>
    </row>
    <row r="261" spans="1:31" hidden="1">
      <c r="A261" s="2" t="s">
        <v>549</v>
      </c>
      <c r="B261" s="2" t="b">
        <v>1</v>
      </c>
      <c r="C261" s="2"/>
      <c r="D261" s="2"/>
      <c r="E261" s="2" t="b">
        <f t="shared" si="70"/>
        <v>0</v>
      </c>
      <c r="F261" s="2"/>
      <c r="G261" s="2"/>
      <c r="H261" s="2" t="str">
        <f t="shared" si="81"/>
        <v>Blanc</v>
      </c>
      <c r="I261" s="2" t="str">
        <f t="shared" si="92"/>
        <v>-CW</v>
      </c>
      <c r="J261" s="2"/>
      <c r="K261" s="2" t="s">
        <v>513</v>
      </c>
      <c r="L261" s="2"/>
      <c r="M261" s="2" t="str">
        <f>IFERROR(VLOOKUP(K261,Categories!$A$2:$C$41,3,FALSE()),"⚠ slug introuvable")</f>
        <v>Coin aveugle mural haut</v>
      </c>
      <c r="N261" s="2" t="s">
        <v>550</v>
      </c>
      <c r="O261" s="2"/>
      <c r="P261" s="2"/>
      <c r="Q261" s="11">
        <v>0</v>
      </c>
      <c r="R261" s="11">
        <f t="shared" si="93"/>
        <v>0</v>
      </c>
      <c r="S261" s="11">
        <f t="shared" si="94"/>
        <v>0</v>
      </c>
      <c r="T261" s="11">
        <f t="shared" si="95"/>
        <v>0</v>
      </c>
      <c r="U261" s="11">
        <f t="shared" si="91"/>
        <v>0</v>
      </c>
      <c r="V261" s="11">
        <f t="shared" si="91"/>
        <v>0</v>
      </c>
      <c r="W261" s="11">
        <f t="shared" si="96"/>
        <v>0</v>
      </c>
      <c r="X261" s="11">
        <f t="shared" si="97"/>
        <v>0</v>
      </c>
      <c r="Y261" s="14">
        <v>0.4</v>
      </c>
      <c r="Z261" s="11">
        <f t="shared" si="77"/>
        <v>0</v>
      </c>
      <c r="AA261" s="2">
        <v>33</v>
      </c>
      <c r="AB261" s="2">
        <v>36</v>
      </c>
      <c r="AC261" s="2">
        <v>12</v>
      </c>
      <c r="AD261" s="2"/>
      <c r="AE261" s="2"/>
    </row>
    <row r="262" spans="1:31" hidden="1">
      <c r="A262" s="2" t="s">
        <v>551</v>
      </c>
      <c r="B262" s="2" t="b">
        <v>1</v>
      </c>
      <c r="C262" s="2"/>
      <c r="D262" s="2"/>
      <c r="E262" s="2" t="b">
        <f t="shared" si="70"/>
        <v>0</v>
      </c>
      <c r="F262" s="2"/>
      <c r="G262" s="2"/>
      <c r="H262" s="2" t="str">
        <f t="shared" si="81"/>
        <v>Blanc</v>
      </c>
      <c r="I262" s="2" t="str">
        <f t="shared" si="92"/>
        <v>-CW</v>
      </c>
      <c r="J262" s="2"/>
      <c r="K262" s="2" t="s">
        <v>513</v>
      </c>
      <c r="L262" s="2"/>
      <c r="M262" s="2" t="str">
        <f>IFERROR(VLOOKUP(K262,Categories!$A$2:$C$41,3,FALSE()),"⚠ slug introuvable")</f>
        <v>Coin aveugle mural haut</v>
      </c>
      <c r="N262" s="2" t="s">
        <v>552</v>
      </c>
      <c r="O262" s="2"/>
      <c r="P262" s="2"/>
      <c r="Q262" s="11">
        <v>0</v>
      </c>
      <c r="R262" s="11">
        <f t="shared" si="93"/>
        <v>0</v>
      </c>
      <c r="S262" s="11">
        <f t="shared" si="94"/>
        <v>0</v>
      </c>
      <c r="T262" s="11">
        <f t="shared" si="95"/>
        <v>0</v>
      </c>
      <c r="U262" s="11">
        <f t="shared" si="91"/>
        <v>0</v>
      </c>
      <c r="V262" s="11">
        <f t="shared" si="91"/>
        <v>0</v>
      </c>
      <c r="W262" s="11">
        <f t="shared" si="96"/>
        <v>0</v>
      </c>
      <c r="X262" s="11">
        <f t="shared" si="97"/>
        <v>0</v>
      </c>
      <c r="Y262" s="14">
        <v>0.4</v>
      </c>
      <c r="Z262" s="11">
        <f t="shared" si="77"/>
        <v>0</v>
      </c>
      <c r="AA262" s="2">
        <v>36</v>
      </c>
      <c r="AB262" s="2">
        <v>36</v>
      </c>
      <c r="AC262" s="2">
        <v>12</v>
      </c>
      <c r="AD262" s="2"/>
      <c r="AE262" s="2"/>
    </row>
    <row r="263" spans="1:31">
      <c r="A263" s="2" t="s">
        <v>553</v>
      </c>
      <c r="B263" s="2"/>
      <c r="C263" s="2"/>
      <c r="D263" s="2"/>
      <c r="E263" s="2" t="b">
        <f t="shared" si="70"/>
        <v>1</v>
      </c>
      <c r="F263" s="2"/>
      <c r="G263" s="2" t="s">
        <v>507</v>
      </c>
      <c r="H263" s="2" t="str">
        <f t="shared" si="81"/>
        <v>Chêne blanc</v>
      </c>
      <c r="I263" s="2" t="str">
        <f t="shared" si="92"/>
        <v>DDBC25.75-36-WWO</v>
      </c>
      <c r="J263" s="2" t="s">
        <v>480</v>
      </c>
      <c r="K263" s="2" t="s">
        <v>481</v>
      </c>
      <c r="L263" s="2" t="str">
        <f>IFERROR(VLOOKUP(J263,Categories!$A$2:$C$41,3,FALSE()),"⚠ slug introuvable")</f>
        <v>Fillers, panneaux &amp; moulures</v>
      </c>
      <c r="M263" s="2" t="str">
        <f>IFERROR(VLOOKUP(K263,Categories!$A$2:$C$41,3,FALSE()),"⚠ slug introuvable")</f>
        <v>Fausse porte</v>
      </c>
      <c r="N263" s="2" t="s">
        <v>482</v>
      </c>
      <c r="O263" s="2" t="str">
        <f t="shared" ref="O263:O269" si="98">_xlfn.CONCAT(N263," (",AA263,""" x ",AB263,""")")</f>
        <v>Fausse porte pour armoire de cuisine du bas (25.75" x 36")</v>
      </c>
      <c r="P263" s="2" t="str">
        <f t="shared" ref="P263:P269" si="99">_xlfn.CONCAT("Fausse porte - Bas"," (",AA263,""" x ",AB263,""")")</f>
        <v>Fausse porte - Bas (25.75" x 36")</v>
      </c>
      <c r="Q263" s="11">
        <v>684.11</v>
      </c>
      <c r="R263" s="11">
        <f t="shared" si="93"/>
        <v>60.809777777777782</v>
      </c>
      <c r="S263" s="11">
        <f t="shared" si="94"/>
        <v>85.133688888888884</v>
      </c>
      <c r="T263" s="11">
        <f t="shared" si="95"/>
        <v>93.647057777777775</v>
      </c>
      <c r="U263" s="11">
        <f t="shared" ref="U263:V282" si="100">T263*1.2</f>
        <v>112.37646933333333</v>
      </c>
      <c r="V263" s="11">
        <f t="shared" si="100"/>
        <v>134.85176319999999</v>
      </c>
      <c r="W263" s="11">
        <f t="shared" si="96"/>
        <v>148.33693952000002</v>
      </c>
      <c r="X263" s="11">
        <f t="shared" si="97"/>
        <v>148.33693952000002</v>
      </c>
      <c r="Y263" s="14">
        <v>0.4</v>
      </c>
      <c r="Z263" s="11">
        <f t="shared" si="77"/>
        <v>247.22823253333337</v>
      </c>
      <c r="AA263" s="2">
        <v>25.75</v>
      </c>
      <c r="AB263" s="2">
        <v>36</v>
      </c>
      <c r="AC263" s="2">
        <v>0.75</v>
      </c>
      <c r="AD263" s="2" t="s">
        <v>51</v>
      </c>
      <c r="AE263" s="2" t="s">
        <v>51</v>
      </c>
    </row>
    <row r="264" spans="1:31">
      <c r="A264" s="2" t="s">
        <v>554</v>
      </c>
      <c r="B264" s="2"/>
      <c r="C264" s="2"/>
      <c r="D264" s="2"/>
      <c r="E264" s="2" t="b">
        <f t="shared" si="70"/>
        <v>1</v>
      </c>
      <c r="F264" s="2"/>
      <c r="G264" s="2" t="s">
        <v>555</v>
      </c>
      <c r="H264" s="2" t="str">
        <f t="shared" si="81"/>
        <v>Blanc</v>
      </c>
      <c r="I264" s="2" t="str">
        <f t="shared" si="92"/>
        <v>DDBC27-30-CW</v>
      </c>
      <c r="J264" s="2" t="s">
        <v>480</v>
      </c>
      <c r="K264" s="2" t="s">
        <v>481</v>
      </c>
      <c r="L264" s="2" t="str">
        <f>IFERROR(VLOOKUP(J264,Categories!$A$2:$C$41,3,FALSE()),"⚠ slug introuvable")</f>
        <v>Fillers, panneaux &amp; moulures</v>
      </c>
      <c r="M264" s="2" t="str">
        <f>IFERROR(VLOOKUP(K264,Categories!$A$2:$C$41,3,FALSE()),"⚠ slug introuvable")</f>
        <v>Fausse porte</v>
      </c>
      <c r="N264" s="2" t="s">
        <v>482</v>
      </c>
      <c r="O264" s="2" t="str">
        <f t="shared" si="98"/>
        <v>Fausse porte pour armoire de cuisine du bas (27" x 30")</v>
      </c>
      <c r="P264" s="2" t="str">
        <f t="shared" si="99"/>
        <v>Fausse porte - Bas (27" x 30")</v>
      </c>
      <c r="Q264" s="11">
        <v>196</v>
      </c>
      <c r="R264" s="11">
        <f t="shared" si="93"/>
        <v>17.422222222222221</v>
      </c>
      <c r="S264" s="11">
        <f t="shared" si="94"/>
        <v>24.391111111111108</v>
      </c>
      <c r="T264" s="11">
        <f t="shared" si="95"/>
        <v>26.830222222222222</v>
      </c>
      <c r="U264" s="11">
        <f t="shared" si="100"/>
        <v>32.196266666666666</v>
      </c>
      <c r="V264" s="11">
        <f t="shared" si="100"/>
        <v>38.63552</v>
      </c>
      <c r="W264" s="11">
        <f t="shared" si="96"/>
        <v>42.499072000000005</v>
      </c>
      <c r="X264" s="11">
        <f t="shared" si="97"/>
        <v>42.499072000000005</v>
      </c>
      <c r="Y264" s="14">
        <v>0.4</v>
      </c>
      <c r="Z264" s="11">
        <f t="shared" si="77"/>
        <v>70.831786666666673</v>
      </c>
      <c r="AA264" s="2">
        <v>27</v>
      </c>
      <c r="AB264" s="2">
        <v>30</v>
      </c>
      <c r="AC264" s="2">
        <v>0.75</v>
      </c>
      <c r="AD264" s="2" t="s">
        <v>51</v>
      </c>
      <c r="AE264" s="2" t="s">
        <v>51</v>
      </c>
    </row>
    <row r="265" spans="1:31">
      <c r="A265" s="2" t="s">
        <v>556</v>
      </c>
      <c r="B265" s="2"/>
      <c r="C265" s="2"/>
      <c r="D265" s="2"/>
      <c r="E265" s="2" t="b">
        <f t="shared" si="70"/>
        <v>1</v>
      </c>
      <c r="F265" s="2"/>
      <c r="G265" s="2" t="s">
        <v>555</v>
      </c>
      <c r="H265" s="2" t="str">
        <f t="shared" si="81"/>
        <v>Chêne blanc</v>
      </c>
      <c r="I265" s="2" t="str">
        <f t="shared" si="92"/>
        <v>DDBC27-30-WWO</v>
      </c>
      <c r="J265" s="2" t="s">
        <v>480</v>
      </c>
      <c r="K265" s="2" t="s">
        <v>481</v>
      </c>
      <c r="L265" s="2" t="str">
        <f>IFERROR(VLOOKUP(J265,Categories!$A$2:$C$41,3,FALSE()),"⚠ slug introuvable")</f>
        <v>Fillers, panneaux &amp; moulures</v>
      </c>
      <c r="M265" s="2" t="str">
        <f>IFERROR(VLOOKUP(K265,Categories!$A$2:$C$41,3,FALSE()),"⚠ slug introuvable")</f>
        <v>Fausse porte</v>
      </c>
      <c r="N265" s="2" t="s">
        <v>482</v>
      </c>
      <c r="O265" s="2" t="str">
        <f t="shared" si="98"/>
        <v>Fausse porte pour armoire de cuisine du bas (27" x 30")</v>
      </c>
      <c r="P265" s="2" t="str">
        <f t="shared" si="99"/>
        <v>Fausse porte - Bas (27" x 30")</v>
      </c>
      <c r="Q265" s="11">
        <v>288</v>
      </c>
      <c r="R265" s="11">
        <f t="shared" si="93"/>
        <v>25.6</v>
      </c>
      <c r="S265" s="11">
        <f t="shared" si="94"/>
        <v>35.839999999999996</v>
      </c>
      <c r="T265" s="11">
        <f t="shared" si="95"/>
        <v>39.423999999999999</v>
      </c>
      <c r="U265" s="11">
        <f t="shared" si="100"/>
        <v>47.308799999999998</v>
      </c>
      <c r="V265" s="11">
        <f t="shared" si="100"/>
        <v>56.770559999999996</v>
      </c>
      <c r="W265" s="11">
        <f t="shared" si="96"/>
        <v>62.447616000000004</v>
      </c>
      <c r="X265" s="11">
        <f t="shared" si="97"/>
        <v>62.447616000000004</v>
      </c>
      <c r="Y265" s="14">
        <v>0.4</v>
      </c>
      <c r="Z265" s="11">
        <f t="shared" si="77"/>
        <v>104.07936000000001</v>
      </c>
      <c r="AA265" s="2">
        <v>27</v>
      </c>
      <c r="AB265" s="2">
        <v>30</v>
      </c>
      <c r="AC265" s="2">
        <v>0.75</v>
      </c>
      <c r="AD265" s="2" t="s">
        <v>51</v>
      </c>
      <c r="AE265" s="2" t="s">
        <v>51</v>
      </c>
    </row>
    <row r="266" spans="1:31">
      <c r="A266" s="2" t="s">
        <v>557</v>
      </c>
      <c r="B266" s="2"/>
      <c r="C266" s="2"/>
      <c r="D266" s="2"/>
      <c r="E266" s="2" t="b">
        <f t="shared" ref="E266:E325" si="101">IF(OR(B266=TRUE,C266=TRUE,D266=TRUE),FALSE,TRUE)</f>
        <v>1</v>
      </c>
      <c r="F266" s="2"/>
      <c r="G266" s="2" t="s">
        <v>558</v>
      </c>
      <c r="H266" s="2" t="str">
        <f t="shared" si="81"/>
        <v>Blanc</v>
      </c>
      <c r="I266" s="2" t="str">
        <f t="shared" si="92"/>
        <v>DDBC30-30-CW</v>
      </c>
      <c r="J266" s="2" t="s">
        <v>480</v>
      </c>
      <c r="K266" s="2" t="s">
        <v>481</v>
      </c>
      <c r="L266" s="2" t="str">
        <f>IFERROR(VLOOKUP(J266,Categories!$A$2:$C$41,3,FALSE()),"⚠ slug introuvable")</f>
        <v>Fillers, panneaux &amp; moulures</v>
      </c>
      <c r="M266" s="2" t="str">
        <f>IFERROR(VLOOKUP(K266,Categories!$A$2:$C$41,3,FALSE()),"⚠ slug introuvable")</f>
        <v>Fausse porte</v>
      </c>
      <c r="N266" s="2" t="s">
        <v>482</v>
      </c>
      <c r="O266" s="2" t="str">
        <f t="shared" si="98"/>
        <v>Fausse porte pour armoire de cuisine du bas (30" x 30")</v>
      </c>
      <c r="P266" s="2" t="str">
        <f t="shared" si="99"/>
        <v>Fausse porte - Bas (30" x 30")</v>
      </c>
      <c r="Q266" s="11">
        <v>226</v>
      </c>
      <c r="R266" s="11">
        <f t="shared" si="93"/>
        <v>20.088888888888889</v>
      </c>
      <c r="S266" s="11">
        <f t="shared" si="94"/>
        <v>28.124444444444443</v>
      </c>
      <c r="T266" s="11">
        <f t="shared" si="95"/>
        <v>30.936888888888891</v>
      </c>
      <c r="U266" s="11">
        <f t="shared" si="100"/>
        <v>37.124266666666671</v>
      </c>
      <c r="V266" s="11">
        <f t="shared" si="100"/>
        <v>44.549120000000002</v>
      </c>
      <c r="W266" s="11">
        <f t="shared" si="96"/>
        <v>49.004032000000009</v>
      </c>
      <c r="X266" s="11">
        <f t="shared" si="97"/>
        <v>49.004032000000009</v>
      </c>
      <c r="Y266" s="14">
        <v>0.4</v>
      </c>
      <c r="Z266" s="11">
        <f t="shared" ref="Z266:Z325" si="102">X266/(1-Y266)</f>
        <v>81.673386666666687</v>
      </c>
      <c r="AA266" s="2">
        <v>30</v>
      </c>
      <c r="AB266" s="2">
        <v>30</v>
      </c>
      <c r="AC266" s="2">
        <v>0.75</v>
      </c>
      <c r="AD266" s="2" t="s">
        <v>51</v>
      </c>
      <c r="AE266" s="2" t="s">
        <v>51</v>
      </c>
    </row>
    <row r="267" spans="1:31">
      <c r="A267" s="2" t="s">
        <v>559</v>
      </c>
      <c r="B267" s="2"/>
      <c r="C267" s="2"/>
      <c r="D267" s="2"/>
      <c r="E267" s="2" t="b">
        <f t="shared" si="101"/>
        <v>1</v>
      </c>
      <c r="F267" s="2"/>
      <c r="G267" s="2" t="s">
        <v>558</v>
      </c>
      <c r="H267" s="2" t="str">
        <f t="shared" si="81"/>
        <v>Chêne blanc</v>
      </c>
      <c r="I267" s="2" t="str">
        <f t="shared" si="92"/>
        <v>DDBC30-30-WWO</v>
      </c>
      <c r="J267" s="2" t="s">
        <v>480</v>
      </c>
      <c r="K267" s="2" t="s">
        <v>481</v>
      </c>
      <c r="L267" s="2" t="str">
        <f>IFERROR(VLOOKUP(J267,Categories!$A$2:$C$41,3,FALSE()),"⚠ slug introuvable")</f>
        <v>Fillers, panneaux &amp; moulures</v>
      </c>
      <c r="M267" s="2" t="str">
        <f>IFERROR(VLOOKUP(K267,Categories!$A$2:$C$41,3,FALSE()),"⚠ slug introuvable")</f>
        <v>Fausse porte</v>
      </c>
      <c r="N267" s="2" t="s">
        <v>482</v>
      </c>
      <c r="O267" s="2" t="str">
        <f t="shared" si="98"/>
        <v>Fausse porte pour armoire de cuisine du bas (30" x 30")</v>
      </c>
      <c r="P267" s="2" t="str">
        <f t="shared" si="99"/>
        <v>Fausse porte - Bas (30" x 30")</v>
      </c>
      <c r="Q267" s="11">
        <v>335</v>
      </c>
      <c r="R267" s="11">
        <f t="shared" si="93"/>
        <v>29.777777777777779</v>
      </c>
      <c r="S267" s="11">
        <f t="shared" si="94"/>
        <v>41.68888888888889</v>
      </c>
      <c r="T267" s="11">
        <f t="shared" si="95"/>
        <v>45.857777777777784</v>
      </c>
      <c r="U267" s="11">
        <f t="shared" si="100"/>
        <v>55.029333333333341</v>
      </c>
      <c r="V267" s="11">
        <f t="shared" si="100"/>
        <v>66.035200000000003</v>
      </c>
      <c r="W267" s="11">
        <f t="shared" si="96"/>
        <v>72.638720000000006</v>
      </c>
      <c r="X267" s="11">
        <f t="shared" si="97"/>
        <v>72.638720000000006</v>
      </c>
      <c r="Y267" s="14">
        <v>0.4</v>
      </c>
      <c r="Z267" s="11">
        <f t="shared" si="102"/>
        <v>121.06453333333334</v>
      </c>
      <c r="AA267" s="2">
        <v>30</v>
      </c>
      <c r="AB267" s="2">
        <v>30</v>
      </c>
      <c r="AC267" s="2">
        <v>0.75</v>
      </c>
      <c r="AD267" s="2" t="s">
        <v>51</v>
      </c>
      <c r="AE267" s="2" t="s">
        <v>51</v>
      </c>
    </row>
    <row r="268" spans="1:31">
      <c r="A268" s="2" t="s">
        <v>560</v>
      </c>
      <c r="B268" s="2"/>
      <c r="C268" s="2"/>
      <c r="D268" s="2"/>
      <c r="E268" s="2" t="b">
        <f t="shared" si="101"/>
        <v>1</v>
      </c>
      <c r="F268" s="2"/>
      <c r="G268" s="2" t="s">
        <v>561</v>
      </c>
      <c r="H268" s="2" t="str">
        <f t="shared" si="81"/>
        <v>Blanc</v>
      </c>
      <c r="I268" s="2" t="str">
        <f t="shared" si="92"/>
        <v>DDBC33-30-CW</v>
      </c>
      <c r="J268" s="2" t="s">
        <v>480</v>
      </c>
      <c r="K268" s="2" t="s">
        <v>481</v>
      </c>
      <c r="L268" s="2" t="str">
        <f>IFERROR(VLOOKUP(J268,Categories!$A$2:$C$41,3,FALSE()),"⚠ slug introuvable")</f>
        <v>Fillers, panneaux &amp; moulures</v>
      </c>
      <c r="M268" s="2" t="str">
        <f>IFERROR(VLOOKUP(K268,Categories!$A$2:$C$41,3,FALSE()),"⚠ slug introuvable")</f>
        <v>Fausse porte</v>
      </c>
      <c r="N268" s="2" t="s">
        <v>482</v>
      </c>
      <c r="O268" s="2" t="str">
        <f t="shared" si="98"/>
        <v>Fausse porte pour armoire de cuisine du bas (33" x 30")</v>
      </c>
      <c r="P268" s="2" t="str">
        <f t="shared" si="99"/>
        <v>Fausse porte - Bas (33" x 30")</v>
      </c>
      <c r="Q268" s="11">
        <v>255</v>
      </c>
      <c r="R268" s="11">
        <f t="shared" si="93"/>
        <v>22.666666666666668</v>
      </c>
      <c r="S268" s="11">
        <f t="shared" si="94"/>
        <v>31.733333333333334</v>
      </c>
      <c r="T268" s="11">
        <f t="shared" si="95"/>
        <v>34.906666666666673</v>
      </c>
      <c r="U268" s="11">
        <f t="shared" si="100"/>
        <v>41.888000000000005</v>
      </c>
      <c r="V268" s="11">
        <f t="shared" si="100"/>
        <v>50.265600000000006</v>
      </c>
      <c r="W268" s="11">
        <f t="shared" si="96"/>
        <v>55.29216000000001</v>
      </c>
      <c r="X268" s="11">
        <f t="shared" si="97"/>
        <v>55.29216000000001</v>
      </c>
      <c r="Y268" s="14">
        <v>0.4</v>
      </c>
      <c r="Z268" s="11">
        <f t="shared" si="102"/>
        <v>92.153600000000026</v>
      </c>
      <c r="AA268" s="2">
        <v>33</v>
      </c>
      <c r="AB268" s="2">
        <v>30</v>
      </c>
      <c r="AC268" s="2">
        <v>0.75</v>
      </c>
      <c r="AD268" s="2" t="s">
        <v>51</v>
      </c>
      <c r="AE268" s="2" t="s">
        <v>51</v>
      </c>
    </row>
    <row r="269" spans="1:31">
      <c r="A269" s="2" t="s">
        <v>562</v>
      </c>
      <c r="B269" s="2"/>
      <c r="C269" s="2"/>
      <c r="D269" s="2"/>
      <c r="E269" s="2" t="b">
        <f t="shared" si="101"/>
        <v>1</v>
      </c>
      <c r="F269" s="2"/>
      <c r="G269" s="2" t="s">
        <v>561</v>
      </c>
      <c r="H269" s="2" t="str">
        <f t="shared" si="81"/>
        <v>Chêne blanc</v>
      </c>
      <c r="I269" s="2" t="str">
        <f t="shared" si="92"/>
        <v>DDBC33-30-WWO</v>
      </c>
      <c r="J269" s="2" t="s">
        <v>480</v>
      </c>
      <c r="K269" s="2" t="s">
        <v>481</v>
      </c>
      <c r="L269" s="2" t="str">
        <f>IFERROR(VLOOKUP(J269,Categories!$A$2:$C$41,3,FALSE()),"⚠ slug introuvable")</f>
        <v>Fillers, panneaux &amp; moulures</v>
      </c>
      <c r="M269" s="2" t="str">
        <f>IFERROR(VLOOKUP(K269,Categories!$A$2:$C$41,3,FALSE()),"⚠ slug introuvable")</f>
        <v>Fausse porte</v>
      </c>
      <c r="N269" s="2" t="s">
        <v>482</v>
      </c>
      <c r="O269" s="2" t="str">
        <f t="shared" si="98"/>
        <v>Fausse porte pour armoire de cuisine du bas (33" x 30")</v>
      </c>
      <c r="P269" s="2" t="str">
        <f t="shared" si="99"/>
        <v>Fausse porte - Bas (33" x 30")</v>
      </c>
      <c r="Q269" s="11">
        <v>386</v>
      </c>
      <c r="R269" s="11">
        <f t="shared" si="93"/>
        <v>34.31111111111111</v>
      </c>
      <c r="S269" s="11">
        <f t="shared" si="94"/>
        <v>48.035555555555554</v>
      </c>
      <c r="T269" s="11">
        <f t="shared" si="95"/>
        <v>52.839111111111116</v>
      </c>
      <c r="U269" s="11">
        <f t="shared" si="100"/>
        <v>63.406933333333335</v>
      </c>
      <c r="V269" s="11">
        <f t="shared" si="100"/>
        <v>76.088319999999996</v>
      </c>
      <c r="W269" s="11">
        <f t="shared" si="96"/>
        <v>83.697152000000003</v>
      </c>
      <c r="X269" s="11">
        <f t="shared" si="97"/>
        <v>83.697152000000003</v>
      </c>
      <c r="Y269" s="14">
        <v>0.4</v>
      </c>
      <c r="Z269" s="11">
        <f t="shared" si="102"/>
        <v>139.49525333333335</v>
      </c>
      <c r="AA269" s="2">
        <v>33</v>
      </c>
      <c r="AB269" s="2">
        <v>30</v>
      </c>
      <c r="AC269" s="2">
        <v>0.75</v>
      </c>
      <c r="AD269" s="2" t="s">
        <v>51</v>
      </c>
      <c r="AE269" s="2" t="s">
        <v>51</v>
      </c>
    </row>
    <row r="270" spans="1:31" hidden="1">
      <c r="A270" s="2" t="s">
        <v>563</v>
      </c>
      <c r="B270" s="2" t="b">
        <v>1</v>
      </c>
      <c r="C270" s="2"/>
      <c r="D270" s="2"/>
      <c r="E270" s="2" t="b">
        <f t="shared" si="101"/>
        <v>0</v>
      </c>
      <c r="F270" s="2"/>
      <c r="G270" s="2"/>
      <c r="H270" s="2" t="str">
        <f t="shared" si="81"/>
        <v>Blanc</v>
      </c>
      <c r="I270" s="2" t="str">
        <f t="shared" si="92"/>
        <v>-CW</v>
      </c>
      <c r="J270" s="2"/>
      <c r="K270" s="2" t="s">
        <v>564</v>
      </c>
      <c r="L270" s="2"/>
      <c r="M270" s="2" t="str">
        <f>IFERROR(VLOOKUP(K270,Categories!$A$2:$C$41,3,FALSE()),"⚠ slug introuvable")</f>
        <v>⚠ slug introuvable</v>
      </c>
      <c r="N270" s="2" t="s">
        <v>565</v>
      </c>
      <c r="O270" s="2"/>
      <c r="P270" s="2"/>
      <c r="Q270" s="11"/>
      <c r="R270" s="11">
        <f t="shared" si="93"/>
        <v>0</v>
      </c>
      <c r="S270" s="11">
        <f t="shared" si="94"/>
        <v>0</v>
      </c>
      <c r="T270" s="11">
        <f t="shared" si="95"/>
        <v>0</v>
      </c>
      <c r="U270" s="11">
        <f t="shared" si="100"/>
        <v>0</v>
      </c>
      <c r="V270" s="11">
        <f t="shared" si="100"/>
        <v>0</v>
      </c>
      <c r="W270" s="11">
        <f t="shared" si="96"/>
        <v>0</v>
      </c>
      <c r="X270" s="11">
        <f t="shared" si="97"/>
        <v>0</v>
      </c>
      <c r="Y270" s="14">
        <v>0.4</v>
      </c>
      <c r="Z270" s="11">
        <f t="shared" si="102"/>
        <v>0</v>
      </c>
      <c r="AA270" s="2">
        <v>24</v>
      </c>
      <c r="AB270" s="2">
        <v>36</v>
      </c>
      <c r="AC270" s="2">
        <v>12</v>
      </c>
      <c r="AD270" s="2">
        <v>2</v>
      </c>
      <c r="AE270" s="2">
        <v>0</v>
      </c>
    </row>
    <row r="271" spans="1:31">
      <c r="A271" s="2" t="s">
        <v>566</v>
      </c>
      <c r="B271" s="2"/>
      <c r="C271" s="2"/>
      <c r="D271" s="2"/>
      <c r="E271" s="2" t="b">
        <f t="shared" si="101"/>
        <v>1</v>
      </c>
      <c r="F271" s="2"/>
      <c r="G271" s="2" t="s">
        <v>567</v>
      </c>
      <c r="H271" s="2" t="str">
        <f t="shared" si="81"/>
        <v>Blanc</v>
      </c>
      <c r="I271" s="2" t="str">
        <f t="shared" si="92"/>
        <v>DDBC37.5-36-CW</v>
      </c>
      <c r="J271" s="2" t="s">
        <v>480</v>
      </c>
      <c r="K271" s="2" t="s">
        <v>481</v>
      </c>
      <c r="L271" s="2" t="str">
        <f>IFERROR(VLOOKUP(J271,Categories!$A$2:$C$41,3,FALSE()),"⚠ slug introuvable")</f>
        <v>Fillers, panneaux &amp; moulures</v>
      </c>
      <c r="M271" s="2" t="str">
        <f>IFERROR(VLOOKUP(K271,Categories!$A$2:$C$41,3,FALSE()),"⚠ slug introuvable")</f>
        <v>Fausse porte</v>
      </c>
      <c r="N271" s="2" t="s">
        <v>482</v>
      </c>
      <c r="O271" s="2" t="str">
        <f t="shared" ref="O271:O277" si="103">_xlfn.CONCAT(N271," (",AA271,""" x ",AB271,""")")</f>
        <v>Fausse porte pour armoire de cuisine du bas (37.5" x 36")</v>
      </c>
      <c r="P271" s="2" t="str">
        <f>_xlfn.CONCAT("Fausse porte - Bas"," (",AA271,""" x ",AB271,""")")</f>
        <v>Fausse porte - Bas (37.5" x 36")</v>
      </c>
      <c r="Q271" s="11">
        <v>511</v>
      </c>
      <c r="R271" s="11">
        <f t="shared" si="93"/>
        <v>45.422222222222224</v>
      </c>
      <c r="S271" s="11">
        <f t="shared" si="94"/>
        <v>63.591111111111111</v>
      </c>
      <c r="T271" s="11">
        <f t="shared" si="95"/>
        <v>69.950222222222223</v>
      </c>
      <c r="U271" s="11">
        <f t="shared" si="100"/>
        <v>83.940266666666659</v>
      </c>
      <c r="V271" s="11">
        <f t="shared" si="100"/>
        <v>100.72831999999998</v>
      </c>
      <c r="W271" s="11">
        <f t="shared" si="96"/>
        <v>110.80115199999999</v>
      </c>
      <c r="X271" s="11">
        <f t="shared" si="97"/>
        <v>110.80115199999999</v>
      </c>
      <c r="Y271" s="14">
        <v>0.4</v>
      </c>
      <c r="Z271" s="11">
        <f t="shared" si="102"/>
        <v>184.66858666666664</v>
      </c>
      <c r="AA271" s="2">
        <v>37.5</v>
      </c>
      <c r="AB271" s="2">
        <v>36</v>
      </c>
      <c r="AC271" s="2">
        <v>0.75</v>
      </c>
      <c r="AD271" s="2" t="s">
        <v>51</v>
      </c>
      <c r="AE271" s="2" t="s">
        <v>51</v>
      </c>
    </row>
    <row r="272" spans="1:31">
      <c r="A272" s="2" t="s">
        <v>568</v>
      </c>
      <c r="B272" s="2"/>
      <c r="C272" s="2"/>
      <c r="D272" s="2"/>
      <c r="E272" s="2" t="b">
        <f t="shared" si="101"/>
        <v>1</v>
      </c>
      <c r="F272" s="2"/>
      <c r="G272" s="2" t="s">
        <v>567</v>
      </c>
      <c r="H272" s="2" t="str">
        <f t="shared" si="81"/>
        <v>Chêne blanc</v>
      </c>
      <c r="I272" s="2" t="str">
        <f t="shared" si="92"/>
        <v>DDBC37.5-36-WWO</v>
      </c>
      <c r="J272" s="2" t="s">
        <v>480</v>
      </c>
      <c r="K272" s="2" t="s">
        <v>481</v>
      </c>
      <c r="L272" s="2" t="str">
        <f>IFERROR(VLOOKUP(J272,Categories!$A$2:$C$41,3,FALSE()),"⚠ slug introuvable")</f>
        <v>Fillers, panneaux &amp; moulures</v>
      </c>
      <c r="M272" s="2" t="str">
        <f>IFERROR(VLOOKUP(K272,Categories!$A$2:$C$41,3,FALSE()),"⚠ slug introuvable")</f>
        <v>Fausse porte</v>
      </c>
      <c r="N272" s="2" t="s">
        <v>482</v>
      </c>
      <c r="O272" s="2" t="str">
        <f t="shared" si="103"/>
        <v>Fausse porte pour armoire de cuisine du bas (37.5" x 36")</v>
      </c>
      <c r="P272" s="2" t="str">
        <f>_xlfn.CONCAT("Fausse porte - Bas"," (",AA272,""" x ",AB272,""")")</f>
        <v>Fausse porte - Bas (37.5" x 36")</v>
      </c>
      <c r="Q272" s="11">
        <v>920.48</v>
      </c>
      <c r="R272" s="11">
        <f t="shared" si="93"/>
        <v>81.820444444444448</v>
      </c>
      <c r="S272" s="11">
        <f t="shared" si="94"/>
        <v>114.54862222222222</v>
      </c>
      <c r="T272" s="11">
        <f t="shared" si="95"/>
        <v>126.00348444444445</v>
      </c>
      <c r="U272" s="11">
        <f t="shared" si="100"/>
        <v>151.20418133333334</v>
      </c>
      <c r="V272" s="11">
        <f t="shared" si="100"/>
        <v>181.4450176</v>
      </c>
      <c r="W272" s="11">
        <f t="shared" si="96"/>
        <v>199.58951936000003</v>
      </c>
      <c r="X272" s="11">
        <f t="shared" si="97"/>
        <v>199.58951936000003</v>
      </c>
      <c r="Y272" s="14">
        <v>0.4</v>
      </c>
      <c r="Z272" s="11">
        <f t="shared" si="102"/>
        <v>332.64919893333337</v>
      </c>
      <c r="AA272" s="2">
        <v>37.5</v>
      </c>
      <c r="AB272" s="2">
        <v>36</v>
      </c>
      <c r="AC272" s="2">
        <v>0.75</v>
      </c>
      <c r="AD272" s="2" t="s">
        <v>51</v>
      </c>
      <c r="AE272" s="2" t="s">
        <v>51</v>
      </c>
    </row>
    <row r="273" spans="1:31">
      <c r="A273" s="2" t="s">
        <v>569</v>
      </c>
      <c r="B273" s="2"/>
      <c r="C273" s="2"/>
      <c r="D273" s="2"/>
      <c r="E273" s="2" t="b">
        <f t="shared" si="101"/>
        <v>1</v>
      </c>
      <c r="F273" s="2"/>
      <c r="G273" s="2" t="s">
        <v>570</v>
      </c>
      <c r="H273" s="2" t="str">
        <f t="shared" si="81"/>
        <v>Blanc</v>
      </c>
      <c r="I273" s="2" t="str">
        <f t="shared" si="92"/>
        <v>DDBC49.75-36-CW</v>
      </c>
      <c r="J273" s="2" t="s">
        <v>480</v>
      </c>
      <c r="K273" s="2" t="s">
        <v>481</v>
      </c>
      <c r="L273" s="2" t="str">
        <f>IFERROR(VLOOKUP(J273,Categories!$A$2:$C$41,3,FALSE()),"⚠ slug introuvable")</f>
        <v>Fillers, panneaux &amp; moulures</v>
      </c>
      <c r="M273" s="2" t="str">
        <f>IFERROR(VLOOKUP(K273,Categories!$A$2:$C$41,3,FALSE()),"⚠ slug introuvable")</f>
        <v>Fausse porte</v>
      </c>
      <c r="N273" s="2" t="s">
        <v>482</v>
      </c>
      <c r="O273" s="2" t="str">
        <f t="shared" si="103"/>
        <v>Fausse porte pour armoire de cuisine du bas (49.75" x 36")</v>
      </c>
      <c r="P273" s="2" t="str">
        <f>_xlfn.CONCAT("Fausse porte - Bas"," (",AA273,""" x ",AB273,""")")</f>
        <v>Fausse porte - Bas (49.75" x 36")</v>
      </c>
      <c r="Q273" s="11">
        <v>474</v>
      </c>
      <c r="R273" s="11">
        <f t="shared" si="93"/>
        <v>42.133333333333333</v>
      </c>
      <c r="S273" s="11">
        <f t="shared" si="94"/>
        <v>58.986666666666665</v>
      </c>
      <c r="T273" s="11">
        <f t="shared" si="95"/>
        <v>64.885333333333335</v>
      </c>
      <c r="U273" s="11">
        <f t="shared" si="100"/>
        <v>77.862399999999994</v>
      </c>
      <c r="V273" s="11">
        <f t="shared" si="100"/>
        <v>93.434879999999993</v>
      </c>
      <c r="W273" s="11">
        <f t="shared" si="96"/>
        <v>102.778368</v>
      </c>
      <c r="X273" s="11">
        <f t="shared" si="97"/>
        <v>102.778368</v>
      </c>
      <c r="Y273" s="14">
        <v>0.4</v>
      </c>
      <c r="Z273" s="11">
        <f t="shared" si="102"/>
        <v>171.29728</v>
      </c>
      <c r="AA273" s="2">
        <v>49.75</v>
      </c>
      <c r="AB273" s="2">
        <v>36</v>
      </c>
      <c r="AC273" s="2">
        <v>0.75</v>
      </c>
      <c r="AD273" s="2" t="s">
        <v>51</v>
      </c>
      <c r="AE273" s="2" t="s">
        <v>51</v>
      </c>
    </row>
    <row r="274" spans="1:31">
      <c r="A274" s="2" t="s">
        <v>571</v>
      </c>
      <c r="B274" s="2"/>
      <c r="C274" s="2"/>
      <c r="D274" s="2"/>
      <c r="E274" s="2" t="b">
        <f t="shared" si="101"/>
        <v>1</v>
      </c>
      <c r="F274" s="2"/>
      <c r="G274" s="2" t="s">
        <v>570</v>
      </c>
      <c r="H274" s="2" t="str">
        <f t="shared" si="81"/>
        <v>Chêne blanc</v>
      </c>
      <c r="I274" s="2" t="str">
        <f t="shared" si="92"/>
        <v>DDBC49.75-36-WWO</v>
      </c>
      <c r="J274" s="2" t="s">
        <v>480</v>
      </c>
      <c r="K274" s="2" t="s">
        <v>481</v>
      </c>
      <c r="L274" s="2" t="str">
        <f>IFERROR(VLOOKUP(J274,Categories!$A$2:$C$41,3,FALSE()),"⚠ slug introuvable")</f>
        <v>Fillers, panneaux &amp; moulures</v>
      </c>
      <c r="M274" s="2" t="str">
        <f>IFERROR(VLOOKUP(K274,Categories!$A$2:$C$41,3,FALSE()),"⚠ slug introuvable")</f>
        <v>Fausse porte</v>
      </c>
      <c r="N274" s="2" t="s">
        <v>482</v>
      </c>
      <c r="O274" s="2" t="str">
        <f t="shared" si="103"/>
        <v>Fausse porte pour armoire de cuisine du bas (49.75" x 36")</v>
      </c>
      <c r="P274" s="2" t="str">
        <f>_xlfn.CONCAT("Fausse porte - Bas"," (",AA274,""" x ",AB274,""")")</f>
        <v>Fausse porte - Bas (49.75" x 36")</v>
      </c>
      <c r="Q274" s="11">
        <v>1153.69</v>
      </c>
      <c r="R274" s="11">
        <f t="shared" si="93"/>
        <v>102.55022222222223</v>
      </c>
      <c r="S274" s="11">
        <f t="shared" si="94"/>
        <v>143.57031111111112</v>
      </c>
      <c r="T274" s="11">
        <f t="shared" si="95"/>
        <v>157.92734222222225</v>
      </c>
      <c r="U274" s="11">
        <f t="shared" si="100"/>
        <v>189.5128106666667</v>
      </c>
      <c r="V274" s="11">
        <f t="shared" si="100"/>
        <v>227.41537280000003</v>
      </c>
      <c r="W274" s="11">
        <f t="shared" si="96"/>
        <v>250.15691008000005</v>
      </c>
      <c r="X274" s="11">
        <f t="shared" si="97"/>
        <v>250.15691008000005</v>
      </c>
      <c r="Y274" s="14">
        <v>0.4</v>
      </c>
      <c r="Z274" s="11">
        <f t="shared" si="102"/>
        <v>416.92818346666678</v>
      </c>
      <c r="AA274" s="2">
        <v>49.75</v>
      </c>
      <c r="AB274" s="2">
        <v>36</v>
      </c>
      <c r="AC274" s="2">
        <v>0.75</v>
      </c>
      <c r="AD274" s="2" t="s">
        <v>51</v>
      </c>
      <c r="AE274" s="2" t="s">
        <v>51</v>
      </c>
    </row>
    <row r="275" spans="1:31">
      <c r="A275" s="2" t="s">
        <v>572</v>
      </c>
      <c r="B275" s="2"/>
      <c r="C275" s="2"/>
      <c r="D275" s="2"/>
      <c r="E275" s="2" t="b">
        <f t="shared" si="101"/>
        <v>1</v>
      </c>
      <c r="F275" s="2"/>
      <c r="G275" s="2" t="s">
        <v>573</v>
      </c>
      <c r="H275" s="2" t="str">
        <f t="shared" si="81"/>
        <v>Blanc</v>
      </c>
      <c r="I275" s="2" t="str">
        <f t="shared" si="92"/>
        <v>CM2.5-120-CW</v>
      </c>
      <c r="J275" s="2" t="str">
        <f>IFERROR(VLOOKUP(K275,Categories!$A$2:$C$41,2,FALSE()),"⚠ slug introuvable")</f>
        <v>fillers-panels-moldings</v>
      </c>
      <c r="K275" s="2" t="s">
        <v>114</v>
      </c>
      <c r="L275" s="2" t="str">
        <f>IFERROR(VLOOKUP(J275,Categories!$A$2:$C$41,3,FALSE()),"⚠ slug introuvable")</f>
        <v>Fillers, panneaux &amp; moulures</v>
      </c>
      <c r="M275" s="2" t="str">
        <f>IFERROR(VLOOKUP(K275,Categories!$A$2:$C$41,3,FALSE()),"⚠ slug introuvable")</f>
        <v>Moulures</v>
      </c>
      <c r="N275" s="2" t="s">
        <v>574</v>
      </c>
      <c r="O275" s="2" t="str">
        <f t="shared" si="103"/>
        <v>Moulure de couronne pour armoires de cuisine (2.5" x 120")</v>
      </c>
      <c r="P275" s="2" t="str">
        <f>_xlfn.CONCAT("Moulure de couronne"," (",AA275,""" x ",AB275,""")")</f>
        <v>Moulure de couronne (2.5" x 120")</v>
      </c>
      <c r="Q275" s="11">
        <v>217</v>
      </c>
      <c r="R275" s="11">
        <f t="shared" si="93"/>
        <v>19.288888888888888</v>
      </c>
      <c r="S275" s="11">
        <f t="shared" si="94"/>
        <v>27.004444444444442</v>
      </c>
      <c r="T275" s="11">
        <f t="shared" si="95"/>
        <v>29.704888888888888</v>
      </c>
      <c r="U275" s="11">
        <f t="shared" si="100"/>
        <v>35.645866666666663</v>
      </c>
      <c r="V275" s="11">
        <f t="shared" si="100"/>
        <v>42.775039999999997</v>
      </c>
      <c r="W275" s="11">
        <f t="shared" si="96"/>
        <v>47.052543999999997</v>
      </c>
      <c r="X275" s="11">
        <f t="shared" si="97"/>
        <v>47.052543999999997</v>
      </c>
      <c r="Y275" s="14">
        <v>0.4</v>
      </c>
      <c r="Z275" s="11">
        <f t="shared" si="102"/>
        <v>78.420906666666667</v>
      </c>
      <c r="AA275" s="2">
        <v>2.5</v>
      </c>
      <c r="AB275" s="2">
        <v>120</v>
      </c>
      <c r="AC275" s="2">
        <v>0.75</v>
      </c>
      <c r="AD275" s="2" t="s">
        <v>51</v>
      </c>
      <c r="AE275" s="2" t="s">
        <v>51</v>
      </c>
    </row>
    <row r="276" spans="1:31">
      <c r="A276" s="2" t="s">
        <v>575</v>
      </c>
      <c r="B276" s="2"/>
      <c r="C276" s="2"/>
      <c r="D276" s="2"/>
      <c r="E276" s="2" t="b">
        <f t="shared" si="101"/>
        <v>1</v>
      </c>
      <c r="F276" s="2"/>
      <c r="G276" s="2" t="s">
        <v>576</v>
      </c>
      <c r="H276" s="2" t="str">
        <f t="shared" si="81"/>
        <v>Blanc</v>
      </c>
      <c r="I276" s="2" t="str">
        <f t="shared" si="92"/>
        <v>CM2.5-126-CW</v>
      </c>
      <c r="J276" s="2" t="str">
        <f>IFERROR(VLOOKUP(K276,Categories!$A$2:$C$41,2,FALSE()),"⚠ slug introuvable")</f>
        <v>fillers-panels-moldings</v>
      </c>
      <c r="K276" s="2" t="s">
        <v>114</v>
      </c>
      <c r="L276" s="2" t="str">
        <f>IFERROR(VLOOKUP(J276,Categories!$A$2:$C$41,3,FALSE()),"⚠ slug introuvable")</f>
        <v>Fillers, panneaux &amp; moulures</v>
      </c>
      <c r="M276" s="2" t="str">
        <f>IFERROR(VLOOKUP(K276,Categories!$A$2:$C$41,3,FALSE()),"⚠ slug introuvable")</f>
        <v>Moulures</v>
      </c>
      <c r="N276" s="2" t="s">
        <v>574</v>
      </c>
      <c r="O276" s="2" t="str">
        <f t="shared" si="103"/>
        <v>Moulure de couronne pour armoires de cuisine (2.5" x 126")</v>
      </c>
      <c r="P276" s="2" t="str">
        <f>_xlfn.CONCAT("Moulure de couronne"," (",AA276,""" x ",AB276,""")")</f>
        <v>Moulure de couronne (2.5" x 126")</v>
      </c>
      <c r="Q276" s="11">
        <v>242</v>
      </c>
      <c r="R276" s="11">
        <f t="shared" si="93"/>
        <v>21.511111111111113</v>
      </c>
      <c r="S276" s="11">
        <f t="shared" si="94"/>
        <v>30.115555555555556</v>
      </c>
      <c r="T276" s="11">
        <f t="shared" si="95"/>
        <v>33.127111111111113</v>
      </c>
      <c r="U276" s="11">
        <f t="shared" si="100"/>
        <v>39.752533333333332</v>
      </c>
      <c r="V276" s="11">
        <f t="shared" si="100"/>
        <v>47.703039999999994</v>
      </c>
      <c r="W276" s="11">
        <f t="shared" si="96"/>
        <v>52.473343999999997</v>
      </c>
      <c r="X276" s="11">
        <f t="shared" si="97"/>
        <v>52.473343999999997</v>
      </c>
      <c r="Y276" s="14">
        <v>0.4</v>
      </c>
      <c r="Z276" s="11">
        <f t="shared" si="102"/>
        <v>87.455573333333334</v>
      </c>
      <c r="AA276" s="2">
        <v>2.5</v>
      </c>
      <c r="AB276" s="2">
        <v>126</v>
      </c>
      <c r="AC276" s="2">
        <v>0.75</v>
      </c>
      <c r="AD276" s="2" t="s">
        <v>51</v>
      </c>
      <c r="AE276" s="2" t="s">
        <v>51</v>
      </c>
    </row>
    <row r="277" spans="1:31">
      <c r="A277" s="2" t="s">
        <v>577</v>
      </c>
      <c r="B277" s="2"/>
      <c r="C277" s="2"/>
      <c r="D277" s="2"/>
      <c r="E277" s="2" t="b">
        <f t="shared" si="101"/>
        <v>1</v>
      </c>
      <c r="F277" s="2"/>
      <c r="G277" s="2" t="s">
        <v>578</v>
      </c>
      <c r="H277" s="2" t="str">
        <f t="shared" ref="H277:H324" si="104">IF(ISNUMBER(SEARCH("muf",A277)),"Chêne blanc","Blanc")</f>
        <v>Blanc</v>
      </c>
      <c r="I277" s="2" t="str">
        <f t="shared" si="92"/>
        <v>CM2.5-96-CW</v>
      </c>
      <c r="J277" s="2" t="str">
        <f>IFERROR(VLOOKUP(K277,Categories!$A$2:$C$41,2,FALSE()),"⚠ slug introuvable")</f>
        <v>fillers-panels-moldings</v>
      </c>
      <c r="K277" s="2" t="s">
        <v>114</v>
      </c>
      <c r="L277" s="2" t="str">
        <f>IFERROR(VLOOKUP(J277,Categories!$A$2:$C$41,3,FALSE()),"⚠ slug introuvable")</f>
        <v>Fillers, panneaux &amp; moulures</v>
      </c>
      <c r="M277" s="2" t="str">
        <f>IFERROR(VLOOKUP(K277,Categories!$A$2:$C$41,3,FALSE()),"⚠ slug introuvable")</f>
        <v>Moulures</v>
      </c>
      <c r="N277" s="2" t="s">
        <v>574</v>
      </c>
      <c r="O277" s="2" t="str">
        <f t="shared" si="103"/>
        <v>Moulure de couronne pour armoires de cuisine (2.5" x 96")</v>
      </c>
      <c r="P277" s="2" t="str">
        <f>_xlfn.CONCAT("Moulure de couronne"," (",AA277,""" x ",AB277,""")")</f>
        <v>Moulure de couronne (2.5" x 96")</v>
      </c>
      <c r="Q277" s="11">
        <v>148</v>
      </c>
      <c r="R277" s="11">
        <f t="shared" si="93"/>
        <v>13.155555555555555</v>
      </c>
      <c r="S277" s="11">
        <f t="shared" si="94"/>
        <v>18.417777777777776</v>
      </c>
      <c r="T277" s="11">
        <f t="shared" si="95"/>
        <v>20.259555555555554</v>
      </c>
      <c r="U277" s="11">
        <f t="shared" si="100"/>
        <v>24.311466666666664</v>
      </c>
      <c r="V277" s="11">
        <f t="shared" si="100"/>
        <v>29.173759999999994</v>
      </c>
      <c r="W277" s="11">
        <f t="shared" si="96"/>
        <v>32.091135999999999</v>
      </c>
      <c r="X277" s="11">
        <f t="shared" si="97"/>
        <v>32.091135999999999</v>
      </c>
      <c r="Y277" s="14">
        <v>0.4</v>
      </c>
      <c r="Z277" s="11">
        <f t="shared" si="102"/>
        <v>53.485226666666669</v>
      </c>
      <c r="AA277" s="2">
        <v>2.5</v>
      </c>
      <c r="AB277" s="2">
        <v>96</v>
      </c>
      <c r="AC277" s="2">
        <v>0.75</v>
      </c>
      <c r="AD277" s="2" t="s">
        <v>51</v>
      </c>
      <c r="AE277" s="2" t="s">
        <v>51</v>
      </c>
    </row>
    <row r="278" spans="1:31">
      <c r="A278" s="2" t="s">
        <v>579</v>
      </c>
      <c r="B278" s="2"/>
      <c r="C278" s="2"/>
      <c r="D278" s="2"/>
      <c r="E278" s="2" t="b">
        <f t="shared" si="101"/>
        <v>1</v>
      </c>
      <c r="F278" s="2"/>
      <c r="G278" s="2" t="s">
        <v>580</v>
      </c>
      <c r="H278" s="2" t="str">
        <f t="shared" si="104"/>
        <v>Blanc</v>
      </c>
      <c r="I278" s="2" t="str">
        <f t="shared" si="92"/>
        <v>DWP-CW</v>
      </c>
      <c r="J278" s="2" t="str">
        <f>IFERROR(VLOOKUP(K278,Categories!$A$2:$C$41,2,FALSE()),"⚠ slug introuvable")</f>
        <v>fillers-panels-moldings</v>
      </c>
      <c r="K278" s="2" t="s">
        <v>581</v>
      </c>
      <c r="L278" s="2" t="str">
        <f>IFERROR(VLOOKUP(J278,Categories!$A$2:$C$41,3,FALSE()),"⚠ slug introuvable")</f>
        <v>Fillers, panneaux &amp; moulures</v>
      </c>
      <c r="M278" s="2" t="str">
        <f>IFERROR(VLOOKUP(K278,Categories!$A$2:$C$41,3,FALSE()),"⚠ slug introuvable")</f>
        <v>Panneau latéral pour électros</v>
      </c>
      <c r="N278" s="2" t="s">
        <v>582</v>
      </c>
      <c r="O278" s="2" t="s">
        <v>582</v>
      </c>
      <c r="P278" s="2" t="str">
        <f>_xlfn.CONCAT("Lave-vaisselle"," (",AB278,""" x ",AC278,""")")</f>
        <v>Lave-vaisselle (34.5" x 24")</v>
      </c>
      <c r="Q278" s="11">
        <v>152</v>
      </c>
      <c r="R278" s="11">
        <f t="shared" si="93"/>
        <v>13.511111111111111</v>
      </c>
      <c r="S278" s="11">
        <f t="shared" si="94"/>
        <v>18.915555555555553</v>
      </c>
      <c r="T278" s="11">
        <f t="shared" si="95"/>
        <v>20.807111111111109</v>
      </c>
      <c r="U278" s="11">
        <f t="shared" si="100"/>
        <v>24.96853333333333</v>
      </c>
      <c r="V278" s="11">
        <f t="shared" si="100"/>
        <v>29.962239999999994</v>
      </c>
      <c r="W278" s="11">
        <f t="shared" si="96"/>
        <v>32.958463999999999</v>
      </c>
      <c r="X278" s="11">
        <f t="shared" si="97"/>
        <v>32.958463999999999</v>
      </c>
      <c r="Y278" s="14">
        <v>0.4</v>
      </c>
      <c r="Z278" s="11">
        <f t="shared" si="102"/>
        <v>54.930773333333335</v>
      </c>
      <c r="AA278" s="2">
        <v>3</v>
      </c>
      <c r="AB278" s="2">
        <v>34.5</v>
      </c>
      <c r="AC278" s="2">
        <v>24</v>
      </c>
      <c r="AD278" s="2" t="s">
        <v>51</v>
      </c>
      <c r="AE278" s="2" t="s">
        <v>51</v>
      </c>
    </row>
    <row r="279" spans="1:31">
      <c r="A279" s="2" t="s">
        <v>583</v>
      </c>
      <c r="B279" s="2"/>
      <c r="C279" s="2"/>
      <c r="D279" s="2"/>
      <c r="E279" s="2" t="b">
        <f t="shared" si="101"/>
        <v>1</v>
      </c>
      <c r="F279" s="2"/>
      <c r="G279" s="2" t="s">
        <v>580</v>
      </c>
      <c r="H279" s="2" t="str">
        <f t="shared" si="104"/>
        <v>Chêne blanc</v>
      </c>
      <c r="I279" s="2" t="str">
        <f t="shared" si="92"/>
        <v>DWP-WWO</v>
      </c>
      <c r="J279" s="2" t="str">
        <f>IFERROR(VLOOKUP(K279,Categories!$A$2:$C$41,2,FALSE()),"⚠ slug introuvable")</f>
        <v>fillers-panels-moldings</v>
      </c>
      <c r="K279" s="2" t="s">
        <v>581</v>
      </c>
      <c r="L279" s="2" t="str">
        <f>IFERROR(VLOOKUP(J279,Categories!$A$2:$C$41,3,FALSE()),"⚠ slug introuvable")</f>
        <v>Fillers, panneaux &amp; moulures</v>
      </c>
      <c r="M279" s="2" t="str">
        <f>IFERROR(VLOOKUP(K279,Categories!$A$2:$C$41,3,FALSE()),"⚠ slug introuvable")</f>
        <v>Panneau latéral pour électros</v>
      </c>
      <c r="N279" s="2" t="s">
        <v>582</v>
      </c>
      <c r="O279" s="2" t="s">
        <v>582</v>
      </c>
      <c r="P279" s="2" t="str">
        <f>_xlfn.CONCAT("Lave-vaisselle"," (",AB279,""" x ",AC279,""")")</f>
        <v>Lave-vaisselle (34.5" x 24")</v>
      </c>
      <c r="Q279" s="11">
        <v>417.83</v>
      </c>
      <c r="R279" s="11">
        <f t="shared" si="93"/>
        <v>37.140444444444441</v>
      </c>
      <c r="S279" s="11">
        <f t="shared" si="94"/>
        <v>51.996622222222214</v>
      </c>
      <c r="T279" s="11">
        <f t="shared" si="95"/>
        <v>57.196284444444437</v>
      </c>
      <c r="U279" s="11">
        <f t="shared" si="100"/>
        <v>68.635541333333322</v>
      </c>
      <c r="V279" s="11">
        <f t="shared" si="100"/>
        <v>82.362649599999983</v>
      </c>
      <c r="W279" s="11">
        <f t="shared" si="96"/>
        <v>90.598914559999983</v>
      </c>
      <c r="X279" s="11">
        <f t="shared" si="97"/>
        <v>90.598914559999983</v>
      </c>
      <c r="Y279" s="14">
        <v>0.4</v>
      </c>
      <c r="Z279" s="11">
        <f t="shared" si="102"/>
        <v>150.99819093333332</v>
      </c>
      <c r="AA279" s="2">
        <v>3</v>
      </c>
      <c r="AB279" s="2">
        <v>34.5</v>
      </c>
      <c r="AC279" s="2">
        <v>24</v>
      </c>
      <c r="AD279" s="2" t="s">
        <v>51</v>
      </c>
      <c r="AE279" s="2" t="s">
        <v>51</v>
      </c>
    </row>
    <row r="280" spans="1:31">
      <c r="A280" s="2" t="s">
        <v>584</v>
      </c>
      <c r="B280" s="2"/>
      <c r="C280" s="2"/>
      <c r="D280" s="2"/>
      <c r="E280" s="2" t="b">
        <f t="shared" si="101"/>
        <v>1</v>
      </c>
      <c r="F280" s="2"/>
      <c r="G280" s="2" t="s">
        <v>585</v>
      </c>
      <c r="H280" s="2" t="str">
        <f t="shared" si="104"/>
        <v>Blanc</v>
      </c>
      <c r="I280" s="2" t="str">
        <f t="shared" si="92"/>
        <v>IBP9618-CW</v>
      </c>
      <c r="J280" s="2" t="str">
        <f>IFERROR(VLOOKUP(K280,Categories!$A$2:$C$41,2,FALSE()),"⚠ slug introuvable")</f>
        <v>fillers-panels-moldings</v>
      </c>
      <c r="K280" s="2" t="s">
        <v>586</v>
      </c>
      <c r="L280" s="2" t="str">
        <f>IFERROR(VLOOKUP(J280,Categories!$A$2:$C$41,3,FALSE()),"⚠ slug introuvable")</f>
        <v>Fillers, panneaux &amp; moulures</v>
      </c>
      <c r="M280" s="2" t="str">
        <f>IFERROR(VLOOKUP(K280,Categories!$A$2:$C$41,3,FALSE()),"⚠ slug introuvable")</f>
        <v>Panneau arrière d'îlot</v>
      </c>
      <c r="N280" s="2" t="s">
        <v>587</v>
      </c>
      <c r="O280" s="2" t="str">
        <f t="shared" ref="O280:O286" si="105">_xlfn.CONCAT(N280," (",AA280,""" x ",AB280,""")")</f>
        <v>Panneau arrière d'îlot (96" x 18")</v>
      </c>
      <c r="P280" s="2" t="str">
        <f t="shared" ref="P280:P286" si="106">_xlfn.CONCAT(N280," (",AA280,""" x ",AB280,""")")</f>
        <v>Panneau arrière d'îlot (96" x 18")</v>
      </c>
      <c r="Q280" s="11">
        <v>431</v>
      </c>
      <c r="R280" s="11">
        <f t="shared" si="93"/>
        <v>38.31111111111111</v>
      </c>
      <c r="S280" s="11">
        <f t="shared" si="94"/>
        <v>53.635555555555548</v>
      </c>
      <c r="T280" s="11">
        <f t="shared" si="95"/>
        <v>58.999111111111105</v>
      </c>
      <c r="U280" s="11">
        <f t="shared" si="100"/>
        <v>70.798933333333324</v>
      </c>
      <c r="V280" s="11">
        <f t="shared" si="100"/>
        <v>84.958719999999985</v>
      </c>
      <c r="W280" s="11">
        <f t="shared" si="96"/>
        <v>93.454591999999991</v>
      </c>
      <c r="X280" s="11">
        <f t="shared" si="97"/>
        <v>93.454591999999991</v>
      </c>
      <c r="Y280" s="14">
        <v>0.4</v>
      </c>
      <c r="Z280" s="11">
        <f t="shared" si="102"/>
        <v>155.75765333333334</v>
      </c>
      <c r="AA280" s="2">
        <v>96</v>
      </c>
      <c r="AB280" s="2">
        <v>18</v>
      </c>
      <c r="AC280" s="2">
        <v>0.75</v>
      </c>
      <c r="AD280" s="2" t="s">
        <v>51</v>
      </c>
      <c r="AE280" s="2" t="s">
        <v>51</v>
      </c>
    </row>
    <row r="281" spans="1:31">
      <c r="A281" s="2" t="s">
        <v>588</v>
      </c>
      <c r="B281" s="2"/>
      <c r="C281" s="2"/>
      <c r="D281" s="2"/>
      <c r="E281" s="2" t="b">
        <f t="shared" si="101"/>
        <v>1</v>
      </c>
      <c r="F281" s="2"/>
      <c r="G281" s="2" t="s">
        <v>589</v>
      </c>
      <c r="H281" s="2" t="str">
        <f t="shared" si="104"/>
        <v>Blanc</v>
      </c>
      <c r="I281" s="2" t="str">
        <f t="shared" si="92"/>
        <v>IBP9636-CW</v>
      </c>
      <c r="J281" s="2" t="str">
        <f>IFERROR(VLOOKUP(K281,Categories!$A$2:$C$41,2,FALSE()),"⚠ slug introuvable")</f>
        <v>fillers-panels-moldings</v>
      </c>
      <c r="K281" s="2" t="s">
        <v>586</v>
      </c>
      <c r="L281" s="2" t="str">
        <f>IFERROR(VLOOKUP(J281,Categories!$A$2:$C$41,3,FALSE()),"⚠ slug introuvable")</f>
        <v>Fillers, panneaux &amp; moulures</v>
      </c>
      <c r="M281" s="2" t="str">
        <f>IFERROR(VLOOKUP(K281,Categories!$A$2:$C$41,3,FALSE()),"⚠ slug introuvable")</f>
        <v>Panneau arrière d'îlot</v>
      </c>
      <c r="N281" s="2" t="s">
        <v>587</v>
      </c>
      <c r="O281" s="2" t="str">
        <f t="shared" si="105"/>
        <v>Panneau arrière d'îlot (96" x 36")</v>
      </c>
      <c r="P281" s="2" t="str">
        <f t="shared" si="106"/>
        <v>Panneau arrière d'îlot (96" x 36")</v>
      </c>
      <c r="Q281" s="11">
        <v>1213</v>
      </c>
      <c r="R281" s="11">
        <f t="shared" si="93"/>
        <v>107.82222222222222</v>
      </c>
      <c r="S281" s="11">
        <f t="shared" si="94"/>
        <v>150.95111111111109</v>
      </c>
      <c r="T281" s="11">
        <f t="shared" si="95"/>
        <v>166.04622222222221</v>
      </c>
      <c r="U281" s="11">
        <f t="shared" si="100"/>
        <v>199.25546666666665</v>
      </c>
      <c r="V281" s="11">
        <f t="shared" si="100"/>
        <v>239.10655999999997</v>
      </c>
      <c r="W281" s="11">
        <f t="shared" si="96"/>
        <v>263.01721600000002</v>
      </c>
      <c r="X281" s="11">
        <f t="shared" si="97"/>
        <v>263.01721600000002</v>
      </c>
      <c r="Y281" s="14">
        <v>0.4</v>
      </c>
      <c r="Z281" s="11">
        <f t="shared" si="102"/>
        <v>438.36202666666674</v>
      </c>
      <c r="AA281" s="2">
        <v>96</v>
      </c>
      <c r="AB281" s="2">
        <v>36</v>
      </c>
      <c r="AC281" s="2">
        <v>0.75</v>
      </c>
      <c r="AD281" s="2" t="s">
        <v>51</v>
      </c>
      <c r="AE281" s="2" t="s">
        <v>51</v>
      </c>
    </row>
    <row r="282" spans="1:31">
      <c r="A282" s="2" t="s">
        <v>590</v>
      </c>
      <c r="B282" s="2"/>
      <c r="C282" s="2"/>
      <c r="D282" s="2"/>
      <c r="E282" s="2" t="b">
        <f t="shared" si="101"/>
        <v>1</v>
      </c>
      <c r="F282" s="2"/>
      <c r="G282" s="2" t="s">
        <v>589</v>
      </c>
      <c r="H282" s="2" t="str">
        <f t="shared" si="104"/>
        <v>Chêne blanc</v>
      </c>
      <c r="I282" s="2" t="str">
        <f t="shared" si="92"/>
        <v>IBP9636-WWO</v>
      </c>
      <c r="J282" s="2" t="str">
        <f>IFERROR(VLOOKUP(K282,Categories!$A$2:$C$41,2,FALSE()),"⚠ slug introuvable")</f>
        <v>fillers-panels-moldings</v>
      </c>
      <c r="K282" s="2" t="s">
        <v>586</v>
      </c>
      <c r="L282" s="2" t="str">
        <f>IFERROR(VLOOKUP(J282,Categories!$A$2:$C$41,3,FALSE()),"⚠ slug introuvable")</f>
        <v>Fillers, panneaux &amp; moulures</v>
      </c>
      <c r="M282" s="2" t="str">
        <f>IFERROR(VLOOKUP(K282,Categories!$A$2:$C$41,3,FALSE()),"⚠ slug introuvable")</f>
        <v>Panneau arrière d'îlot</v>
      </c>
      <c r="N282" s="2" t="s">
        <v>587</v>
      </c>
      <c r="O282" s="2" t="str">
        <f t="shared" si="105"/>
        <v>Panneau arrière d'îlot (96" x 36")</v>
      </c>
      <c r="P282" s="2" t="str">
        <f t="shared" si="106"/>
        <v>Panneau arrière d'îlot (96" x 36")</v>
      </c>
      <c r="Q282" s="11">
        <v>1470.82</v>
      </c>
      <c r="R282" s="11">
        <f t="shared" si="93"/>
        <v>130.73955555555554</v>
      </c>
      <c r="S282" s="11">
        <f t="shared" si="94"/>
        <v>183.03537777777774</v>
      </c>
      <c r="T282" s="11">
        <f t="shared" si="95"/>
        <v>201.33891555555553</v>
      </c>
      <c r="U282" s="11">
        <f t="shared" si="100"/>
        <v>241.60669866666663</v>
      </c>
      <c r="V282" s="11">
        <f t="shared" si="100"/>
        <v>289.92803839999993</v>
      </c>
      <c r="W282" s="11">
        <f t="shared" si="96"/>
        <v>318.92084223999996</v>
      </c>
      <c r="X282" s="11">
        <f t="shared" si="97"/>
        <v>318.92084223999996</v>
      </c>
      <c r="Y282" s="14">
        <v>0.4</v>
      </c>
      <c r="Z282" s="11">
        <f t="shared" si="102"/>
        <v>531.53473706666659</v>
      </c>
      <c r="AA282" s="2">
        <v>96</v>
      </c>
      <c r="AB282" s="2">
        <v>36</v>
      </c>
      <c r="AC282" s="2">
        <v>0.75</v>
      </c>
      <c r="AD282" s="2" t="s">
        <v>51</v>
      </c>
      <c r="AE282" s="2" t="s">
        <v>51</v>
      </c>
    </row>
    <row r="283" spans="1:31">
      <c r="A283" s="2" t="s">
        <v>591</v>
      </c>
      <c r="B283" s="2"/>
      <c r="C283" s="2"/>
      <c r="D283" s="2"/>
      <c r="E283" s="2" t="b">
        <f t="shared" si="101"/>
        <v>1</v>
      </c>
      <c r="F283" s="2"/>
      <c r="G283" s="2" t="s">
        <v>592</v>
      </c>
      <c r="H283" s="2" t="str">
        <f t="shared" si="104"/>
        <v>Blanc</v>
      </c>
      <c r="I283" s="2" t="str">
        <f t="shared" si="92"/>
        <v>ISP25.75-36-CW</v>
      </c>
      <c r="J283" s="2" t="str">
        <f>IFERROR(VLOOKUP(K283,Categories!$A$2:$C$41,2,FALSE()),"⚠ slug introuvable")</f>
        <v>fillers-panels-moldings</v>
      </c>
      <c r="K283" s="2" t="s">
        <v>593</v>
      </c>
      <c r="L283" s="2" t="str">
        <f>IFERROR(VLOOKUP(J283,Categories!$A$2:$C$41,3,FALSE()),"⚠ slug introuvable")</f>
        <v>Fillers, panneaux &amp; moulures</v>
      </c>
      <c r="M283" s="2" t="str">
        <f>IFERROR(VLOOKUP(K283,Categories!$A$2:$C$41,3,FALSE()),"⚠ slug introuvable")</f>
        <v>Panneau de côté d'îlot</v>
      </c>
      <c r="N283" s="2" t="s">
        <v>594</v>
      </c>
      <c r="O283" s="2" t="str">
        <f t="shared" si="105"/>
        <v>Panneau de côté d'îlot (25.75" x 36")</v>
      </c>
      <c r="P283" s="2" t="str">
        <f t="shared" si="106"/>
        <v>Panneau de côté d'îlot (25.75" x 36")</v>
      </c>
      <c r="Q283" s="11">
        <v>251</v>
      </c>
      <c r="R283" s="11">
        <f t="shared" si="93"/>
        <v>22.31111111111111</v>
      </c>
      <c r="S283" s="11">
        <f t="shared" si="94"/>
        <v>31.235555555555553</v>
      </c>
      <c r="T283" s="11">
        <f t="shared" si="95"/>
        <v>34.359111111111112</v>
      </c>
      <c r="U283" s="11">
        <f t="shared" ref="U283:V302" si="107">T283*1.2</f>
        <v>41.230933333333333</v>
      </c>
      <c r="V283" s="11">
        <f t="shared" si="107"/>
        <v>49.477119999999999</v>
      </c>
      <c r="W283" s="11">
        <f t="shared" si="96"/>
        <v>54.424832000000002</v>
      </c>
      <c r="X283" s="11">
        <f t="shared" si="97"/>
        <v>54.424832000000002</v>
      </c>
      <c r="Y283" s="14">
        <v>0.4</v>
      </c>
      <c r="Z283" s="11">
        <f t="shared" si="102"/>
        <v>90.708053333333339</v>
      </c>
      <c r="AA283" s="2">
        <v>25.75</v>
      </c>
      <c r="AB283" s="2">
        <v>36</v>
      </c>
      <c r="AC283" s="2">
        <v>0.75</v>
      </c>
      <c r="AD283" s="2" t="s">
        <v>51</v>
      </c>
      <c r="AE283" s="2" t="s">
        <v>51</v>
      </c>
    </row>
    <row r="284" spans="1:31">
      <c r="A284" s="2" t="s">
        <v>595</v>
      </c>
      <c r="B284" s="2"/>
      <c r="C284" s="2"/>
      <c r="D284" s="2"/>
      <c r="E284" s="2" t="b">
        <f t="shared" si="101"/>
        <v>1</v>
      </c>
      <c r="F284" s="2"/>
      <c r="G284" s="2" t="s">
        <v>596</v>
      </c>
      <c r="H284" s="2" t="str">
        <f t="shared" si="104"/>
        <v>Chêne blanc</v>
      </c>
      <c r="I284" s="2" t="str">
        <f t="shared" si="92"/>
        <v>ISP2436-WWO</v>
      </c>
      <c r="J284" s="2" t="str">
        <f>IFERROR(VLOOKUP(K284,Categories!$A$2:$C$41,2,FALSE()),"⚠ slug introuvable")</f>
        <v>fillers-panels-moldings</v>
      </c>
      <c r="K284" s="2" t="s">
        <v>593</v>
      </c>
      <c r="L284" s="2" t="str">
        <f>IFERROR(VLOOKUP(J284,Categories!$A$2:$C$41,3,FALSE()),"⚠ slug introuvable")</f>
        <v>Fillers, panneaux &amp; moulures</v>
      </c>
      <c r="M284" s="2" t="str">
        <f>IFERROR(VLOOKUP(K284,Categories!$A$2:$C$41,3,FALSE()),"⚠ slug introuvable")</f>
        <v>Panneau de côté d'îlot</v>
      </c>
      <c r="N284" s="2" t="s">
        <v>594</v>
      </c>
      <c r="O284" s="2" t="str">
        <f t="shared" si="105"/>
        <v>Panneau de côté d'îlot (24" x 36")</v>
      </c>
      <c r="P284" s="2" t="str">
        <f t="shared" si="106"/>
        <v>Panneau de côté d'îlot (24" x 36")</v>
      </c>
      <c r="Q284" s="11">
        <v>404</v>
      </c>
      <c r="R284" s="11">
        <f t="shared" si="93"/>
        <v>35.911111111111111</v>
      </c>
      <c r="S284" s="11">
        <f t="shared" si="94"/>
        <v>50.275555555555556</v>
      </c>
      <c r="T284" s="11">
        <f t="shared" si="95"/>
        <v>55.303111111111114</v>
      </c>
      <c r="U284" s="11">
        <f t="shared" si="107"/>
        <v>66.363733333333329</v>
      </c>
      <c r="V284" s="11">
        <f t="shared" si="107"/>
        <v>79.636479999999992</v>
      </c>
      <c r="W284" s="11">
        <f t="shared" si="96"/>
        <v>87.600127999999998</v>
      </c>
      <c r="X284" s="11">
        <f t="shared" si="97"/>
        <v>87.600127999999998</v>
      </c>
      <c r="Y284" s="14">
        <v>0.4</v>
      </c>
      <c r="Z284" s="11">
        <f t="shared" si="102"/>
        <v>146.00021333333333</v>
      </c>
      <c r="AA284" s="2">
        <v>24</v>
      </c>
      <c r="AB284" s="2">
        <v>36</v>
      </c>
      <c r="AC284" s="2">
        <v>0.75</v>
      </c>
      <c r="AD284" s="2" t="s">
        <v>51</v>
      </c>
      <c r="AE284" s="2" t="s">
        <v>51</v>
      </c>
    </row>
    <row r="285" spans="1:31">
      <c r="A285" s="2" t="s">
        <v>597</v>
      </c>
      <c r="B285" s="2"/>
      <c r="C285" s="2"/>
      <c r="D285" s="2"/>
      <c r="E285" s="2" t="b">
        <f t="shared" si="101"/>
        <v>1</v>
      </c>
      <c r="F285" s="2"/>
      <c r="G285" s="2" t="s">
        <v>598</v>
      </c>
      <c r="H285" s="2" t="str">
        <f t="shared" si="104"/>
        <v>Chêne blanc</v>
      </c>
      <c r="I285" s="2" t="str">
        <f t="shared" si="92"/>
        <v>ISP2536-WWO</v>
      </c>
      <c r="J285" s="2" t="str">
        <f>IFERROR(VLOOKUP(K285,Categories!$A$2:$C$41,2,FALSE()),"⚠ slug introuvable")</f>
        <v>fillers-panels-moldings</v>
      </c>
      <c r="K285" s="2" t="s">
        <v>593</v>
      </c>
      <c r="L285" s="2" t="str">
        <f>IFERROR(VLOOKUP(J285,Categories!$A$2:$C$41,3,FALSE()),"⚠ slug introuvable")</f>
        <v>Fillers, panneaux &amp; moulures</v>
      </c>
      <c r="M285" s="2" t="str">
        <f>IFERROR(VLOOKUP(K285,Categories!$A$2:$C$41,3,FALSE()),"⚠ slug introuvable")</f>
        <v>Panneau de côté d'îlot</v>
      </c>
      <c r="N285" s="2" t="s">
        <v>594</v>
      </c>
      <c r="O285" s="2" t="str">
        <f t="shared" si="105"/>
        <v>Panneau de côté d'îlot (25" x 36")</v>
      </c>
      <c r="P285" s="2" t="str">
        <f t="shared" si="106"/>
        <v>Panneau de côté d'îlot (25" x 36")</v>
      </c>
      <c r="Q285" s="11">
        <v>404</v>
      </c>
      <c r="R285" s="11">
        <f t="shared" si="93"/>
        <v>35.911111111111111</v>
      </c>
      <c r="S285" s="11">
        <f t="shared" si="94"/>
        <v>50.275555555555556</v>
      </c>
      <c r="T285" s="11">
        <f t="shared" si="95"/>
        <v>55.303111111111114</v>
      </c>
      <c r="U285" s="11">
        <f t="shared" si="107"/>
        <v>66.363733333333329</v>
      </c>
      <c r="V285" s="11">
        <f t="shared" si="107"/>
        <v>79.636479999999992</v>
      </c>
      <c r="W285" s="11">
        <f t="shared" si="96"/>
        <v>87.600127999999998</v>
      </c>
      <c r="X285" s="11">
        <f t="shared" si="97"/>
        <v>87.600127999999998</v>
      </c>
      <c r="Y285" s="14">
        <v>0.4</v>
      </c>
      <c r="Z285" s="11">
        <f t="shared" si="102"/>
        <v>146.00021333333333</v>
      </c>
      <c r="AA285" s="2">
        <v>25</v>
      </c>
      <c r="AB285" s="2">
        <v>36</v>
      </c>
      <c r="AC285" s="2">
        <v>0.75</v>
      </c>
      <c r="AD285" s="2" t="s">
        <v>51</v>
      </c>
      <c r="AE285" s="2" t="s">
        <v>51</v>
      </c>
    </row>
    <row r="286" spans="1:31">
      <c r="A286" s="2" t="s">
        <v>599</v>
      </c>
      <c r="B286" s="2"/>
      <c r="C286" s="2"/>
      <c r="D286" s="2"/>
      <c r="E286" s="2" t="b">
        <f t="shared" si="101"/>
        <v>1</v>
      </c>
      <c r="F286" s="2"/>
      <c r="G286" s="2" t="s">
        <v>600</v>
      </c>
      <c r="H286" s="2" t="str">
        <f t="shared" si="104"/>
        <v>Blanc</v>
      </c>
      <c r="I286" s="2" t="str">
        <f t="shared" si="92"/>
        <v>ISP37.75-36-CW</v>
      </c>
      <c r="J286" s="2" t="str">
        <f>IFERROR(VLOOKUP(K286,Categories!$A$2:$C$41,2,FALSE()),"⚠ slug introuvable")</f>
        <v>fillers-panels-moldings</v>
      </c>
      <c r="K286" s="2" t="s">
        <v>593</v>
      </c>
      <c r="L286" s="2" t="str">
        <f>IFERROR(VLOOKUP(J286,Categories!$A$2:$C$41,3,FALSE()),"⚠ slug introuvable")</f>
        <v>Fillers, panneaux &amp; moulures</v>
      </c>
      <c r="M286" s="2" t="str">
        <f>IFERROR(VLOOKUP(K286,Categories!$A$2:$C$41,3,FALSE()),"⚠ slug introuvable")</f>
        <v>Panneau de côté d'îlot</v>
      </c>
      <c r="N286" s="2" t="s">
        <v>594</v>
      </c>
      <c r="O286" s="2" t="str">
        <f t="shared" si="105"/>
        <v>Panneau de côté d'îlot (37.75" x 36")</v>
      </c>
      <c r="P286" s="2" t="str">
        <f t="shared" si="106"/>
        <v>Panneau de côté d'îlot (37.75" x 36")</v>
      </c>
      <c r="Q286" s="11">
        <v>359</v>
      </c>
      <c r="R286" s="11">
        <f t="shared" si="93"/>
        <v>31.911111111111111</v>
      </c>
      <c r="S286" s="11">
        <f t="shared" si="94"/>
        <v>44.675555555555555</v>
      </c>
      <c r="T286" s="11">
        <f t="shared" si="95"/>
        <v>49.143111111111111</v>
      </c>
      <c r="U286" s="11">
        <f t="shared" si="107"/>
        <v>58.971733333333333</v>
      </c>
      <c r="V286" s="11">
        <f t="shared" si="107"/>
        <v>70.766080000000002</v>
      </c>
      <c r="W286" s="11">
        <f t="shared" si="96"/>
        <v>77.84268800000001</v>
      </c>
      <c r="X286" s="11">
        <f t="shared" si="97"/>
        <v>77.84268800000001</v>
      </c>
      <c r="Y286" s="14">
        <v>0.4</v>
      </c>
      <c r="Z286" s="11">
        <f t="shared" si="102"/>
        <v>129.73781333333335</v>
      </c>
      <c r="AA286" s="2">
        <v>37.75</v>
      </c>
      <c r="AB286" s="2">
        <v>36</v>
      </c>
      <c r="AC286" s="2">
        <v>0.75</v>
      </c>
      <c r="AD286" s="2" t="s">
        <v>51</v>
      </c>
      <c r="AE286" s="2" t="s">
        <v>51</v>
      </c>
    </row>
    <row r="287" spans="1:31">
      <c r="A287" s="2" t="s">
        <v>601</v>
      </c>
      <c r="B287" s="2"/>
      <c r="C287" s="2"/>
      <c r="D287" s="2"/>
      <c r="E287" s="2" t="b">
        <f t="shared" si="101"/>
        <v>1</v>
      </c>
      <c r="F287" s="2"/>
      <c r="G287" s="2" t="s">
        <v>602</v>
      </c>
      <c r="H287" s="2" t="str">
        <f t="shared" si="104"/>
        <v>Blanc</v>
      </c>
      <c r="I287" s="2" t="str">
        <f t="shared" ref="I287:I318" si="108">_xlfn.CONCAT(G287,IF(H287="","",IF(H287="Blanc","-CW","-WWO")))</f>
        <v>RP103.5-27-0.75-CW</v>
      </c>
      <c r="J287" s="2" t="str">
        <f>IFERROR(VLOOKUP(K287,Categories!$A$2:$C$41,2,FALSE()),"⚠ slug introuvable")</f>
        <v>fillers-panels-moldings</v>
      </c>
      <c r="K287" s="2" t="s">
        <v>581</v>
      </c>
      <c r="L287" s="2" t="str">
        <f>IFERROR(VLOOKUP(J287,Categories!$A$2:$C$41,3,FALSE()),"⚠ slug introuvable")</f>
        <v>Fillers, panneaux &amp; moulures</v>
      </c>
      <c r="M287" s="2" t="str">
        <f>IFERROR(VLOOKUP(K287,Categories!$A$2:$C$41,3,FALSE()),"⚠ slug introuvable")</f>
        <v>Panneau latéral pour électros</v>
      </c>
      <c r="N287" s="2" t="s">
        <v>603</v>
      </c>
      <c r="O287" s="2" t="str">
        <f>_xlfn.CONCAT(N287," (",AB287,""" x ",AC287,""" x ",AA287,""")")</f>
        <v>Panneau latéral pour réfrigérateur (103.5" x 27" x 0.75")</v>
      </c>
      <c r="P287" s="2" t="str">
        <f>_xlfn.CONCAT("Réfrigérateur"," (",AB287,""" x ",AC287,""" x ",AA287,""")")</f>
        <v>Réfrigérateur (103.5" x 27" x 0.75")</v>
      </c>
      <c r="Q287" s="11">
        <v>710</v>
      </c>
      <c r="R287" s="11">
        <f t="shared" ref="R287:R318" si="109">Q287/11.25</f>
        <v>63.111111111111114</v>
      </c>
      <c r="S287" s="11">
        <f t="shared" ref="S287:S318" si="110">R287*1.4</f>
        <v>88.355555555555554</v>
      </c>
      <c r="T287" s="11">
        <f t="shared" ref="T287:T318" si="111">S287*1.1</f>
        <v>97.191111111111113</v>
      </c>
      <c r="U287" s="11">
        <f t="shared" si="107"/>
        <v>116.62933333333334</v>
      </c>
      <c r="V287" s="11">
        <f t="shared" si="107"/>
        <v>139.95519999999999</v>
      </c>
      <c r="W287" s="11">
        <f t="shared" ref="W287:W318" si="112">V287*1.1</f>
        <v>153.95071999999999</v>
      </c>
      <c r="X287" s="11">
        <f t="shared" ref="X287:X318" si="113">W287</f>
        <v>153.95071999999999</v>
      </c>
      <c r="Y287" s="14">
        <v>0.4</v>
      </c>
      <c r="Z287" s="11">
        <f t="shared" si="102"/>
        <v>256.58453333333335</v>
      </c>
      <c r="AA287" s="2">
        <v>0.75</v>
      </c>
      <c r="AB287" s="2">
        <v>103.5</v>
      </c>
      <c r="AC287" s="2">
        <v>27</v>
      </c>
      <c r="AD287" s="2" t="s">
        <v>51</v>
      </c>
      <c r="AE287" s="2" t="s">
        <v>51</v>
      </c>
    </row>
    <row r="288" spans="1:31">
      <c r="A288" s="2" t="s">
        <v>604</v>
      </c>
      <c r="B288" s="2"/>
      <c r="C288" s="2"/>
      <c r="D288" s="2"/>
      <c r="E288" s="2" t="b">
        <f t="shared" si="101"/>
        <v>1</v>
      </c>
      <c r="F288" s="2"/>
      <c r="G288" s="2" t="s">
        <v>605</v>
      </c>
      <c r="H288" s="2" t="str">
        <f t="shared" si="104"/>
        <v>Blanc</v>
      </c>
      <c r="I288" s="2" t="str">
        <f t="shared" si="108"/>
        <v>RP96-27-0.875-CW</v>
      </c>
      <c r="J288" s="2" t="str">
        <f>IFERROR(VLOOKUP(K288,Categories!$A$2:$C$41,2,FALSE()),"⚠ slug introuvable")</f>
        <v>fillers-panels-moldings</v>
      </c>
      <c r="K288" s="2" t="s">
        <v>581</v>
      </c>
      <c r="L288" s="2" t="str">
        <f>IFERROR(VLOOKUP(J288,Categories!$A$2:$C$41,3,FALSE()),"⚠ slug introuvable")</f>
        <v>Fillers, panneaux &amp; moulures</v>
      </c>
      <c r="M288" s="2" t="str">
        <f>IFERROR(VLOOKUP(K288,Categories!$A$2:$C$41,3,FALSE()),"⚠ slug introuvable")</f>
        <v>Panneau latéral pour électros</v>
      </c>
      <c r="N288" s="2" t="s">
        <v>603</v>
      </c>
      <c r="O288" s="2" t="str">
        <f>_xlfn.CONCAT(N288," (",AB288,""" x ",AC288,""" x ",AA288,""")")</f>
        <v>Panneau latéral pour réfrigérateur (96" x 27" x 0.875")</v>
      </c>
      <c r="P288" s="2" t="str">
        <f>_xlfn.CONCAT("Réfrigérateur"," (",AB288,""" x ",AC288,""" x ",AA288,""")")</f>
        <v>Réfrigérateur (96" x 27" x 0.875")</v>
      </c>
      <c r="Q288" s="11">
        <v>656</v>
      </c>
      <c r="R288" s="11">
        <f t="shared" si="109"/>
        <v>58.31111111111111</v>
      </c>
      <c r="S288" s="11">
        <f t="shared" si="110"/>
        <v>81.635555555555555</v>
      </c>
      <c r="T288" s="11">
        <f t="shared" si="111"/>
        <v>89.799111111111117</v>
      </c>
      <c r="U288" s="11">
        <f t="shared" si="107"/>
        <v>107.75893333333333</v>
      </c>
      <c r="V288" s="11">
        <f t="shared" si="107"/>
        <v>129.31072</v>
      </c>
      <c r="W288" s="11">
        <f t="shared" si="112"/>
        <v>142.241792</v>
      </c>
      <c r="X288" s="11">
        <f t="shared" si="113"/>
        <v>142.241792</v>
      </c>
      <c r="Y288" s="14">
        <v>0.4</v>
      </c>
      <c r="Z288" s="11">
        <f t="shared" si="102"/>
        <v>237.06965333333335</v>
      </c>
      <c r="AA288" s="2">
        <v>0.875</v>
      </c>
      <c r="AB288" s="2">
        <v>96</v>
      </c>
      <c r="AC288" s="2">
        <v>27</v>
      </c>
      <c r="AD288" s="2" t="s">
        <v>51</v>
      </c>
      <c r="AE288" s="2" t="s">
        <v>51</v>
      </c>
    </row>
    <row r="289" spans="1:31" hidden="1">
      <c r="A289" s="2" t="s">
        <v>606</v>
      </c>
      <c r="B289" s="2"/>
      <c r="C289" s="2" t="b">
        <v>1</v>
      </c>
      <c r="D289" s="2"/>
      <c r="E289" s="2" t="b">
        <f t="shared" si="101"/>
        <v>0</v>
      </c>
      <c r="F289" s="4" t="s">
        <v>607</v>
      </c>
      <c r="G289" s="2" t="s">
        <v>608</v>
      </c>
      <c r="H289" s="2" t="str">
        <f t="shared" si="104"/>
        <v>Chêne blanc</v>
      </c>
      <c r="I289" s="2" t="str">
        <f t="shared" si="108"/>
        <v>RP9625-WWO</v>
      </c>
      <c r="J289" s="2" t="str">
        <f>IFERROR(VLOOKUP(K289,Categories!$A$2:$C$41,2,FALSE()),"⚠ slug introuvable")</f>
        <v>fillers-panels-moldings</v>
      </c>
      <c r="K289" s="2" t="s">
        <v>581</v>
      </c>
      <c r="L289" s="2" t="str">
        <f>IFERROR(VLOOKUP(J289,Categories!$A$2:$C$41,3,FALSE()),"⚠ slug introuvable")</f>
        <v>Fillers, panneaux &amp; moulures</v>
      </c>
      <c r="M289" s="2" t="str">
        <f>IFERROR(VLOOKUP(K289,Categories!$A$2:$C$41,3,FALSE()),"⚠ slug introuvable")</f>
        <v>Panneau latéral pour électros</v>
      </c>
      <c r="N289" s="2" t="s">
        <v>603</v>
      </c>
      <c r="O289" s="2" t="str">
        <f>_xlfn.CONCAT(N289," (",AB289,""" x ",AC289,""" x ",AA289,""")")</f>
        <v>Panneau latéral pour réfrigérateur (" x " x ")</v>
      </c>
      <c r="P289" s="2" t="str">
        <f>_xlfn.CONCAT("Réfrigérateur"," (",AB289,""" x ",AC289,""" x ",AA289,""")")</f>
        <v>Réfrigérateur (" x " x ")</v>
      </c>
      <c r="Q289" s="11">
        <v>1067</v>
      </c>
      <c r="R289" s="11">
        <f t="shared" si="109"/>
        <v>94.844444444444449</v>
      </c>
      <c r="S289" s="11">
        <f t="shared" si="110"/>
        <v>132.78222222222223</v>
      </c>
      <c r="T289" s="11">
        <f t="shared" si="111"/>
        <v>146.06044444444447</v>
      </c>
      <c r="U289" s="11">
        <f t="shared" si="107"/>
        <v>175.27253333333337</v>
      </c>
      <c r="V289" s="11">
        <f t="shared" si="107"/>
        <v>210.32704000000004</v>
      </c>
      <c r="W289" s="11">
        <f t="shared" si="112"/>
        <v>231.35974400000006</v>
      </c>
      <c r="X289" s="11">
        <f t="shared" si="113"/>
        <v>231.35974400000006</v>
      </c>
      <c r="Y289" s="14">
        <v>0.4</v>
      </c>
      <c r="Z289" s="11">
        <f t="shared" si="102"/>
        <v>385.59957333333347</v>
      </c>
      <c r="AA289" s="4"/>
      <c r="AB289" s="4"/>
      <c r="AC289" s="4"/>
      <c r="AD289" s="2" t="s">
        <v>51</v>
      </c>
      <c r="AE289" s="2" t="s">
        <v>51</v>
      </c>
    </row>
    <row r="290" spans="1:31">
      <c r="A290" s="2" t="s">
        <v>609</v>
      </c>
      <c r="B290" s="2"/>
      <c r="C290" s="2"/>
      <c r="D290" s="2"/>
      <c r="E290" s="2" t="b">
        <f t="shared" si="101"/>
        <v>1</v>
      </c>
      <c r="F290" s="2"/>
      <c r="G290" s="2" t="s">
        <v>610</v>
      </c>
      <c r="H290" s="2" t="str">
        <f t="shared" si="104"/>
        <v>Blanc</v>
      </c>
      <c r="I290" s="2" t="str">
        <f t="shared" si="108"/>
        <v>TK-CW</v>
      </c>
      <c r="J290" s="2" t="str">
        <f>IFERROR(VLOOKUP(K290,Categories!$A$2:$C$41,2,FALSE()),"⚠ slug introuvable")</f>
        <v>fillers-panels-moldings</v>
      </c>
      <c r="K290" s="2" t="s">
        <v>611</v>
      </c>
      <c r="L290" s="2" t="str">
        <f>IFERROR(VLOOKUP(J290,Categories!$A$2:$C$41,3,FALSE()),"⚠ slug introuvable")</f>
        <v>Fillers, panneaux &amp; moulures</v>
      </c>
      <c r="M290" s="2" t="str">
        <f>IFERROR(VLOOKUP(K290,Categories!$A$2:$C$41,3,FALSE()),"⚠ slug introuvable")</f>
        <v>Panneaux</v>
      </c>
      <c r="N290" s="2" t="s">
        <v>612</v>
      </c>
      <c r="O290" s="2" t="s">
        <v>612</v>
      </c>
      <c r="P290" s="2" t="s">
        <v>612</v>
      </c>
      <c r="Q290" s="11">
        <v>42</v>
      </c>
      <c r="R290" s="11">
        <f t="shared" si="109"/>
        <v>3.7333333333333334</v>
      </c>
      <c r="S290" s="11">
        <f t="shared" si="110"/>
        <v>5.2266666666666666</v>
      </c>
      <c r="T290" s="11">
        <f t="shared" si="111"/>
        <v>5.7493333333333334</v>
      </c>
      <c r="U290" s="11">
        <f t="shared" si="107"/>
        <v>6.8991999999999996</v>
      </c>
      <c r="V290" s="11">
        <f t="shared" si="107"/>
        <v>8.2790399999999984</v>
      </c>
      <c r="W290" s="11">
        <f t="shared" si="112"/>
        <v>9.1069439999999986</v>
      </c>
      <c r="X290" s="11">
        <f t="shared" si="113"/>
        <v>9.1069439999999986</v>
      </c>
      <c r="Y290" s="14">
        <v>0.4</v>
      </c>
      <c r="Z290" s="11">
        <f t="shared" si="102"/>
        <v>15.178239999999999</v>
      </c>
      <c r="AA290" s="2">
        <v>4.5</v>
      </c>
      <c r="AB290" s="2">
        <v>96</v>
      </c>
      <c r="AC290" s="2">
        <v>0.25</v>
      </c>
      <c r="AD290" s="2" t="s">
        <v>51</v>
      </c>
      <c r="AE290" s="2" t="s">
        <v>51</v>
      </c>
    </row>
    <row r="291" spans="1:31">
      <c r="A291" s="2" t="s">
        <v>613</v>
      </c>
      <c r="B291" s="2"/>
      <c r="C291" s="2"/>
      <c r="D291" s="2"/>
      <c r="E291" s="2" t="b">
        <f t="shared" si="101"/>
        <v>1</v>
      </c>
      <c r="F291" s="2"/>
      <c r="G291" s="2" t="s">
        <v>610</v>
      </c>
      <c r="H291" s="2" t="str">
        <f t="shared" si="104"/>
        <v>Chêne blanc</v>
      </c>
      <c r="I291" s="2" t="str">
        <f t="shared" si="108"/>
        <v>TK-WWO</v>
      </c>
      <c r="J291" s="2" t="str">
        <f>IFERROR(VLOOKUP(K291,Categories!$A$2:$C$41,2,FALSE()),"⚠ slug introuvable")</f>
        <v>fillers-panels-moldings</v>
      </c>
      <c r="K291" s="2" t="s">
        <v>611</v>
      </c>
      <c r="L291" s="2" t="str">
        <f>IFERROR(VLOOKUP(J291,Categories!$A$2:$C$41,3,FALSE()),"⚠ slug introuvable")</f>
        <v>Fillers, panneaux &amp; moulures</v>
      </c>
      <c r="M291" s="2" t="str">
        <f>IFERROR(VLOOKUP(K291,Categories!$A$2:$C$41,3,FALSE()),"⚠ slug introuvable")</f>
        <v>Panneaux</v>
      </c>
      <c r="N291" s="2" t="s">
        <v>612</v>
      </c>
      <c r="O291" s="2" t="s">
        <v>612</v>
      </c>
      <c r="P291" s="2" t="s">
        <v>612</v>
      </c>
      <c r="Q291" s="11">
        <v>122.625</v>
      </c>
      <c r="R291" s="11">
        <f t="shared" si="109"/>
        <v>10.9</v>
      </c>
      <c r="S291" s="11">
        <f t="shared" si="110"/>
        <v>15.26</v>
      </c>
      <c r="T291" s="11">
        <f t="shared" si="111"/>
        <v>16.786000000000001</v>
      </c>
      <c r="U291" s="11">
        <f t="shared" si="107"/>
        <v>20.1432</v>
      </c>
      <c r="V291" s="11">
        <f t="shared" si="107"/>
        <v>24.17184</v>
      </c>
      <c r="W291" s="11">
        <f t="shared" si="112"/>
        <v>26.589024000000002</v>
      </c>
      <c r="X291" s="11">
        <f t="shared" si="113"/>
        <v>26.589024000000002</v>
      </c>
      <c r="Y291" s="14">
        <v>0.4</v>
      </c>
      <c r="Z291" s="11">
        <f t="shared" si="102"/>
        <v>44.315040000000003</v>
      </c>
      <c r="AA291" s="2">
        <v>4.5</v>
      </c>
      <c r="AB291" s="2">
        <v>96</v>
      </c>
      <c r="AC291" s="2">
        <v>0.25</v>
      </c>
      <c r="AD291" s="2" t="s">
        <v>51</v>
      </c>
      <c r="AE291" s="2" t="s">
        <v>51</v>
      </c>
    </row>
    <row r="292" spans="1:31">
      <c r="A292" s="2" t="s">
        <v>614</v>
      </c>
      <c r="B292" s="2"/>
      <c r="C292" s="2"/>
      <c r="D292" s="2"/>
      <c r="E292" s="2" t="b">
        <f t="shared" si="101"/>
        <v>1</v>
      </c>
      <c r="F292" s="2"/>
      <c r="G292" s="2" t="s">
        <v>615</v>
      </c>
      <c r="H292" s="2" t="str">
        <f t="shared" si="104"/>
        <v>Blanc</v>
      </c>
      <c r="I292" s="2" t="str">
        <f t="shared" si="108"/>
        <v>DDWC12.75-36-CW</v>
      </c>
      <c r="J292" s="2" t="s">
        <v>480</v>
      </c>
      <c r="K292" s="2" t="s">
        <v>481</v>
      </c>
      <c r="L292" s="2" t="str">
        <f>IFERROR(VLOOKUP(J292,Categories!$A$2:$C$41,3,FALSE()),"⚠ slug introuvable")</f>
        <v>Fillers, panneaux &amp; moulures</v>
      </c>
      <c r="M292" s="2" t="str">
        <f>IFERROR(VLOOKUP(K292,Categories!$A$2:$C$41,3,FALSE()),"⚠ slug introuvable")</f>
        <v>Fausse porte</v>
      </c>
      <c r="N292" s="2" t="s">
        <v>616</v>
      </c>
      <c r="O292" s="2" t="str">
        <f t="shared" ref="O292:O320" si="114">_xlfn.CONCAT(N292," (",AA292,""" x ",AB292,""")")</f>
        <v>Fausse porte pour armoire de cuisine du haut (12.75" x 36")</v>
      </c>
      <c r="P292" s="2" t="str">
        <f>_xlfn.CONCAT("Fausse porte - Haut"," (",AA292,""" x ",AB292,""")")</f>
        <v>Fausse porte - Haut (12.75" x 36")</v>
      </c>
      <c r="Q292" s="11">
        <v>179</v>
      </c>
      <c r="R292" s="11">
        <f t="shared" si="109"/>
        <v>15.911111111111111</v>
      </c>
      <c r="S292" s="11">
        <f t="shared" si="110"/>
        <v>22.275555555555556</v>
      </c>
      <c r="T292" s="11">
        <f t="shared" si="111"/>
        <v>24.503111111111114</v>
      </c>
      <c r="U292" s="11">
        <f t="shared" si="107"/>
        <v>29.403733333333335</v>
      </c>
      <c r="V292" s="11">
        <f t="shared" si="107"/>
        <v>35.284480000000002</v>
      </c>
      <c r="W292" s="11">
        <f t="shared" si="112"/>
        <v>38.812928000000007</v>
      </c>
      <c r="X292" s="11">
        <f t="shared" si="113"/>
        <v>38.812928000000007</v>
      </c>
      <c r="Y292" s="14">
        <v>0.4</v>
      </c>
      <c r="Z292" s="11">
        <f t="shared" si="102"/>
        <v>64.688213333333351</v>
      </c>
      <c r="AA292" s="2">
        <v>12.75</v>
      </c>
      <c r="AB292" s="2">
        <v>36</v>
      </c>
      <c r="AC292" s="2">
        <v>0.75</v>
      </c>
      <c r="AD292" s="2" t="s">
        <v>51</v>
      </c>
      <c r="AE292" s="2" t="s">
        <v>51</v>
      </c>
    </row>
    <row r="293" spans="1:31">
      <c r="A293" s="2" t="s">
        <v>617</v>
      </c>
      <c r="B293" s="2"/>
      <c r="C293" s="2"/>
      <c r="D293" s="2"/>
      <c r="E293" s="2" t="b">
        <f t="shared" si="101"/>
        <v>1</v>
      </c>
      <c r="F293" s="2"/>
      <c r="G293" s="2" t="s">
        <v>618</v>
      </c>
      <c r="H293" s="2" t="str">
        <f t="shared" si="104"/>
        <v>Blanc</v>
      </c>
      <c r="I293" s="2" t="str">
        <f t="shared" si="108"/>
        <v>DDWC12.75-48-CW</v>
      </c>
      <c r="J293" s="2" t="s">
        <v>480</v>
      </c>
      <c r="K293" s="2" t="s">
        <v>481</v>
      </c>
      <c r="L293" s="2" t="str">
        <f>IFERROR(VLOOKUP(J293,Categories!$A$2:$C$41,3,FALSE()),"⚠ slug introuvable")</f>
        <v>Fillers, panneaux &amp; moulures</v>
      </c>
      <c r="M293" s="2" t="str">
        <f>IFERROR(VLOOKUP(K293,Categories!$A$2:$C$41,3,FALSE()),"⚠ slug introuvable")</f>
        <v>Fausse porte</v>
      </c>
      <c r="N293" s="2" t="s">
        <v>616</v>
      </c>
      <c r="O293" s="2" t="str">
        <f t="shared" si="114"/>
        <v>Fausse porte pour armoire de cuisine du haut (12.75" x 48")</v>
      </c>
      <c r="P293" s="2" t="str">
        <f>_xlfn.CONCAT("Fausse porte - Haut"," (",AA293,""" x ",AB293,""")")</f>
        <v>Fausse porte - Haut (12.75" x 48")</v>
      </c>
      <c r="Q293" s="11">
        <v>215</v>
      </c>
      <c r="R293" s="11">
        <f t="shared" si="109"/>
        <v>19.111111111111111</v>
      </c>
      <c r="S293" s="11">
        <f t="shared" si="110"/>
        <v>26.755555555555553</v>
      </c>
      <c r="T293" s="11">
        <f t="shared" si="111"/>
        <v>29.431111111111111</v>
      </c>
      <c r="U293" s="11">
        <f t="shared" si="107"/>
        <v>35.31733333333333</v>
      </c>
      <c r="V293" s="11">
        <f t="shared" si="107"/>
        <v>42.380799999999994</v>
      </c>
      <c r="W293" s="11">
        <f t="shared" si="112"/>
        <v>46.618879999999997</v>
      </c>
      <c r="X293" s="11">
        <f t="shared" si="113"/>
        <v>46.618879999999997</v>
      </c>
      <c r="Y293" s="14">
        <v>0.4</v>
      </c>
      <c r="Z293" s="11">
        <f t="shared" si="102"/>
        <v>77.698133333333331</v>
      </c>
      <c r="AA293" s="2">
        <v>12.75</v>
      </c>
      <c r="AB293" s="2">
        <v>48</v>
      </c>
      <c r="AC293" s="2">
        <v>0.75</v>
      </c>
      <c r="AD293" s="2" t="s">
        <v>51</v>
      </c>
      <c r="AE293" s="2" t="s">
        <v>51</v>
      </c>
    </row>
    <row r="294" spans="1:31">
      <c r="A294" s="2" t="s">
        <v>619</v>
      </c>
      <c r="B294" s="2"/>
      <c r="C294" s="2"/>
      <c r="D294" s="2"/>
      <c r="E294" s="2" t="b">
        <f t="shared" si="101"/>
        <v>1</v>
      </c>
      <c r="F294" s="2"/>
      <c r="G294" s="2" t="s">
        <v>620</v>
      </c>
      <c r="H294" s="2" t="str">
        <f t="shared" si="104"/>
        <v>Blanc</v>
      </c>
      <c r="I294" s="2" t="str">
        <f t="shared" si="108"/>
        <v>WEP1330-CW</v>
      </c>
      <c r="J294" s="2" t="s">
        <v>480</v>
      </c>
      <c r="K294" s="2" t="s">
        <v>621</v>
      </c>
      <c r="L294" s="2" t="str">
        <f>IFERROR(VLOOKUP(J294,Categories!$A$2:$C$41,3,FALSE()),"⚠ slug introuvable")</f>
        <v>Fillers, panneaux &amp; moulures</v>
      </c>
      <c r="M294" s="2" t="str">
        <f>IFERROR(VLOOKUP(K294,Categories!$A$2:$C$41,3,FALSE()),"⚠ slug introuvable")</f>
        <v>Panneau mural</v>
      </c>
      <c r="N294" s="2" t="s">
        <v>622</v>
      </c>
      <c r="O294" s="2" t="str">
        <f t="shared" si="114"/>
        <v>Panneau pour armoires de cuisine du haut (13" x 30")</v>
      </c>
      <c r="P294" s="2" t="str">
        <f>_xlfn.CONCAT("Panneau - Haut"," (",AA294,""" x ",AB294,""")")</f>
        <v>Panneau - Haut (13" x 30")</v>
      </c>
      <c r="Q294" s="11">
        <v>136.25</v>
      </c>
      <c r="R294" s="11">
        <f t="shared" si="109"/>
        <v>12.111111111111111</v>
      </c>
      <c r="S294" s="11">
        <f t="shared" si="110"/>
        <v>16.955555555555552</v>
      </c>
      <c r="T294" s="11">
        <f t="shared" si="111"/>
        <v>18.65111111111111</v>
      </c>
      <c r="U294" s="11">
        <f t="shared" si="107"/>
        <v>22.38133333333333</v>
      </c>
      <c r="V294" s="11">
        <f t="shared" si="107"/>
        <v>26.857599999999994</v>
      </c>
      <c r="W294" s="11">
        <f t="shared" si="112"/>
        <v>29.543359999999996</v>
      </c>
      <c r="X294" s="11">
        <f t="shared" si="113"/>
        <v>29.543359999999996</v>
      </c>
      <c r="Y294" s="14">
        <v>0.4</v>
      </c>
      <c r="Z294" s="11">
        <f t="shared" si="102"/>
        <v>49.238933333333328</v>
      </c>
      <c r="AA294" s="2">
        <v>13</v>
      </c>
      <c r="AB294" s="2">
        <v>30</v>
      </c>
      <c r="AC294" s="2">
        <v>0.75</v>
      </c>
      <c r="AD294" s="2" t="s">
        <v>51</v>
      </c>
      <c r="AE294" s="2" t="s">
        <v>51</v>
      </c>
    </row>
    <row r="295" spans="1:31">
      <c r="A295" s="2" t="s">
        <v>623</v>
      </c>
      <c r="B295" s="2"/>
      <c r="C295" s="2"/>
      <c r="D295" s="2"/>
      <c r="E295" s="2" t="b">
        <f t="shared" si="101"/>
        <v>1</v>
      </c>
      <c r="F295" s="2"/>
      <c r="G295" s="2" t="s">
        <v>624</v>
      </c>
      <c r="H295" s="2" t="str">
        <f t="shared" si="104"/>
        <v>Blanc</v>
      </c>
      <c r="I295" s="2" t="str">
        <f t="shared" si="108"/>
        <v>WEP1336-CW</v>
      </c>
      <c r="J295" s="2" t="s">
        <v>480</v>
      </c>
      <c r="K295" s="2" t="s">
        <v>621</v>
      </c>
      <c r="L295" s="2" t="str">
        <f>IFERROR(VLOOKUP(J295,Categories!$A$2:$C$41,3,FALSE()),"⚠ slug introuvable")</f>
        <v>Fillers, panneaux &amp; moulures</v>
      </c>
      <c r="M295" s="2" t="str">
        <f>IFERROR(VLOOKUP(K295,Categories!$A$2:$C$41,3,FALSE()),"⚠ slug introuvable")</f>
        <v>Panneau mural</v>
      </c>
      <c r="N295" s="2" t="s">
        <v>622</v>
      </c>
      <c r="O295" s="2" t="str">
        <f t="shared" si="114"/>
        <v>Panneau pour armoires de cuisine du haut (13" x 36")</v>
      </c>
      <c r="P295" s="2" t="str">
        <f>_xlfn.CONCAT("Panneau - Haut"," (",AA295,""" x ",AB295,""")")</f>
        <v>Panneau - Haut (13" x 36")</v>
      </c>
      <c r="Q295" s="11">
        <v>136.25</v>
      </c>
      <c r="R295" s="11">
        <f t="shared" si="109"/>
        <v>12.111111111111111</v>
      </c>
      <c r="S295" s="11">
        <f t="shared" si="110"/>
        <v>16.955555555555552</v>
      </c>
      <c r="T295" s="11">
        <f t="shared" si="111"/>
        <v>18.65111111111111</v>
      </c>
      <c r="U295" s="11">
        <f t="shared" si="107"/>
        <v>22.38133333333333</v>
      </c>
      <c r="V295" s="11">
        <f t="shared" si="107"/>
        <v>26.857599999999994</v>
      </c>
      <c r="W295" s="11">
        <f t="shared" si="112"/>
        <v>29.543359999999996</v>
      </c>
      <c r="X295" s="11">
        <f t="shared" si="113"/>
        <v>29.543359999999996</v>
      </c>
      <c r="Y295" s="14">
        <v>0.4</v>
      </c>
      <c r="Z295" s="11">
        <f t="shared" si="102"/>
        <v>49.238933333333328</v>
      </c>
      <c r="AA295" s="2">
        <v>13</v>
      </c>
      <c r="AB295" s="2">
        <v>36</v>
      </c>
      <c r="AC295" s="2">
        <v>0.75</v>
      </c>
      <c r="AD295" s="2" t="s">
        <v>51</v>
      </c>
      <c r="AE295" s="2" t="s">
        <v>51</v>
      </c>
    </row>
    <row r="296" spans="1:31">
      <c r="A296" s="2" t="s">
        <v>625</v>
      </c>
      <c r="B296" s="2"/>
      <c r="C296" s="2"/>
      <c r="D296" s="2"/>
      <c r="E296" s="2" t="b">
        <f t="shared" si="101"/>
        <v>1</v>
      </c>
      <c r="F296" s="2"/>
      <c r="G296" s="2" t="s">
        <v>626</v>
      </c>
      <c r="H296" s="2" t="str">
        <f t="shared" si="104"/>
        <v>Blanc</v>
      </c>
      <c r="I296" s="2" t="str">
        <f t="shared" si="108"/>
        <v>WEP1349-CW</v>
      </c>
      <c r="J296" s="2" t="s">
        <v>480</v>
      </c>
      <c r="K296" s="2" t="s">
        <v>621</v>
      </c>
      <c r="L296" s="2" t="str">
        <f>IFERROR(VLOOKUP(J296,Categories!$A$2:$C$41,3,FALSE()),"⚠ slug introuvable")</f>
        <v>Fillers, panneaux &amp; moulures</v>
      </c>
      <c r="M296" s="2" t="str">
        <f>IFERROR(VLOOKUP(K296,Categories!$A$2:$C$41,3,FALSE()),"⚠ slug introuvable")</f>
        <v>Panneau mural</v>
      </c>
      <c r="N296" s="2" t="s">
        <v>622</v>
      </c>
      <c r="O296" s="2" t="str">
        <f t="shared" si="114"/>
        <v>Panneau pour armoires de cuisine du haut (13" x 48")</v>
      </c>
      <c r="P296" s="2" t="str">
        <f>_xlfn.CONCAT("Panneau - Haut"," (",AA296,""" x ",AB296,""")")</f>
        <v>Panneau - Haut (13" x 48")</v>
      </c>
      <c r="Q296" s="11">
        <v>180</v>
      </c>
      <c r="R296" s="11">
        <f t="shared" si="109"/>
        <v>16</v>
      </c>
      <c r="S296" s="11">
        <f t="shared" si="110"/>
        <v>22.4</v>
      </c>
      <c r="T296" s="11">
        <f t="shared" si="111"/>
        <v>24.64</v>
      </c>
      <c r="U296" s="11">
        <f t="shared" si="107"/>
        <v>29.567999999999998</v>
      </c>
      <c r="V296" s="11">
        <f t="shared" si="107"/>
        <v>35.481599999999993</v>
      </c>
      <c r="W296" s="11">
        <f t="shared" si="112"/>
        <v>39.029759999999996</v>
      </c>
      <c r="X296" s="11">
        <f t="shared" si="113"/>
        <v>39.029759999999996</v>
      </c>
      <c r="Y296" s="14">
        <v>0.4</v>
      </c>
      <c r="Z296" s="11">
        <f t="shared" si="102"/>
        <v>65.049599999999998</v>
      </c>
      <c r="AA296" s="2">
        <v>13</v>
      </c>
      <c r="AB296" s="2">
        <v>48</v>
      </c>
      <c r="AC296" s="2">
        <v>0.75</v>
      </c>
      <c r="AD296" s="2" t="s">
        <v>51</v>
      </c>
      <c r="AE296" s="2" t="s">
        <v>51</v>
      </c>
    </row>
    <row r="297" spans="1:31">
      <c r="A297" s="2" t="s">
        <v>627</v>
      </c>
      <c r="B297" s="2"/>
      <c r="C297" s="2"/>
      <c r="D297" s="2"/>
      <c r="E297" s="2" t="b">
        <f t="shared" si="101"/>
        <v>1</v>
      </c>
      <c r="F297" s="2"/>
      <c r="G297" s="2" t="s">
        <v>628</v>
      </c>
      <c r="H297" s="2" t="str">
        <f t="shared" si="104"/>
        <v>Blanc</v>
      </c>
      <c r="I297" s="2" t="str">
        <f t="shared" si="108"/>
        <v>TF1.5-120-CW</v>
      </c>
      <c r="J297" s="2" t="s">
        <v>480</v>
      </c>
      <c r="K297" s="2" t="s">
        <v>629</v>
      </c>
      <c r="L297" s="2" t="str">
        <f>IFERROR(VLOOKUP(J297,Categories!$A$2:$C$41,3,FALSE()),"⚠ slug introuvable")</f>
        <v>Fillers, panneaux &amp; moulures</v>
      </c>
      <c r="M297" s="2" t="str">
        <f>IFERROR(VLOOKUP(K297,Categories!$A$2:$C$41,3,FALSE()),"⚠ slug introuvable")</f>
        <v>Fillers bas/mural/haut</v>
      </c>
      <c r="N297" s="2" t="s">
        <v>630</v>
      </c>
      <c r="O297" s="2" t="str">
        <f t="shared" si="114"/>
        <v>Filler pleine hauteur pour armoire de cuisine (1.5" x 120")</v>
      </c>
      <c r="P297" s="2" t="str">
        <f t="shared" ref="P297:P320" si="115">_xlfn.CONCAT("Filler pleine hauteur"," (",AA297,""" x ",AB297,""")")</f>
        <v>Filler pleine hauteur (1.5" x 120")</v>
      </c>
      <c r="Q297" s="11">
        <v>103</v>
      </c>
      <c r="R297" s="11">
        <f t="shared" si="109"/>
        <v>9.155555555555555</v>
      </c>
      <c r="S297" s="11">
        <f t="shared" si="110"/>
        <v>12.817777777777776</v>
      </c>
      <c r="T297" s="11">
        <f t="shared" si="111"/>
        <v>14.099555555555554</v>
      </c>
      <c r="U297" s="11">
        <f t="shared" si="107"/>
        <v>16.919466666666665</v>
      </c>
      <c r="V297" s="11">
        <f t="shared" si="107"/>
        <v>20.303359999999998</v>
      </c>
      <c r="W297" s="11">
        <f t="shared" si="112"/>
        <v>22.333696</v>
      </c>
      <c r="X297" s="11">
        <f t="shared" si="113"/>
        <v>22.333696</v>
      </c>
      <c r="Y297" s="14">
        <v>0.4</v>
      </c>
      <c r="Z297" s="11">
        <f t="shared" si="102"/>
        <v>37.22282666666667</v>
      </c>
      <c r="AA297" s="2">
        <v>1.5</v>
      </c>
      <c r="AB297" s="2">
        <v>120</v>
      </c>
      <c r="AC297" s="2">
        <v>0.75</v>
      </c>
      <c r="AD297" s="2" t="s">
        <v>51</v>
      </c>
      <c r="AE297" s="2" t="s">
        <v>51</v>
      </c>
    </row>
    <row r="298" spans="1:31">
      <c r="A298" s="2" t="s">
        <v>631</v>
      </c>
      <c r="B298" s="2"/>
      <c r="C298" s="2"/>
      <c r="D298" s="2"/>
      <c r="E298" s="2" t="b">
        <f t="shared" si="101"/>
        <v>1</v>
      </c>
      <c r="F298" s="2"/>
      <c r="G298" s="2" t="s">
        <v>628</v>
      </c>
      <c r="H298" s="2" t="str">
        <f t="shared" si="104"/>
        <v>Chêne blanc</v>
      </c>
      <c r="I298" s="2" t="str">
        <f t="shared" si="108"/>
        <v>TF1.5-120-WWO</v>
      </c>
      <c r="J298" s="2" t="str">
        <f>IFERROR(VLOOKUP(K298,Categories!$A$2:$C$41,2,FALSE()),"⚠ slug introuvable")</f>
        <v>fillers-panels-moldings</v>
      </c>
      <c r="K298" s="2" t="s">
        <v>629</v>
      </c>
      <c r="L298" s="2" t="str">
        <f>IFERROR(VLOOKUP(J298,Categories!$A$2:$C$41,3,FALSE()),"⚠ slug introuvable")</f>
        <v>Fillers, panneaux &amp; moulures</v>
      </c>
      <c r="M298" s="2" t="str">
        <f>IFERROR(VLOOKUP(K298,Categories!$A$2:$C$41,3,FALSE()),"⚠ slug introuvable")</f>
        <v>Fillers bas/mural/haut</v>
      </c>
      <c r="N298" s="2" t="s">
        <v>630</v>
      </c>
      <c r="O298" s="2" t="str">
        <f t="shared" si="114"/>
        <v>Filler pleine hauteur pour armoire de cuisine (1.5" x 120")</v>
      </c>
      <c r="P298" s="2" t="str">
        <f t="shared" si="115"/>
        <v>Filler pleine hauteur (1.5" x 120")</v>
      </c>
      <c r="Q298" s="11">
        <v>167</v>
      </c>
      <c r="R298" s="11">
        <f t="shared" si="109"/>
        <v>14.844444444444445</v>
      </c>
      <c r="S298" s="11">
        <f t="shared" si="110"/>
        <v>20.78222222222222</v>
      </c>
      <c r="T298" s="11">
        <f t="shared" si="111"/>
        <v>22.860444444444443</v>
      </c>
      <c r="U298" s="11">
        <f t="shared" si="107"/>
        <v>27.432533333333332</v>
      </c>
      <c r="V298" s="11">
        <f t="shared" si="107"/>
        <v>32.919039999999995</v>
      </c>
      <c r="W298" s="11">
        <f t="shared" si="112"/>
        <v>36.210943999999998</v>
      </c>
      <c r="X298" s="11">
        <f t="shared" si="113"/>
        <v>36.210943999999998</v>
      </c>
      <c r="Y298" s="14">
        <v>0.4</v>
      </c>
      <c r="Z298" s="11">
        <f t="shared" si="102"/>
        <v>60.351573333333334</v>
      </c>
      <c r="AA298" s="2">
        <v>1.5</v>
      </c>
      <c r="AB298" s="2">
        <v>120</v>
      </c>
      <c r="AC298" s="2">
        <v>0.75</v>
      </c>
      <c r="AD298" s="2" t="s">
        <v>51</v>
      </c>
      <c r="AE298" s="2" t="s">
        <v>51</v>
      </c>
    </row>
    <row r="299" spans="1:31">
      <c r="A299" s="2" t="s">
        <v>632</v>
      </c>
      <c r="B299" s="2"/>
      <c r="C299" s="2"/>
      <c r="D299" s="2"/>
      <c r="E299" s="2" t="b">
        <f t="shared" si="101"/>
        <v>1</v>
      </c>
      <c r="F299" s="2"/>
      <c r="G299" s="2" t="s">
        <v>633</v>
      </c>
      <c r="H299" s="2" t="str">
        <f t="shared" si="104"/>
        <v>Blanc</v>
      </c>
      <c r="I299" s="2" t="str">
        <f t="shared" si="108"/>
        <v>TF1.5-96-CW</v>
      </c>
      <c r="J299" s="2" t="s">
        <v>480</v>
      </c>
      <c r="K299" s="2" t="s">
        <v>629</v>
      </c>
      <c r="L299" s="2" t="str">
        <f>IFERROR(VLOOKUP(J299,Categories!$A$2:$C$41,3,FALSE()),"⚠ slug introuvable")</f>
        <v>Fillers, panneaux &amp; moulures</v>
      </c>
      <c r="M299" s="2" t="str">
        <f>IFERROR(VLOOKUP(K299,Categories!$A$2:$C$41,3,FALSE()),"⚠ slug introuvable")</f>
        <v>Fillers bas/mural/haut</v>
      </c>
      <c r="N299" s="2" t="s">
        <v>630</v>
      </c>
      <c r="O299" s="2" t="str">
        <f t="shared" si="114"/>
        <v>Filler pleine hauteur pour armoire de cuisine (1.5" x 96")</v>
      </c>
      <c r="P299" s="2" t="str">
        <f t="shared" si="115"/>
        <v>Filler pleine hauteur (1.5" x 96")</v>
      </c>
      <c r="Q299" s="11">
        <v>80</v>
      </c>
      <c r="R299" s="11">
        <f t="shared" si="109"/>
        <v>7.1111111111111107</v>
      </c>
      <c r="S299" s="11">
        <f t="shared" si="110"/>
        <v>9.9555555555555539</v>
      </c>
      <c r="T299" s="11">
        <f t="shared" si="111"/>
        <v>10.951111111111111</v>
      </c>
      <c r="U299" s="11">
        <f t="shared" si="107"/>
        <v>13.141333333333332</v>
      </c>
      <c r="V299" s="11">
        <f t="shared" si="107"/>
        <v>15.769599999999997</v>
      </c>
      <c r="W299" s="11">
        <f t="shared" si="112"/>
        <v>17.346559999999997</v>
      </c>
      <c r="X299" s="11">
        <f t="shared" si="113"/>
        <v>17.346559999999997</v>
      </c>
      <c r="Y299" s="14">
        <v>0.4</v>
      </c>
      <c r="Z299" s="11">
        <f t="shared" si="102"/>
        <v>28.910933333333329</v>
      </c>
      <c r="AA299" s="2">
        <v>1.5</v>
      </c>
      <c r="AB299" s="2">
        <v>96</v>
      </c>
      <c r="AC299" s="2">
        <v>0.75</v>
      </c>
      <c r="AD299" s="2" t="s">
        <v>51</v>
      </c>
      <c r="AE299" s="2" t="s">
        <v>51</v>
      </c>
    </row>
    <row r="300" spans="1:31">
      <c r="A300" s="2" t="s">
        <v>634</v>
      </c>
      <c r="B300" s="2"/>
      <c r="C300" s="2"/>
      <c r="D300" s="2"/>
      <c r="E300" s="2" t="b">
        <f t="shared" si="101"/>
        <v>1</v>
      </c>
      <c r="F300" s="2"/>
      <c r="G300" s="2" t="s">
        <v>633</v>
      </c>
      <c r="H300" s="2" t="str">
        <f t="shared" si="104"/>
        <v>Chêne blanc</v>
      </c>
      <c r="I300" s="2" t="str">
        <f t="shared" si="108"/>
        <v>TF1.5-96-WWO</v>
      </c>
      <c r="J300" s="2" t="str">
        <f>IFERROR(VLOOKUP(K300,Categories!$A$2:$C$41,2,FALSE()),"⚠ slug introuvable")</f>
        <v>fillers-panels-moldings</v>
      </c>
      <c r="K300" s="2" t="s">
        <v>629</v>
      </c>
      <c r="L300" s="2" t="str">
        <f>IFERROR(VLOOKUP(J300,Categories!$A$2:$C$41,3,FALSE()),"⚠ slug introuvable")</f>
        <v>Fillers, panneaux &amp; moulures</v>
      </c>
      <c r="M300" s="2" t="str">
        <f>IFERROR(VLOOKUP(K300,Categories!$A$2:$C$41,3,FALSE()),"⚠ slug introuvable")</f>
        <v>Fillers bas/mural/haut</v>
      </c>
      <c r="N300" s="2" t="s">
        <v>630</v>
      </c>
      <c r="O300" s="2" t="str">
        <f t="shared" si="114"/>
        <v>Filler pleine hauteur pour armoire de cuisine (1.5" x 96")</v>
      </c>
      <c r="P300" s="2" t="str">
        <f t="shared" si="115"/>
        <v>Filler pleine hauteur (1.5" x 96")</v>
      </c>
      <c r="Q300" s="11">
        <v>122</v>
      </c>
      <c r="R300" s="11">
        <f t="shared" si="109"/>
        <v>10.844444444444445</v>
      </c>
      <c r="S300" s="11">
        <f t="shared" si="110"/>
        <v>15.182222222222222</v>
      </c>
      <c r="T300" s="11">
        <f t="shared" si="111"/>
        <v>16.700444444444447</v>
      </c>
      <c r="U300" s="11">
        <f t="shared" si="107"/>
        <v>20.040533333333336</v>
      </c>
      <c r="V300" s="11">
        <f t="shared" si="107"/>
        <v>24.048640000000002</v>
      </c>
      <c r="W300" s="11">
        <f t="shared" si="112"/>
        <v>26.453504000000006</v>
      </c>
      <c r="X300" s="11">
        <f t="shared" si="113"/>
        <v>26.453504000000006</v>
      </c>
      <c r="Y300" s="14">
        <v>0.4</v>
      </c>
      <c r="Z300" s="11">
        <f t="shared" si="102"/>
        <v>44.089173333333342</v>
      </c>
      <c r="AA300" s="2">
        <v>1.5</v>
      </c>
      <c r="AB300" s="2">
        <v>96</v>
      </c>
      <c r="AC300" s="2">
        <v>0.75</v>
      </c>
      <c r="AD300" s="2" t="s">
        <v>51</v>
      </c>
      <c r="AE300" s="2" t="s">
        <v>51</v>
      </c>
    </row>
    <row r="301" spans="1:31">
      <c r="A301" s="2" t="s">
        <v>635</v>
      </c>
      <c r="B301" s="2"/>
      <c r="C301" s="2"/>
      <c r="D301" s="2"/>
      <c r="E301" s="2" t="b">
        <f t="shared" si="101"/>
        <v>1</v>
      </c>
      <c r="F301" s="2"/>
      <c r="G301" s="2" t="s">
        <v>636</v>
      </c>
      <c r="H301" s="2" t="str">
        <f t="shared" si="104"/>
        <v>Blanc</v>
      </c>
      <c r="I301" s="2" t="str">
        <f t="shared" si="108"/>
        <v>WF330-CW</v>
      </c>
      <c r="J301" s="2" t="s">
        <v>480</v>
      </c>
      <c r="K301" s="2" t="s">
        <v>629</v>
      </c>
      <c r="L301" s="2" t="str">
        <f>IFERROR(VLOOKUP(J301,Categories!$A$2:$C$41,3,FALSE()),"⚠ slug introuvable")</f>
        <v>Fillers, panneaux &amp; moulures</v>
      </c>
      <c r="M301" s="2" t="str">
        <f>IFERROR(VLOOKUP(K301,Categories!$A$2:$C$41,3,FALSE()),"⚠ slug introuvable")</f>
        <v>Fillers bas/mural/haut</v>
      </c>
      <c r="N301" s="2" t="s">
        <v>630</v>
      </c>
      <c r="O301" s="2" t="str">
        <f t="shared" si="114"/>
        <v>Filler pleine hauteur pour armoire de cuisine (3" x 30")</v>
      </c>
      <c r="P301" s="2" t="str">
        <f t="shared" si="115"/>
        <v>Filler pleine hauteur (3" x 30")</v>
      </c>
      <c r="Q301" s="11">
        <v>42</v>
      </c>
      <c r="R301" s="11">
        <f t="shared" si="109"/>
        <v>3.7333333333333334</v>
      </c>
      <c r="S301" s="11">
        <f t="shared" si="110"/>
        <v>5.2266666666666666</v>
      </c>
      <c r="T301" s="11">
        <f t="shared" si="111"/>
        <v>5.7493333333333334</v>
      </c>
      <c r="U301" s="11">
        <f t="shared" si="107"/>
        <v>6.8991999999999996</v>
      </c>
      <c r="V301" s="11">
        <f t="shared" si="107"/>
        <v>8.2790399999999984</v>
      </c>
      <c r="W301" s="11">
        <f t="shared" si="112"/>
        <v>9.1069439999999986</v>
      </c>
      <c r="X301" s="11">
        <f t="shared" si="113"/>
        <v>9.1069439999999986</v>
      </c>
      <c r="Y301" s="14">
        <v>0.4</v>
      </c>
      <c r="Z301" s="11">
        <f t="shared" si="102"/>
        <v>15.178239999999999</v>
      </c>
      <c r="AA301" s="2">
        <v>3</v>
      </c>
      <c r="AB301" s="2">
        <v>30</v>
      </c>
      <c r="AC301" s="2">
        <v>0.75</v>
      </c>
      <c r="AD301" s="2" t="s">
        <v>51</v>
      </c>
      <c r="AE301" s="2" t="s">
        <v>51</v>
      </c>
    </row>
    <row r="302" spans="1:31">
      <c r="A302" s="2" t="s">
        <v>637</v>
      </c>
      <c r="B302" s="2"/>
      <c r="C302" s="2"/>
      <c r="D302" s="2"/>
      <c r="E302" s="2" t="b">
        <f t="shared" si="101"/>
        <v>1</v>
      </c>
      <c r="F302" s="2"/>
      <c r="G302" s="2" t="s">
        <v>636</v>
      </c>
      <c r="H302" s="2" t="str">
        <f t="shared" si="104"/>
        <v>Chêne blanc</v>
      </c>
      <c r="I302" s="2" t="str">
        <f t="shared" si="108"/>
        <v>WF330-WWO</v>
      </c>
      <c r="J302" s="2" t="str">
        <f>IFERROR(VLOOKUP(K302,Categories!$A$2:$C$41,2,FALSE()),"⚠ slug introuvable")</f>
        <v>fillers-panels-moldings</v>
      </c>
      <c r="K302" s="2" t="s">
        <v>629</v>
      </c>
      <c r="L302" s="2" t="str">
        <f>IFERROR(VLOOKUP(J302,Categories!$A$2:$C$41,3,FALSE()),"⚠ slug introuvable")</f>
        <v>Fillers, panneaux &amp; moulures</v>
      </c>
      <c r="M302" s="2" t="str">
        <f>IFERROR(VLOOKUP(K302,Categories!$A$2:$C$41,3,FALSE()),"⚠ slug introuvable")</f>
        <v>Fillers bas/mural/haut</v>
      </c>
      <c r="N302" s="2" t="s">
        <v>630</v>
      </c>
      <c r="O302" s="2" t="str">
        <f t="shared" si="114"/>
        <v>Filler pleine hauteur pour armoire de cuisine (3" x 30")</v>
      </c>
      <c r="P302" s="2" t="str">
        <f t="shared" si="115"/>
        <v>Filler pleine hauteur (3" x 30")</v>
      </c>
      <c r="Q302" s="11">
        <v>115.2</v>
      </c>
      <c r="R302" s="11">
        <f t="shared" si="109"/>
        <v>10.24</v>
      </c>
      <c r="S302" s="11">
        <f t="shared" si="110"/>
        <v>14.335999999999999</v>
      </c>
      <c r="T302" s="11">
        <f t="shared" si="111"/>
        <v>15.769600000000001</v>
      </c>
      <c r="U302" s="11">
        <f t="shared" si="107"/>
        <v>18.92352</v>
      </c>
      <c r="V302" s="11">
        <f t="shared" si="107"/>
        <v>22.708223999999998</v>
      </c>
      <c r="W302" s="11">
        <f t="shared" si="112"/>
        <v>24.979046399999998</v>
      </c>
      <c r="X302" s="11">
        <f t="shared" si="113"/>
        <v>24.979046399999998</v>
      </c>
      <c r="Y302" s="14">
        <v>0.4</v>
      </c>
      <c r="Z302" s="11">
        <f t="shared" si="102"/>
        <v>41.631743999999998</v>
      </c>
      <c r="AA302" s="2">
        <v>3</v>
      </c>
      <c r="AB302" s="2">
        <v>30</v>
      </c>
      <c r="AC302" s="2">
        <v>0.75</v>
      </c>
      <c r="AD302" s="2" t="s">
        <v>51</v>
      </c>
      <c r="AE302" s="2" t="s">
        <v>51</v>
      </c>
    </row>
    <row r="303" spans="1:31">
      <c r="A303" s="2" t="s">
        <v>638</v>
      </c>
      <c r="B303" s="2"/>
      <c r="C303" s="2"/>
      <c r="D303" s="2"/>
      <c r="E303" s="2" t="b">
        <f t="shared" si="101"/>
        <v>1</v>
      </c>
      <c r="F303" s="2"/>
      <c r="G303" s="2" t="s">
        <v>639</v>
      </c>
      <c r="H303" s="2" t="str">
        <f t="shared" si="104"/>
        <v>Blanc</v>
      </c>
      <c r="I303" s="2" t="str">
        <f t="shared" si="108"/>
        <v>WF336-CW</v>
      </c>
      <c r="J303" s="2" t="s">
        <v>480</v>
      </c>
      <c r="K303" s="2" t="s">
        <v>629</v>
      </c>
      <c r="L303" s="2" t="str">
        <f>IFERROR(VLOOKUP(J303,Categories!$A$2:$C$41,3,FALSE()),"⚠ slug introuvable")</f>
        <v>Fillers, panneaux &amp; moulures</v>
      </c>
      <c r="M303" s="2" t="str">
        <f>IFERROR(VLOOKUP(K303,Categories!$A$2:$C$41,3,FALSE()),"⚠ slug introuvable")</f>
        <v>Fillers bas/mural/haut</v>
      </c>
      <c r="N303" s="2" t="s">
        <v>630</v>
      </c>
      <c r="O303" s="2" t="str">
        <f t="shared" si="114"/>
        <v>Filler pleine hauteur pour armoire de cuisine (3" x 36")</v>
      </c>
      <c r="P303" s="2" t="str">
        <f t="shared" si="115"/>
        <v>Filler pleine hauteur (3" x 36")</v>
      </c>
      <c r="Q303" s="11">
        <v>46</v>
      </c>
      <c r="R303" s="11">
        <f t="shared" si="109"/>
        <v>4.0888888888888886</v>
      </c>
      <c r="S303" s="11">
        <f t="shared" si="110"/>
        <v>5.724444444444444</v>
      </c>
      <c r="T303" s="11">
        <f t="shared" si="111"/>
        <v>6.2968888888888888</v>
      </c>
      <c r="U303" s="11">
        <f t="shared" ref="U303:V322" si="116">T303*1.2</f>
        <v>7.5562666666666658</v>
      </c>
      <c r="V303" s="11">
        <f t="shared" si="116"/>
        <v>9.0675199999999982</v>
      </c>
      <c r="W303" s="11">
        <f t="shared" si="112"/>
        <v>9.9742719999999991</v>
      </c>
      <c r="X303" s="11">
        <f t="shared" si="113"/>
        <v>9.9742719999999991</v>
      </c>
      <c r="Y303" s="14">
        <v>0.4</v>
      </c>
      <c r="Z303" s="11">
        <f t="shared" si="102"/>
        <v>16.623786666666668</v>
      </c>
      <c r="AA303" s="2">
        <v>3</v>
      </c>
      <c r="AB303" s="2">
        <v>36</v>
      </c>
      <c r="AC303" s="2">
        <v>0.75</v>
      </c>
      <c r="AD303" s="2" t="s">
        <v>51</v>
      </c>
      <c r="AE303" s="2" t="s">
        <v>51</v>
      </c>
    </row>
    <row r="304" spans="1:31">
      <c r="A304" s="2" t="s">
        <v>640</v>
      </c>
      <c r="B304" s="2"/>
      <c r="C304" s="2"/>
      <c r="D304" s="2"/>
      <c r="E304" s="2" t="b">
        <f t="shared" si="101"/>
        <v>1</v>
      </c>
      <c r="F304" s="2"/>
      <c r="G304" s="2" t="s">
        <v>639</v>
      </c>
      <c r="H304" s="2" t="str">
        <f t="shared" si="104"/>
        <v>Chêne blanc</v>
      </c>
      <c r="I304" s="2" t="str">
        <f t="shared" si="108"/>
        <v>WF336-WWO</v>
      </c>
      <c r="J304" s="2" t="str">
        <f>IFERROR(VLOOKUP(K304,Categories!$A$2:$C$41,2,FALSE()),"⚠ slug introuvable")</f>
        <v>fillers-panels-moldings</v>
      </c>
      <c r="K304" s="2" t="s">
        <v>629</v>
      </c>
      <c r="L304" s="2" t="str">
        <f>IFERROR(VLOOKUP(J304,Categories!$A$2:$C$41,3,FALSE()),"⚠ slug introuvable")</f>
        <v>Fillers, panneaux &amp; moulures</v>
      </c>
      <c r="M304" s="2" t="str">
        <f>IFERROR(VLOOKUP(K304,Categories!$A$2:$C$41,3,FALSE()),"⚠ slug introuvable")</f>
        <v>Fillers bas/mural/haut</v>
      </c>
      <c r="N304" s="2" t="s">
        <v>630</v>
      </c>
      <c r="O304" s="2" t="str">
        <f t="shared" si="114"/>
        <v>Filler pleine hauteur pour armoire de cuisine (3" x 36")</v>
      </c>
      <c r="P304" s="2" t="str">
        <f t="shared" si="115"/>
        <v>Filler pleine hauteur (3" x 36")</v>
      </c>
      <c r="Q304" s="11">
        <v>75</v>
      </c>
      <c r="R304" s="11">
        <f t="shared" si="109"/>
        <v>6.666666666666667</v>
      </c>
      <c r="S304" s="11">
        <f t="shared" si="110"/>
        <v>9.3333333333333339</v>
      </c>
      <c r="T304" s="11">
        <f t="shared" si="111"/>
        <v>10.266666666666667</v>
      </c>
      <c r="U304" s="11">
        <f t="shared" si="116"/>
        <v>12.32</v>
      </c>
      <c r="V304" s="11">
        <f t="shared" si="116"/>
        <v>14.783999999999999</v>
      </c>
      <c r="W304" s="11">
        <f t="shared" si="112"/>
        <v>16.2624</v>
      </c>
      <c r="X304" s="11">
        <f t="shared" si="113"/>
        <v>16.2624</v>
      </c>
      <c r="Y304" s="14">
        <v>0.4</v>
      </c>
      <c r="Z304" s="11">
        <f t="shared" si="102"/>
        <v>27.103999999999999</v>
      </c>
      <c r="AA304" s="2">
        <v>3</v>
      </c>
      <c r="AB304" s="2">
        <v>36</v>
      </c>
      <c r="AC304" s="2">
        <v>0.75</v>
      </c>
      <c r="AD304" s="2" t="s">
        <v>51</v>
      </c>
      <c r="AE304" s="2" t="s">
        <v>51</v>
      </c>
    </row>
    <row r="305" spans="1:31">
      <c r="A305" s="2" t="s">
        <v>641</v>
      </c>
      <c r="B305" s="2"/>
      <c r="C305" s="2"/>
      <c r="D305" s="2"/>
      <c r="E305" s="2" t="b">
        <f t="shared" si="101"/>
        <v>1</v>
      </c>
      <c r="F305" s="2"/>
      <c r="G305" s="2" t="s">
        <v>642</v>
      </c>
      <c r="H305" s="2" t="str">
        <f t="shared" si="104"/>
        <v>Blanc</v>
      </c>
      <c r="I305" s="2" t="str">
        <f t="shared" si="108"/>
        <v>WF342-CW</v>
      </c>
      <c r="J305" s="2" t="s">
        <v>480</v>
      </c>
      <c r="K305" s="2" t="s">
        <v>629</v>
      </c>
      <c r="L305" s="2" t="str">
        <f>IFERROR(VLOOKUP(J305,Categories!$A$2:$C$41,3,FALSE()),"⚠ slug introuvable")</f>
        <v>Fillers, panneaux &amp; moulures</v>
      </c>
      <c r="M305" s="2" t="str">
        <f>IFERROR(VLOOKUP(K305,Categories!$A$2:$C$41,3,FALSE()),"⚠ slug introuvable")</f>
        <v>Fillers bas/mural/haut</v>
      </c>
      <c r="N305" s="2" t="s">
        <v>630</v>
      </c>
      <c r="O305" s="2" t="str">
        <f t="shared" si="114"/>
        <v>Filler pleine hauteur pour armoire de cuisine (3" x 42")</v>
      </c>
      <c r="P305" s="2" t="str">
        <f t="shared" si="115"/>
        <v>Filler pleine hauteur (3" x 42")</v>
      </c>
      <c r="Q305" s="11">
        <v>87</v>
      </c>
      <c r="R305" s="11">
        <f t="shared" si="109"/>
        <v>7.7333333333333334</v>
      </c>
      <c r="S305" s="11">
        <f t="shared" si="110"/>
        <v>10.826666666666666</v>
      </c>
      <c r="T305" s="11">
        <f t="shared" si="111"/>
        <v>11.909333333333334</v>
      </c>
      <c r="U305" s="11">
        <f t="shared" si="116"/>
        <v>14.291200000000002</v>
      </c>
      <c r="V305" s="11">
        <f t="shared" si="116"/>
        <v>17.149440000000002</v>
      </c>
      <c r="W305" s="11">
        <f t="shared" si="112"/>
        <v>18.864384000000005</v>
      </c>
      <c r="X305" s="11">
        <f t="shared" si="113"/>
        <v>18.864384000000005</v>
      </c>
      <c r="Y305" s="14">
        <v>0.4</v>
      </c>
      <c r="Z305" s="11">
        <f t="shared" si="102"/>
        <v>31.440640000000009</v>
      </c>
      <c r="AA305" s="2">
        <v>3</v>
      </c>
      <c r="AB305" s="2">
        <v>42</v>
      </c>
      <c r="AC305" s="2">
        <v>0.75</v>
      </c>
      <c r="AD305" s="2" t="s">
        <v>51</v>
      </c>
      <c r="AE305" s="2" t="s">
        <v>51</v>
      </c>
    </row>
    <row r="306" spans="1:31">
      <c r="A306" s="2" t="s">
        <v>643</v>
      </c>
      <c r="B306" s="2"/>
      <c r="C306" s="2"/>
      <c r="D306" s="2"/>
      <c r="E306" s="2" t="b">
        <f t="shared" si="101"/>
        <v>1</v>
      </c>
      <c r="F306" s="2"/>
      <c r="G306" s="2" t="s">
        <v>642</v>
      </c>
      <c r="H306" s="2" t="str">
        <f t="shared" si="104"/>
        <v>Chêne blanc</v>
      </c>
      <c r="I306" s="2" t="str">
        <f t="shared" si="108"/>
        <v>WF342-WWO</v>
      </c>
      <c r="J306" s="2" t="str">
        <f>IFERROR(VLOOKUP(K306,Categories!$A$2:$C$41,2,FALSE()),"⚠ slug introuvable")</f>
        <v>fillers-panels-moldings</v>
      </c>
      <c r="K306" s="2" t="s">
        <v>629</v>
      </c>
      <c r="L306" s="2" t="str">
        <f>IFERROR(VLOOKUP(J306,Categories!$A$2:$C$41,3,FALSE()),"⚠ slug introuvable")</f>
        <v>Fillers, panneaux &amp; moulures</v>
      </c>
      <c r="M306" s="2" t="str">
        <f>IFERROR(VLOOKUP(K306,Categories!$A$2:$C$41,3,FALSE()),"⚠ slug introuvable")</f>
        <v>Fillers bas/mural/haut</v>
      </c>
      <c r="N306" s="2" t="s">
        <v>630</v>
      </c>
      <c r="O306" s="2" t="str">
        <f t="shared" si="114"/>
        <v>Filler pleine hauteur pour armoire de cuisine (3" x 42")</v>
      </c>
      <c r="P306" s="2" t="str">
        <f t="shared" si="115"/>
        <v>Filler pleine hauteur (3" x 42")</v>
      </c>
      <c r="Q306" s="11">
        <v>140</v>
      </c>
      <c r="R306" s="11">
        <f t="shared" si="109"/>
        <v>12.444444444444445</v>
      </c>
      <c r="S306" s="11">
        <f t="shared" si="110"/>
        <v>17.422222222222221</v>
      </c>
      <c r="T306" s="11">
        <f t="shared" si="111"/>
        <v>19.164444444444445</v>
      </c>
      <c r="U306" s="11">
        <f t="shared" si="116"/>
        <v>22.997333333333334</v>
      </c>
      <c r="V306" s="11">
        <f t="shared" si="116"/>
        <v>27.596799999999998</v>
      </c>
      <c r="W306" s="11">
        <f t="shared" si="112"/>
        <v>30.356480000000001</v>
      </c>
      <c r="X306" s="11">
        <f t="shared" si="113"/>
        <v>30.356480000000001</v>
      </c>
      <c r="Y306" s="14">
        <v>0.4</v>
      </c>
      <c r="Z306" s="11">
        <f t="shared" si="102"/>
        <v>50.594133333333339</v>
      </c>
      <c r="AA306" s="2">
        <v>3</v>
      </c>
      <c r="AB306" s="2">
        <v>42</v>
      </c>
      <c r="AC306" s="2">
        <v>0.75</v>
      </c>
      <c r="AD306" s="2" t="s">
        <v>51</v>
      </c>
      <c r="AE306" s="2" t="s">
        <v>51</v>
      </c>
    </row>
    <row r="307" spans="1:31">
      <c r="A307" s="2" t="s">
        <v>644</v>
      </c>
      <c r="B307" s="2"/>
      <c r="C307" s="2"/>
      <c r="D307" s="2"/>
      <c r="E307" s="2" t="b">
        <f t="shared" si="101"/>
        <v>1</v>
      </c>
      <c r="F307" s="2"/>
      <c r="G307" s="2" t="s">
        <v>645</v>
      </c>
      <c r="H307" s="2" t="str">
        <f t="shared" si="104"/>
        <v>Blanc</v>
      </c>
      <c r="I307" s="2" t="str">
        <f t="shared" si="108"/>
        <v>WF348-CW</v>
      </c>
      <c r="J307" s="2" t="s">
        <v>480</v>
      </c>
      <c r="K307" s="2" t="s">
        <v>629</v>
      </c>
      <c r="L307" s="2" t="str">
        <f>IFERROR(VLOOKUP(J307,Categories!$A$2:$C$41,3,FALSE()),"⚠ slug introuvable")</f>
        <v>Fillers, panneaux &amp; moulures</v>
      </c>
      <c r="M307" s="2" t="str">
        <f>IFERROR(VLOOKUP(K307,Categories!$A$2:$C$41,3,FALSE()),"⚠ slug introuvable")</f>
        <v>Fillers bas/mural/haut</v>
      </c>
      <c r="N307" s="2" t="s">
        <v>630</v>
      </c>
      <c r="O307" s="2" t="str">
        <f t="shared" si="114"/>
        <v>Filler pleine hauteur pour armoire de cuisine (3" x 48")</v>
      </c>
      <c r="P307" s="2" t="str">
        <f t="shared" si="115"/>
        <v>Filler pleine hauteur (3" x 48")</v>
      </c>
      <c r="Q307" s="11">
        <v>104</v>
      </c>
      <c r="R307" s="11">
        <f t="shared" si="109"/>
        <v>9.2444444444444436</v>
      </c>
      <c r="S307" s="11">
        <f t="shared" si="110"/>
        <v>12.94222222222222</v>
      </c>
      <c r="T307" s="11">
        <f t="shared" si="111"/>
        <v>14.236444444444443</v>
      </c>
      <c r="U307" s="11">
        <f t="shared" si="116"/>
        <v>17.083733333333331</v>
      </c>
      <c r="V307" s="11">
        <f t="shared" si="116"/>
        <v>20.500479999999996</v>
      </c>
      <c r="W307" s="11">
        <f t="shared" si="112"/>
        <v>22.550527999999996</v>
      </c>
      <c r="X307" s="11">
        <f t="shared" si="113"/>
        <v>22.550527999999996</v>
      </c>
      <c r="Y307" s="14">
        <v>0.4</v>
      </c>
      <c r="Z307" s="11">
        <f t="shared" si="102"/>
        <v>37.584213333333331</v>
      </c>
      <c r="AA307" s="2">
        <v>3</v>
      </c>
      <c r="AB307" s="2">
        <v>48</v>
      </c>
      <c r="AC307" s="2">
        <v>0.75</v>
      </c>
      <c r="AD307" s="2" t="s">
        <v>51</v>
      </c>
      <c r="AE307" s="2" t="s">
        <v>51</v>
      </c>
    </row>
    <row r="308" spans="1:31">
      <c r="A308" s="2" t="s">
        <v>646</v>
      </c>
      <c r="B308" s="2"/>
      <c r="C308" s="2"/>
      <c r="D308" s="2"/>
      <c r="E308" s="2" t="b">
        <f t="shared" si="101"/>
        <v>1</v>
      </c>
      <c r="F308" s="2"/>
      <c r="G308" s="2" t="s">
        <v>645</v>
      </c>
      <c r="H308" s="2" t="str">
        <f t="shared" si="104"/>
        <v>Chêne blanc</v>
      </c>
      <c r="I308" s="2" t="str">
        <f t="shared" si="108"/>
        <v>WF348-WWO</v>
      </c>
      <c r="J308" s="2" t="str">
        <f>IFERROR(VLOOKUP(K308,Categories!$A$2:$C$41,2,FALSE()),"⚠ slug introuvable")</f>
        <v>fillers-panels-moldings</v>
      </c>
      <c r="K308" s="2" t="s">
        <v>629</v>
      </c>
      <c r="L308" s="2" t="str">
        <f>IFERROR(VLOOKUP(J308,Categories!$A$2:$C$41,3,FALSE()),"⚠ slug introuvable")</f>
        <v>Fillers, panneaux &amp; moulures</v>
      </c>
      <c r="M308" s="2" t="str">
        <f>IFERROR(VLOOKUP(K308,Categories!$A$2:$C$41,3,FALSE()),"⚠ slug introuvable")</f>
        <v>Fillers bas/mural/haut</v>
      </c>
      <c r="N308" s="2" t="s">
        <v>630</v>
      </c>
      <c r="O308" s="2" t="str">
        <f t="shared" si="114"/>
        <v>Filler pleine hauteur pour armoire de cuisine (3" x 48")</v>
      </c>
      <c r="P308" s="2" t="str">
        <f t="shared" si="115"/>
        <v>Filler pleine hauteur (3" x 48")</v>
      </c>
      <c r="Q308" s="11">
        <v>170</v>
      </c>
      <c r="R308" s="11">
        <f t="shared" si="109"/>
        <v>15.111111111111111</v>
      </c>
      <c r="S308" s="11">
        <f t="shared" si="110"/>
        <v>21.155555555555555</v>
      </c>
      <c r="T308" s="11">
        <f t="shared" si="111"/>
        <v>23.271111111111111</v>
      </c>
      <c r="U308" s="11">
        <f t="shared" si="116"/>
        <v>27.925333333333331</v>
      </c>
      <c r="V308" s="11">
        <f t="shared" si="116"/>
        <v>33.510399999999997</v>
      </c>
      <c r="W308" s="11">
        <f t="shared" si="112"/>
        <v>36.861440000000002</v>
      </c>
      <c r="X308" s="11">
        <f t="shared" si="113"/>
        <v>36.861440000000002</v>
      </c>
      <c r="Y308" s="14">
        <v>0.4</v>
      </c>
      <c r="Z308" s="11">
        <f t="shared" si="102"/>
        <v>61.435733333333339</v>
      </c>
      <c r="AA308" s="2">
        <v>3</v>
      </c>
      <c r="AB308" s="2">
        <v>48</v>
      </c>
      <c r="AC308" s="2">
        <v>0.75</v>
      </c>
      <c r="AD308" s="2" t="s">
        <v>51</v>
      </c>
      <c r="AE308" s="2" t="s">
        <v>51</v>
      </c>
    </row>
    <row r="309" spans="1:31">
      <c r="A309" s="2" t="s">
        <v>647</v>
      </c>
      <c r="B309" s="2"/>
      <c r="C309" s="2"/>
      <c r="D309" s="2"/>
      <c r="E309" s="2" t="b">
        <f t="shared" si="101"/>
        <v>1</v>
      </c>
      <c r="F309" s="2"/>
      <c r="G309" s="2" t="s">
        <v>648</v>
      </c>
      <c r="H309" s="2" t="str">
        <f t="shared" si="104"/>
        <v>Blanc</v>
      </c>
      <c r="I309" s="2" t="str">
        <f t="shared" si="108"/>
        <v>TF396-CW</v>
      </c>
      <c r="J309" s="2" t="s">
        <v>480</v>
      </c>
      <c r="K309" s="2" t="s">
        <v>629</v>
      </c>
      <c r="L309" s="2" t="str">
        <f>IFERROR(VLOOKUP(J309,Categories!$A$2:$C$41,3,FALSE()),"⚠ slug introuvable")</f>
        <v>Fillers, panneaux &amp; moulures</v>
      </c>
      <c r="M309" s="2" t="str">
        <f>IFERROR(VLOOKUP(K309,Categories!$A$2:$C$41,3,FALSE()),"⚠ slug introuvable")</f>
        <v>Fillers bas/mural/haut</v>
      </c>
      <c r="N309" s="2" t="s">
        <v>630</v>
      </c>
      <c r="O309" s="2" t="str">
        <f t="shared" si="114"/>
        <v>Filler pleine hauteur pour armoire de cuisine (3" x 96")</v>
      </c>
      <c r="P309" s="2" t="str">
        <f t="shared" si="115"/>
        <v>Filler pleine hauteur (3" x 96")</v>
      </c>
      <c r="Q309" s="11">
        <v>120</v>
      </c>
      <c r="R309" s="11">
        <f t="shared" si="109"/>
        <v>10.666666666666666</v>
      </c>
      <c r="S309" s="11">
        <f t="shared" si="110"/>
        <v>14.933333333333332</v>
      </c>
      <c r="T309" s="11">
        <f t="shared" si="111"/>
        <v>16.426666666666666</v>
      </c>
      <c r="U309" s="11">
        <f t="shared" si="116"/>
        <v>19.712</v>
      </c>
      <c r="V309" s="11">
        <f t="shared" si="116"/>
        <v>23.654399999999999</v>
      </c>
      <c r="W309" s="11">
        <f t="shared" si="112"/>
        <v>26.019840000000002</v>
      </c>
      <c r="X309" s="11">
        <f t="shared" si="113"/>
        <v>26.019840000000002</v>
      </c>
      <c r="Y309" s="14">
        <v>0.4</v>
      </c>
      <c r="Z309" s="11">
        <f t="shared" si="102"/>
        <v>43.366400000000006</v>
      </c>
      <c r="AA309" s="2">
        <v>3</v>
      </c>
      <c r="AB309" s="2">
        <v>96</v>
      </c>
      <c r="AC309" s="2">
        <v>0.75</v>
      </c>
      <c r="AD309" s="2" t="s">
        <v>51</v>
      </c>
      <c r="AE309" s="2" t="s">
        <v>51</v>
      </c>
    </row>
    <row r="310" spans="1:31">
      <c r="A310" s="2" t="s">
        <v>649</v>
      </c>
      <c r="B310" s="2"/>
      <c r="C310" s="2"/>
      <c r="D310" s="2"/>
      <c r="E310" s="2" t="b">
        <f t="shared" si="101"/>
        <v>1</v>
      </c>
      <c r="F310" s="2"/>
      <c r="G310" s="2" t="s">
        <v>648</v>
      </c>
      <c r="H310" s="2" t="str">
        <f t="shared" si="104"/>
        <v>Chêne blanc</v>
      </c>
      <c r="I310" s="2" t="str">
        <f t="shared" si="108"/>
        <v>TF396-WWO</v>
      </c>
      <c r="J310" s="2" t="str">
        <f>IFERROR(VLOOKUP(K310,Categories!$A$2:$C$41,2,FALSE()),"⚠ slug introuvable")</f>
        <v>fillers-panels-moldings</v>
      </c>
      <c r="K310" s="2" t="s">
        <v>629</v>
      </c>
      <c r="L310" s="2" t="str">
        <f>IFERROR(VLOOKUP(J310,Categories!$A$2:$C$41,3,FALSE()),"⚠ slug introuvable")</f>
        <v>Fillers, panneaux &amp; moulures</v>
      </c>
      <c r="M310" s="2" t="str">
        <f>IFERROR(VLOOKUP(K310,Categories!$A$2:$C$41,3,FALSE()),"⚠ slug introuvable")</f>
        <v>Fillers bas/mural/haut</v>
      </c>
      <c r="N310" s="2" t="s">
        <v>630</v>
      </c>
      <c r="O310" s="2" t="str">
        <f t="shared" si="114"/>
        <v>Filler pleine hauteur pour armoire de cuisine (3" x 96")</v>
      </c>
      <c r="P310" s="2" t="str">
        <f t="shared" si="115"/>
        <v>Filler pleine hauteur (3" x 96")</v>
      </c>
      <c r="Q310" s="11">
        <v>197</v>
      </c>
      <c r="R310" s="11">
        <f t="shared" si="109"/>
        <v>17.511111111111113</v>
      </c>
      <c r="S310" s="11">
        <f t="shared" si="110"/>
        <v>24.515555555555558</v>
      </c>
      <c r="T310" s="11">
        <f t="shared" si="111"/>
        <v>26.967111111111116</v>
      </c>
      <c r="U310" s="11">
        <f t="shared" si="116"/>
        <v>32.360533333333336</v>
      </c>
      <c r="V310" s="11">
        <f t="shared" si="116"/>
        <v>38.832640000000005</v>
      </c>
      <c r="W310" s="11">
        <f t="shared" si="112"/>
        <v>42.715904000000009</v>
      </c>
      <c r="X310" s="11">
        <f t="shared" si="113"/>
        <v>42.715904000000009</v>
      </c>
      <c r="Y310" s="14">
        <v>0.4</v>
      </c>
      <c r="Z310" s="11">
        <f t="shared" si="102"/>
        <v>71.193173333333348</v>
      </c>
      <c r="AA310" s="2">
        <v>3</v>
      </c>
      <c r="AB310" s="2">
        <v>96</v>
      </c>
      <c r="AC310" s="2">
        <v>0.75</v>
      </c>
      <c r="AD310" s="2" t="s">
        <v>51</v>
      </c>
      <c r="AE310" s="2" t="s">
        <v>51</v>
      </c>
    </row>
    <row r="311" spans="1:31">
      <c r="A311" s="2" t="s">
        <v>650</v>
      </c>
      <c r="B311" s="2"/>
      <c r="C311" s="2"/>
      <c r="D311" s="2"/>
      <c r="E311" s="2" t="b">
        <f t="shared" si="101"/>
        <v>1</v>
      </c>
      <c r="F311" s="2"/>
      <c r="G311" s="2" t="s">
        <v>651</v>
      </c>
      <c r="H311" s="2" t="str">
        <f t="shared" si="104"/>
        <v>Blanc</v>
      </c>
      <c r="I311" s="2" t="str">
        <f t="shared" si="108"/>
        <v>TF3-120-CW</v>
      </c>
      <c r="J311" s="2" t="s">
        <v>480</v>
      </c>
      <c r="K311" s="2" t="s">
        <v>629</v>
      </c>
      <c r="L311" s="2" t="str">
        <f>IFERROR(VLOOKUP(J311,Categories!$A$2:$C$41,3,FALSE()),"⚠ slug introuvable")</f>
        <v>Fillers, panneaux &amp; moulures</v>
      </c>
      <c r="M311" s="2" t="str">
        <f>IFERROR(VLOOKUP(K311,Categories!$A$2:$C$41,3,FALSE()),"⚠ slug introuvable")</f>
        <v>Fillers bas/mural/haut</v>
      </c>
      <c r="N311" s="2" t="s">
        <v>630</v>
      </c>
      <c r="O311" s="2" t="str">
        <f t="shared" si="114"/>
        <v>Filler pleine hauteur pour armoire de cuisine (3" x 120")</v>
      </c>
      <c r="P311" s="2" t="str">
        <f t="shared" si="115"/>
        <v>Filler pleine hauteur (3" x 120")</v>
      </c>
      <c r="Q311" s="11">
        <v>164</v>
      </c>
      <c r="R311" s="11">
        <f t="shared" si="109"/>
        <v>14.577777777777778</v>
      </c>
      <c r="S311" s="11">
        <f t="shared" si="110"/>
        <v>20.408888888888889</v>
      </c>
      <c r="T311" s="11">
        <f t="shared" si="111"/>
        <v>22.449777777777779</v>
      </c>
      <c r="U311" s="11">
        <f t="shared" si="116"/>
        <v>26.939733333333333</v>
      </c>
      <c r="V311" s="11">
        <f t="shared" si="116"/>
        <v>32.327680000000001</v>
      </c>
      <c r="W311" s="11">
        <f t="shared" si="112"/>
        <v>35.560448000000001</v>
      </c>
      <c r="X311" s="11">
        <f t="shared" si="113"/>
        <v>35.560448000000001</v>
      </c>
      <c r="Y311" s="14">
        <v>0.4</v>
      </c>
      <c r="Z311" s="11">
        <f t="shared" si="102"/>
        <v>59.267413333333337</v>
      </c>
      <c r="AA311" s="2">
        <v>3</v>
      </c>
      <c r="AB311" s="2">
        <v>120</v>
      </c>
      <c r="AC311" s="2">
        <v>0.75</v>
      </c>
      <c r="AD311" s="2" t="s">
        <v>51</v>
      </c>
      <c r="AE311" s="2" t="s">
        <v>51</v>
      </c>
    </row>
    <row r="312" spans="1:31">
      <c r="A312" s="2" t="s">
        <v>652</v>
      </c>
      <c r="B312" s="2"/>
      <c r="C312" s="2"/>
      <c r="D312" s="2"/>
      <c r="E312" s="2" t="b">
        <f t="shared" si="101"/>
        <v>1</v>
      </c>
      <c r="F312" s="2"/>
      <c r="G312" s="2" t="s">
        <v>651</v>
      </c>
      <c r="H312" s="2" t="str">
        <f t="shared" si="104"/>
        <v>Chêne blanc</v>
      </c>
      <c r="I312" s="2" t="str">
        <f t="shared" si="108"/>
        <v>TF3-120-WWO</v>
      </c>
      <c r="J312" s="2" t="str">
        <f>IFERROR(VLOOKUP(K312,Categories!$A$2:$C$41,2,FALSE()),"⚠ slug introuvable")</f>
        <v>fillers-panels-moldings</v>
      </c>
      <c r="K312" s="2" t="s">
        <v>629</v>
      </c>
      <c r="L312" s="2" t="str">
        <f>IFERROR(VLOOKUP(J312,Categories!$A$2:$C$41,3,FALSE()),"⚠ slug introuvable")</f>
        <v>Fillers, panneaux &amp; moulures</v>
      </c>
      <c r="M312" s="2" t="str">
        <f>IFERROR(VLOOKUP(K312,Categories!$A$2:$C$41,3,FALSE()),"⚠ slug introuvable")</f>
        <v>Fillers bas/mural/haut</v>
      </c>
      <c r="N312" s="2" t="s">
        <v>630</v>
      </c>
      <c r="O312" s="2" t="str">
        <f t="shared" si="114"/>
        <v>Filler pleine hauteur pour armoire de cuisine (3" x 120")</v>
      </c>
      <c r="P312" s="2" t="str">
        <f t="shared" si="115"/>
        <v>Filler pleine hauteur (3" x 120")</v>
      </c>
      <c r="Q312" s="11">
        <v>270</v>
      </c>
      <c r="R312" s="11">
        <f t="shared" si="109"/>
        <v>24</v>
      </c>
      <c r="S312" s="11">
        <f t="shared" si="110"/>
        <v>33.599999999999994</v>
      </c>
      <c r="T312" s="11">
        <f t="shared" si="111"/>
        <v>36.959999999999994</v>
      </c>
      <c r="U312" s="11">
        <f t="shared" si="116"/>
        <v>44.35199999999999</v>
      </c>
      <c r="V312" s="11">
        <f t="shared" si="116"/>
        <v>53.222399999999986</v>
      </c>
      <c r="W312" s="11">
        <f t="shared" si="112"/>
        <v>58.544639999999987</v>
      </c>
      <c r="X312" s="11">
        <f t="shared" si="113"/>
        <v>58.544639999999987</v>
      </c>
      <c r="Y312" s="14">
        <v>0.4</v>
      </c>
      <c r="Z312" s="11">
        <f t="shared" si="102"/>
        <v>97.574399999999983</v>
      </c>
      <c r="AA312" s="2">
        <v>3</v>
      </c>
      <c r="AB312" s="2">
        <v>120</v>
      </c>
      <c r="AC312" s="2">
        <v>0.75</v>
      </c>
      <c r="AD312" s="2" t="s">
        <v>51</v>
      </c>
      <c r="AE312" s="2" t="s">
        <v>51</v>
      </c>
    </row>
    <row r="313" spans="1:31">
      <c r="A313" s="2" t="s">
        <v>653</v>
      </c>
      <c r="B313" s="2"/>
      <c r="C313" s="2"/>
      <c r="D313" s="2"/>
      <c r="E313" s="2" t="b">
        <f t="shared" si="101"/>
        <v>1</v>
      </c>
      <c r="F313" s="2"/>
      <c r="G313" s="2" t="s">
        <v>654</v>
      </c>
      <c r="H313" s="2" t="str">
        <f t="shared" si="104"/>
        <v>Blanc</v>
      </c>
      <c r="I313" s="2" t="str">
        <f t="shared" si="108"/>
        <v>TF6-126-CW</v>
      </c>
      <c r="J313" s="2" t="s">
        <v>480</v>
      </c>
      <c r="K313" s="2" t="s">
        <v>629</v>
      </c>
      <c r="L313" s="2" t="str">
        <f>IFERROR(VLOOKUP(J313,Categories!$A$2:$C$41,3,FALSE()),"⚠ slug introuvable")</f>
        <v>Fillers, panneaux &amp; moulures</v>
      </c>
      <c r="M313" s="2" t="str">
        <f>IFERROR(VLOOKUP(K313,Categories!$A$2:$C$41,3,FALSE()),"⚠ slug introuvable")</f>
        <v>Fillers bas/mural/haut</v>
      </c>
      <c r="N313" s="2" t="s">
        <v>630</v>
      </c>
      <c r="O313" s="2" t="str">
        <f t="shared" si="114"/>
        <v>Filler pleine hauteur pour armoire de cuisine (6" x 126")</v>
      </c>
      <c r="P313" s="2" t="str">
        <f t="shared" si="115"/>
        <v>Filler pleine hauteur (6" x 126")</v>
      </c>
      <c r="Q313" s="11">
        <v>322</v>
      </c>
      <c r="R313" s="11">
        <f t="shared" si="109"/>
        <v>28.622222222222224</v>
      </c>
      <c r="S313" s="11">
        <f t="shared" si="110"/>
        <v>40.071111111111108</v>
      </c>
      <c r="T313" s="11">
        <f t="shared" si="111"/>
        <v>44.078222222222223</v>
      </c>
      <c r="U313" s="11">
        <f t="shared" si="116"/>
        <v>52.893866666666668</v>
      </c>
      <c r="V313" s="11">
        <f t="shared" si="116"/>
        <v>63.472639999999998</v>
      </c>
      <c r="W313" s="11">
        <f t="shared" si="112"/>
        <v>69.819904000000008</v>
      </c>
      <c r="X313" s="11">
        <f t="shared" si="113"/>
        <v>69.819904000000008</v>
      </c>
      <c r="Y313" s="14">
        <v>0.4</v>
      </c>
      <c r="Z313" s="11">
        <f t="shared" si="102"/>
        <v>116.36650666666668</v>
      </c>
      <c r="AA313" s="2">
        <v>6</v>
      </c>
      <c r="AB313" s="2">
        <v>126</v>
      </c>
      <c r="AC313" s="2">
        <v>0.75</v>
      </c>
      <c r="AD313" s="2" t="s">
        <v>51</v>
      </c>
      <c r="AE313" s="2" t="s">
        <v>51</v>
      </c>
    </row>
    <row r="314" spans="1:31">
      <c r="A314" s="2" t="s">
        <v>655</v>
      </c>
      <c r="B314" s="2"/>
      <c r="C314" s="2"/>
      <c r="D314" s="2"/>
      <c r="E314" s="2" t="b">
        <f t="shared" si="101"/>
        <v>1</v>
      </c>
      <c r="F314" s="2"/>
      <c r="G314" s="2" t="s">
        <v>654</v>
      </c>
      <c r="H314" s="2" t="str">
        <f t="shared" si="104"/>
        <v>Chêne blanc</v>
      </c>
      <c r="I314" s="2" t="str">
        <f t="shared" si="108"/>
        <v>TF6-126-WWO</v>
      </c>
      <c r="J314" s="2" t="str">
        <f>IFERROR(VLOOKUP(K314,Categories!$A$2:$C$41,2,FALSE()),"⚠ slug introuvable")</f>
        <v>fillers-panels-moldings</v>
      </c>
      <c r="K314" s="2" t="s">
        <v>629</v>
      </c>
      <c r="L314" s="2" t="str">
        <f>IFERROR(VLOOKUP(J314,Categories!$A$2:$C$41,3,FALSE()),"⚠ slug introuvable")</f>
        <v>Fillers, panneaux &amp; moulures</v>
      </c>
      <c r="M314" s="2" t="str">
        <f>IFERROR(VLOOKUP(K314,Categories!$A$2:$C$41,3,FALSE()),"⚠ slug introuvable")</f>
        <v>Fillers bas/mural/haut</v>
      </c>
      <c r="N314" s="2" t="s">
        <v>630</v>
      </c>
      <c r="O314" s="2" t="str">
        <f t="shared" si="114"/>
        <v>Filler pleine hauteur pour armoire de cuisine (6" x 126")</v>
      </c>
      <c r="P314" s="2" t="str">
        <f t="shared" si="115"/>
        <v>Filler pleine hauteur (6" x 126")</v>
      </c>
      <c r="Q314" s="11">
        <v>515</v>
      </c>
      <c r="R314" s="11">
        <f t="shared" si="109"/>
        <v>45.777777777777779</v>
      </c>
      <c r="S314" s="11">
        <f t="shared" si="110"/>
        <v>64.088888888888889</v>
      </c>
      <c r="T314" s="11">
        <f t="shared" si="111"/>
        <v>70.497777777777785</v>
      </c>
      <c r="U314" s="11">
        <f t="shared" si="116"/>
        <v>84.597333333333339</v>
      </c>
      <c r="V314" s="11">
        <f t="shared" si="116"/>
        <v>101.5168</v>
      </c>
      <c r="W314" s="11">
        <f t="shared" si="112"/>
        <v>111.66848000000002</v>
      </c>
      <c r="X314" s="11">
        <f t="shared" si="113"/>
        <v>111.66848000000002</v>
      </c>
      <c r="Y314" s="14">
        <v>0.4</v>
      </c>
      <c r="Z314" s="11">
        <f t="shared" si="102"/>
        <v>186.11413333333337</v>
      </c>
      <c r="AA314" s="2">
        <v>6</v>
      </c>
      <c r="AB314" s="2">
        <v>126</v>
      </c>
      <c r="AC314" s="2">
        <v>0.75</v>
      </c>
      <c r="AD314" s="2" t="s">
        <v>51</v>
      </c>
      <c r="AE314" s="2" t="s">
        <v>51</v>
      </c>
    </row>
    <row r="315" spans="1:31">
      <c r="A315" s="2" t="s">
        <v>656</v>
      </c>
      <c r="B315" s="2"/>
      <c r="C315" s="2"/>
      <c r="D315" s="2"/>
      <c r="E315" s="2" t="b">
        <f t="shared" si="101"/>
        <v>1</v>
      </c>
      <c r="F315" s="2"/>
      <c r="G315" s="2" t="s">
        <v>657</v>
      </c>
      <c r="H315" s="2" t="str">
        <f t="shared" si="104"/>
        <v>Blanc</v>
      </c>
      <c r="I315" s="2" t="str">
        <f t="shared" si="108"/>
        <v>WF636-CW</v>
      </c>
      <c r="J315" s="2" t="s">
        <v>480</v>
      </c>
      <c r="K315" s="2" t="s">
        <v>629</v>
      </c>
      <c r="L315" s="2" t="str">
        <f>IFERROR(VLOOKUP(J315,Categories!$A$2:$C$41,3,FALSE()),"⚠ slug introuvable")</f>
        <v>Fillers, panneaux &amp; moulures</v>
      </c>
      <c r="M315" s="2" t="str">
        <f>IFERROR(VLOOKUP(K315,Categories!$A$2:$C$41,3,FALSE()),"⚠ slug introuvable")</f>
        <v>Fillers bas/mural/haut</v>
      </c>
      <c r="N315" s="2" t="s">
        <v>630</v>
      </c>
      <c r="O315" s="2" t="str">
        <f t="shared" si="114"/>
        <v>Filler pleine hauteur pour armoire de cuisine (6" x 36")</v>
      </c>
      <c r="P315" s="2" t="str">
        <f t="shared" si="115"/>
        <v>Filler pleine hauteur (6" x 36")</v>
      </c>
      <c r="Q315" s="11">
        <v>88</v>
      </c>
      <c r="R315" s="11">
        <f t="shared" si="109"/>
        <v>7.822222222222222</v>
      </c>
      <c r="S315" s="11">
        <f t="shared" si="110"/>
        <v>10.951111111111111</v>
      </c>
      <c r="T315" s="11">
        <f t="shared" si="111"/>
        <v>12.046222222222223</v>
      </c>
      <c r="U315" s="11">
        <f t="shared" si="116"/>
        <v>14.455466666666666</v>
      </c>
      <c r="V315" s="11">
        <f t="shared" si="116"/>
        <v>17.34656</v>
      </c>
      <c r="W315" s="11">
        <f t="shared" si="112"/>
        <v>19.081216000000001</v>
      </c>
      <c r="X315" s="11">
        <f t="shared" si="113"/>
        <v>19.081216000000001</v>
      </c>
      <c r="Y315" s="14">
        <v>0.4</v>
      </c>
      <c r="Z315" s="11">
        <f t="shared" si="102"/>
        <v>31.80202666666667</v>
      </c>
      <c r="AA315" s="2">
        <v>6</v>
      </c>
      <c r="AB315" s="2">
        <v>36</v>
      </c>
      <c r="AC315" s="2">
        <v>0.75</v>
      </c>
      <c r="AD315" s="2" t="s">
        <v>51</v>
      </c>
      <c r="AE315" s="2" t="s">
        <v>51</v>
      </c>
    </row>
    <row r="316" spans="1:31">
      <c r="A316" s="2" t="s">
        <v>658</v>
      </c>
      <c r="B316" s="2"/>
      <c r="C316" s="2"/>
      <c r="D316" s="2"/>
      <c r="E316" s="2" t="b">
        <f t="shared" si="101"/>
        <v>1</v>
      </c>
      <c r="F316" s="2"/>
      <c r="G316" s="2" t="s">
        <v>657</v>
      </c>
      <c r="H316" s="2" t="str">
        <f t="shared" si="104"/>
        <v>Chêne blanc</v>
      </c>
      <c r="I316" s="2" t="str">
        <f t="shared" si="108"/>
        <v>WF636-WWO</v>
      </c>
      <c r="J316" s="2" t="str">
        <f>IFERROR(VLOOKUP(K316,Categories!$A$2:$C$41,2,FALSE()),"⚠ slug introuvable")</f>
        <v>fillers-panels-moldings</v>
      </c>
      <c r="K316" s="2" t="s">
        <v>629</v>
      </c>
      <c r="L316" s="2" t="str">
        <f>IFERROR(VLOOKUP(J316,Categories!$A$2:$C$41,3,FALSE()),"⚠ slug introuvable")</f>
        <v>Fillers, panneaux &amp; moulures</v>
      </c>
      <c r="M316" s="2" t="str">
        <f>IFERROR(VLOOKUP(K316,Categories!$A$2:$C$41,3,FALSE()),"⚠ slug introuvable")</f>
        <v>Fillers bas/mural/haut</v>
      </c>
      <c r="N316" s="2" t="s">
        <v>630</v>
      </c>
      <c r="O316" s="2" t="str">
        <f t="shared" si="114"/>
        <v>Filler pleine hauteur pour armoire de cuisine (6" x 36")</v>
      </c>
      <c r="P316" s="2" t="str">
        <f t="shared" si="115"/>
        <v>Filler pleine hauteur (6" x 36")</v>
      </c>
      <c r="Q316" s="11">
        <v>240.75</v>
      </c>
      <c r="R316" s="11">
        <f t="shared" si="109"/>
        <v>21.4</v>
      </c>
      <c r="S316" s="11">
        <f t="shared" si="110"/>
        <v>29.959999999999997</v>
      </c>
      <c r="T316" s="11">
        <f t="shared" si="111"/>
        <v>32.956000000000003</v>
      </c>
      <c r="U316" s="11">
        <f t="shared" si="116"/>
        <v>39.547200000000004</v>
      </c>
      <c r="V316" s="11">
        <f t="shared" si="116"/>
        <v>47.45664</v>
      </c>
      <c r="W316" s="11">
        <f t="shared" si="112"/>
        <v>52.202304000000005</v>
      </c>
      <c r="X316" s="11">
        <f t="shared" si="113"/>
        <v>52.202304000000005</v>
      </c>
      <c r="Y316" s="14">
        <v>0.4</v>
      </c>
      <c r="Z316" s="11">
        <f t="shared" si="102"/>
        <v>87.003840000000011</v>
      </c>
      <c r="AA316" s="2">
        <v>6</v>
      </c>
      <c r="AB316" s="2">
        <v>36</v>
      </c>
      <c r="AC316" s="2">
        <v>0.75</v>
      </c>
      <c r="AD316" s="2" t="s">
        <v>51</v>
      </c>
      <c r="AE316" s="2" t="s">
        <v>51</v>
      </c>
    </row>
    <row r="317" spans="1:31">
      <c r="A317" s="2" t="s">
        <v>659</v>
      </c>
      <c r="B317" s="2"/>
      <c r="C317" s="2"/>
      <c r="D317" s="2"/>
      <c r="E317" s="2" t="b">
        <f t="shared" si="101"/>
        <v>1</v>
      </c>
      <c r="F317" s="2"/>
      <c r="G317" s="2" t="s">
        <v>660</v>
      </c>
      <c r="H317" s="2" t="str">
        <f t="shared" si="104"/>
        <v>Blanc</v>
      </c>
      <c r="I317" s="2" t="str">
        <f t="shared" si="108"/>
        <v>TF696-CW</v>
      </c>
      <c r="J317" s="2" t="s">
        <v>480</v>
      </c>
      <c r="K317" s="2" t="s">
        <v>629</v>
      </c>
      <c r="L317" s="2" t="str">
        <f>IFERROR(VLOOKUP(J317,Categories!$A$2:$C$41,3,FALSE()),"⚠ slug introuvable")</f>
        <v>Fillers, panneaux &amp; moulures</v>
      </c>
      <c r="M317" s="2" t="str">
        <f>IFERROR(VLOOKUP(K317,Categories!$A$2:$C$41,3,FALSE()),"⚠ slug introuvable")</f>
        <v>Fillers bas/mural/haut</v>
      </c>
      <c r="N317" s="2" t="s">
        <v>630</v>
      </c>
      <c r="O317" s="2" t="str">
        <f t="shared" si="114"/>
        <v>Filler pleine hauteur pour armoire de cuisine (6" x 96")</v>
      </c>
      <c r="P317" s="2" t="str">
        <f t="shared" si="115"/>
        <v>Filler pleine hauteur (6" x 96")</v>
      </c>
      <c r="Q317" s="11">
        <v>251</v>
      </c>
      <c r="R317" s="11">
        <f t="shared" si="109"/>
        <v>22.31111111111111</v>
      </c>
      <c r="S317" s="11">
        <f t="shared" si="110"/>
        <v>31.235555555555553</v>
      </c>
      <c r="T317" s="11">
        <f t="shared" si="111"/>
        <v>34.359111111111112</v>
      </c>
      <c r="U317" s="11">
        <f t="shared" si="116"/>
        <v>41.230933333333333</v>
      </c>
      <c r="V317" s="11">
        <f t="shared" si="116"/>
        <v>49.477119999999999</v>
      </c>
      <c r="W317" s="11">
        <f t="shared" si="112"/>
        <v>54.424832000000002</v>
      </c>
      <c r="X317" s="11">
        <f t="shared" si="113"/>
        <v>54.424832000000002</v>
      </c>
      <c r="Y317" s="14">
        <v>0.4</v>
      </c>
      <c r="Z317" s="11">
        <f t="shared" si="102"/>
        <v>90.708053333333339</v>
      </c>
      <c r="AA317" s="2">
        <v>6</v>
      </c>
      <c r="AB317" s="2">
        <v>96</v>
      </c>
      <c r="AC317" s="2">
        <v>0.75</v>
      </c>
      <c r="AD317" s="2" t="s">
        <v>51</v>
      </c>
      <c r="AE317" s="2" t="s">
        <v>51</v>
      </c>
    </row>
    <row r="318" spans="1:31">
      <c r="A318" s="2" t="s">
        <v>661</v>
      </c>
      <c r="B318" s="2"/>
      <c r="C318" s="2"/>
      <c r="D318" s="2"/>
      <c r="E318" s="2" t="b">
        <f t="shared" si="101"/>
        <v>1</v>
      </c>
      <c r="F318" s="2"/>
      <c r="G318" s="2" t="s">
        <v>660</v>
      </c>
      <c r="H318" s="2" t="str">
        <f t="shared" si="104"/>
        <v>Chêne blanc</v>
      </c>
      <c r="I318" s="2" t="str">
        <f t="shared" si="108"/>
        <v>TF696-WWO</v>
      </c>
      <c r="J318" s="2" t="str">
        <f>IFERROR(VLOOKUP(K318,Categories!$A$2:$C$41,2,FALSE()),"⚠ slug introuvable")</f>
        <v>fillers-panels-moldings</v>
      </c>
      <c r="K318" s="2" t="s">
        <v>629</v>
      </c>
      <c r="L318" s="2" t="str">
        <f>IFERROR(VLOOKUP(J318,Categories!$A$2:$C$41,3,FALSE()),"⚠ slug introuvable")</f>
        <v>Fillers, panneaux &amp; moulures</v>
      </c>
      <c r="M318" s="2" t="str">
        <f>IFERROR(VLOOKUP(K318,Categories!$A$2:$C$41,3,FALSE()),"⚠ slug introuvable")</f>
        <v>Fillers bas/mural/haut</v>
      </c>
      <c r="N318" s="2" t="s">
        <v>630</v>
      </c>
      <c r="O318" s="2" t="str">
        <f t="shared" si="114"/>
        <v>Filler pleine hauteur pour armoire de cuisine (6" x 96")</v>
      </c>
      <c r="P318" s="2" t="str">
        <f t="shared" si="115"/>
        <v>Filler pleine hauteur (6" x 96")</v>
      </c>
      <c r="Q318" s="11">
        <v>413</v>
      </c>
      <c r="R318" s="11">
        <f t="shared" si="109"/>
        <v>36.711111111111109</v>
      </c>
      <c r="S318" s="11">
        <f t="shared" si="110"/>
        <v>51.395555555555546</v>
      </c>
      <c r="T318" s="11">
        <f t="shared" si="111"/>
        <v>56.535111111111107</v>
      </c>
      <c r="U318" s="11">
        <f t="shared" si="116"/>
        <v>67.842133333333322</v>
      </c>
      <c r="V318" s="11">
        <f t="shared" si="116"/>
        <v>81.41055999999999</v>
      </c>
      <c r="W318" s="11">
        <f t="shared" si="112"/>
        <v>89.551615999999996</v>
      </c>
      <c r="X318" s="11">
        <f t="shared" si="113"/>
        <v>89.551615999999996</v>
      </c>
      <c r="Y318" s="14">
        <v>0.4</v>
      </c>
      <c r="Z318" s="11">
        <f t="shared" si="102"/>
        <v>149.25269333333333</v>
      </c>
      <c r="AA318" s="2">
        <v>6</v>
      </c>
      <c r="AB318" s="2">
        <v>96</v>
      </c>
      <c r="AC318" s="2">
        <v>0.75</v>
      </c>
      <c r="AD318" s="2" t="s">
        <v>51</v>
      </c>
      <c r="AE318" s="2" t="s">
        <v>51</v>
      </c>
    </row>
    <row r="319" spans="1:31">
      <c r="A319" s="2" t="s">
        <v>662</v>
      </c>
      <c r="B319" s="2"/>
      <c r="C319" s="2"/>
      <c r="D319" s="2"/>
      <c r="E319" s="2" t="b">
        <f t="shared" si="101"/>
        <v>1</v>
      </c>
      <c r="F319" s="2"/>
      <c r="G319" s="2" t="s">
        <v>663</v>
      </c>
      <c r="H319" s="2" t="str">
        <f t="shared" si="104"/>
        <v>Blanc</v>
      </c>
      <c r="I319" s="2" t="str">
        <f t="shared" ref="I319:I325" si="117">_xlfn.CONCAT(G319,IF(H319="","",IF(H319="Blanc","-CW","-WWO")))</f>
        <v>TF6-120-CW</v>
      </c>
      <c r="J319" s="2" t="s">
        <v>480</v>
      </c>
      <c r="K319" s="2" t="s">
        <v>629</v>
      </c>
      <c r="L319" s="2" t="str">
        <f>IFERROR(VLOOKUP(J319,Categories!$A$2:$C$41,3,FALSE()),"⚠ slug introuvable")</f>
        <v>Fillers, panneaux &amp; moulures</v>
      </c>
      <c r="M319" s="2" t="str">
        <f>IFERROR(VLOOKUP(K319,Categories!$A$2:$C$41,3,FALSE()),"⚠ slug introuvable")</f>
        <v>Fillers bas/mural/haut</v>
      </c>
      <c r="N319" s="2" t="s">
        <v>630</v>
      </c>
      <c r="O319" s="2" t="str">
        <f t="shared" si="114"/>
        <v>Filler pleine hauteur pour armoire de cuisine (6" x 120")</v>
      </c>
      <c r="P319" s="2" t="str">
        <f t="shared" si="115"/>
        <v>Filler pleine hauteur (6" x 120")</v>
      </c>
      <c r="Q319" s="11">
        <v>306</v>
      </c>
      <c r="R319" s="11">
        <f t="shared" ref="R319:R325" si="118">Q319/11.25</f>
        <v>27.2</v>
      </c>
      <c r="S319" s="11">
        <f t="shared" ref="S319:S325" si="119">R319*1.4</f>
        <v>38.08</v>
      </c>
      <c r="T319" s="11">
        <f t="shared" ref="T319:T325" si="120">S319*1.1</f>
        <v>41.887999999999998</v>
      </c>
      <c r="U319" s="11">
        <f t="shared" si="116"/>
        <v>50.265599999999999</v>
      </c>
      <c r="V319" s="11">
        <f t="shared" si="116"/>
        <v>60.318719999999999</v>
      </c>
      <c r="W319" s="11">
        <f t="shared" ref="W319:W325" si="121">V319*1.1</f>
        <v>66.350592000000006</v>
      </c>
      <c r="X319" s="11">
        <f t="shared" ref="X319:X325" si="122">W319</f>
        <v>66.350592000000006</v>
      </c>
      <c r="Y319" s="14">
        <v>0.4</v>
      </c>
      <c r="Z319" s="11">
        <f t="shared" si="102"/>
        <v>110.58432000000002</v>
      </c>
      <c r="AA319" s="2">
        <v>6</v>
      </c>
      <c r="AB319" s="2">
        <v>120</v>
      </c>
      <c r="AC319" s="2">
        <v>0.75</v>
      </c>
      <c r="AD319" s="2" t="s">
        <v>51</v>
      </c>
      <c r="AE319" s="2" t="s">
        <v>51</v>
      </c>
    </row>
    <row r="320" spans="1:31">
      <c r="A320" s="2" t="s">
        <v>664</v>
      </c>
      <c r="B320" s="2"/>
      <c r="C320" s="2"/>
      <c r="D320" s="2"/>
      <c r="E320" s="2" t="b">
        <f t="shared" si="101"/>
        <v>1</v>
      </c>
      <c r="F320" s="2"/>
      <c r="G320" s="2" t="s">
        <v>663</v>
      </c>
      <c r="H320" s="2" t="str">
        <f t="shared" si="104"/>
        <v>Chêne blanc</v>
      </c>
      <c r="I320" s="2" t="str">
        <f t="shared" si="117"/>
        <v>TF6-120-WWO</v>
      </c>
      <c r="J320" s="2" t="str">
        <f>IFERROR(VLOOKUP(K320,Categories!$A$2:$C$41,2,FALSE()),"⚠ slug introuvable")</f>
        <v>fillers-panels-moldings</v>
      </c>
      <c r="K320" s="2" t="s">
        <v>629</v>
      </c>
      <c r="L320" s="2" t="str">
        <f>IFERROR(VLOOKUP(J320,Categories!$A$2:$C$41,3,FALSE()),"⚠ slug introuvable")</f>
        <v>Fillers, panneaux &amp; moulures</v>
      </c>
      <c r="M320" s="2" t="str">
        <f>IFERROR(VLOOKUP(K320,Categories!$A$2:$C$41,3,FALSE()),"⚠ slug introuvable")</f>
        <v>Fillers bas/mural/haut</v>
      </c>
      <c r="N320" s="2" t="s">
        <v>630</v>
      </c>
      <c r="O320" s="2" t="str">
        <f t="shared" si="114"/>
        <v>Filler pleine hauteur pour armoire de cuisine (6" x 120")</v>
      </c>
      <c r="P320" s="2" t="str">
        <f t="shared" si="115"/>
        <v>Filler pleine hauteur (6" x 120")</v>
      </c>
      <c r="Q320" s="11">
        <v>496</v>
      </c>
      <c r="R320" s="11">
        <f t="shared" si="118"/>
        <v>44.088888888888889</v>
      </c>
      <c r="S320" s="11">
        <f t="shared" si="119"/>
        <v>61.724444444444437</v>
      </c>
      <c r="T320" s="11">
        <f t="shared" si="120"/>
        <v>67.896888888888881</v>
      </c>
      <c r="U320" s="11">
        <f t="shared" si="116"/>
        <v>81.47626666666666</v>
      </c>
      <c r="V320" s="11">
        <f t="shared" si="116"/>
        <v>97.771519999999995</v>
      </c>
      <c r="W320" s="11">
        <f t="shared" si="121"/>
        <v>107.54867200000001</v>
      </c>
      <c r="X320" s="11">
        <f t="shared" si="122"/>
        <v>107.54867200000001</v>
      </c>
      <c r="Y320" s="14">
        <v>0.4</v>
      </c>
      <c r="Z320" s="11">
        <f t="shared" si="102"/>
        <v>179.24778666666668</v>
      </c>
      <c r="AA320" s="2">
        <v>6</v>
      </c>
      <c r="AB320" s="2">
        <v>120</v>
      </c>
      <c r="AC320" s="2">
        <v>0.75</v>
      </c>
      <c r="AD320" s="2" t="s">
        <v>51</v>
      </c>
      <c r="AE320" s="2" t="s">
        <v>51</v>
      </c>
    </row>
    <row r="321" spans="1:31" hidden="1">
      <c r="A321" s="2" t="s">
        <v>665</v>
      </c>
      <c r="B321" s="2" t="b">
        <v>1</v>
      </c>
      <c r="C321" s="2"/>
      <c r="D321" s="2"/>
      <c r="E321" s="2" t="b">
        <f t="shared" si="101"/>
        <v>0</v>
      </c>
      <c r="F321" s="2"/>
      <c r="G321" s="2"/>
      <c r="H321" s="2" t="str">
        <f t="shared" si="104"/>
        <v>Blanc</v>
      </c>
      <c r="I321" s="2" t="str">
        <f t="shared" si="117"/>
        <v>-CW</v>
      </c>
      <c r="J321" s="2"/>
      <c r="K321" s="2" t="s">
        <v>666</v>
      </c>
      <c r="L321" s="2"/>
      <c r="M321" s="2" t="str">
        <f>IFERROR(VLOOKUP(K321,Categories!$A$2:$C$41,3,FALSE()),"⚠ slug introuvable")</f>
        <v>⚠ slug introuvable</v>
      </c>
      <c r="N321" s="2" t="s">
        <v>667</v>
      </c>
      <c r="O321" s="2"/>
      <c r="P321" s="2"/>
      <c r="Q321" s="11"/>
      <c r="R321" s="11">
        <f t="shared" si="118"/>
        <v>0</v>
      </c>
      <c r="S321" s="11">
        <f t="shared" si="119"/>
        <v>0</v>
      </c>
      <c r="T321" s="11">
        <f t="shared" si="120"/>
        <v>0</v>
      </c>
      <c r="U321" s="11">
        <f t="shared" si="116"/>
        <v>0</v>
      </c>
      <c r="V321" s="11">
        <f t="shared" si="116"/>
        <v>0</v>
      </c>
      <c r="W321" s="11">
        <f t="shared" si="121"/>
        <v>0</v>
      </c>
      <c r="X321" s="11">
        <f t="shared" si="122"/>
        <v>0</v>
      </c>
      <c r="Y321" s="14">
        <v>0.4</v>
      </c>
      <c r="Z321" s="11">
        <f t="shared" si="102"/>
        <v>0</v>
      </c>
      <c r="AA321" s="2">
        <v>30</v>
      </c>
      <c r="AB321" s="2">
        <v>91.5</v>
      </c>
      <c r="AC321" s="2">
        <v>27</v>
      </c>
      <c r="AD321" s="2">
        <v>2</v>
      </c>
      <c r="AE321" s="2">
        <v>0</v>
      </c>
    </row>
    <row r="322" spans="1:31">
      <c r="A322" s="2" t="s">
        <v>668</v>
      </c>
      <c r="B322" s="2"/>
      <c r="C322" s="2"/>
      <c r="D322" s="2"/>
      <c r="E322" s="2" t="b">
        <f t="shared" si="101"/>
        <v>1</v>
      </c>
      <c r="F322" s="4" t="s">
        <v>669</v>
      </c>
      <c r="G322" s="2" t="s">
        <v>670</v>
      </c>
      <c r="H322" s="2" t="str">
        <f t="shared" si="104"/>
        <v>Blanc</v>
      </c>
      <c r="I322" s="2" t="str">
        <f t="shared" si="117"/>
        <v>DDUC13.75-37.5-CW</v>
      </c>
      <c r="J322" s="2" t="s">
        <v>480</v>
      </c>
      <c r="K322" s="2" t="s">
        <v>481</v>
      </c>
      <c r="L322" s="2" t="str">
        <f>IFERROR(VLOOKUP(J322,Categories!$A$2:$C$41,3,FALSE()),"⚠ slug introuvable")</f>
        <v>Fillers, panneaux &amp; moulures</v>
      </c>
      <c r="M322" s="2" t="str">
        <f>IFERROR(VLOOKUP(K322,Categories!$A$2:$C$41,3,FALSE()),"⚠ slug introuvable")</f>
        <v>Fausse porte</v>
      </c>
      <c r="N322" s="2" t="s">
        <v>671</v>
      </c>
      <c r="O322" s="2" t="str">
        <f>_xlfn.CONCAT(N322," (",AA322,""" x ",AB322,""")")</f>
        <v>Fausse porte pour garde-manger (13.75" x 37.5")</v>
      </c>
      <c r="P322" s="2" t="str">
        <f>_xlfn.CONCAT("Fausse porte - Garde-manger"," (",AA322,""" x ",AB322,""")")</f>
        <v>Fausse porte - Garde-manger (13.75" x 37.5")</v>
      </c>
      <c r="Q322" s="11">
        <v>194</v>
      </c>
      <c r="R322" s="11">
        <f t="shared" si="118"/>
        <v>17.244444444444444</v>
      </c>
      <c r="S322" s="11">
        <f t="shared" si="119"/>
        <v>24.14222222222222</v>
      </c>
      <c r="T322" s="11">
        <f t="shared" si="120"/>
        <v>26.556444444444445</v>
      </c>
      <c r="U322" s="11">
        <f t="shared" si="116"/>
        <v>31.867733333333334</v>
      </c>
      <c r="V322" s="11">
        <f t="shared" si="116"/>
        <v>38.241279999999996</v>
      </c>
      <c r="W322" s="11">
        <f t="shared" si="121"/>
        <v>42.065407999999998</v>
      </c>
      <c r="X322" s="11">
        <f t="shared" si="122"/>
        <v>42.065407999999998</v>
      </c>
      <c r="Y322" s="14">
        <v>0.4</v>
      </c>
      <c r="Z322" s="11">
        <f t="shared" si="102"/>
        <v>70.109013333333337</v>
      </c>
      <c r="AA322" s="2">
        <v>13.75</v>
      </c>
      <c r="AB322" s="2">
        <v>37.5</v>
      </c>
      <c r="AC322" s="2">
        <v>0.75</v>
      </c>
      <c r="AD322" s="2" t="s">
        <v>51</v>
      </c>
      <c r="AE322" s="2" t="s">
        <v>51</v>
      </c>
    </row>
    <row r="323" spans="1:31">
      <c r="A323" s="2" t="s">
        <v>672</v>
      </c>
      <c r="B323" s="2"/>
      <c r="C323" s="2"/>
      <c r="D323" s="2"/>
      <c r="E323" s="2" t="b">
        <f t="shared" si="101"/>
        <v>1</v>
      </c>
      <c r="F323" s="4"/>
      <c r="G323" s="2" t="s">
        <v>673</v>
      </c>
      <c r="H323" s="2" t="str">
        <f t="shared" si="104"/>
        <v>Blanc</v>
      </c>
      <c r="I323" s="2" t="str">
        <f t="shared" si="117"/>
        <v>DDUC13.75-39-CW</v>
      </c>
      <c r="J323" s="2" t="s">
        <v>480</v>
      </c>
      <c r="K323" s="2" t="s">
        <v>481</v>
      </c>
      <c r="L323" s="2" t="str">
        <f>IFERROR(VLOOKUP(J323,Categories!$A$2:$C$41,3,FALSE()),"⚠ slug introuvable")</f>
        <v>Fillers, panneaux &amp; moulures</v>
      </c>
      <c r="M323" s="2" t="str">
        <f>IFERROR(VLOOKUP(K323,Categories!$A$2:$C$41,3,FALSE()),"⚠ slug introuvable")</f>
        <v>Fausse porte</v>
      </c>
      <c r="N323" s="2" t="s">
        <v>671</v>
      </c>
      <c r="O323" s="2" t="str">
        <f>_xlfn.CONCAT(N323," (",AA323,""" x ",AB323,""")")</f>
        <v>Fausse porte pour garde-manger (13.75" x 39")</v>
      </c>
      <c r="P323" s="2" t="str">
        <f>_xlfn.CONCAT("Fausse porte - Garde-manger"," (",AA323,""" x ",AB323,""")")</f>
        <v>Fausse porte - Garde-manger (13.75" x 39")</v>
      </c>
      <c r="Q323" s="11">
        <v>202</v>
      </c>
      <c r="R323" s="11">
        <f t="shared" si="118"/>
        <v>17.955555555555556</v>
      </c>
      <c r="S323" s="11">
        <f t="shared" si="119"/>
        <v>25.137777777777778</v>
      </c>
      <c r="T323" s="11">
        <f t="shared" si="120"/>
        <v>27.651555555555557</v>
      </c>
      <c r="U323" s="11">
        <f t="shared" ref="U323:V325" si="123">T323*1.2</f>
        <v>33.181866666666664</v>
      </c>
      <c r="V323" s="11">
        <f t="shared" si="123"/>
        <v>39.818239999999996</v>
      </c>
      <c r="W323" s="11">
        <f t="shared" si="121"/>
        <v>43.800063999999999</v>
      </c>
      <c r="X323" s="11">
        <f t="shared" si="122"/>
        <v>43.800063999999999</v>
      </c>
      <c r="Y323" s="14">
        <v>0.4</v>
      </c>
      <c r="Z323" s="11">
        <f t="shared" si="102"/>
        <v>73.000106666666667</v>
      </c>
      <c r="AA323" s="2">
        <v>13.75</v>
      </c>
      <c r="AB323" s="2">
        <v>39</v>
      </c>
      <c r="AC323" s="2">
        <v>0.75</v>
      </c>
      <c r="AD323" s="2" t="s">
        <v>51</v>
      </c>
      <c r="AE323" s="2" t="s">
        <v>51</v>
      </c>
    </row>
    <row r="324" spans="1:31">
      <c r="A324" s="2" t="s">
        <v>674</v>
      </c>
      <c r="B324" s="2"/>
      <c r="C324" s="2"/>
      <c r="D324" s="2"/>
      <c r="E324" s="2" t="b">
        <f t="shared" si="101"/>
        <v>1</v>
      </c>
      <c r="F324" s="4"/>
      <c r="G324" s="2" t="s">
        <v>675</v>
      </c>
      <c r="H324" s="2" t="str">
        <f t="shared" si="104"/>
        <v>Blanc</v>
      </c>
      <c r="I324" s="2" t="str">
        <f t="shared" si="117"/>
        <v>DDUC13.75-49.5-CW</v>
      </c>
      <c r="J324" s="2" t="s">
        <v>480</v>
      </c>
      <c r="K324" s="2" t="s">
        <v>481</v>
      </c>
      <c r="L324" s="2" t="str">
        <f>IFERROR(VLOOKUP(J324,Categories!$A$2:$C$41,3,FALSE()),"⚠ slug introuvable")</f>
        <v>Fillers, panneaux &amp; moulures</v>
      </c>
      <c r="M324" s="2" t="str">
        <f>IFERROR(VLOOKUP(K324,Categories!$A$2:$C$41,3,FALSE()),"⚠ slug introuvable")</f>
        <v>Fausse porte</v>
      </c>
      <c r="N324" s="2" t="s">
        <v>671</v>
      </c>
      <c r="O324" s="2" t="str">
        <f>_xlfn.CONCAT(N324," (",AA324,""" x ",AB324,""")")</f>
        <v>Fausse porte pour garde-manger (13.75" x 49.5")</v>
      </c>
      <c r="P324" s="2" t="str">
        <f>_xlfn.CONCAT("Fausse porte - Garde-manger"," (",AA324,""" x ",AB324,""")")</f>
        <v>Fausse porte - Garde-manger (13.75" x 49.5")</v>
      </c>
      <c r="Q324" s="11">
        <v>267</v>
      </c>
      <c r="R324" s="11">
        <f t="shared" si="118"/>
        <v>23.733333333333334</v>
      </c>
      <c r="S324" s="11">
        <f t="shared" si="119"/>
        <v>33.226666666666667</v>
      </c>
      <c r="T324" s="11">
        <f t="shared" si="120"/>
        <v>36.549333333333337</v>
      </c>
      <c r="U324" s="11">
        <f t="shared" si="123"/>
        <v>43.859200000000001</v>
      </c>
      <c r="V324" s="11">
        <f t="shared" si="123"/>
        <v>52.631039999999999</v>
      </c>
      <c r="W324" s="11">
        <f t="shared" si="121"/>
        <v>57.894144000000004</v>
      </c>
      <c r="X324" s="11">
        <f t="shared" si="122"/>
        <v>57.894144000000004</v>
      </c>
      <c r="Y324" s="14">
        <v>0.4</v>
      </c>
      <c r="Z324" s="11">
        <f t="shared" si="102"/>
        <v>96.490240000000014</v>
      </c>
      <c r="AA324" s="2">
        <v>13.75</v>
      </c>
      <c r="AB324" s="2">
        <v>49.5</v>
      </c>
      <c r="AC324" s="2">
        <v>0.75</v>
      </c>
      <c r="AD324" s="2" t="s">
        <v>51</v>
      </c>
      <c r="AE324" s="2" t="s">
        <v>51</v>
      </c>
    </row>
    <row r="325" spans="1:31">
      <c r="A325" s="2" t="s">
        <v>676</v>
      </c>
      <c r="B325" s="3"/>
      <c r="C325" s="3"/>
      <c r="D325" s="3"/>
      <c r="E325" s="2" t="b">
        <f t="shared" si="101"/>
        <v>1</v>
      </c>
      <c r="F325" s="2"/>
      <c r="G325" s="2" t="s">
        <v>677</v>
      </c>
      <c r="H325" s="2"/>
      <c r="I325" s="2" t="str">
        <f t="shared" si="117"/>
        <v>HINGE</v>
      </c>
      <c r="J325" s="2"/>
      <c r="K325" s="2" t="s">
        <v>678</v>
      </c>
      <c r="L325" s="2"/>
      <c r="M325" s="2" t="str">
        <f>IFERROR(VLOOKUP(K325,Categories!$A$2:$C$41,3,FALSE()),"⚠ slug introuvable")</f>
        <v>Charnières</v>
      </c>
      <c r="N325" s="3" t="s">
        <v>679</v>
      </c>
      <c r="O325" s="3"/>
      <c r="P325" s="3"/>
      <c r="Q325" s="11">
        <v>10</v>
      </c>
      <c r="R325" s="11">
        <f t="shared" si="118"/>
        <v>0.88888888888888884</v>
      </c>
      <c r="S325" s="11">
        <f t="shared" si="119"/>
        <v>1.2444444444444442</v>
      </c>
      <c r="T325" s="11">
        <f t="shared" si="120"/>
        <v>1.3688888888888888</v>
      </c>
      <c r="U325" s="11">
        <f t="shared" si="123"/>
        <v>1.6426666666666665</v>
      </c>
      <c r="V325" s="11">
        <f t="shared" si="123"/>
        <v>1.9711999999999996</v>
      </c>
      <c r="W325" s="11">
        <f t="shared" si="121"/>
        <v>2.1683199999999996</v>
      </c>
      <c r="X325" s="11">
        <f t="shared" si="122"/>
        <v>2.1683199999999996</v>
      </c>
      <c r="Y325" s="14">
        <v>0.4</v>
      </c>
      <c r="Z325" s="11">
        <f t="shared" si="102"/>
        <v>3.6138666666666661</v>
      </c>
      <c r="AA325" s="2"/>
      <c r="AB325" s="2"/>
      <c r="AC325" s="2"/>
      <c r="AD325" s="2" t="s">
        <v>51</v>
      </c>
      <c r="AE325" s="2" t="s">
        <v>51</v>
      </c>
    </row>
  </sheetData>
  <autoFilter ref="A3:AE325" xr:uid="{00000000-0001-0000-0000-000000000000}">
    <filterColumn colId="4">
      <filters>
        <filter val="TRUE"/>
      </filters>
    </filterColumn>
    <sortState xmlns:xlrd2="http://schemas.microsoft.com/office/spreadsheetml/2017/richdata2" ref="A10:AE325">
      <sortCondition ref="L3:L325"/>
    </sortState>
  </autoFilter>
  <mergeCells count="3">
    <mergeCell ref="G2:H2"/>
    <mergeCell ref="AA2:AE2"/>
    <mergeCell ref="I2:M2"/>
  </mergeCells>
  <phoneticPr fontId="4" type="noConversion"/>
  <dataValidations count="1">
    <dataValidation type="list" allowBlank="1" showErrorMessage="1" errorTitle="Parent invalide" error="Le parent doit être un slug existant (ou vide pour une racine)." sqref="J220:J227 J152:J153 J155:J156 J158:J161 J163:J165 J167:J170 J172:J175 J177:J179 J181:J189 J191:J192 J194:J197 J200:J204 J206:J209 J211:J218 J229 J235:J240 J263:J269 J271" xr:uid="{8DCD11E6-BB49-4694-B276-ACDD163B9BD1}">
      <formula1>$A$4:$A$41</formula1>
      <formula2>0</formula2>
    </dataValidation>
  </dataValidations>
  <printOptions horizontalCentered="1"/>
  <pageMargins left="0.23622047244094491" right="0.23622047244094491" top="0.23622047244094491" bottom="0.23622047244094491" header="0.31496062992125984" footer="0.31496062992125984"/>
  <pageSetup paperSize="9" scale="47" fitToHeight="0" orientation="landscape" horizontalDpi="300" verticalDpi="300" r:id="rId1"/>
  <rowBreaks count="3" manualBreakCount="3">
    <brk id="82" max="30" man="1"/>
    <brk id="161" max="30" man="1"/>
    <brk id="274" max="30" man="1"/>
  </rowBreaks>
  <colBreaks count="1" manualBreakCount="1">
    <brk id="31" min="2" max="324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Catégorie invalide" error="Choisis un slug dans la liste (onglet Categories)." promptTitle="Catégorie" prompt="Choisis un slug de catégorie dans la liste." xr:uid="{00000000-0002-0000-0000-000000000000}">
          <x14:formula1>
            <xm:f>Categories!$A$2:$A$41</xm:f>
          </x14:formula1>
          <x14:formula2>
            <xm:f>0</xm:f>
          </x14:formula2>
          <xm:sqref>L4:L5 L270 J270 L241:L262 J241:J262 J230:J234 L230:L234 L228 L219 L210 L205 L198:L199 L193 L190 L180 L162 J228 J219 J210 J205 J198:J199 J193 J190 J180 J176 J171 J166 J162 J157 J154 J4:J121 L63 L325 J272:J325 K4:K43 K114:K121 L277:L321 L80 L82 L84 L86 K47:K105 L88:L103 K107:K109 J130:J151 K130:K325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1"/>
  <sheetViews>
    <sheetView zoomScaleNormal="100" workbookViewId="0">
      <pane ySplit="1" topLeftCell="A2" activePane="bottomLeft" state="frozen"/>
      <selection pane="bottomLeft" activeCell="C27" sqref="C27"/>
    </sheetView>
  </sheetViews>
  <sheetFormatPr defaultColWidth="8.7109375" defaultRowHeight="15"/>
  <cols>
    <col min="1" max="1" width="34" customWidth="1"/>
    <col min="2" max="2" width="24" customWidth="1"/>
    <col min="3" max="3" width="26" customWidth="1"/>
  </cols>
  <sheetData>
    <row r="1" spans="1:3" ht="21.75" customHeight="1">
      <c r="A1" s="1" t="s">
        <v>680</v>
      </c>
      <c r="B1" s="1" t="s">
        <v>681</v>
      </c>
      <c r="C1" s="1" t="s">
        <v>682</v>
      </c>
    </row>
    <row r="2" spans="1:3">
      <c r="A2" s="2" t="s">
        <v>100</v>
      </c>
      <c r="B2" s="2" t="s">
        <v>683</v>
      </c>
      <c r="C2" s="2" t="s">
        <v>684</v>
      </c>
    </row>
    <row r="3" spans="1:3">
      <c r="A3" s="2" t="s">
        <v>119</v>
      </c>
      <c r="B3" s="2" t="s">
        <v>683</v>
      </c>
      <c r="C3" s="2" t="s">
        <v>685</v>
      </c>
    </row>
    <row r="4" spans="1:3">
      <c r="A4" s="2" t="s">
        <v>207</v>
      </c>
      <c r="B4" s="2" t="s">
        <v>683</v>
      </c>
      <c r="C4" s="2" t="s">
        <v>686</v>
      </c>
    </row>
    <row r="5" spans="1:3">
      <c r="A5" s="2" t="s">
        <v>95</v>
      </c>
      <c r="B5" s="2" t="s">
        <v>683</v>
      </c>
      <c r="C5" s="2" t="s">
        <v>687</v>
      </c>
    </row>
    <row r="6" spans="1:3">
      <c r="A6" s="2" t="s">
        <v>222</v>
      </c>
      <c r="B6" s="2" t="s">
        <v>683</v>
      </c>
      <c r="C6" s="2" t="s">
        <v>688</v>
      </c>
    </row>
    <row r="7" spans="1:3">
      <c r="A7" s="2" t="s">
        <v>37</v>
      </c>
      <c r="B7" s="2" t="s">
        <v>683</v>
      </c>
      <c r="C7" s="2" t="s">
        <v>689</v>
      </c>
    </row>
    <row r="8" spans="1:3">
      <c r="A8" s="2" t="s">
        <v>690</v>
      </c>
      <c r="B8" s="2" t="s">
        <v>683</v>
      </c>
      <c r="C8" s="2" t="s">
        <v>691</v>
      </c>
    </row>
    <row r="9" spans="1:3">
      <c r="A9" s="2" t="s">
        <v>111</v>
      </c>
      <c r="B9" s="2" t="s">
        <v>683</v>
      </c>
      <c r="C9" s="2" t="s">
        <v>692</v>
      </c>
    </row>
    <row r="10" spans="1:3">
      <c r="A10" s="2" t="s">
        <v>76</v>
      </c>
      <c r="B10" s="2" t="s">
        <v>693</v>
      </c>
      <c r="C10" s="2" t="s">
        <v>685</v>
      </c>
    </row>
    <row r="11" spans="1:3">
      <c r="A11" s="2" t="s">
        <v>87</v>
      </c>
      <c r="B11" s="2" t="s">
        <v>693</v>
      </c>
      <c r="C11" s="2" t="s">
        <v>694</v>
      </c>
    </row>
    <row r="12" spans="1:3">
      <c r="A12" s="2" t="s">
        <v>481</v>
      </c>
      <c r="B12" s="2" t="s">
        <v>480</v>
      </c>
      <c r="C12" s="2" t="s">
        <v>695</v>
      </c>
    </row>
    <row r="13" spans="1:3">
      <c r="A13" s="2" t="s">
        <v>629</v>
      </c>
      <c r="B13" s="2" t="s">
        <v>480</v>
      </c>
      <c r="C13" s="2" t="s">
        <v>696</v>
      </c>
    </row>
    <row r="14" spans="1:3">
      <c r="A14" s="2" t="s">
        <v>114</v>
      </c>
      <c r="B14" s="2" t="s">
        <v>480</v>
      </c>
      <c r="C14" s="2" t="s">
        <v>697</v>
      </c>
    </row>
    <row r="15" spans="1:3">
      <c r="A15" s="2" t="s">
        <v>611</v>
      </c>
      <c r="B15" s="2" t="s">
        <v>480</v>
      </c>
      <c r="C15" s="2" t="s">
        <v>698</v>
      </c>
    </row>
    <row r="16" spans="1:3">
      <c r="A16" s="2" t="s">
        <v>581</v>
      </c>
      <c r="B16" s="2" t="s">
        <v>480</v>
      </c>
      <c r="C16" s="2" t="s">
        <v>699</v>
      </c>
    </row>
    <row r="17" spans="1:3">
      <c r="A17" s="2" t="s">
        <v>700</v>
      </c>
      <c r="B17" s="2" t="s">
        <v>430</v>
      </c>
      <c r="C17" s="2" t="s">
        <v>701</v>
      </c>
    </row>
    <row r="18" spans="1:3">
      <c r="A18" s="2" t="s">
        <v>431</v>
      </c>
      <c r="B18" s="2" t="s">
        <v>430</v>
      </c>
      <c r="C18" s="2" t="s">
        <v>702</v>
      </c>
    </row>
    <row r="19" spans="1:3">
      <c r="A19" s="2" t="s">
        <v>388</v>
      </c>
      <c r="B19" s="2" t="s">
        <v>232</v>
      </c>
      <c r="C19" s="2" t="s">
        <v>684</v>
      </c>
    </row>
    <row r="20" spans="1:3">
      <c r="A20" s="2" t="s">
        <v>233</v>
      </c>
      <c r="B20" s="2" t="s">
        <v>232</v>
      </c>
      <c r="C20" s="2" t="s">
        <v>689</v>
      </c>
    </row>
    <row r="21" spans="1:3">
      <c r="A21" s="2" t="s">
        <v>315</v>
      </c>
      <c r="B21" s="2" t="s">
        <v>232</v>
      </c>
      <c r="C21" s="2" t="s">
        <v>703</v>
      </c>
    </row>
    <row r="22" spans="1:3">
      <c r="A22" s="2" t="s">
        <v>405</v>
      </c>
      <c r="B22" s="2" t="s">
        <v>232</v>
      </c>
      <c r="C22" s="2" t="s">
        <v>692</v>
      </c>
    </row>
    <row r="23" spans="1:3">
      <c r="A23" s="2" t="s">
        <v>49</v>
      </c>
      <c r="B23" s="2" t="s">
        <v>48</v>
      </c>
      <c r="C23" s="2" t="s">
        <v>704</v>
      </c>
    </row>
    <row r="24" spans="1:3">
      <c r="A24" s="2" t="s">
        <v>55</v>
      </c>
      <c r="B24" s="2" t="s">
        <v>48</v>
      </c>
      <c r="C24" s="2" t="s">
        <v>56</v>
      </c>
    </row>
    <row r="25" spans="1:3">
      <c r="A25" s="2" t="s">
        <v>48</v>
      </c>
      <c r="B25" s="2"/>
      <c r="C25" s="2" t="s">
        <v>705</v>
      </c>
    </row>
    <row r="26" spans="1:3">
      <c r="A26" s="2" t="s">
        <v>678</v>
      </c>
      <c r="B26" s="2"/>
      <c r="C26" s="2" t="s">
        <v>706</v>
      </c>
    </row>
    <row r="27" spans="1:3">
      <c r="A27" s="2" t="s">
        <v>683</v>
      </c>
      <c r="B27" s="2"/>
      <c r="C27" s="2" t="s">
        <v>707</v>
      </c>
    </row>
    <row r="28" spans="1:3">
      <c r="A28" s="2" t="s">
        <v>693</v>
      </c>
      <c r="B28" s="2"/>
      <c r="C28" s="2" t="s">
        <v>708</v>
      </c>
    </row>
    <row r="29" spans="1:3">
      <c r="A29" s="2" t="s">
        <v>709</v>
      </c>
      <c r="B29" s="2"/>
      <c r="C29" s="2" t="s">
        <v>710</v>
      </c>
    </row>
    <row r="30" spans="1:3">
      <c r="A30" s="2" t="s">
        <v>480</v>
      </c>
      <c r="B30" s="2"/>
      <c r="C30" s="2" t="s">
        <v>711</v>
      </c>
    </row>
    <row r="31" spans="1:3">
      <c r="A31" s="2" t="s">
        <v>586</v>
      </c>
      <c r="B31" s="2" t="s">
        <v>480</v>
      </c>
      <c r="C31" s="2" t="s">
        <v>587</v>
      </c>
    </row>
    <row r="32" spans="1:3">
      <c r="A32" s="2" t="s">
        <v>593</v>
      </c>
      <c r="B32" s="2" t="s">
        <v>480</v>
      </c>
      <c r="C32" s="2" t="s">
        <v>594</v>
      </c>
    </row>
    <row r="33" spans="1:3">
      <c r="A33" s="2" t="s">
        <v>621</v>
      </c>
      <c r="B33" s="2" t="s">
        <v>480</v>
      </c>
      <c r="C33" s="2" t="s">
        <v>712</v>
      </c>
    </row>
    <row r="34" spans="1:3">
      <c r="A34" s="2" t="s">
        <v>430</v>
      </c>
      <c r="B34" s="2"/>
      <c r="C34" s="2" t="s">
        <v>713</v>
      </c>
    </row>
    <row r="35" spans="1:3">
      <c r="A35" s="2" t="s">
        <v>489</v>
      </c>
      <c r="B35" s="2"/>
      <c r="C35" s="2" t="s">
        <v>714</v>
      </c>
    </row>
    <row r="36" spans="1:3">
      <c r="A36" s="2" t="s">
        <v>513</v>
      </c>
      <c r="B36" s="2"/>
      <c r="C36" s="2" t="s">
        <v>715</v>
      </c>
    </row>
    <row r="37" spans="1:3">
      <c r="A37" s="2" t="s">
        <v>716</v>
      </c>
      <c r="B37" s="2"/>
      <c r="C37" s="2" t="s">
        <v>717</v>
      </c>
    </row>
    <row r="38" spans="1:3">
      <c r="A38" s="2" t="s">
        <v>232</v>
      </c>
      <c r="B38" s="2"/>
      <c r="C38" s="2" t="s">
        <v>718</v>
      </c>
    </row>
    <row r="39" spans="1:3">
      <c r="A39" s="2" t="s">
        <v>719</v>
      </c>
      <c r="B39" s="2"/>
      <c r="C39" s="2" t="s">
        <v>720</v>
      </c>
    </row>
    <row r="40" spans="1:3">
      <c r="A40" s="2" t="s">
        <v>621</v>
      </c>
      <c r="B40" s="2"/>
      <c r="C40" s="2" t="s">
        <v>721</v>
      </c>
    </row>
    <row r="41" spans="1:3">
      <c r="A41" s="2" t="s">
        <v>722</v>
      </c>
      <c r="B41" s="2"/>
      <c r="C41" s="2" t="s">
        <v>723</v>
      </c>
    </row>
  </sheetData>
  <autoFilter ref="A1:C41" xr:uid="{00000000-0009-0000-0000-000001000000}">
    <sortState xmlns:xlrd2="http://schemas.microsoft.com/office/spreadsheetml/2017/richdata2" ref="A2:C41">
      <sortCondition ref="B1:B41"/>
    </sortState>
  </autoFilter>
  <dataValidations count="1">
    <dataValidation type="list" allowBlank="1" showErrorMessage="1" errorTitle="Parent invalide" error="Le parent doit être un slug existant (ou vide pour une racine)." sqref="B38:B41 B2:B22 B25:B33" xr:uid="{00000000-0002-0000-0100-000000000000}">
      <formula1>$A$2:$A$41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539C4-A2B4-4D3B-902A-DDB03574A871}">
  <dimension ref="A20:P631"/>
  <sheetViews>
    <sheetView topLeftCell="A604" zoomScale="115" zoomScaleNormal="115" workbookViewId="0">
      <selection activeCell="E623" sqref="E623"/>
    </sheetView>
  </sheetViews>
  <sheetFormatPr defaultRowHeight="15"/>
  <cols>
    <col min="1" max="1" width="24" customWidth="1"/>
    <col min="2" max="2" width="65.140625" customWidth="1"/>
    <col min="3" max="3" width="20.28515625" customWidth="1"/>
    <col min="4" max="4" width="13.5703125" customWidth="1"/>
    <col min="5" max="5" width="19.42578125" customWidth="1"/>
    <col min="6" max="6" width="11.85546875" customWidth="1"/>
    <col min="7" max="7" width="11.140625" bestFit="1" customWidth="1"/>
    <col min="8" max="8" width="12.42578125" customWidth="1"/>
  </cols>
  <sheetData>
    <row r="20" spans="5:8">
      <c r="H20" s="15"/>
    </row>
    <row r="24" spans="5:8">
      <c r="E24" s="16">
        <f>Products!Z92</f>
        <v>358.13418666666666</v>
      </c>
      <c r="F24">
        <v>275</v>
      </c>
      <c r="G24">
        <f>F24*5</f>
        <v>1375</v>
      </c>
    </row>
    <row r="25" spans="5:8">
      <c r="E25" s="16">
        <f>Products!Z188</f>
        <v>278.9905066666667</v>
      </c>
      <c r="F25">
        <v>230</v>
      </c>
      <c r="G25">
        <f>F25*5</f>
        <v>1150</v>
      </c>
    </row>
    <row r="28" spans="5:8">
      <c r="G28">
        <v>2600</v>
      </c>
    </row>
    <row r="33" spans="1:4">
      <c r="A33" s="17" t="s">
        <v>724</v>
      </c>
      <c r="B33" s="18" t="s">
        <v>725</v>
      </c>
      <c r="C33" s="17" t="s">
        <v>726</v>
      </c>
    </row>
    <row r="34" spans="1:4">
      <c r="A34" s="19" t="s">
        <v>727</v>
      </c>
      <c r="B34" s="18" t="s">
        <v>728</v>
      </c>
      <c r="C34" s="19" t="s">
        <v>729</v>
      </c>
      <c r="D34">
        <v>180</v>
      </c>
    </row>
    <row r="35" spans="1:4">
      <c r="A35" s="19" t="s">
        <v>730</v>
      </c>
      <c r="B35" s="18" t="s">
        <v>731</v>
      </c>
      <c r="C35" s="19" t="s">
        <v>729</v>
      </c>
      <c r="D35">
        <v>230</v>
      </c>
    </row>
    <row r="36" spans="1:4">
      <c r="A36" s="19" t="s">
        <v>732</v>
      </c>
      <c r="B36" s="18" t="s">
        <v>733</v>
      </c>
      <c r="C36" s="19" t="s">
        <v>734</v>
      </c>
      <c r="D36">
        <v>300</v>
      </c>
    </row>
    <row r="37" spans="1:4">
      <c r="A37" s="19"/>
      <c r="B37" s="18"/>
      <c r="C37" s="19"/>
    </row>
    <row r="38" spans="1:4">
      <c r="A38" s="19" t="s">
        <v>735</v>
      </c>
      <c r="B38" s="18" t="s">
        <v>736</v>
      </c>
      <c r="C38" s="19" t="s">
        <v>737</v>
      </c>
      <c r="D38">
        <v>280</v>
      </c>
    </row>
    <row r="39" spans="1:4">
      <c r="A39" s="19" t="s">
        <v>738</v>
      </c>
      <c r="B39" s="18" t="s">
        <v>728</v>
      </c>
      <c r="C39" s="19" t="s">
        <v>739</v>
      </c>
      <c r="D39">
        <v>200</v>
      </c>
    </row>
    <row r="40" spans="1:4" ht="30">
      <c r="A40" s="19" t="s">
        <v>740</v>
      </c>
      <c r="B40" s="18" t="s">
        <v>728</v>
      </c>
      <c r="C40" s="19" t="s">
        <v>729</v>
      </c>
      <c r="D40">
        <v>150</v>
      </c>
    </row>
    <row r="41" spans="1:4">
      <c r="A41" s="19" t="s">
        <v>741</v>
      </c>
      <c r="B41" s="18" t="s">
        <v>742</v>
      </c>
      <c r="C41" s="19" t="s">
        <v>734</v>
      </c>
      <c r="D41">
        <v>260</v>
      </c>
    </row>
    <row r="42" spans="1:4">
      <c r="A42" s="19" t="s">
        <v>743</v>
      </c>
      <c r="B42" s="18" t="s">
        <v>744</v>
      </c>
      <c r="C42" s="19" t="s">
        <v>745</v>
      </c>
      <c r="D42">
        <v>200</v>
      </c>
    </row>
    <row r="43" spans="1:4">
      <c r="A43" s="19" t="s">
        <v>746</v>
      </c>
      <c r="B43" s="18" t="s">
        <v>747</v>
      </c>
      <c r="C43" s="19" t="s">
        <v>748</v>
      </c>
      <c r="D43">
        <v>150</v>
      </c>
    </row>
    <row r="44" spans="1:4">
      <c r="A44" s="19" t="s">
        <v>749</v>
      </c>
      <c r="B44" s="18" t="s">
        <v>750</v>
      </c>
      <c r="C44" s="19" t="s">
        <v>729</v>
      </c>
      <c r="D44">
        <v>150</v>
      </c>
    </row>
    <row r="62" spans="1:2">
      <c r="A62">
        <v>9</v>
      </c>
      <c r="B62">
        <v>250</v>
      </c>
    </row>
    <row r="63" spans="1:2">
      <c r="A63">
        <v>10</v>
      </c>
      <c r="B63">
        <v>250</v>
      </c>
    </row>
    <row r="64" spans="1:2">
      <c r="A64">
        <v>11</v>
      </c>
      <c r="B64">
        <v>300</v>
      </c>
    </row>
    <row r="65" spans="1:2">
      <c r="A65">
        <v>12</v>
      </c>
      <c r="B65">
        <v>275</v>
      </c>
    </row>
    <row r="66" spans="1:2">
      <c r="A66">
        <v>13</v>
      </c>
      <c r="B66">
        <v>300</v>
      </c>
    </row>
    <row r="67" spans="1:2">
      <c r="A67">
        <v>14</v>
      </c>
      <c r="B67">
        <v>300</v>
      </c>
    </row>
    <row r="68" spans="1:2">
      <c r="A68">
        <v>15</v>
      </c>
      <c r="B68">
        <v>250</v>
      </c>
    </row>
    <row r="69" spans="1:2">
      <c r="A69">
        <v>16</v>
      </c>
      <c r="B69">
        <v>300</v>
      </c>
    </row>
    <row r="70" spans="1:2">
      <c r="A70" t="s">
        <v>751</v>
      </c>
      <c r="B70">
        <v>175</v>
      </c>
    </row>
    <row r="71" spans="1:2">
      <c r="A71" t="s">
        <v>752</v>
      </c>
      <c r="B71">
        <f>4*20</f>
        <v>80</v>
      </c>
    </row>
    <row r="74" spans="1:2">
      <c r="B74">
        <f>24+50+57+37+65+26+24+36</f>
        <v>319</v>
      </c>
    </row>
    <row r="75" spans="1:2">
      <c r="B75">
        <f>B74/12</f>
        <v>26.583333333333332</v>
      </c>
    </row>
    <row r="76" spans="1:2">
      <c r="B76">
        <f>B75*200</f>
        <v>5316.6666666666661</v>
      </c>
    </row>
    <row r="82" spans="1:4">
      <c r="A82" t="s">
        <v>753</v>
      </c>
    </row>
    <row r="83" spans="1:4">
      <c r="B83">
        <f>10+10</f>
        <v>20</v>
      </c>
    </row>
    <row r="84" spans="1:4">
      <c r="B84">
        <f>B83*250</f>
        <v>5000</v>
      </c>
      <c r="C84" t="s">
        <v>754</v>
      </c>
    </row>
    <row r="86" spans="1:4">
      <c r="B86" t="s">
        <v>755</v>
      </c>
      <c r="C86">
        <f>150</f>
        <v>150</v>
      </c>
      <c r="D86" t="s">
        <v>756</v>
      </c>
    </row>
    <row r="87" spans="1:4">
      <c r="C87">
        <f>2*10+2*10</f>
        <v>40</v>
      </c>
    </row>
    <row r="88" spans="1:4">
      <c r="C88">
        <f>C87*C86</f>
        <v>6000</v>
      </c>
    </row>
    <row r="95" spans="1:4" ht="16.5">
      <c r="A95" s="20" t="s">
        <v>757</v>
      </c>
    </row>
    <row r="97" spans="1:6">
      <c r="B97" s="2" t="s">
        <v>758</v>
      </c>
      <c r="C97" s="11">
        <v>196.88345600000002</v>
      </c>
      <c r="D97" s="11">
        <v>275.63683839999999</v>
      </c>
    </row>
    <row r="98" spans="1:6">
      <c r="B98" s="2" t="s">
        <v>759</v>
      </c>
      <c r="C98" s="11">
        <v>213.36268799999999</v>
      </c>
      <c r="D98" s="11">
        <v>298.70776319999999</v>
      </c>
    </row>
    <row r="99" spans="1:6">
      <c r="B99" s="2" t="s">
        <v>760</v>
      </c>
      <c r="C99" s="11">
        <v>221.60230399999998</v>
      </c>
      <c r="D99" s="11">
        <v>310.24322559999996</v>
      </c>
    </row>
    <row r="100" spans="1:6">
      <c r="B100" s="2" t="s">
        <v>761</v>
      </c>
      <c r="C100" s="11">
        <v>154.60121600000002</v>
      </c>
      <c r="D100" s="11">
        <v>216.44170240000003</v>
      </c>
    </row>
    <row r="101" spans="1:6" ht="16.5" customHeight="1">
      <c r="B101" s="2" t="s">
        <v>762</v>
      </c>
      <c r="C101" s="11">
        <v>176.28441599999999</v>
      </c>
      <c r="D101" s="11">
        <v>246.79818239999997</v>
      </c>
    </row>
    <row r="103" spans="1:6">
      <c r="B103">
        <f>30+18+18</f>
        <v>66</v>
      </c>
    </row>
    <row r="107" spans="1:6">
      <c r="A107" t="s">
        <v>763</v>
      </c>
    </row>
    <row r="108" spans="1:6">
      <c r="B108" s="2" t="s">
        <v>764</v>
      </c>
      <c r="C108" s="11">
        <v>202.52108799999999</v>
      </c>
      <c r="D108" s="11">
        <v>295</v>
      </c>
      <c r="E108" s="11">
        <f>D108-C108</f>
        <v>92.478912000000008</v>
      </c>
      <c r="F108" s="11">
        <f>E108/D108</f>
        <v>0.31348783728813562</v>
      </c>
    </row>
    <row r="109" spans="1:6">
      <c r="B109" s="2" t="s">
        <v>764</v>
      </c>
      <c r="C109" s="11">
        <v>202.52108799999999</v>
      </c>
      <c r="D109" s="11">
        <v>295</v>
      </c>
      <c r="E109" s="11">
        <f>D109-C109</f>
        <v>92.478912000000008</v>
      </c>
      <c r="F109" s="11">
        <f>E109/D109</f>
        <v>0.31348783728813562</v>
      </c>
    </row>
    <row r="110" spans="1:6">
      <c r="B110" t="s">
        <v>765</v>
      </c>
      <c r="C110" s="11">
        <f>180*18</f>
        <v>3240</v>
      </c>
      <c r="D110" s="11">
        <f>235*18</f>
        <v>4230</v>
      </c>
      <c r="E110" s="11">
        <f>D110-C110</f>
        <v>990</v>
      </c>
      <c r="F110" s="11">
        <f>E110/D110</f>
        <v>0.23404255319148937</v>
      </c>
    </row>
    <row r="111" spans="1:6">
      <c r="B111" s="2" t="s">
        <v>612</v>
      </c>
      <c r="C111" s="11">
        <v>9.1069439999999986</v>
      </c>
      <c r="D111" s="11">
        <v>15</v>
      </c>
      <c r="E111" s="11">
        <f t="shared" ref="E111:E115" si="0">D111-C111</f>
        <v>5.8930560000000014</v>
      </c>
      <c r="F111" s="11">
        <f t="shared" ref="F111:F115" si="1">E111/D111</f>
        <v>0.39287040000000012</v>
      </c>
    </row>
    <row r="112" spans="1:6">
      <c r="B112" s="2" t="s">
        <v>612</v>
      </c>
      <c r="C112" s="11">
        <v>9.1069439999999986</v>
      </c>
      <c r="D112" s="11">
        <v>15</v>
      </c>
      <c r="E112" s="11">
        <f t="shared" si="0"/>
        <v>5.8930560000000014</v>
      </c>
      <c r="F112" s="11">
        <f t="shared" si="1"/>
        <v>0.39287040000000012</v>
      </c>
    </row>
    <row r="113" spans="1:6">
      <c r="B113" s="2" t="s">
        <v>766</v>
      </c>
      <c r="C113" s="11">
        <v>318.92084223999996</v>
      </c>
      <c r="D113" s="11">
        <v>446.4891791359999</v>
      </c>
      <c r="E113" s="11">
        <f t="shared" si="0"/>
        <v>127.56833689599995</v>
      </c>
      <c r="F113" s="11">
        <f t="shared" si="1"/>
        <v>0.28571428571428564</v>
      </c>
    </row>
    <row r="114" spans="1:6">
      <c r="B114" s="2" t="s">
        <v>767</v>
      </c>
      <c r="C114" s="11">
        <v>87.600127999999998</v>
      </c>
      <c r="D114" s="11">
        <v>122.64017919999999</v>
      </c>
      <c r="E114" s="11">
        <f t="shared" si="0"/>
        <v>35.040051199999994</v>
      </c>
      <c r="F114" s="11">
        <f t="shared" si="1"/>
        <v>0.2857142857142857</v>
      </c>
    </row>
    <row r="115" spans="1:6">
      <c r="B115" s="2" t="s">
        <v>767</v>
      </c>
      <c r="C115" s="11">
        <v>87.600127999999998</v>
      </c>
      <c r="D115" s="11">
        <v>122.64017919999999</v>
      </c>
      <c r="E115" s="11">
        <f t="shared" si="0"/>
        <v>35.040051199999994</v>
      </c>
      <c r="F115" s="11">
        <f t="shared" si="1"/>
        <v>0.2857142857142857</v>
      </c>
    </row>
    <row r="116" spans="1:6">
      <c r="C116" s="11"/>
      <c r="D116" s="11">
        <f>SUM(D108:D115)</f>
        <v>5541.769537535999</v>
      </c>
      <c r="E116" s="11">
        <f>SUM(E108:E115)</f>
        <v>1384.392375296</v>
      </c>
      <c r="F116" s="11"/>
    </row>
    <row r="121" spans="1:6">
      <c r="A121" t="s">
        <v>768</v>
      </c>
    </row>
    <row r="122" spans="1:6">
      <c r="A122" t="s">
        <v>769</v>
      </c>
      <c r="B122">
        <v>440</v>
      </c>
    </row>
    <row r="123" spans="1:6">
      <c r="A123" t="s">
        <v>770</v>
      </c>
      <c r="B123">
        <v>340</v>
      </c>
    </row>
    <row r="124" spans="1:6">
      <c r="A124" t="s">
        <v>770</v>
      </c>
      <c r="B124">
        <v>340</v>
      </c>
    </row>
    <row r="125" spans="1:6">
      <c r="A125" t="s">
        <v>771</v>
      </c>
      <c r="B125">
        <v>175</v>
      </c>
    </row>
    <row r="126" spans="1:6">
      <c r="A126" t="s">
        <v>772</v>
      </c>
      <c r="B126">
        <v>290</v>
      </c>
    </row>
    <row r="127" spans="1:6">
      <c r="A127" t="s">
        <v>772</v>
      </c>
      <c r="B127">
        <v>290</v>
      </c>
    </row>
    <row r="128" spans="1:6">
      <c r="A128" t="s">
        <v>773</v>
      </c>
      <c r="B128">
        <v>250</v>
      </c>
    </row>
    <row r="129" spans="1:2">
      <c r="A129" t="s">
        <v>752</v>
      </c>
      <c r="B129">
        <f>20*2</f>
        <v>40</v>
      </c>
    </row>
    <row r="130" spans="1:2">
      <c r="A130" t="s">
        <v>774</v>
      </c>
      <c r="B130">
        <v>100</v>
      </c>
    </row>
    <row r="131" spans="1:2">
      <c r="B131">
        <f>SUM(B122:B130)</f>
        <v>2265</v>
      </c>
    </row>
    <row r="144" spans="1:2">
      <c r="A144" t="s">
        <v>775</v>
      </c>
    </row>
    <row r="163" spans="1:6" ht="16.5">
      <c r="A163" s="20" t="s">
        <v>776</v>
      </c>
    </row>
    <row r="164" spans="1:6">
      <c r="A164">
        <f>300/12</f>
        <v>25</v>
      </c>
      <c r="B164" t="s">
        <v>777</v>
      </c>
    </row>
    <row r="165" spans="1:6">
      <c r="A165">
        <f>A164*150</f>
        <v>3750</v>
      </c>
      <c r="B165" t="s">
        <v>778</v>
      </c>
    </row>
    <row r="166" spans="1:6">
      <c r="A166">
        <f>A164*250</f>
        <v>6250</v>
      </c>
      <c r="B166" t="s">
        <v>779</v>
      </c>
    </row>
    <row r="167" spans="1:6">
      <c r="A167">
        <f>A166-A165</f>
        <v>2500</v>
      </c>
      <c r="B167" t="s">
        <v>780</v>
      </c>
    </row>
    <row r="169" spans="1:6">
      <c r="A169">
        <f>(120/12)*2</f>
        <v>20</v>
      </c>
      <c r="B169" t="s">
        <v>777</v>
      </c>
    </row>
    <row r="170" spans="1:6">
      <c r="A170">
        <f>A169*150</f>
        <v>3000</v>
      </c>
      <c r="B170" t="s">
        <v>778</v>
      </c>
    </row>
    <row r="171" spans="1:6">
      <c r="A171">
        <f>A169*250</f>
        <v>5000</v>
      </c>
      <c r="B171" t="s">
        <v>779</v>
      </c>
    </row>
    <row r="172" spans="1:6">
      <c r="A172">
        <f>A171-A170</f>
        <v>2000</v>
      </c>
      <c r="B172" t="s">
        <v>780</v>
      </c>
    </row>
    <row r="176" spans="1:6">
      <c r="A176" t="s">
        <v>781</v>
      </c>
      <c r="B176" s="2" t="s">
        <v>782</v>
      </c>
      <c r="C176" s="11">
        <v>119.69126400000002</v>
      </c>
      <c r="D176" s="11">
        <v>175</v>
      </c>
      <c r="E176" s="16">
        <f t="shared" ref="E176:E181" si="2">D176-C176</f>
        <v>55.308735999999982</v>
      </c>
      <c r="F176">
        <f t="shared" ref="F176:F181" si="3">E176/D176</f>
        <v>0.31604991999999987</v>
      </c>
    </row>
    <row r="177" spans="1:6">
      <c r="A177" t="s">
        <v>783</v>
      </c>
      <c r="B177" s="2" t="s">
        <v>784</v>
      </c>
      <c r="C177" s="11">
        <v>224.63795200000004</v>
      </c>
      <c r="D177" s="11">
        <v>340</v>
      </c>
      <c r="E177" s="16">
        <f t="shared" si="2"/>
        <v>115.36204799999996</v>
      </c>
      <c r="F177">
        <f t="shared" si="3"/>
        <v>0.33930014117647045</v>
      </c>
    </row>
    <row r="178" spans="1:6">
      <c r="A178" t="s">
        <v>785</v>
      </c>
      <c r="B178" s="2" t="s">
        <v>786</v>
      </c>
      <c r="C178" s="11">
        <v>220.73497600000002</v>
      </c>
      <c r="D178" s="11">
        <v>330</v>
      </c>
      <c r="E178" s="16">
        <f t="shared" si="2"/>
        <v>109.26502399999998</v>
      </c>
      <c r="F178">
        <f t="shared" si="3"/>
        <v>0.33110613333333327</v>
      </c>
    </row>
    <row r="179" spans="1:6">
      <c r="A179" t="s">
        <v>787</v>
      </c>
      <c r="B179" s="2" t="s">
        <v>788</v>
      </c>
      <c r="C179" s="11">
        <v>88.684288000000009</v>
      </c>
      <c r="D179" s="11">
        <v>150</v>
      </c>
      <c r="E179" s="16">
        <f t="shared" si="2"/>
        <v>61.315711999999991</v>
      </c>
      <c r="F179">
        <f t="shared" si="3"/>
        <v>0.40877141333333328</v>
      </c>
    </row>
    <row r="180" spans="1:6">
      <c r="A180" t="s">
        <v>789</v>
      </c>
      <c r="B180" s="2" t="s">
        <v>790</v>
      </c>
      <c r="C180" s="11">
        <v>100.61004800000001</v>
      </c>
      <c r="D180" s="11">
        <v>170</v>
      </c>
      <c r="E180" s="16">
        <f t="shared" si="2"/>
        <v>69.389951999999994</v>
      </c>
      <c r="F180">
        <f t="shared" si="3"/>
        <v>0.40817618823529406</v>
      </c>
    </row>
    <row r="181" spans="1:6">
      <c r="A181" t="s">
        <v>791</v>
      </c>
      <c r="B181" s="2" t="s">
        <v>792</v>
      </c>
      <c r="C181" s="11">
        <v>140.507136</v>
      </c>
      <c r="D181" s="11">
        <v>215</v>
      </c>
      <c r="E181" s="16">
        <f t="shared" si="2"/>
        <v>74.492863999999997</v>
      </c>
      <c r="F181">
        <f t="shared" si="3"/>
        <v>0.34647843720930233</v>
      </c>
    </row>
    <row r="182" spans="1:6">
      <c r="D182" s="16">
        <f>SUM(D176:D181)</f>
        <v>1380</v>
      </c>
      <c r="E182" s="16">
        <f>SUM(E176:E181)</f>
        <v>485.13433599999991</v>
      </c>
    </row>
    <row r="184" spans="1:6">
      <c r="A184" t="s">
        <v>793</v>
      </c>
    </row>
    <row r="185" spans="1:6">
      <c r="A185" t="s">
        <v>794</v>
      </c>
      <c r="B185" s="2" t="s">
        <v>782</v>
      </c>
      <c r="C185" s="11">
        <v>175</v>
      </c>
    </row>
    <row r="186" spans="1:6">
      <c r="A186" t="s">
        <v>795</v>
      </c>
      <c r="B186" s="2" t="s">
        <v>784</v>
      </c>
      <c r="C186" s="11">
        <v>340</v>
      </c>
    </row>
    <row r="187" spans="1:6">
      <c r="A187" t="s">
        <v>785</v>
      </c>
      <c r="B187" s="2" t="s">
        <v>786</v>
      </c>
      <c r="C187" s="11">
        <v>330</v>
      </c>
    </row>
    <row r="188" spans="1:6">
      <c r="A188" t="s">
        <v>787</v>
      </c>
      <c r="B188" s="2" t="s">
        <v>788</v>
      </c>
      <c r="C188" s="11">
        <v>150</v>
      </c>
    </row>
    <row r="189" spans="1:6">
      <c r="A189" t="s">
        <v>789</v>
      </c>
      <c r="B189" s="2" t="s">
        <v>790</v>
      </c>
      <c r="C189" s="11">
        <v>170</v>
      </c>
    </row>
    <row r="190" spans="1:6">
      <c r="A190" t="s">
        <v>791</v>
      </c>
      <c r="B190" s="2" t="s">
        <v>792</v>
      </c>
      <c r="C190" s="11">
        <v>215</v>
      </c>
    </row>
    <row r="192" spans="1:6">
      <c r="A192" t="s">
        <v>796</v>
      </c>
    </row>
    <row r="196" spans="1:16">
      <c r="A196" t="s">
        <v>797</v>
      </c>
    </row>
    <row r="197" spans="1:16">
      <c r="B197" s="17" t="s">
        <v>798</v>
      </c>
      <c r="C197" s="18" t="s">
        <v>799</v>
      </c>
    </row>
    <row r="198" spans="1:16">
      <c r="B198" s="19" t="s">
        <v>800</v>
      </c>
      <c r="C198" s="18" t="s">
        <v>728</v>
      </c>
      <c r="E198" s="2" t="s">
        <v>801</v>
      </c>
      <c r="F198" s="11">
        <v>567.66617599999995</v>
      </c>
      <c r="G198" s="11"/>
      <c r="H198" s="11"/>
      <c r="I198" s="11"/>
      <c r="J198" s="11"/>
      <c r="K198" s="11"/>
      <c r="L198" s="11"/>
      <c r="M198" s="11"/>
      <c r="N198" s="11"/>
      <c r="O198" s="14"/>
      <c r="P198" s="11"/>
    </row>
    <row r="199" spans="1:16">
      <c r="B199" s="19" t="s">
        <v>802</v>
      </c>
      <c r="C199" s="18" t="s">
        <v>803</v>
      </c>
      <c r="E199" s="2" t="s">
        <v>804</v>
      </c>
      <c r="F199" s="11">
        <v>200.95989760000001</v>
      </c>
    </row>
    <row r="200" spans="1:16">
      <c r="B200" s="19" t="s">
        <v>805</v>
      </c>
      <c r="C200" s="18" t="s">
        <v>806</v>
      </c>
      <c r="E200" s="2" t="s">
        <v>807</v>
      </c>
      <c r="F200" s="11">
        <v>653.03770470400002</v>
      </c>
    </row>
    <row r="201" spans="1:16">
      <c r="B201" s="19" t="s">
        <v>808</v>
      </c>
      <c r="C201" s="18" t="s">
        <v>806</v>
      </c>
      <c r="E201" s="8" t="s">
        <v>809</v>
      </c>
    </row>
    <row r="202" spans="1:16">
      <c r="B202" s="19" t="s">
        <v>810</v>
      </c>
      <c r="C202" s="18" t="s">
        <v>811</v>
      </c>
      <c r="E202" s="2" t="s">
        <v>782</v>
      </c>
      <c r="F202" s="11">
        <v>201.560955904</v>
      </c>
    </row>
    <row r="203" spans="1:16">
      <c r="B203" s="19" t="s">
        <v>812</v>
      </c>
      <c r="C203" s="18" t="s">
        <v>813</v>
      </c>
      <c r="E203" s="2" t="s">
        <v>814</v>
      </c>
      <c r="F203" s="11">
        <v>515.20410726399996</v>
      </c>
    </row>
    <row r="205" spans="1:16">
      <c r="B205" s="17" t="s">
        <v>798</v>
      </c>
      <c r="C205" s="18" t="s">
        <v>799</v>
      </c>
    </row>
    <row r="206" spans="1:16">
      <c r="B206" s="19" t="s">
        <v>815</v>
      </c>
      <c r="C206" s="18" t="s">
        <v>816</v>
      </c>
      <c r="E206" t="s">
        <v>809</v>
      </c>
    </row>
    <row r="207" spans="1:16">
      <c r="B207" s="19" t="s">
        <v>817</v>
      </c>
      <c r="C207" s="18" t="s">
        <v>806</v>
      </c>
      <c r="E207" s="2" t="s">
        <v>818</v>
      </c>
      <c r="F207" s="11">
        <v>310.94446028799996</v>
      </c>
    </row>
    <row r="208" spans="1:16">
      <c r="B208" s="19" t="s">
        <v>819</v>
      </c>
      <c r="C208" s="18" t="s">
        <v>820</v>
      </c>
      <c r="E208" t="s">
        <v>809</v>
      </c>
    </row>
    <row r="210" spans="2:6">
      <c r="B210" s="17" t="s">
        <v>724</v>
      </c>
      <c r="C210" s="18" t="s">
        <v>799</v>
      </c>
    </row>
    <row r="211" spans="2:6">
      <c r="B211" s="19" t="s">
        <v>821</v>
      </c>
      <c r="C211" s="18" t="s">
        <v>806</v>
      </c>
      <c r="E211" s="2" t="s">
        <v>792</v>
      </c>
      <c r="F211" s="11">
        <v>196.70999039999998</v>
      </c>
    </row>
    <row r="212" spans="2:6">
      <c r="B212" s="19" t="s">
        <v>822</v>
      </c>
      <c r="C212" s="18" t="s">
        <v>806</v>
      </c>
      <c r="E212" s="2" t="s">
        <v>788</v>
      </c>
      <c r="F212" s="11">
        <v>124.15800320000001</v>
      </c>
    </row>
    <row r="213" spans="2:6">
      <c r="B213" s="19" t="s">
        <v>823</v>
      </c>
      <c r="C213" s="18" t="s">
        <v>806</v>
      </c>
      <c r="E213" s="2" t="s">
        <v>792</v>
      </c>
      <c r="F213" s="11">
        <v>196.70999039999998</v>
      </c>
    </row>
    <row r="214" spans="2:6">
      <c r="B214" s="19" t="s">
        <v>824</v>
      </c>
      <c r="C214" s="18" t="s">
        <v>728</v>
      </c>
      <c r="E214" s="2" t="s">
        <v>825</v>
      </c>
      <c r="F214" s="11">
        <v>152.0859648</v>
      </c>
    </row>
    <row r="216" spans="2:6">
      <c r="B216" s="19" t="s">
        <v>826</v>
      </c>
    </row>
    <row r="217" spans="2:6">
      <c r="B217" s="17" t="s">
        <v>798</v>
      </c>
      <c r="C217" s="18" t="s">
        <v>827</v>
      </c>
    </row>
    <row r="218" spans="2:6">
      <c r="B218" s="19" t="s">
        <v>737</v>
      </c>
      <c r="C218" s="18" t="s">
        <v>806</v>
      </c>
      <c r="E218" s="2" t="s">
        <v>818</v>
      </c>
      <c r="F218" s="11">
        <v>310.94446028799996</v>
      </c>
    </row>
    <row r="219" spans="2:6">
      <c r="B219" s="19" t="s">
        <v>737</v>
      </c>
      <c r="C219" s="18" t="s">
        <v>806</v>
      </c>
      <c r="E219" s="2" t="s">
        <v>828</v>
      </c>
      <c r="F219" s="11">
        <v>462.95149823999998</v>
      </c>
    </row>
    <row r="220" spans="2:6">
      <c r="B220" s="19" t="s">
        <v>829</v>
      </c>
      <c r="C220" s="18" t="s">
        <v>803</v>
      </c>
      <c r="E220" s="2" t="s">
        <v>830</v>
      </c>
      <c r="F220" s="11">
        <v>544.77739008000003</v>
      </c>
    </row>
    <row r="225" spans="1:6" ht="16.5">
      <c r="A225" s="20" t="s">
        <v>831</v>
      </c>
    </row>
    <row r="226" spans="1:6">
      <c r="B226" t="s">
        <v>832</v>
      </c>
    </row>
    <row r="227" spans="1:6">
      <c r="B227">
        <f>10+12</f>
        <v>22</v>
      </c>
      <c r="C227">
        <f>B227*150</f>
        <v>3300</v>
      </c>
      <c r="D227">
        <v>4900</v>
      </c>
      <c r="E227">
        <f>D227-C227</f>
        <v>1600</v>
      </c>
      <c r="F227">
        <f>E227/D227</f>
        <v>0.32653061224489793</v>
      </c>
    </row>
    <row r="228" spans="1:6">
      <c r="B228">
        <f>6+6</f>
        <v>12</v>
      </c>
      <c r="C228">
        <f>B228*150</f>
        <v>1800</v>
      </c>
      <c r="D228">
        <v>2700</v>
      </c>
      <c r="E228">
        <f>D228-C228</f>
        <v>900</v>
      </c>
      <c r="F228">
        <f>E228/D228</f>
        <v>0.33333333333333331</v>
      </c>
    </row>
    <row r="229" spans="1:6">
      <c r="B229" t="s">
        <v>755</v>
      </c>
    </row>
    <row r="230" spans="1:6">
      <c r="C230">
        <f>SUM(C227:C228)/2</f>
        <v>2550</v>
      </c>
      <c r="D230">
        <v>3700</v>
      </c>
      <c r="E230">
        <f>D230-C230</f>
        <v>1150</v>
      </c>
      <c r="F230">
        <f>E230/D230</f>
        <v>0.3108108108108108</v>
      </c>
    </row>
    <row r="233" spans="1:6">
      <c r="A233" s="21" t="s">
        <v>833</v>
      </c>
      <c r="C233">
        <f>C235/3.5</f>
        <v>400</v>
      </c>
    </row>
    <row r="234" spans="1:6">
      <c r="A234" t="s">
        <v>834</v>
      </c>
      <c r="B234" t="s">
        <v>778</v>
      </c>
      <c r="C234" t="s">
        <v>779</v>
      </c>
      <c r="D234" t="s">
        <v>780</v>
      </c>
      <c r="E234" t="s">
        <v>780</v>
      </c>
    </row>
    <row r="235" spans="1:6">
      <c r="A235" t="s">
        <v>835</v>
      </c>
      <c r="B235">
        <v>950</v>
      </c>
      <c r="C235">
        <v>1400</v>
      </c>
      <c r="D235">
        <f>C235-B235</f>
        <v>450</v>
      </c>
      <c r="E235" s="15">
        <f t="shared" ref="E235:E240" si="4">D235/C235</f>
        <v>0.32142857142857145</v>
      </c>
    </row>
    <row r="236" spans="1:6">
      <c r="A236" t="s">
        <v>755</v>
      </c>
      <c r="B236">
        <v>500</v>
      </c>
      <c r="C236">
        <v>575</v>
      </c>
      <c r="D236">
        <f>C236-B236</f>
        <v>75</v>
      </c>
      <c r="E236" s="15">
        <f t="shared" si="4"/>
        <v>0.13043478260869565</v>
      </c>
    </row>
    <row r="237" spans="1:6">
      <c r="A237" t="s">
        <v>836</v>
      </c>
      <c r="B237">
        <v>200</v>
      </c>
      <c r="C237">
        <v>300</v>
      </c>
      <c r="D237">
        <f>C237-B237</f>
        <v>100</v>
      </c>
      <c r="E237" s="15">
        <f t="shared" si="4"/>
        <v>0.33333333333333331</v>
      </c>
    </row>
    <row r="238" spans="1:6">
      <c r="A238" t="s">
        <v>837</v>
      </c>
      <c r="B238">
        <v>300</v>
      </c>
      <c r="C238">
        <v>500</v>
      </c>
      <c r="D238">
        <f>C238-B238</f>
        <v>200</v>
      </c>
      <c r="E238" s="15">
        <f t="shared" si="4"/>
        <v>0.4</v>
      </c>
    </row>
    <row r="239" spans="1:6">
      <c r="A239" t="s">
        <v>838</v>
      </c>
      <c r="B239">
        <v>100</v>
      </c>
      <c r="C239">
        <v>200</v>
      </c>
      <c r="D239">
        <f>C239-B239</f>
        <v>100</v>
      </c>
      <c r="E239" s="15">
        <f t="shared" si="4"/>
        <v>0.5</v>
      </c>
    </row>
    <row r="240" spans="1:6">
      <c r="B240">
        <f>SUM(B235:B239)</f>
        <v>2050</v>
      </c>
      <c r="C240">
        <f>SUM(C235:C239)</f>
        <v>2975</v>
      </c>
      <c r="D240">
        <f>SUM(D235:D239)</f>
        <v>925</v>
      </c>
      <c r="E240" s="15">
        <f t="shared" si="4"/>
        <v>0.31092436974789917</v>
      </c>
    </row>
    <row r="242" spans="1:4">
      <c r="A242" t="s">
        <v>839</v>
      </c>
    </row>
    <row r="243" spans="1:4">
      <c r="A243" t="s">
        <v>840</v>
      </c>
    </row>
    <row r="244" spans="1:4">
      <c r="A244" t="s">
        <v>841</v>
      </c>
    </row>
    <row r="245" spans="1:4">
      <c r="A245">
        <f>(42/12)*(24/12)</f>
        <v>7</v>
      </c>
      <c r="B245">
        <f>500/7</f>
        <v>71.428571428571431</v>
      </c>
      <c r="C245" t="s">
        <v>842</v>
      </c>
      <c r="D245" t="s">
        <v>843</v>
      </c>
    </row>
    <row r="247" spans="1:4">
      <c r="A247" t="s">
        <v>844</v>
      </c>
    </row>
    <row r="248" spans="1:4">
      <c r="A248" t="s">
        <v>845</v>
      </c>
    </row>
    <row r="250" spans="1:4">
      <c r="A250" s="2" t="s">
        <v>109</v>
      </c>
      <c r="B250" s="11">
        <v>240.68351999999999</v>
      </c>
      <c r="C250" s="11">
        <v>336.95692799999995</v>
      </c>
    </row>
    <row r="251" spans="1:4">
      <c r="A251" s="2" t="s">
        <v>174</v>
      </c>
      <c r="B251" s="11">
        <v>119.69126400000002</v>
      </c>
      <c r="C251" s="11">
        <v>167.56776960000002</v>
      </c>
    </row>
    <row r="252" spans="1:4">
      <c r="A252" s="2" t="s">
        <v>591</v>
      </c>
      <c r="B252" s="11">
        <v>54.424832000000002</v>
      </c>
      <c r="C252" s="11">
        <v>76.194764800000002</v>
      </c>
    </row>
    <row r="253" spans="1:4">
      <c r="A253" s="2" t="s">
        <v>591</v>
      </c>
      <c r="B253" s="11">
        <v>54.424832000000002</v>
      </c>
      <c r="C253" s="11">
        <v>76.194764800000002</v>
      </c>
    </row>
    <row r="254" spans="1:4">
      <c r="A254" s="2" t="s">
        <v>64</v>
      </c>
      <c r="B254" s="11">
        <v>216.83199999999999</v>
      </c>
      <c r="C254" s="11">
        <v>303.56479999999999</v>
      </c>
    </row>
    <row r="255" spans="1:4">
      <c r="A255" s="2" t="s">
        <v>64</v>
      </c>
      <c r="B255" s="11">
        <v>216.83199999999999</v>
      </c>
      <c r="C255" s="11">
        <v>303.56479999999999</v>
      </c>
    </row>
    <row r="256" spans="1:4">
      <c r="A256" s="2" t="s">
        <v>609</v>
      </c>
      <c r="B256" s="11">
        <v>9.1069439999999986</v>
      </c>
      <c r="C256" s="11">
        <v>12.749721599999997</v>
      </c>
    </row>
    <row r="257" spans="1:4">
      <c r="B257" s="16">
        <f>SUM(B250:B256)</f>
        <v>911.99539199999992</v>
      </c>
      <c r="C257" s="16">
        <f>SUM(C250:C256)</f>
        <v>1276.7935488000001</v>
      </c>
      <c r="D257" s="16"/>
    </row>
    <row r="261" spans="1:4">
      <c r="A261" s="2" t="s">
        <v>830</v>
      </c>
    </row>
    <row r="262" spans="1:4">
      <c r="A262" s="2" t="s">
        <v>846</v>
      </c>
    </row>
    <row r="263" spans="1:4">
      <c r="A263" s="2"/>
    </row>
    <row r="267" spans="1:4">
      <c r="A267" t="s">
        <v>847</v>
      </c>
      <c r="B267">
        <v>12.5</v>
      </c>
      <c r="C267" t="s">
        <v>848</v>
      </c>
    </row>
    <row r="268" spans="1:4">
      <c r="A268" t="s">
        <v>849</v>
      </c>
      <c r="B268">
        <v>12</v>
      </c>
      <c r="C268" t="s">
        <v>848</v>
      </c>
    </row>
    <row r="269" spans="1:4">
      <c r="A269" t="s">
        <v>826</v>
      </c>
      <c r="B269">
        <f>12.5*2</f>
        <v>25</v>
      </c>
      <c r="C269" t="s">
        <v>848</v>
      </c>
    </row>
    <row r="270" spans="1:4">
      <c r="B270">
        <f>SUM(B267:B269)</f>
        <v>49.5</v>
      </c>
    </row>
    <row r="272" spans="1:4">
      <c r="A272" t="s">
        <v>778</v>
      </c>
      <c r="B272" s="12">
        <f>B270*175</f>
        <v>8662.5</v>
      </c>
    </row>
    <row r="273" spans="1:3">
      <c r="A273" s="21" t="s">
        <v>850</v>
      </c>
      <c r="B273" s="22">
        <f>B270*275</f>
        <v>13612.5</v>
      </c>
    </row>
    <row r="274" spans="1:3">
      <c r="A274" t="s">
        <v>851</v>
      </c>
      <c r="B274" s="16">
        <f>B273-B272</f>
        <v>4950</v>
      </c>
    </row>
    <row r="275" spans="1:3">
      <c r="A275" t="s">
        <v>852</v>
      </c>
      <c r="B275" s="15">
        <f>B274/B273</f>
        <v>0.36363636363636365</v>
      </c>
    </row>
    <row r="277" spans="1:3">
      <c r="A277" t="s">
        <v>853</v>
      </c>
      <c r="B277">
        <f>B267*((24+24+6)/12)</f>
        <v>56.25</v>
      </c>
      <c r="C277" t="s">
        <v>854</v>
      </c>
    </row>
    <row r="278" spans="1:3">
      <c r="A278" t="s">
        <v>778</v>
      </c>
      <c r="B278" s="12">
        <f>B277*71</f>
        <v>3993.75</v>
      </c>
    </row>
    <row r="279" spans="1:3">
      <c r="A279" s="21" t="s">
        <v>850</v>
      </c>
      <c r="B279" s="22">
        <v>4300</v>
      </c>
    </row>
    <row r="280" spans="1:3">
      <c r="A280" t="s">
        <v>852</v>
      </c>
      <c r="B280" s="16">
        <f>B279-B278</f>
        <v>306.25</v>
      </c>
    </row>
    <row r="281" spans="1:3">
      <c r="A281" t="s">
        <v>852</v>
      </c>
      <c r="B281" s="15">
        <f>B280/B279</f>
        <v>7.1220930232558141E-2</v>
      </c>
    </row>
    <row r="283" spans="1:3">
      <c r="A283" t="s">
        <v>855</v>
      </c>
      <c r="B283">
        <f>((36+36)/12)*2</f>
        <v>12</v>
      </c>
      <c r="C283" t="s">
        <v>848</v>
      </c>
    </row>
    <row r="284" spans="1:3">
      <c r="A284" t="s">
        <v>856</v>
      </c>
      <c r="B284">
        <f>((36+36+36)/12)*2</f>
        <v>18</v>
      </c>
      <c r="C284" t="s">
        <v>848</v>
      </c>
    </row>
    <row r="285" spans="1:3">
      <c r="A285" t="s">
        <v>778</v>
      </c>
      <c r="B285" s="12">
        <f>(B284+B283)*71</f>
        <v>2130</v>
      </c>
    </row>
    <row r="286" spans="1:3">
      <c r="A286" s="21" t="s">
        <v>850</v>
      </c>
      <c r="B286" s="22">
        <v>2400</v>
      </c>
    </row>
    <row r="287" spans="1:3">
      <c r="A287" t="s">
        <v>852</v>
      </c>
      <c r="B287" s="16">
        <f>B286-B285</f>
        <v>270</v>
      </c>
    </row>
    <row r="288" spans="1:3">
      <c r="A288" t="s">
        <v>852</v>
      </c>
      <c r="B288" s="15">
        <f>B287/B286</f>
        <v>0.1125</v>
      </c>
    </row>
    <row r="290" spans="1:3">
      <c r="A290" t="s">
        <v>857</v>
      </c>
      <c r="B290" s="16">
        <f>B286+B279+B273</f>
        <v>20312.5</v>
      </c>
    </row>
    <row r="294" spans="1:3">
      <c r="A294" t="s">
        <v>858</v>
      </c>
      <c r="B294">
        <f>(36+36+36+36)/12</f>
        <v>12</v>
      </c>
    </row>
    <row r="295" spans="1:3">
      <c r="A295" t="s">
        <v>847</v>
      </c>
      <c r="B295">
        <f>ROUNDUP((24+36+12+30+36)/12,0)</f>
        <v>12</v>
      </c>
    </row>
    <row r="296" spans="1:3">
      <c r="A296" t="s">
        <v>826</v>
      </c>
      <c r="B296">
        <f>(B295-3)*2</f>
        <v>18</v>
      </c>
      <c r="C296" t="s">
        <v>859</v>
      </c>
    </row>
    <row r="297" spans="1:3">
      <c r="B297">
        <f>SUM(B294:B296)</f>
        <v>42</v>
      </c>
    </row>
    <row r="299" spans="1:3">
      <c r="A299" t="s">
        <v>778</v>
      </c>
      <c r="B299" s="12">
        <f>B297*150</f>
        <v>6300</v>
      </c>
    </row>
    <row r="300" spans="1:3">
      <c r="A300" s="21" t="s">
        <v>850</v>
      </c>
      <c r="B300" s="22">
        <f>B297*350</f>
        <v>14700</v>
      </c>
    </row>
    <row r="301" spans="1:3">
      <c r="A301" t="s">
        <v>851</v>
      </c>
      <c r="B301" s="16">
        <f>B300-B299</f>
        <v>8400</v>
      </c>
    </row>
    <row r="302" spans="1:3">
      <c r="A302" t="s">
        <v>852</v>
      </c>
      <c r="B302" s="15">
        <f>B301/B300</f>
        <v>0.5714285714285714</v>
      </c>
    </row>
    <row r="304" spans="1:3">
      <c r="A304" t="s">
        <v>853</v>
      </c>
      <c r="B304">
        <f>9*5</f>
        <v>45</v>
      </c>
    </row>
    <row r="305" spans="1:3">
      <c r="A305" t="s">
        <v>778</v>
      </c>
      <c r="B305" s="12">
        <f>B304*71</f>
        <v>3195</v>
      </c>
    </row>
    <row r="306" spans="1:3">
      <c r="A306" s="21" t="s">
        <v>850</v>
      </c>
      <c r="B306" s="22">
        <v>3600</v>
      </c>
    </row>
    <row r="307" spans="1:3">
      <c r="A307" t="s">
        <v>852</v>
      </c>
      <c r="B307" s="16">
        <f>B306-B305</f>
        <v>405</v>
      </c>
    </row>
    <row r="308" spans="1:3">
      <c r="A308" t="s">
        <v>852</v>
      </c>
      <c r="B308" s="15">
        <f>B307/B306</f>
        <v>0.1125</v>
      </c>
    </row>
    <row r="310" spans="1:3">
      <c r="A310" t="s">
        <v>855</v>
      </c>
      <c r="B310">
        <f>((36+36+36+16+12)/12)*2</f>
        <v>22.666666666666668</v>
      </c>
      <c r="C310" t="s">
        <v>854</v>
      </c>
    </row>
    <row r="312" spans="1:3">
      <c r="A312" t="s">
        <v>778</v>
      </c>
      <c r="B312" s="12">
        <f>(B310)*71</f>
        <v>1609.3333333333335</v>
      </c>
    </row>
    <row r="313" spans="1:3">
      <c r="A313" s="21" t="s">
        <v>850</v>
      </c>
      <c r="B313" s="22">
        <v>1800</v>
      </c>
    </row>
    <row r="314" spans="1:3">
      <c r="A314" t="s">
        <v>852</v>
      </c>
      <c r="B314" s="16">
        <f>B313-B312</f>
        <v>190.66666666666652</v>
      </c>
    </row>
    <row r="315" spans="1:3">
      <c r="A315" t="s">
        <v>852</v>
      </c>
      <c r="B315" s="15">
        <f>B314/B313</f>
        <v>0.10592592592592584</v>
      </c>
    </row>
    <row r="317" spans="1:3">
      <c r="A317" t="s">
        <v>857</v>
      </c>
      <c r="B317" s="16">
        <f>B313+B306+B300</f>
        <v>20100</v>
      </c>
    </row>
    <row r="320" spans="1:3">
      <c r="A320" t="s">
        <v>858</v>
      </c>
      <c r="B320">
        <f>36+36+36</f>
        <v>108</v>
      </c>
    </row>
    <row r="321" spans="1:2">
      <c r="A321" t="s">
        <v>847</v>
      </c>
      <c r="B321">
        <f>36+30+12+36</f>
        <v>114</v>
      </c>
    </row>
    <row r="323" spans="1:2">
      <c r="B323">
        <f>SUM(B320:B322)/12</f>
        <v>18.5</v>
      </c>
    </row>
    <row r="325" spans="1:2">
      <c r="A325" t="s">
        <v>778</v>
      </c>
      <c r="B325" s="12">
        <f>B323*150</f>
        <v>2775</v>
      </c>
    </row>
    <row r="326" spans="1:2">
      <c r="A326" s="21" t="s">
        <v>850</v>
      </c>
      <c r="B326" s="22">
        <f>B323*250</f>
        <v>4625</v>
      </c>
    </row>
    <row r="327" spans="1:2">
      <c r="A327" t="s">
        <v>851</v>
      </c>
      <c r="B327" s="16">
        <f>B326-B325</f>
        <v>1850</v>
      </c>
    </row>
    <row r="328" spans="1:2">
      <c r="A328" t="s">
        <v>852</v>
      </c>
      <c r="B328" s="15">
        <f>B327/B326</f>
        <v>0.4</v>
      </c>
    </row>
    <row r="331" spans="1:2">
      <c r="B331" s="12"/>
    </row>
    <row r="332" spans="1:2">
      <c r="A332" s="21"/>
      <c r="B332" s="22"/>
    </row>
    <row r="333" spans="1:2">
      <c r="B333" s="16"/>
    </row>
    <row r="334" spans="1:2">
      <c r="B334" s="15"/>
    </row>
    <row r="336" spans="1:2">
      <c r="A336" t="s">
        <v>855</v>
      </c>
      <c r="B336">
        <f>B323-(30/12)</f>
        <v>16</v>
      </c>
    </row>
    <row r="338" spans="1:6">
      <c r="A338" t="s">
        <v>778</v>
      </c>
      <c r="B338" s="12">
        <f>(B336)*71</f>
        <v>1136</v>
      </c>
    </row>
    <row r="339" spans="1:6">
      <c r="A339" s="21" t="s">
        <v>850</v>
      </c>
      <c r="B339" s="22">
        <v>1600</v>
      </c>
    </row>
    <row r="340" spans="1:6">
      <c r="A340" t="s">
        <v>852</v>
      </c>
      <c r="B340" s="16">
        <f>B339-B338</f>
        <v>464</v>
      </c>
    </row>
    <row r="341" spans="1:6">
      <c r="A341" t="s">
        <v>852</v>
      </c>
      <c r="B341" s="15">
        <f>B340/B339</f>
        <v>0.28999999999999998</v>
      </c>
    </row>
    <row r="343" spans="1:6">
      <c r="A343" t="s">
        <v>857</v>
      </c>
      <c r="B343" s="16">
        <f>B339+B332+B326</f>
        <v>6225</v>
      </c>
    </row>
    <row r="351" spans="1:6">
      <c r="A351" t="s">
        <v>860</v>
      </c>
    </row>
    <row r="352" spans="1:6">
      <c r="A352" t="s">
        <v>861</v>
      </c>
      <c r="B352" s="2" t="s">
        <v>782</v>
      </c>
      <c r="C352" s="11">
        <v>119.69126400000002</v>
      </c>
      <c r="D352" s="11">
        <v>195</v>
      </c>
      <c r="E352" s="16">
        <f>D352-C352</f>
        <v>75.308735999999982</v>
      </c>
      <c r="F352">
        <f>E352/D352</f>
        <v>0.38619864615384608</v>
      </c>
    </row>
    <row r="353" spans="1:6">
      <c r="A353" t="s">
        <v>862</v>
      </c>
      <c r="B353" s="2" t="s">
        <v>863</v>
      </c>
      <c r="C353" s="11">
        <v>142.02495999999999</v>
      </c>
      <c r="D353" s="11">
        <v>230</v>
      </c>
      <c r="E353" s="16">
        <f>D353-C353</f>
        <v>87.975040000000007</v>
      </c>
      <c r="F353">
        <f>E353/D353</f>
        <v>0.38250017391304353</v>
      </c>
    </row>
    <row r="354" spans="1:6">
      <c r="A354" t="s">
        <v>864</v>
      </c>
      <c r="B354" s="2" t="s">
        <v>865</v>
      </c>
      <c r="C354" s="11">
        <v>158.28736000000001</v>
      </c>
      <c r="D354" s="11">
        <v>245</v>
      </c>
      <c r="E354" s="16">
        <f>D354-C354</f>
        <v>86.712639999999993</v>
      </c>
      <c r="F354">
        <f>E354/D354</f>
        <v>0.35392914285714283</v>
      </c>
    </row>
    <row r="356" spans="1:6">
      <c r="A356" t="s">
        <v>866</v>
      </c>
    </row>
    <row r="357" spans="1:6">
      <c r="A357" t="s">
        <v>861</v>
      </c>
      <c r="B357" s="2" t="s">
        <v>782</v>
      </c>
      <c r="C357" s="11">
        <v>143.97211136000001</v>
      </c>
      <c r="D357" s="11">
        <v>230</v>
      </c>
      <c r="E357" s="16">
        <f>D357-C357</f>
        <v>86.027888639999986</v>
      </c>
      <c r="F357">
        <f>E357/D357</f>
        <v>0.37403429843478253</v>
      </c>
    </row>
    <row r="358" spans="1:6">
      <c r="A358" t="s">
        <v>862</v>
      </c>
      <c r="B358" s="2" t="s">
        <v>863</v>
      </c>
      <c r="C358" s="11">
        <v>173.12083712000003</v>
      </c>
      <c r="D358" s="11">
        <v>280</v>
      </c>
      <c r="E358" s="16">
        <f>D358-C358</f>
        <v>106.87916287999997</v>
      </c>
      <c r="F358">
        <f>E358/D358</f>
        <v>0.38171129599999987</v>
      </c>
    </row>
    <row r="359" spans="1:6">
      <c r="A359" t="s">
        <v>864</v>
      </c>
      <c r="B359" s="2" t="s">
        <v>865</v>
      </c>
      <c r="C359" s="11">
        <v>192.83086592000001</v>
      </c>
      <c r="D359" s="11">
        <v>305</v>
      </c>
      <c r="E359" s="16">
        <f>D359-C359</f>
        <v>112.16913407999999</v>
      </c>
      <c r="F359">
        <f>E359/D359</f>
        <v>0.36776765272131146</v>
      </c>
    </row>
    <row r="363" spans="1:6">
      <c r="A363" t="s">
        <v>867</v>
      </c>
    </row>
    <row r="364" spans="1:6">
      <c r="A364" t="s">
        <v>868</v>
      </c>
      <c r="B364" s="2" t="s">
        <v>869</v>
      </c>
      <c r="C364" s="11">
        <v>96.490240000000014</v>
      </c>
      <c r="D364" s="11">
        <v>145</v>
      </c>
      <c r="E364" s="16">
        <f>D364-C364</f>
        <v>48.509759999999986</v>
      </c>
      <c r="F364">
        <f>E364/D364</f>
        <v>0.33455006896551714</v>
      </c>
    </row>
    <row r="365" spans="1:6">
      <c r="A365" t="s">
        <v>870</v>
      </c>
      <c r="B365" s="2" t="s">
        <v>871</v>
      </c>
      <c r="C365" s="11">
        <v>122.51008</v>
      </c>
      <c r="D365" s="11">
        <v>185</v>
      </c>
      <c r="E365" s="16">
        <f>D365-C365</f>
        <v>62.489919999999998</v>
      </c>
      <c r="F365">
        <f>E365/D365</f>
        <v>0.33778335135135135</v>
      </c>
    </row>
    <row r="366" spans="1:6">
      <c r="A366" t="s">
        <v>872</v>
      </c>
      <c r="B366" s="2" t="s">
        <v>788</v>
      </c>
      <c r="C366" s="11">
        <v>88.684288000000009</v>
      </c>
      <c r="D366" s="11">
        <v>145</v>
      </c>
      <c r="E366" s="16">
        <f>D366-C366</f>
        <v>56.315711999999991</v>
      </c>
      <c r="F366">
        <f>E366/D366</f>
        <v>0.38838422068965511</v>
      </c>
    </row>
    <row r="367" spans="1:6">
      <c r="A367" t="s">
        <v>873</v>
      </c>
      <c r="B367" s="2" t="s">
        <v>874</v>
      </c>
      <c r="C367" s="11">
        <v>135.08633599999999</v>
      </c>
      <c r="D367" s="11">
        <v>205</v>
      </c>
      <c r="E367" s="16">
        <f>D367-C367</f>
        <v>69.913664000000011</v>
      </c>
      <c r="F367">
        <f>E367/D367</f>
        <v>0.34104226341463423</v>
      </c>
    </row>
    <row r="368" spans="1:6">
      <c r="B368" s="2" t="s">
        <v>612</v>
      </c>
      <c r="C368" s="11">
        <v>26.589024000000002</v>
      </c>
      <c r="D368" s="11">
        <v>43</v>
      </c>
      <c r="E368" s="16">
        <f>D368-C368</f>
        <v>16.410975999999998</v>
      </c>
      <c r="F368">
        <f>E368/D368</f>
        <v>0.38165060465116274</v>
      </c>
    </row>
    <row r="369" spans="1:8">
      <c r="B369" s="2" t="s">
        <v>875</v>
      </c>
      <c r="C369" s="11">
        <v>142.241792</v>
      </c>
      <c r="D369" s="11">
        <v>199.13850879999998</v>
      </c>
    </row>
    <row r="370" spans="1:8">
      <c r="B370" s="8"/>
      <c r="C370" s="29"/>
      <c r="D370" s="29"/>
      <c r="E370" s="16"/>
    </row>
    <row r="372" spans="1:8">
      <c r="A372" s="21" t="s">
        <v>876</v>
      </c>
    </row>
    <row r="373" spans="1:8">
      <c r="A373" s="21" t="s">
        <v>877</v>
      </c>
      <c r="B373" s="21" t="s">
        <v>878</v>
      </c>
      <c r="C373" s="21" t="s">
        <v>827</v>
      </c>
      <c r="D373" s="21" t="s">
        <v>879</v>
      </c>
      <c r="E373" s="21" t="s">
        <v>880</v>
      </c>
      <c r="F373" s="21" t="s">
        <v>881</v>
      </c>
      <c r="G373" s="21" t="s">
        <v>882</v>
      </c>
      <c r="H373" s="21" t="s">
        <v>883</v>
      </c>
    </row>
    <row r="374" spans="1:8">
      <c r="A374" s="2" t="s">
        <v>884</v>
      </c>
      <c r="B374" s="2" t="s">
        <v>782</v>
      </c>
      <c r="C374" s="2">
        <v>15</v>
      </c>
      <c r="D374" s="2">
        <v>34.5</v>
      </c>
      <c r="E374" s="2">
        <v>24</v>
      </c>
      <c r="F374" s="11">
        <v>230</v>
      </c>
      <c r="G374" s="9">
        <v>1</v>
      </c>
      <c r="H374" s="16">
        <f t="shared" ref="H374:H381" si="5">F374*G374</f>
        <v>230</v>
      </c>
    </row>
    <row r="375" spans="1:8">
      <c r="A375" s="2" t="s">
        <v>884</v>
      </c>
      <c r="B375" s="2" t="s">
        <v>863</v>
      </c>
      <c r="C375" s="2">
        <v>21</v>
      </c>
      <c r="D375" s="2">
        <v>34.5</v>
      </c>
      <c r="E375" s="2">
        <v>24</v>
      </c>
      <c r="F375" s="11">
        <v>280</v>
      </c>
      <c r="G375" s="8">
        <v>2</v>
      </c>
      <c r="H375" s="16">
        <f t="shared" si="5"/>
        <v>560</v>
      </c>
    </row>
    <row r="376" spans="1:8">
      <c r="A376" s="2" t="s">
        <v>884</v>
      </c>
      <c r="B376" s="2" t="s">
        <v>865</v>
      </c>
      <c r="C376" s="2">
        <v>24</v>
      </c>
      <c r="D376" s="2">
        <v>34.5</v>
      </c>
      <c r="E376" s="2">
        <v>24</v>
      </c>
      <c r="F376" s="11">
        <v>305</v>
      </c>
      <c r="G376" s="8">
        <v>1</v>
      </c>
      <c r="H376" s="16">
        <f t="shared" si="5"/>
        <v>305</v>
      </c>
    </row>
    <row r="377" spans="1:8">
      <c r="A377" s="2" t="s">
        <v>885</v>
      </c>
      <c r="B377" s="2" t="s">
        <v>869</v>
      </c>
      <c r="C377" s="2">
        <v>18</v>
      </c>
      <c r="D377" s="2">
        <v>30</v>
      </c>
      <c r="E377" s="2">
        <v>12</v>
      </c>
      <c r="F377" s="11">
        <v>145</v>
      </c>
      <c r="G377" s="8">
        <v>2</v>
      </c>
      <c r="H377" s="16">
        <f t="shared" si="5"/>
        <v>290</v>
      </c>
    </row>
    <row r="378" spans="1:8">
      <c r="A378" s="2" t="s">
        <v>885</v>
      </c>
      <c r="B378" s="2" t="s">
        <v>871</v>
      </c>
      <c r="C378" s="2">
        <v>24</v>
      </c>
      <c r="D378" s="2">
        <v>30</v>
      </c>
      <c r="E378" s="2">
        <v>12</v>
      </c>
      <c r="F378" s="11">
        <v>185</v>
      </c>
      <c r="G378" s="8">
        <v>1</v>
      </c>
      <c r="H378" s="16">
        <f t="shared" si="5"/>
        <v>185</v>
      </c>
    </row>
    <row r="379" spans="1:8">
      <c r="A379" s="2" t="s">
        <v>885</v>
      </c>
      <c r="B379" s="2" t="s">
        <v>788</v>
      </c>
      <c r="C379" s="2">
        <v>30</v>
      </c>
      <c r="D379" s="2">
        <v>18</v>
      </c>
      <c r="E379" s="2">
        <v>12</v>
      </c>
      <c r="F379" s="11">
        <v>145</v>
      </c>
      <c r="G379" s="8">
        <v>1</v>
      </c>
      <c r="H379" s="16">
        <f t="shared" si="5"/>
        <v>145</v>
      </c>
    </row>
    <row r="380" spans="1:8">
      <c r="A380" s="2" t="s">
        <v>885</v>
      </c>
      <c r="B380" s="2" t="s">
        <v>874</v>
      </c>
      <c r="C380" s="2">
        <v>33.5</v>
      </c>
      <c r="D380" s="2">
        <v>18</v>
      </c>
      <c r="E380" s="9">
        <v>27</v>
      </c>
      <c r="F380" s="11">
        <v>205</v>
      </c>
      <c r="G380" s="8">
        <v>1</v>
      </c>
      <c r="H380" s="16">
        <f t="shared" si="5"/>
        <v>205</v>
      </c>
    </row>
    <row r="381" spans="1:8">
      <c r="A381" s="2" t="s">
        <v>884</v>
      </c>
      <c r="B381" s="2" t="s">
        <v>612</v>
      </c>
      <c r="C381" s="2">
        <v>4.5</v>
      </c>
      <c r="D381" s="2">
        <v>96</v>
      </c>
      <c r="E381" s="2">
        <v>0.25</v>
      </c>
      <c r="F381" s="26">
        <v>43</v>
      </c>
      <c r="G381" s="8">
        <v>1</v>
      </c>
      <c r="H381" s="16">
        <f t="shared" si="5"/>
        <v>43</v>
      </c>
    </row>
    <row r="382" spans="1:8">
      <c r="A382" s="2" t="s">
        <v>885</v>
      </c>
      <c r="B382" s="2" t="s">
        <v>875</v>
      </c>
      <c r="C382" s="2">
        <v>0.875</v>
      </c>
      <c r="D382" s="2">
        <v>96</v>
      </c>
      <c r="E382" s="2">
        <v>27</v>
      </c>
      <c r="F382" s="27"/>
      <c r="G382" s="8"/>
      <c r="H382" s="28"/>
    </row>
    <row r="383" spans="1:8">
      <c r="B383" s="9" t="s">
        <v>886</v>
      </c>
      <c r="C383" s="8"/>
      <c r="D383" s="8"/>
      <c r="E383" s="8"/>
      <c r="F383" s="27"/>
      <c r="G383" s="8"/>
      <c r="H383" s="28"/>
    </row>
    <row r="384" spans="1:8">
      <c r="B384" s="9" t="s">
        <v>887</v>
      </c>
      <c r="H384" s="12">
        <f>SUM(G377:G380)*60+SUM(G374:G376)*70</f>
        <v>580</v>
      </c>
    </row>
    <row r="385" spans="1:11">
      <c r="B385" s="9" t="s">
        <v>888</v>
      </c>
      <c r="H385" s="12">
        <f>SUM(G377:G380)*5+SUM(G374:G376)*10</f>
        <v>65</v>
      </c>
    </row>
    <row r="386" spans="1:11">
      <c r="B386" s="9" t="s">
        <v>889</v>
      </c>
      <c r="H386" s="23">
        <v>450</v>
      </c>
      <c r="I386" s="23"/>
      <c r="J386" s="23">
        <v>400</v>
      </c>
      <c r="K386" s="23" t="s">
        <v>890</v>
      </c>
    </row>
    <row r="387" spans="1:11">
      <c r="F387" t="s">
        <v>891</v>
      </c>
      <c r="G387">
        <f>SUM(G374:G386)</f>
        <v>10</v>
      </c>
      <c r="H387" s="12">
        <f>SUM(H374:H386)</f>
        <v>3058</v>
      </c>
    </row>
    <row r="392" spans="1:11">
      <c r="A392" t="s">
        <v>858</v>
      </c>
      <c r="B392">
        <v>11</v>
      </c>
    </row>
    <row r="393" spans="1:11">
      <c r="A393" t="s">
        <v>847</v>
      </c>
      <c r="B393">
        <v>5</v>
      </c>
    </row>
    <row r="394" spans="1:11">
      <c r="A394" t="s">
        <v>826</v>
      </c>
    </row>
    <row r="395" spans="1:11">
      <c r="B395">
        <f>SUM(B392:B394)</f>
        <v>16</v>
      </c>
    </row>
    <row r="397" spans="1:11">
      <c r="A397" t="s">
        <v>778</v>
      </c>
      <c r="B397" s="12">
        <f>B395*150</f>
        <v>2400</v>
      </c>
    </row>
    <row r="398" spans="1:11">
      <c r="A398" s="21" t="s">
        <v>850</v>
      </c>
      <c r="B398" s="22">
        <f>B395*250</f>
        <v>4000</v>
      </c>
    </row>
    <row r="399" spans="1:11">
      <c r="A399" t="s">
        <v>851</v>
      </c>
      <c r="B399" s="16">
        <f>B398-B397</f>
        <v>1600</v>
      </c>
    </row>
    <row r="400" spans="1:11">
      <c r="A400" t="s">
        <v>852</v>
      </c>
      <c r="B400" s="15">
        <f>B399/B398</f>
        <v>0.4</v>
      </c>
    </row>
    <row r="402" spans="1:2">
      <c r="A402" t="s">
        <v>853</v>
      </c>
      <c r="B402">
        <v>0</v>
      </c>
    </row>
    <row r="403" spans="1:2">
      <c r="A403" t="s">
        <v>778</v>
      </c>
      <c r="B403" s="12">
        <f>B402*71</f>
        <v>0</v>
      </c>
    </row>
    <row r="404" spans="1:2">
      <c r="A404" s="21" t="s">
        <v>850</v>
      </c>
      <c r="B404" s="22">
        <v>0</v>
      </c>
    </row>
    <row r="405" spans="1:2">
      <c r="A405" t="s">
        <v>852</v>
      </c>
      <c r="B405" s="16">
        <f>B404-B403</f>
        <v>0</v>
      </c>
    </row>
    <row r="406" spans="1:2">
      <c r="A406" t="s">
        <v>852</v>
      </c>
      <c r="B406" s="15" t="e">
        <f>B405/B404</f>
        <v>#DIV/0!</v>
      </c>
    </row>
    <row r="408" spans="1:2">
      <c r="A408" t="s">
        <v>855</v>
      </c>
      <c r="B408">
        <f>(((11*12)-30)/12)*2</f>
        <v>17</v>
      </c>
    </row>
    <row r="409" spans="1:2">
      <c r="A409" t="s">
        <v>892</v>
      </c>
      <c r="B409">
        <f>(5-2)*2</f>
        <v>6</v>
      </c>
    </row>
    <row r="411" spans="1:2">
      <c r="A411" t="s">
        <v>778</v>
      </c>
      <c r="B411" s="12">
        <f>(B408+B409)*71</f>
        <v>1633</v>
      </c>
    </row>
    <row r="412" spans="1:2">
      <c r="A412" s="21" t="s">
        <v>850</v>
      </c>
      <c r="B412" s="22">
        <v>1800</v>
      </c>
    </row>
    <row r="413" spans="1:2">
      <c r="A413" t="s">
        <v>852</v>
      </c>
      <c r="B413" s="16">
        <f>B412-B411</f>
        <v>167</v>
      </c>
    </row>
    <row r="414" spans="1:2">
      <c r="A414" t="s">
        <v>852</v>
      </c>
      <c r="B414" s="15">
        <f>B413/B412</f>
        <v>9.2777777777777778E-2</v>
      </c>
    </row>
    <row r="416" spans="1:2">
      <c r="A416" t="s">
        <v>857</v>
      </c>
      <c r="B416" s="16">
        <f>B412+B404+B398</f>
        <v>5800</v>
      </c>
    </row>
    <row r="420" spans="1:2">
      <c r="A420" s="21" t="s">
        <v>893</v>
      </c>
      <c r="B420" s="21" t="s">
        <v>894</v>
      </c>
    </row>
    <row r="421" spans="1:2">
      <c r="A421" t="s">
        <v>858</v>
      </c>
      <c r="B421">
        <f>111/12</f>
        <v>9.25</v>
      </c>
    </row>
    <row r="422" spans="1:2">
      <c r="A422" t="s">
        <v>847</v>
      </c>
      <c r="B422">
        <f>(50+36)/12</f>
        <v>7.166666666666667</v>
      </c>
    </row>
    <row r="423" spans="1:2">
      <c r="A423" t="s">
        <v>826</v>
      </c>
    </row>
    <row r="424" spans="1:2">
      <c r="B424">
        <f>SUM(B421:B423)</f>
        <v>16.416666666666668</v>
      </c>
    </row>
    <row r="426" spans="1:2">
      <c r="A426" s="24" t="s">
        <v>895</v>
      </c>
    </row>
    <row r="427" spans="1:2">
      <c r="A427" t="s">
        <v>778</v>
      </c>
      <c r="B427" s="12">
        <f>B424*150</f>
        <v>2462.5</v>
      </c>
    </row>
    <row r="428" spans="1:2">
      <c r="A428" s="21" t="s">
        <v>850</v>
      </c>
      <c r="B428" s="22">
        <f>B424*300</f>
        <v>4925</v>
      </c>
    </row>
    <row r="429" spans="1:2">
      <c r="A429" t="s">
        <v>851</v>
      </c>
      <c r="B429" s="16">
        <f>B428-B427</f>
        <v>2462.5</v>
      </c>
    </row>
    <row r="430" spans="1:2">
      <c r="A430" t="s">
        <v>852</v>
      </c>
      <c r="B430" s="15">
        <f>B429/B428</f>
        <v>0.5</v>
      </c>
    </row>
    <row r="432" spans="1:2">
      <c r="A432" s="24" t="s">
        <v>853</v>
      </c>
      <c r="B432">
        <v>0</v>
      </c>
    </row>
    <row r="433" spans="1:2">
      <c r="A433" t="s">
        <v>778</v>
      </c>
      <c r="B433" s="12">
        <f>B432*71</f>
        <v>0</v>
      </c>
    </row>
    <row r="434" spans="1:2">
      <c r="A434" s="21" t="s">
        <v>850</v>
      </c>
      <c r="B434" s="22">
        <v>0</v>
      </c>
    </row>
    <row r="435" spans="1:2">
      <c r="A435" t="s">
        <v>852</v>
      </c>
      <c r="B435" s="16">
        <f>B434-B433</f>
        <v>0</v>
      </c>
    </row>
    <row r="436" spans="1:2">
      <c r="A436" t="s">
        <v>852</v>
      </c>
      <c r="B436" s="15" t="e">
        <f>B435/B434</f>
        <v>#DIV/0!</v>
      </c>
    </row>
    <row r="437" spans="1:2">
      <c r="B437" s="15"/>
    </row>
    <row r="438" spans="1:2">
      <c r="A438" s="25" t="s">
        <v>896</v>
      </c>
    </row>
    <row r="439" spans="1:2">
      <c r="A439" t="s">
        <v>897</v>
      </c>
      <c r="B439">
        <f>(((9+33+36)/12)*2)</f>
        <v>13</v>
      </c>
    </row>
    <row r="440" spans="1:2">
      <c r="A440" t="s">
        <v>892</v>
      </c>
      <c r="B440">
        <f>((24+36)/12)*2</f>
        <v>10</v>
      </c>
    </row>
    <row r="442" spans="1:2">
      <c r="A442" t="s">
        <v>778</v>
      </c>
      <c r="B442" s="12">
        <f>(B439+B440)*71</f>
        <v>1633</v>
      </c>
    </row>
    <row r="443" spans="1:2">
      <c r="A443" s="21" t="s">
        <v>850</v>
      </c>
      <c r="B443" s="22">
        <v>1825</v>
      </c>
    </row>
    <row r="444" spans="1:2">
      <c r="A444" t="s">
        <v>852</v>
      </c>
      <c r="B444" s="16">
        <f>B443-B442</f>
        <v>192</v>
      </c>
    </row>
    <row r="445" spans="1:2">
      <c r="A445" t="s">
        <v>852</v>
      </c>
      <c r="B445" s="15">
        <f>B444/B443</f>
        <v>0.1052054794520548</v>
      </c>
    </row>
    <row r="447" spans="1:2">
      <c r="A447" t="s">
        <v>857</v>
      </c>
      <c r="B447" s="16">
        <f>B443+B434+B428</f>
        <v>6750</v>
      </c>
    </row>
    <row r="455" spans="1:5">
      <c r="A455" t="s">
        <v>833</v>
      </c>
      <c r="B455" t="s">
        <v>898</v>
      </c>
    </row>
    <row r="456" spans="1:5">
      <c r="B456" s="35" t="s">
        <v>778</v>
      </c>
      <c r="C456" s="35"/>
      <c r="D456" s="36" t="s">
        <v>779</v>
      </c>
      <c r="E456" s="36"/>
    </row>
    <row r="457" spans="1:5">
      <c r="B457">
        <v>950</v>
      </c>
      <c r="C457" s="12">
        <f>B457*C458/B458</f>
        <v>2171.4285714285716</v>
      </c>
      <c r="D457">
        <v>1400</v>
      </c>
      <c r="E457" s="12">
        <f>D457*E458/D458</f>
        <v>3200</v>
      </c>
    </row>
    <row r="458" spans="1:5">
      <c r="B458">
        <v>42</v>
      </c>
      <c r="C458">
        <f>8*12</f>
        <v>96</v>
      </c>
      <c r="D458">
        <v>42</v>
      </c>
      <c r="E458">
        <f>8*12</f>
        <v>96</v>
      </c>
    </row>
    <row r="459" spans="1:5">
      <c r="A459" t="s">
        <v>899</v>
      </c>
      <c r="B459" t="s">
        <v>900</v>
      </c>
    </row>
    <row r="461" spans="1:5">
      <c r="B461">
        <f>8*250</f>
        <v>2000</v>
      </c>
    </row>
    <row r="479" spans="2:6">
      <c r="B479" s="21" t="s">
        <v>833</v>
      </c>
      <c r="C479">
        <v>42</v>
      </c>
      <c r="D479" t="s">
        <v>901</v>
      </c>
    </row>
    <row r="480" spans="2:6">
      <c r="B480" t="s">
        <v>834</v>
      </c>
      <c r="C480" t="s">
        <v>778</v>
      </c>
      <c r="D480" t="s">
        <v>779</v>
      </c>
      <c r="E480" t="s">
        <v>780</v>
      </c>
      <c r="F480" t="s">
        <v>780</v>
      </c>
    </row>
    <row r="481" spans="2:6">
      <c r="B481" t="s">
        <v>835</v>
      </c>
      <c r="C481">
        <v>950</v>
      </c>
      <c r="D481">
        <v>1400</v>
      </c>
      <c r="E481">
        <f>D481-C481</f>
        <v>450</v>
      </c>
      <c r="F481" s="15">
        <f t="shared" ref="F481:F486" si="6">E481/D481</f>
        <v>0.32142857142857145</v>
      </c>
    </row>
    <row r="482" spans="2:6">
      <c r="B482" t="s">
        <v>755</v>
      </c>
      <c r="C482">
        <v>500</v>
      </c>
      <c r="D482">
        <v>575</v>
      </c>
      <c r="E482">
        <f>D482-C482</f>
        <v>75</v>
      </c>
      <c r="F482" s="15">
        <f t="shared" si="6"/>
        <v>0.13043478260869565</v>
      </c>
    </row>
    <row r="483" spans="2:6">
      <c r="B483" t="s">
        <v>836</v>
      </c>
      <c r="C483">
        <v>200</v>
      </c>
      <c r="D483">
        <v>300</v>
      </c>
      <c r="E483">
        <f>D483-C483</f>
        <v>100</v>
      </c>
      <c r="F483" s="15">
        <f t="shared" si="6"/>
        <v>0.33333333333333331</v>
      </c>
    </row>
    <row r="484" spans="2:6">
      <c r="B484" t="s">
        <v>837</v>
      </c>
      <c r="C484">
        <v>300</v>
      </c>
      <c r="D484">
        <v>500</v>
      </c>
      <c r="E484">
        <f>D484-C484</f>
        <v>200</v>
      </c>
      <c r="F484" s="15">
        <f t="shared" si="6"/>
        <v>0.4</v>
      </c>
    </row>
    <row r="485" spans="2:6">
      <c r="B485" t="s">
        <v>838</v>
      </c>
      <c r="C485">
        <v>100</v>
      </c>
      <c r="D485">
        <v>200</v>
      </c>
      <c r="E485">
        <f>D485-C485</f>
        <v>100</v>
      </c>
      <c r="F485" s="15">
        <f t="shared" si="6"/>
        <v>0.5</v>
      </c>
    </row>
    <row r="486" spans="2:6">
      <c r="C486">
        <f>SUM(C481:C485)</f>
        <v>2050</v>
      </c>
      <c r="D486">
        <f>SUM(D481:D485)</f>
        <v>2975</v>
      </c>
      <c r="E486">
        <f>SUM(E481:E485)</f>
        <v>925</v>
      </c>
      <c r="F486" s="15">
        <f t="shared" si="6"/>
        <v>0.31092436974789917</v>
      </c>
    </row>
    <row r="488" spans="2:6">
      <c r="B488" s="21" t="s">
        <v>902</v>
      </c>
      <c r="C488">
        <f>8*12</f>
        <v>96</v>
      </c>
    </row>
    <row r="489" spans="2:6">
      <c r="B489" t="s">
        <v>835</v>
      </c>
      <c r="C489" s="12">
        <f>C481/$C$479*$C$488</f>
        <v>2171.4285714285716</v>
      </c>
      <c r="D489" s="12">
        <f>D481/$C$479*$C$488</f>
        <v>3200</v>
      </c>
      <c r="E489" s="12">
        <f>D489-C489</f>
        <v>1028.5714285714284</v>
      </c>
      <c r="F489" s="15">
        <f t="shared" ref="F489:F494" si="7">E489/D489</f>
        <v>0.3214285714285714</v>
      </c>
    </row>
    <row r="490" spans="2:6">
      <c r="B490" t="s">
        <v>755</v>
      </c>
      <c r="C490" s="12">
        <f>(C488/12)*(3)*71</f>
        <v>1704</v>
      </c>
      <c r="D490" s="12">
        <v>1900</v>
      </c>
      <c r="E490" s="12">
        <f>D490-C490</f>
        <v>196</v>
      </c>
      <c r="F490" s="15">
        <f t="shared" si="7"/>
        <v>0.1031578947368421</v>
      </c>
    </row>
    <row r="491" spans="2:6">
      <c r="B491" t="s">
        <v>836</v>
      </c>
      <c r="C491" s="12">
        <f t="shared" ref="C491:D493" si="8">C483/$C$479*$C$488</f>
        <v>457.14285714285711</v>
      </c>
      <c r="D491" s="12">
        <f t="shared" si="8"/>
        <v>685.71428571428578</v>
      </c>
      <c r="E491" s="12">
        <f>D491-C491</f>
        <v>228.57142857142867</v>
      </c>
      <c r="F491" s="15">
        <f t="shared" si="7"/>
        <v>0.33333333333333343</v>
      </c>
    </row>
    <row r="492" spans="2:6">
      <c r="B492" t="s">
        <v>837</v>
      </c>
      <c r="C492" s="12">
        <f t="shared" si="8"/>
        <v>685.71428571428578</v>
      </c>
      <c r="D492" s="12">
        <f t="shared" si="8"/>
        <v>1142.8571428571429</v>
      </c>
      <c r="E492" s="12">
        <f>D492-C492</f>
        <v>457.14285714285711</v>
      </c>
      <c r="F492" s="15">
        <f t="shared" si="7"/>
        <v>0.39999999999999997</v>
      </c>
    </row>
    <row r="493" spans="2:6">
      <c r="B493" t="s">
        <v>838</v>
      </c>
      <c r="C493" s="12">
        <f t="shared" si="8"/>
        <v>228.57142857142856</v>
      </c>
      <c r="D493" s="12">
        <f t="shared" si="8"/>
        <v>457.14285714285711</v>
      </c>
      <c r="E493" s="12">
        <f>D493-C493</f>
        <v>228.57142857142856</v>
      </c>
      <c r="F493" s="15">
        <f t="shared" si="7"/>
        <v>0.5</v>
      </c>
    </row>
    <row r="494" spans="2:6">
      <c r="C494" s="12">
        <f>SUM(C489:C493)</f>
        <v>5246.8571428571422</v>
      </c>
      <c r="D494" s="12">
        <f>SUM(D489:D493)</f>
        <v>7385.7142857142862</v>
      </c>
      <c r="E494" s="12">
        <f>SUM(E489:E493)</f>
        <v>2138.8571428571427</v>
      </c>
      <c r="F494" s="15">
        <f t="shared" si="7"/>
        <v>0.28959381044487426</v>
      </c>
    </row>
    <row r="497" spans="1:2">
      <c r="A497" s="21" t="s">
        <v>893</v>
      </c>
      <c r="B497" s="21" t="s">
        <v>894</v>
      </c>
    </row>
    <row r="498" spans="1:2">
      <c r="A498" t="s">
        <v>903</v>
      </c>
      <c r="B498">
        <f>111/12</f>
        <v>9.25</v>
      </c>
    </row>
    <row r="499" spans="1:2">
      <c r="A499" t="s">
        <v>847</v>
      </c>
      <c r="B499">
        <f>(50+36)/12</f>
        <v>7.166666666666667</v>
      </c>
    </row>
    <row r="500" spans="1:2">
      <c r="A500" t="s">
        <v>826</v>
      </c>
    </row>
    <row r="501" spans="1:2">
      <c r="B501">
        <f>SUM(B498:B500)</f>
        <v>16.416666666666668</v>
      </c>
    </row>
    <row r="503" spans="1:2">
      <c r="A503" s="24" t="s">
        <v>895</v>
      </c>
    </row>
    <row r="504" spans="1:2">
      <c r="A504" t="s">
        <v>778</v>
      </c>
      <c r="B504" s="12">
        <f>B501*150</f>
        <v>2462.5</v>
      </c>
    </row>
    <row r="505" spans="1:2">
      <c r="A505" s="21" t="s">
        <v>850</v>
      </c>
      <c r="B505" s="22">
        <f>B501*300</f>
        <v>4925</v>
      </c>
    </row>
    <row r="506" spans="1:2">
      <c r="A506" t="s">
        <v>851</v>
      </c>
      <c r="B506" s="16">
        <f>B505-B504</f>
        <v>2462.5</v>
      </c>
    </row>
    <row r="507" spans="1:2">
      <c r="A507" t="s">
        <v>852</v>
      </c>
      <c r="B507" s="15">
        <f>B506/B505</f>
        <v>0.5</v>
      </c>
    </row>
    <row r="509" spans="1:2">
      <c r="A509" s="24" t="s">
        <v>853</v>
      </c>
      <c r="B509">
        <v>0</v>
      </c>
    </row>
    <row r="510" spans="1:2">
      <c r="A510" t="s">
        <v>778</v>
      </c>
      <c r="B510" s="12">
        <f>B509*71</f>
        <v>0</v>
      </c>
    </row>
    <row r="511" spans="1:2">
      <c r="A511" s="21" t="s">
        <v>850</v>
      </c>
      <c r="B511" s="22">
        <v>0</v>
      </c>
    </row>
    <row r="512" spans="1:2">
      <c r="A512" t="s">
        <v>852</v>
      </c>
      <c r="B512" s="16">
        <f>B511-B510</f>
        <v>0</v>
      </c>
    </row>
    <row r="513" spans="1:2">
      <c r="A513" t="s">
        <v>852</v>
      </c>
      <c r="B513" s="15" t="e">
        <f>B512/B511</f>
        <v>#DIV/0!</v>
      </c>
    </row>
    <row r="514" spans="1:2">
      <c r="B514" s="15"/>
    </row>
    <row r="515" spans="1:2">
      <c r="A515" s="25" t="s">
        <v>896</v>
      </c>
    </row>
    <row r="516" spans="1:2">
      <c r="A516" t="s">
        <v>904</v>
      </c>
      <c r="B516">
        <f>(((9+33+36)/12)*2)</f>
        <v>13</v>
      </c>
    </row>
    <row r="517" spans="1:2">
      <c r="A517" t="s">
        <v>892</v>
      </c>
      <c r="B517">
        <f>((24+36)/12)*2</f>
        <v>10</v>
      </c>
    </row>
    <row r="519" spans="1:2">
      <c r="A519" t="s">
        <v>778</v>
      </c>
      <c r="B519" s="12">
        <f>(B516+B517)*71</f>
        <v>1633</v>
      </c>
    </row>
    <row r="520" spans="1:2">
      <c r="A520" s="21" t="s">
        <v>850</v>
      </c>
      <c r="B520" s="22">
        <v>1825</v>
      </c>
    </row>
    <row r="521" spans="1:2">
      <c r="A521" t="s">
        <v>852</v>
      </c>
      <c r="B521" s="16">
        <f>B520-B519</f>
        <v>192</v>
      </c>
    </row>
    <row r="522" spans="1:2">
      <c r="A522" t="s">
        <v>852</v>
      </c>
      <c r="B522" s="15">
        <f>B521/B520</f>
        <v>0.1052054794520548</v>
      </c>
    </row>
    <row r="524" spans="1:2">
      <c r="A524" t="s">
        <v>857</v>
      </c>
      <c r="B524" s="16">
        <f>B520+B511+B505</f>
        <v>6750</v>
      </c>
    </row>
    <row r="529" spans="1:2">
      <c r="A529" t="s">
        <v>905</v>
      </c>
      <c r="B529">
        <f>10+12</f>
        <v>22</v>
      </c>
    </row>
    <row r="531" spans="1:2">
      <c r="A531" t="s">
        <v>778</v>
      </c>
      <c r="B531" s="12">
        <f>B529*150</f>
        <v>3300</v>
      </c>
    </row>
    <row r="532" spans="1:2">
      <c r="A532" s="21" t="s">
        <v>850</v>
      </c>
      <c r="B532" s="22">
        <f>B529*275</f>
        <v>6050</v>
      </c>
    </row>
    <row r="533" spans="1:2">
      <c r="A533" t="s">
        <v>851</v>
      </c>
      <c r="B533" s="16">
        <f>B532-B531</f>
        <v>2750</v>
      </c>
    </row>
    <row r="534" spans="1:2">
      <c r="A534" t="s">
        <v>852</v>
      </c>
      <c r="B534" s="15">
        <f>B533/B532</f>
        <v>0.45454545454545453</v>
      </c>
    </row>
    <row r="537" spans="1:2">
      <c r="B537" s="12"/>
    </row>
    <row r="538" spans="1:2">
      <c r="A538" s="21"/>
      <c r="B538" s="22"/>
    </row>
    <row r="539" spans="1:2">
      <c r="B539" s="16"/>
    </row>
    <row r="540" spans="1:2">
      <c r="B540" s="15"/>
    </row>
    <row r="542" spans="1:2">
      <c r="A542" t="s">
        <v>855</v>
      </c>
      <c r="B542">
        <f>B529</f>
        <v>22</v>
      </c>
    </row>
    <row r="544" spans="1:2">
      <c r="A544" t="s">
        <v>778</v>
      </c>
      <c r="B544" s="12">
        <f>(B542)*71</f>
        <v>1562</v>
      </c>
    </row>
    <row r="545" spans="1:5">
      <c r="A545" s="21" t="s">
        <v>850</v>
      </c>
      <c r="B545" s="22">
        <v>1800</v>
      </c>
    </row>
    <row r="546" spans="1:5">
      <c r="A546" t="s">
        <v>852</v>
      </c>
      <c r="B546" s="16">
        <f>B545-B544</f>
        <v>238</v>
      </c>
    </row>
    <row r="547" spans="1:5">
      <c r="A547" t="s">
        <v>852</v>
      </c>
      <c r="B547" s="15">
        <f>B546/B545</f>
        <v>0.13222222222222221</v>
      </c>
    </row>
    <row r="549" spans="1:5">
      <c r="A549" t="s">
        <v>857</v>
      </c>
      <c r="B549" s="16">
        <f>B545+B538+B532</f>
        <v>7850</v>
      </c>
    </row>
    <row r="554" spans="1:5">
      <c r="A554" s="21" t="s">
        <v>906</v>
      </c>
      <c r="B554" t="s">
        <v>778</v>
      </c>
      <c r="C554" t="s">
        <v>779</v>
      </c>
      <c r="D554" t="s">
        <v>780</v>
      </c>
      <c r="E554" t="s">
        <v>907</v>
      </c>
    </row>
    <row r="555" spans="1:5">
      <c r="A555" t="s">
        <v>895</v>
      </c>
      <c r="B555" s="30">
        <v>3320</v>
      </c>
      <c r="C555" s="12">
        <v>6640</v>
      </c>
      <c r="D555" s="30">
        <f>C555-B555</f>
        <v>3320</v>
      </c>
      <c r="E555" s="15">
        <f>D555/C555</f>
        <v>0.5</v>
      </c>
    </row>
    <row r="556" spans="1:5">
      <c r="A556" t="s">
        <v>908</v>
      </c>
      <c r="B556" s="30">
        <v>1400</v>
      </c>
      <c r="C556" s="12">
        <v>1800</v>
      </c>
      <c r="D556" s="30">
        <f>C556-B556</f>
        <v>400</v>
      </c>
      <c r="E556" s="15">
        <f>D556/C556</f>
        <v>0.22222222222222221</v>
      </c>
    </row>
    <row r="557" spans="1:5">
      <c r="A557" t="s">
        <v>838</v>
      </c>
      <c r="B557" s="31">
        <v>400</v>
      </c>
      <c r="C557" s="12">
        <v>450</v>
      </c>
      <c r="D557" s="30">
        <f>C557-B557</f>
        <v>50</v>
      </c>
      <c r="E557" s="15">
        <f>D557/C557</f>
        <v>0.1111111111111111</v>
      </c>
    </row>
    <row r="558" spans="1:5">
      <c r="A558" t="s">
        <v>755</v>
      </c>
      <c r="B558" s="31">
        <v>1850</v>
      </c>
      <c r="C558" s="12">
        <v>2200</v>
      </c>
      <c r="D558" s="30">
        <f>C558-B558</f>
        <v>350</v>
      </c>
      <c r="E558" s="15">
        <f>D558/C558</f>
        <v>0.15909090909090909</v>
      </c>
    </row>
    <row r="559" spans="1:5">
      <c r="A559" t="s">
        <v>909</v>
      </c>
      <c r="C559" s="12">
        <v>5800</v>
      </c>
    </row>
    <row r="560" spans="1:5">
      <c r="C560" s="16">
        <f>SUM(C555:C559)</f>
        <v>16890</v>
      </c>
    </row>
    <row r="561" spans="1:6">
      <c r="B561" t="s">
        <v>910</v>
      </c>
    </row>
    <row r="562" spans="1:6">
      <c r="B562" t="s">
        <v>911</v>
      </c>
    </row>
    <row r="563" spans="1:6">
      <c r="B563" t="s">
        <v>912</v>
      </c>
    </row>
    <row r="564" spans="1:6">
      <c r="B564" t="s">
        <v>913</v>
      </c>
    </row>
    <row r="565" spans="1:6">
      <c r="B565" t="s">
        <v>914</v>
      </c>
    </row>
    <row r="566" spans="1:6">
      <c r="A566" t="s">
        <v>915</v>
      </c>
      <c r="C566" t="s">
        <v>916</v>
      </c>
      <c r="D566" t="s">
        <v>917</v>
      </c>
      <c r="E566" t="s">
        <v>778</v>
      </c>
      <c r="F566" t="s">
        <v>850</v>
      </c>
    </row>
    <row r="567" spans="1:6">
      <c r="A567">
        <v>1</v>
      </c>
      <c r="B567" s="2" t="s">
        <v>918</v>
      </c>
      <c r="C567" s="11">
        <v>191.89632000000006</v>
      </c>
      <c r="D567" s="11">
        <v>268.65484800000007</v>
      </c>
      <c r="E567" s="16">
        <f t="shared" ref="E567:E578" si="9">C567*A567</f>
        <v>191.89632000000006</v>
      </c>
      <c r="F567" s="16">
        <f>D567*A567</f>
        <v>268.65484800000007</v>
      </c>
    </row>
    <row r="568" spans="1:6">
      <c r="A568">
        <v>1</v>
      </c>
      <c r="B568" s="8" t="s">
        <v>818</v>
      </c>
      <c r="C568" s="11">
        <v>181.70521600000004</v>
      </c>
      <c r="D568" s="11">
        <v>254.38730240000004</v>
      </c>
      <c r="E568" s="16">
        <f t="shared" si="9"/>
        <v>181.70521600000004</v>
      </c>
      <c r="F568" s="16">
        <f t="shared" ref="F568:F578" si="10">D568*A568</f>
        <v>254.38730240000004</v>
      </c>
    </row>
    <row r="569" spans="1:6">
      <c r="A569">
        <v>1</v>
      </c>
      <c r="B569" s="2" t="s">
        <v>807</v>
      </c>
      <c r="C569" s="11">
        <v>288.820224</v>
      </c>
      <c r="D569" s="11">
        <v>404.34831359999998</v>
      </c>
      <c r="E569" s="16">
        <f t="shared" si="9"/>
        <v>288.820224</v>
      </c>
      <c r="F569" s="16">
        <f t="shared" si="10"/>
        <v>404.34831359999998</v>
      </c>
    </row>
    <row r="570" spans="1:6">
      <c r="A570">
        <v>2</v>
      </c>
      <c r="B570" s="2" t="s">
        <v>919</v>
      </c>
      <c r="C570" s="11">
        <v>164.358656</v>
      </c>
      <c r="D570" s="11">
        <v>230.10211839999997</v>
      </c>
      <c r="E570" s="16">
        <f t="shared" si="9"/>
        <v>328.71731199999999</v>
      </c>
      <c r="F570" s="16">
        <f t="shared" si="10"/>
        <v>460.20423679999993</v>
      </c>
    </row>
    <row r="571" spans="1:6">
      <c r="A571">
        <v>1</v>
      </c>
      <c r="B571" s="2" t="s">
        <v>920</v>
      </c>
      <c r="C571" s="11">
        <v>153.517056</v>
      </c>
      <c r="D571" s="11">
        <v>214.92387839999998</v>
      </c>
      <c r="E571" s="16">
        <f t="shared" si="9"/>
        <v>153.517056</v>
      </c>
      <c r="F571" s="16">
        <f t="shared" si="10"/>
        <v>214.92387839999998</v>
      </c>
    </row>
    <row r="572" spans="1:6">
      <c r="A572">
        <v>2</v>
      </c>
      <c r="B572" s="2" t="s">
        <v>921</v>
      </c>
      <c r="C572" s="11">
        <v>292.50636800000001</v>
      </c>
      <c r="D572" s="11">
        <v>409.50891519999999</v>
      </c>
      <c r="E572" s="16">
        <f t="shared" si="9"/>
        <v>585.01273600000002</v>
      </c>
      <c r="F572" s="16">
        <f t="shared" si="10"/>
        <v>819.01783039999998</v>
      </c>
    </row>
    <row r="573" spans="1:6">
      <c r="A573">
        <v>4</v>
      </c>
      <c r="B573" s="2" t="s">
        <v>922</v>
      </c>
      <c r="C573" s="11">
        <v>153.95071999999999</v>
      </c>
      <c r="D573" s="11">
        <v>215.53100799999999</v>
      </c>
      <c r="E573" s="16">
        <f t="shared" si="9"/>
        <v>615.80287999999996</v>
      </c>
      <c r="F573" s="16">
        <f t="shared" si="10"/>
        <v>862.12403199999994</v>
      </c>
    </row>
    <row r="574" spans="1:6">
      <c r="A574">
        <v>4</v>
      </c>
      <c r="B574" s="2" t="s">
        <v>923</v>
      </c>
      <c r="C574" s="11">
        <v>54.424832000000002</v>
      </c>
      <c r="D574" s="11">
        <v>76.194764800000002</v>
      </c>
      <c r="E574" s="16">
        <f t="shared" si="9"/>
        <v>217.69932800000001</v>
      </c>
      <c r="F574" s="16">
        <f t="shared" si="10"/>
        <v>304.77905920000001</v>
      </c>
    </row>
    <row r="575" spans="1:6">
      <c r="A575">
        <v>1</v>
      </c>
      <c r="B575" s="2" t="s">
        <v>924</v>
      </c>
      <c r="C575" s="11">
        <v>48.787199999999999</v>
      </c>
      <c r="D575" s="11">
        <v>68.302079999999989</v>
      </c>
      <c r="E575" s="16">
        <f t="shared" si="9"/>
        <v>48.787199999999999</v>
      </c>
      <c r="F575" s="16">
        <f t="shared" si="10"/>
        <v>68.302079999999989</v>
      </c>
    </row>
    <row r="576" spans="1:6">
      <c r="A576">
        <v>1</v>
      </c>
      <c r="B576" t="s">
        <v>925</v>
      </c>
      <c r="C576" s="11">
        <v>29.543359999999996</v>
      </c>
      <c r="D576" s="11">
        <v>41.360703999999991</v>
      </c>
      <c r="E576" s="16">
        <f t="shared" si="9"/>
        <v>29.543359999999996</v>
      </c>
      <c r="F576" s="16">
        <f t="shared" si="10"/>
        <v>41.360703999999991</v>
      </c>
    </row>
    <row r="577" spans="1:8">
      <c r="A577">
        <v>1</v>
      </c>
      <c r="B577" s="2" t="s">
        <v>926</v>
      </c>
      <c r="C577" s="11">
        <v>144.62694400000001</v>
      </c>
      <c r="D577" s="11">
        <v>202.4777216</v>
      </c>
      <c r="E577" s="16">
        <f t="shared" si="9"/>
        <v>144.62694400000001</v>
      </c>
      <c r="F577" s="16">
        <f t="shared" si="10"/>
        <v>202.4777216</v>
      </c>
    </row>
    <row r="578" spans="1:8">
      <c r="A578">
        <v>2</v>
      </c>
      <c r="B578" s="2" t="s">
        <v>612</v>
      </c>
      <c r="C578" s="11">
        <v>9.1069439999999986</v>
      </c>
      <c r="D578" s="11">
        <v>12.749721599999997</v>
      </c>
      <c r="E578" s="16">
        <f t="shared" si="9"/>
        <v>18.213887999999997</v>
      </c>
      <c r="F578" s="16">
        <f t="shared" si="10"/>
        <v>25.499443199999995</v>
      </c>
    </row>
    <row r="579" spans="1:8">
      <c r="E579" s="16">
        <f>SUM(E567:E578)</f>
        <v>2804.3424640000012</v>
      </c>
      <c r="F579" s="16">
        <f>SUM(F567:F578)</f>
        <v>3926.0794496000003</v>
      </c>
      <c r="G579" s="16">
        <f>F579-E579</f>
        <v>1121.7369855999991</v>
      </c>
      <c r="H579" s="15">
        <f>G579/F579</f>
        <v>0.28571428571428548</v>
      </c>
    </row>
    <row r="580" spans="1:8">
      <c r="G580" s="16"/>
      <c r="H580" s="15"/>
    </row>
    <row r="581" spans="1:8">
      <c r="A581" s="21" t="s">
        <v>927</v>
      </c>
      <c r="B581" t="s">
        <v>928</v>
      </c>
    </row>
    <row r="582" spans="1:8">
      <c r="A582" t="s">
        <v>929</v>
      </c>
    </row>
    <row r="583" spans="1:8">
      <c r="A583" t="s">
        <v>905</v>
      </c>
      <c r="B583" s="32">
        <f>(199+172)/12+(30+24+30)/12</f>
        <v>37.916666666666671</v>
      </c>
    </row>
    <row r="584" spans="1:8">
      <c r="A584" t="s">
        <v>930</v>
      </c>
    </row>
    <row r="585" spans="1:8">
      <c r="A585" t="s">
        <v>931</v>
      </c>
      <c r="B585" s="12">
        <v>8160</v>
      </c>
    </row>
    <row r="586" spans="1:8">
      <c r="A586" t="s">
        <v>932</v>
      </c>
      <c r="B586" s="12">
        <v>19000</v>
      </c>
    </row>
    <row r="587" spans="1:8">
      <c r="A587" t="s">
        <v>933</v>
      </c>
      <c r="B587" s="12">
        <f>B585/B583</f>
        <v>215.20879120879118</v>
      </c>
    </row>
    <row r="588" spans="1:8">
      <c r="A588" t="s">
        <v>934</v>
      </c>
      <c r="B588" s="12">
        <f>B586/B583</f>
        <v>501.09890109890102</v>
      </c>
    </row>
    <row r="591" spans="1:8">
      <c r="A591" t="s">
        <v>935</v>
      </c>
      <c r="B591" s="12">
        <v>3500</v>
      </c>
    </row>
    <row r="592" spans="1:8">
      <c r="A592" t="s">
        <v>936</v>
      </c>
      <c r="B592" s="12">
        <v>4100</v>
      </c>
    </row>
    <row r="593" spans="1:6">
      <c r="A593" t="s">
        <v>933</v>
      </c>
      <c r="B593" s="12">
        <f>B591/B583</f>
        <v>92.307692307692292</v>
      </c>
    </row>
    <row r="594" spans="1:6">
      <c r="A594" t="s">
        <v>934</v>
      </c>
      <c r="B594" s="12">
        <f>B592/B583</f>
        <v>108.13186813186812</v>
      </c>
    </row>
    <row r="608" spans="1:6">
      <c r="A608" s="21" t="s">
        <v>937</v>
      </c>
      <c r="B608" t="s">
        <v>938</v>
      </c>
      <c r="D608" t="s">
        <v>939</v>
      </c>
      <c r="E608" t="s">
        <v>940</v>
      </c>
      <c r="F608" t="s">
        <v>941</v>
      </c>
    </row>
    <row r="609" spans="3:6">
      <c r="C609" t="s">
        <v>942</v>
      </c>
      <c r="D609">
        <v>2</v>
      </c>
      <c r="E609">
        <v>100</v>
      </c>
      <c r="F609">
        <f>E609*D609</f>
        <v>200</v>
      </c>
    </row>
    <row r="610" spans="3:6">
      <c r="C610" t="s">
        <v>943</v>
      </c>
      <c r="D610">
        <v>12</v>
      </c>
      <c r="E610">
        <v>50</v>
      </c>
      <c r="F610">
        <f>E610*D610</f>
        <v>600</v>
      </c>
    </row>
    <row r="611" spans="3:6">
      <c r="C611" t="s">
        <v>944</v>
      </c>
      <c r="D611">
        <v>8</v>
      </c>
      <c r="E611">
        <v>25</v>
      </c>
      <c r="F611">
        <f>E611*D611</f>
        <v>200</v>
      </c>
    </row>
    <row r="612" spans="3:6">
      <c r="C612" t="s">
        <v>945</v>
      </c>
      <c r="D612">
        <v>4</v>
      </c>
      <c r="E612">
        <v>150</v>
      </c>
      <c r="F612">
        <f>E612*D612</f>
        <v>600</v>
      </c>
    </row>
    <row r="613" spans="3:6">
      <c r="C613" t="s">
        <v>946</v>
      </c>
      <c r="D613">
        <v>2</v>
      </c>
      <c r="E613">
        <v>80</v>
      </c>
      <c r="F613">
        <f>E613*D613</f>
        <v>160</v>
      </c>
    </row>
    <row r="617" spans="3:6">
      <c r="C617" t="s">
        <v>947</v>
      </c>
      <c r="D617">
        <f>24800</f>
        <v>24800</v>
      </c>
    </row>
    <row r="618" spans="3:6">
      <c r="C618" t="s">
        <v>948</v>
      </c>
      <c r="D618">
        <f>SUM(F609:F613)</f>
        <v>1760</v>
      </c>
    </row>
    <row r="619" spans="3:6">
      <c r="C619" t="s">
        <v>949</v>
      </c>
      <c r="D619">
        <v>300</v>
      </c>
    </row>
    <row r="620" spans="3:6">
      <c r="C620" t="s">
        <v>950</v>
      </c>
      <c r="D620">
        <f>D617-D618-D619</f>
        <v>22740</v>
      </c>
    </row>
    <row r="622" spans="3:6">
      <c r="C622" s="34" t="s">
        <v>951</v>
      </c>
      <c r="D622" s="15">
        <v>0</v>
      </c>
    </row>
    <row r="623" spans="3:6">
      <c r="C623" t="s">
        <v>952</v>
      </c>
      <c r="D623">
        <f>D620*(1-D622)</f>
        <v>22740</v>
      </c>
    </row>
    <row r="626" spans="3:4">
      <c r="C626" t="s">
        <v>953</v>
      </c>
      <c r="D626">
        <f>(154+160+33+30+30+33)/12</f>
        <v>36.666666666666664</v>
      </c>
    </row>
    <row r="627" spans="3:4">
      <c r="C627" t="s">
        <v>954</v>
      </c>
      <c r="D627">
        <f>D623/D626</f>
        <v>620.18181818181824</v>
      </c>
    </row>
    <row r="629" spans="3:4">
      <c r="C629" t="s">
        <v>778</v>
      </c>
      <c r="D629">
        <v>16000</v>
      </c>
    </row>
    <row r="630" spans="3:4">
      <c r="C630" t="s">
        <v>852</v>
      </c>
      <c r="D630">
        <f>D623-D629</f>
        <v>6740</v>
      </c>
    </row>
    <row r="631" spans="3:4">
      <c r="C631" t="s">
        <v>955</v>
      </c>
      <c r="D631" s="15">
        <f>D630/D623</f>
        <v>0.29639401934916448</v>
      </c>
    </row>
  </sheetData>
  <mergeCells count="2">
    <mergeCell ref="B456:C456"/>
    <mergeCell ref="D456:E456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8DCB3-BBAE-4AD7-B89F-BFA98A23A679}">
  <dimension ref="A1"/>
  <sheetViews>
    <sheetView workbookViewId="0">
      <selection activeCell="A4" sqref="A4"/>
    </sheetView>
  </sheetViews>
  <sheetFormatPr defaultRowHeight="15"/>
  <sheetData/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f18b6-4133-49ba-81f2-b4ae4f718ff3" xsi:nil="true"/>
    <lcf76f155ced4ddcb4097134ff3c332f xmlns="be6c14df-da61-4cb9-ba61-b65e851650c2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7EC0B5D8D56340944C1DDE99361991" ma:contentTypeVersion="12" ma:contentTypeDescription="Create a new document." ma:contentTypeScope="" ma:versionID="e631a460e3b5b9b642883bd197eeb695">
  <xsd:schema xmlns:xsd="http://www.w3.org/2001/XMLSchema" xmlns:xs="http://www.w3.org/2001/XMLSchema" xmlns:p="http://schemas.microsoft.com/office/2006/metadata/properties" xmlns:ns2="be6c14df-da61-4cb9-ba61-b65e851650c2" xmlns:ns3="3bef18b6-4133-49ba-81f2-b4ae4f718ff3" targetNamespace="http://schemas.microsoft.com/office/2006/metadata/properties" ma:root="true" ma:fieldsID="3330fd93d64bd854be960ee9bbbea58b" ns2:_="" ns3:_="">
    <xsd:import namespace="be6c14df-da61-4cb9-ba61-b65e851650c2"/>
    <xsd:import namespace="3bef18b6-4133-49ba-81f2-b4ae4f718f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6c14df-da61-4cb9-ba61-b65e851650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57b1842-b69b-4b30-a18d-ccc7e7cd9e2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f18b6-4133-49ba-81f2-b4ae4f718ff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b887733d-a00f-421a-8a43-07969b6e986e}" ma:internalName="TaxCatchAll" ma:showField="CatchAllData" ma:web="3bef18b6-4133-49ba-81f2-b4ae4f718f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0A9376D-9D9E-4966-BA41-A2751EFDD393}"/>
</file>

<file path=customXml/itemProps2.xml><?xml version="1.0" encoding="utf-8"?>
<ds:datastoreItem xmlns:ds="http://schemas.openxmlformats.org/officeDocument/2006/customXml" ds:itemID="{64293D84-D01A-46C3-A938-9BC54E679596}"/>
</file>

<file path=customXml/itemProps3.xml><?xml version="1.0" encoding="utf-8"?>
<ds:datastoreItem xmlns:ds="http://schemas.openxmlformats.org/officeDocument/2006/customXml" ds:itemID="{F13595DD-7117-43C4-A156-F9FEE63AEB4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2026-05-25T01:43:15Z</dcterms:created>
  <dcterms:modified xsi:type="dcterms:W3CDTF">2026-07-01T22:56:58Z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0x0101005A7EC0B5D8D56340944C1DDE99361991</vt:lpwstr>
  </property>
  <property fmtid="{D5CDD505-2E9C-101B-9397-08002B2CF9AE}" pid="3" name="MediaServiceImageTags">
    <vt:lpwstr/>
  </property>
</Properties>
</file>