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3e0ac2bc10ec6c2/Florestal/UFMT/Disciplinas/4-Silvicultura Tropical/1-Aulas/Aula4/"/>
    </mc:Choice>
  </mc:AlternateContent>
  <xr:revisionPtr revIDLastSave="3" documentId="11_0CE6A2905D0ACBF799778893CC2BC38276439831" xr6:coauthVersionLast="47" xr6:coauthVersionMax="47" xr10:uidLastSave="{B00BB678-9970-487F-AC7D-6B62468E15C5}"/>
  <bookViews>
    <workbookView xWindow="-108" yWindow="-108" windowWidth="23256" windowHeight="12456" xr2:uid="{00000000-000D-0000-FFFF-FFFF00000000}"/>
  </bookViews>
  <sheets>
    <sheet name="Exercíc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" i="1" l="1"/>
  <c r="J82" i="1"/>
  <c r="I81" i="1"/>
  <c r="I82" i="1"/>
  <c r="F88" i="1"/>
  <c r="G86" i="1"/>
  <c r="G87" i="1"/>
  <c r="G81" i="1"/>
  <c r="G82" i="1"/>
  <c r="F86" i="1"/>
  <c r="F87" i="1"/>
  <c r="F82" i="1"/>
  <c r="F81" i="1"/>
  <c r="B83" i="1"/>
  <c r="B84" i="1"/>
  <c r="C84" i="1" s="1"/>
  <c r="B85" i="1"/>
  <c r="B86" i="1"/>
  <c r="H86" i="1" s="1"/>
  <c r="B87" i="1"/>
  <c r="H87" i="1" s="1"/>
  <c r="J87" i="1" s="1"/>
  <c r="B88" i="1"/>
  <c r="H88" i="1" s="1"/>
  <c r="B82" i="1"/>
  <c r="C82" i="1" s="1"/>
  <c r="B81" i="1"/>
  <c r="C81" i="1" s="1"/>
  <c r="B16" i="1"/>
  <c r="J88" i="1" l="1"/>
  <c r="I88" i="1"/>
  <c r="J86" i="1"/>
  <c r="I86" i="1"/>
  <c r="C87" i="1"/>
  <c r="C83" i="1"/>
  <c r="B89" i="1"/>
  <c r="C88" i="1"/>
  <c r="C86" i="1"/>
  <c r="C85" i="1"/>
  <c r="I87" i="1"/>
  <c r="G88" i="1"/>
  <c r="B60" i="1"/>
  <c r="C60" i="1" s="1"/>
  <c r="B61" i="1"/>
  <c r="C61" i="1" s="1"/>
  <c r="B62" i="1"/>
  <c r="C62" i="1" s="1"/>
  <c r="B63" i="1"/>
  <c r="C63" i="1" s="1"/>
  <c r="B64" i="1"/>
  <c r="C64" i="1" s="1"/>
  <c r="I64" i="1" s="1"/>
  <c r="B65" i="1"/>
  <c r="H65" i="1" s="1"/>
  <c r="B66" i="1"/>
  <c r="H66" i="1" s="1"/>
  <c r="B59" i="1"/>
  <c r="C59" i="1" s="1"/>
  <c r="C37" i="1"/>
  <c r="C38" i="1"/>
  <c r="C39" i="1"/>
  <c r="C40" i="1"/>
  <c r="C36" i="1"/>
  <c r="C24" i="1"/>
  <c r="F26" i="1" s="1"/>
  <c r="G9" i="1"/>
  <c r="G10" i="1"/>
  <c r="G11" i="1"/>
  <c r="G12" i="1"/>
  <c r="G13" i="1"/>
  <c r="G14" i="1"/>
  <c r="G15" i="1"/>
  <c r="G8" i="1"/>
  <c r="F9" i="1"/>
  <c r="F10" i="1"/>
  <c r="F11" i="1"/>
  <c r="F12" i="1"/>
  <c r="F13" i="1"/>
  <c r="F14" i="1"/>
  <c r="F15" i="1"/>
  <c r="F8" i="1"/>
  <c r="C89" i="1" l="1"/>
  <c r="I7" i="1"/>
  <c r="I10" i="1" s="1"/>
  <c r="I6" i="1"/>
  <c r="C65" i="1"/>
  <c r="I65" i="1" s="1"/>
  <c r="H64" i="1"/>
  <c r="C66" i="1"/>
  <c r="I66" i="1" s="1"/>
  <c r="F25" i="1"/>
  <c r="F24" i="1"/>
  <c r="F28" i="1"/>
  <c r="B28" i="1"/>
  <c r="F27" i="1"/>
  <c r="I8" i="1"/>
  <c r="D9" i="1"/>
  <c r="D82" i="1" s="1"/>
  <c r="D10" i="1"/>
  <c r="D83" i="1" s="1"/>
  <c r="D11" i="1"/>
  <c r="D84" i="1" s="1"/>
  <c r="D12" i="1"/>
  <c r="D85" i="1" s="1"/>
  <c r="D13" i="1"/>
  <c r="D14" i="1"/>
  <c r="D15" i="1"/>
  <c r="D8" i="1"/>
  <c r="D81" i="1" s="1"/>
  <c r="D66" i="1" l="1"/>
  <c r="J66" i="1" s="1"/>
  <c r="D88" i="1"/>
  <c r="D65" i="1"/>
  <c r="J65" i="1" s="1"/>
  <c r="D87" i="1"/>
  <c r="D64" i="1"/>
  <c r="J64" i="1" s="1"/>
  <c r="D86" i="1"/>
  <c r="D63" i="1"/>
  <c r="B40" i="1"/>
  <c r="D40" i="1" s="1"/>
  <c r="B39" i="1"/>
  <c r="D39" i="1" s="1"/>
  <c r="D62" i="1"/>
  <c r="D61" i="1"/>
  <c r="B38" i="1"/>
  <c r="D38" i="1" s="1"/>
  <c r="D59" i="1"/>
  <c r="D16" i="1"/>
  <c r="B36" i="1"/>
  <c r="D60" i="1"/>
  <c r="B37" i="1"/>
  <c r="D37" i="1" s="1"/>
  <c r="F29" i="1"/>
  <c r="H21" i="1" s="1"/>
  <c r="B27" i="1" s="1"/>
  <c r="D89" i="1" l="1"/>
  <c r="E60" i="1"/>
  <c r="G60" i="1" s="1"/>
  <c r="E84" i="1"/>
  <c r="E85" i="1"/>
  <c r="E83" i="1"/>
  <c r="D36" i="1"/>
  <c r="D41" i="1" s="1"/>
  <c r="B41" i="1"/>
  <c r="E63" i="1"/>
  <c r="F63" i="1" s="1"/>
  <c r="E61" i="1"/>
  <c r="G61" i="1" s="1"/>
  <c r="E62" i="1"/>
  <c r="F62" i="1" s="1"/>
  <c r="E59" i="1"/>
  <c r="G59" i="1" s="1"/>
  <c r="F60" i="1"/>
  <c r="G83" i="1" l="1"/>
  <c r="E89" i="1"/>
  <c r="F83" i="1"/>
  <c r="H83" i="1"/>
  <c r="G85" i="1"/>
  <c r="F85" i="1"/>
  <c r="H85" i="1"/>
  <c r="G84" i="1"/>
  <c r="F84" i="1"/>
  <c r="H84" i="1"/>
  <c r="B43" i="1"/>
  <c r="B44" i="1" s="1"/>
  <c r="D51" i="1" s="1"/>
  <c r="F54" i="1" s="1"/>
  <c r="G62" i="1"/>
  <c r="F59" i="1"/>
  <c r="F61" i="1"/>
  <c r="H61" i="1"/>
  <c r="G63" i="1"/>
  <c r="H62" i="1"/>
  <c r="J62" i="1" s="1"/>
  <c r="H63" i="1"/>
  <c r="I63" i="1" s="1"/>
  <c r="F89" i="1" l="1"/>
  <c r="I83" i="1"/>
  <c r="H89" i="1"/>
  <c r="J83" i="1"/>
  <c r="J61" i="1"/>
  <c r="I85" i="1"/>
  <c r="J85" i="1"/>
  <c r="I84" i="1"/>
  <c r="J84" i="1"/>
  <c r="G89" i="1"/>
  <c r="I62" i="1"/>
  <c r="I61" i="1"/>
  <c r="J63" i="1"/>
  <c r="J67" i="1" s="1"/>
  <c r="C74" i="1" s="1"/>
  <c r="J89" i="1" l="1"/>
  <c r="I89" i="1"/>
  <c r="C76" i="1"/>
  <c r="G73" i="1" s="1"/>
  <c r="I74" i="1" s="1"/>
</calcChain>
</file>

<file path=xl/sharedStrings.xml><?xml version="1.0" encoding="utf-8"?>
<sst xmlns="http://schemas.openxmlformats.org/spreadsheetml/2006/main" count="97" uniqueCount="62">
  <si>
    <t>DAP C.C.</t>
  </si>
  <si>
    <t>Frequência (ha)</t>
  </si>
  <si>
    <t>V (m³/ha)</t>
  </si>
  <si>
    <t>X</t>
  </si>
  <si>
    <t>Y</t>
  </si>
  <si>
    <t xml:space="preserve">q = </t>
  </si>
  <si>
    <t>cm</t>
  </si>
  <si>
    <t>m²/ha</t>
  </si>
  <si>
    <t>=</t>
  </si>
  <si>
    <t>ln ICA = 5,7142 - 1,3318.lnd</t>
  </si>
  <si>
    <t>ICA %</t>
  </si>
  <si>
    <t>V x ICA</t>
  </si>
  <si>
    <t>∑</t>
  </si>
  <si>
    <t xml:space="preserve">ICA = </t>
  </si>
  <si>
    <t>%</t>
  </si>
  <si>
    <t xml:space="preserve">n = </t>
  </si>
  <si>
    <t>anos</t>
  </si>
  <si>
    <t xml:space="preserve">IC = </t>
  </si>
  <si>
    <t xml:space="preserve">Taxa de Corte = </t>
  </si>
  <si>
    <t>Volume Total/ha x IC</t>
  </si>
  <si>
    <t>m³/ha</t>
  </si>
  <si>
    <t>Povoamento Real</t>
  </si>
  <si>
    <t>N (ha)</t>
  </si>
  <si>
    <t>G (m²/ha)</t>
  </si>
  <si>
    <t>Povoamento Remanescente</t>
  </si>
  <si>
    <t>Corte</t>
  </si>
  <si>
    <t>∑(X² * e^(bi*xi))</t>
  </si>
  <si>
    <t>DAP</t>
  </si>
  <si>
    <t>2. Determinar o incremento</t>
  </si>
  <si>
    <t>3. Determinação da Taxa de Corte pelo Método Mexicano</t>
  </si>
  <si>
    <t>4. Correção</t>
  </si>
  <si>
    <t xml:space="preserve">89,62758 - 89,5869 = </t>
  </si>
  <si>
    <t>m³</t>
  </si>
  <si>
    <t xml:space="preserve">6,331528 - 0,0406866 = </t>
  </si>
  <si>
    <t>17,19122 ---------- 6,331528</t>
  </si>
  <si>
    <t xml:space="preserve">               X ---------- 6,2908409</t>
  </si>
  <si>
    <t xml:space="preserve">X = </t>
  </si>
  <si>
    <t>árv/ha</t>
  </si>
  <si>
    <t xml:space="preserve">17,19122 - 17,08075183 = </t>
  </si>
  <si>
    <t>Assim, precisamos incluir 0,1104714 árvores remanescentes na classe de 30 cm de DAP.</t>
  </si>
  <si>
    <t>Provas</t>
  </si>
  <si>
    <t>602 = 550,0207 + 51,97934</t>
  </si>
  <si>
    <t>30,858294 = 21,07043 + 9,787861</t>
  </si>
  <si>
    <t>220,317 = 130,7301 + 89,5869</t>
  </si>
  <si>
    <r>
      <t>1. Recalcular B</t>
    </r>
    <r>
      <rPr>
        <b/>
        <vertAlign val="sub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 xml:space="preserve"> e B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 xml:space="preserve"> com base no q estratégico</t>
    </r>
  </si>
  <si>
    <r>
      <t>V</t>
    </r>
    <r>
      <rPr>
        <b/>
        <vertAlign val="subscript"/>
        <sz val="11"/>
        <color theme="1"/>
        <rFont val="Times New Roman"/>
        <family val="1"/>
      </rPr>
      <t>m</t>
    </r>
    <r>
      <rPr>
        <b/>
        <sz val="11"/>
        <color theme="1"/>
        <rFont val="Times New Roman"/>
        <family val="1"/>
      </rPr>
      <t xml:space="preserve"> (m³)</t>
    </r>
  </si>
  <si>
    <r>
      <t>b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 xml:space="preserve"> = </t>
    </r>
  </si>
  <si>
    <r>
      <t>D</t>
    </r>
    <r>
      <rPr>
        <vertAlign val="subscript"/>
        <sz val="11"/>
        <color theme="1"/>
        <rFont val="Times New Roman"/>
        <family val="1"/>
      </rPr>
      <t>i</t>
    </r>
  </si>
  <si>
    <r>
      <t>ln N</t>
    </r>
    <r>
      <rPr>
        <vertAlign val="subscript"/>
        <sz val="11"/>
        <color theme="1"/>
        <rFont val="Times New Roman"/>
        <family val="1"/>
      </rPr>
      <t>i</t>
    </r>
  </si>
  <si>
    <r>
      <t>b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= </t>
    </r>
  </si>
  <si>
    <r>
      <t>e^(b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.(x</t>
    </r>
    <r>
      <rPr>
        <vertAlign val="subscript"/>
        <sz val="11"/>
        <rFont val="Times New Roman"/>
        <family val="1"/>
      </rPr>
      <t>i</t>
    </r>
    <r>
      <rPr>
        <sz val="11"/>
        <color theme="1"/>
        <rFont val="Times New Roman"/>
        <family val="1"/>
      </rPr>
      <t>-x</t>
    </r>
    <r>
      <rPr>
        <vertAlign val="subscript"/>
        <sz val="11"/>
        <color theme="1"/>
        <rFont val="Times New Roman"/>
        <family val="1"/>
      </rPr>
      <t>i+1</t>
    </r>
    <r>
      <rPr>
        <sz val="11"/>
        <color theme="1"/>
        <rFont val="Times New Roman"/>
        <family val="1"/>
      </rPr>
      <t>)</t>
    </r>
  </si>
  <si>
    <t>R² =</t>
  </si>
  <si>
    <r>
      <t>ln N</t>
    </r>
    <r>
      <rPr>
        <vertAlign val="subscript"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 xml:space="preserve"> = 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+ 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. d</t>
    </r>
    <r>
      <rPr>
        <vertAlign val="subscript"/>
        <sz val="11"/>
        <color theme="1"/>
        <rFont val="Times New Roman"/>
        <family val="1"/>
      </rPr>
      <t>i</t>
    </r>
  </si>
  <si>
    <r>
      <t>q</t>
    </r>
    <r>
      <rPr>
        <vertAlign val="subscript"/>
        <sz val="11"/>
        <color theme="1"/>
        <rFont val="Times New Roman"/>
        <family val="1"/>
      </rPr>
      <t>estratégico</t>
    </r>
  </si>
  <si>
    <r>
      <t>D</t>
    </r>
    <r>
      <rPr>
        <vertAlign val="subscript"/>
        <sz val="11"/>
        <color theme="1"/>
        <rFont val="Times New Roman"/>
        <family val="1"/>
      </rPr>
      <t>máx</t>
    </r>
  </si>
  <si>
    <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= </t>
    </r>
  </si>
  <si>
    <r>
      <t>G</t>
    </r>
    <r>
      <rPr>
        <vertAlign val="subscript"/>
        <sz val="11"/>
        <color theme="1"/>
        <rFont val="Times New Roman"/>
        <family val="1"/>
      </rPr>
      <t>rem</t>
    </r>
  </si>
  <si>
    <r>
      <t>B</t>
    </r>
    <r>
      <rPr>
        <b/>
        <vertAlign val="subscript"/>
        <sz val="11"/>
        <color theme="1"/>
        <rFont val="Times New Roman"/>
        <family val="1"/>
      </rPr>
      <t>0</t>
    </r>
    <r>
      <rPr>
        <b/>
        <sz val="11"/>
        <color theme="1"/>
        <rFont val="Times New Roman"/>
        <family val="1"/>
      </rPr>
      <t xml:space="preserve"> = </t>
    </r>
  </si>
  <si>
    <r>
      <t>B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= </t>
    </r>
  </si>
  <si>
    <t>Exercício 4 - Regulação de Densidade e Determinação da Taxa de Corte em Floresta Inequiânea</t>
  </si>
  <si>
    <t>A Taxa de Corte é de 89,5869 m³, e o somatório do Corte é de 89,62758 m³. Logo, é preciso uma correção de 0,040687 m³ na classe de 30 cm de DAP.</t>
  </si>
  <si>
    <t>Aluno: 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</si>
</sst>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vertAlign val="subscript"/>
      <sz val="11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theme="5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sz val="11"/>
      <color rgb="FFFF0000"/>
      <name val="Times New Roman"/>
      <family val="1"/>
    </font>
    <font>
      <sz val="11"/>
      <color theme="4" tint="-0.249977111117893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-0.249977111117893"/>
      <name val="Times New Roman"/>
      <family val="1"/>
    </font>
    <font>
      <b/>
      <sz val="12"/>
      <color theme="0"/>
      <name val="Times New Roman"/>
      <family val="1"/>
    </font>
    <font>
      <b/>
      <sz val="11"/>
      <color rgb="FF7030A0"/>
      <name val="Times New Roman"/>
      <family val="1"/>
    </font>
    <font>
      <sz val="11"/>
      <name val="Times New Roman"/>
      <family val="1"/>
    </font>
    <font>
      <b/>
      <sz val="11"/>
      <color rgb="FF00B050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3" fillId="5" borderId="2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3" fillId="6" borderId="1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3" fillId="6" borderId="29" xfId="0" applyFont="1" applyFill="1" applyBorder="1" applyAlignment="1">
      <alignment horizontal="left" vertical="center"/>
    </xf>
    <xf numFmtId="0" fontId="8" fillId="6" borderId="30" xfId="0" applyFont="1" applyFill="1" applyBorder="1" applyAlignment="1">
      <alignment horizontal="right" vertical="center"/>
    </xf>
    <xf numFmtId="0" fontId="3" fillId="6" borderId="31" xfId="0" applyFont="1" applyFill="1" applyBorder="1" applyAlignment="1">
      <alignment horizontal="left" vertical="center"/>
    </xf>
    <xf numFmtId="0" fontId="3" fillId="3" borderId="0" xfId="0" applyFont="1" applyFill="1"/>
    <xf numFmtId="0" fontId="3" fillId="6" borderId="32" xfId="0" applyFont="1" applyFill="1" applyBorder="1" applyAlignment="1">
      <alignment horizontal="left" vertical="center"/>
    </xf>
    <xf numFmtId="0" fontId="9" fillId="6" borderId="0" xfId="0" applyFont="1" applyFill="1" applyAlignment="1">
      <alignment horizontal="right" vertical="center"/>
    </xf>
    <xf numFmtId="0" fontId="3" fillId="6" borderId="33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right"/>
    </xf>
    <xf numFmtId="0" fontId="3" fillId="6" borderId="34" xfId="0" applyFont="1" applyFill="1" applyBorder="1" applyAlignment="1">
      <alignment horizontal="left" vertical="center"/>
    </xf>
    <xf numFmtId="0" fontId="10" fillId="6" borderId="35" xfId="0" applyFont="1" applyFill="1" applyBorder="1" applyAlignment="1">
      <alignment horizontal="right" vertical="center"/>
    </xf>
    <xf numFmtId="0" fontId="3" fillId="6" borderId="36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5" borderId="0" xfId="0" applyFont="1" applyFill="1"/>
    <xf numFmtId="0" fontId="3" fillId="5" borderId="0" xfId="0" applyFont="1" applyFill="1"/>
    <xf numFmtId="164" fontId="3" fillId="5" borderId="0" xfId="0" applyNumberFormat="1" applyFont="1" applyFill="1"/>
    <xf numFmtId="0" fontId="13" fillId="2" borderId="38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3" xfId="0" applyFont="1" applyFill="1" applyBorder="1"/>
    <xf numFmtId="0" fontId="3" fillId="2" borderId="18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0" fontId="3" fillId="2" borderId="14" xfId="0" applyFont="1" applyFill="1" applyBorder="1"/>
    <xf numFmtId="0" fontId="3" fillId="2" borderId="3" xfId="0" applyFont="1" applyFill="1" applyBorder="1"/>
    <xf numFmtId="0" fontId="14" fillId="2" borderId="0" xfId="0" applyFont="1" applyFill="1"/>
    <xf numFmtId="0" fontId="3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left" vertical="center"/>
    </xf>
    <xf numFmtId="0" fontId="3" fillId="3" borderId="15" xfId="0" applyFont="1" applyFill="1" applyBorder="1"/>
    <xf numFmtId="0" fontId="17" fillId="3" borderId="0" xfId="0" applyFont="1" applyFill="1"/>
    <xf numFmtId="0" fontId="3" fillId="4" borderId="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left"/>
    </xf>
    <xf numFmtId="0" fontId="11" fillId="3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8" fillId="2" borderId="0" xfId="0" applyFont="1" applyFill="1"/>
    <xf numFmtId="0" fontId="3" fillId="4" borderId="48" xfId="0" applyFont="1" applyFill="1" applyBorder="1" applyAlignment="1">
      <alignment horizontal="center" vertical="center"/>
    </xf>
    <xf numFmtId="0" fontId="19" fillId="2" borderId="0" xfId="0" applyFont="1" applyFill="1"/>
    <xf numFmtId="0" fontId="1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3" fillId="3" borderId="40" xfId="0" applyFont="1" applyFill="1" applyBorder="1" applyAlignment="1">
      <alignment horizontal="center" vertical="top" wrapText="1"/>
    </xf>
    <xf numFmtId="0" fontId="3" fillId="3" borderId="41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42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3" fillId="3" borderId="43" xfId="0" applyFont="1" applyFill="1" applyBorder="1" applyAlignment="1">
      <alignment horizontal="center" vertical="top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19</xdr:row>
      <xdr:rowOff>114300</xdr:rowOff>
    </xdr:from>
    <xdr:ext cx="1426288" cy="391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CEF120-3CD9-4571-8660-6180D2BD5C7C}"/>
                </a:ext>
              </a:extLst>
            </xdr:cNvPr>
            <xdr:cNvSpPr txBox="1"/>
          </xdr:nvSpPr>
          <xdr:spPr>
            <a:xfrm>
              <a:off x="3533775" y="3457575"/>
              <a:ext cx="1426288" cy="391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t-BR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begChr m:val="["/>
                            <m:endChr m:val="]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solidFill>
                                      <a:schemeClr val="accent6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𝐺</m:t>
                                </m:r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×40000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Times New Roman" panose="02020603050405020304" pitchFamily="18" charset="0"/>
                                    <a:ea typeface="+mn-ea"/>
                                    <a:cs typeface="Times New Roman" panose="02020603050405020304" pitchFamily="18" charset="0"/>
                                  </a:rPr>
                                  <m:t>π</m:t>
                                </m:r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pt-BR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d>
                                      <m:dPr>
                                        <m:ctrlPr>
                                          <a:rPr lang="pt-BR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Sup>
                                          <m:sSubSupPr>
                                            <m:ctrlPr>
                                              <a:rPr lang="pt-BR" sz="1100" b="0" i="1">
                                                <a:solidFill>
                                                  <a:srgbClr val="FF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rgbClr val="FF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rgbClr val="FF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pt-BR" sz="1100" b="0" i="1">
                                                <a:solidFill>
                                                  <a:srgbClr val="FF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pt-BR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  <a:cs typeface="+mn-cs"/>
                                          </a:rPr>
                                          <m:t>×</m:t>
                                        </m:r>
                                        <m:sSup>
                                          <m:sSupPr>
                                            <m:ctrlPr>
                                              <a:rPr lang="pt-BR" sz="1100" b="0" i="1">
                                                <a:solidFill>
                                                  <a:srgbClr val="FF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rgbClr val="FF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  <a:cs typeface="+mn-cs"/>
                                              </a:rPr>
                                              <m:t>𝑒</m:t>
                                            </m:r>
                                          </m:e>
                                          <m:sup>
                                            <m:sSub>
                                              <m:sSubPr>
                                                <m:ctrlPr>
                                                  <a:rPr lang="pt-BR" sz="1100" b="0" i="1">
                                                    <a:solidFill>
                                                      <a:srgbClr val="FF0000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pt-BR" sz="1100" b="0" i="1">
                                                    <a:solidFill>
                                                      <a:srgbClr val="FF0000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  <a:cs typeface="+mn-cs"/>
                                                  </a:rPr>
                                                  <m:t>𝑏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pt-BR" sz="1100" b="0" i="1">
                                                    <a:solidFill>
                                                      <a:srgbClr val="FF0000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  <a:cs typeface="+mn-cs"/>
                                                  </a:rPr>
                                                  <m:t>1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pt-BR" sz="1100" b="0" i="1">
                                                <a:solidFill>
                                                  <a:srgbClr val="FF0000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  <a:cs typeface="+mn-cs"/>
                                              </a:rPr>
                                              <m:t>×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pt-BR" sz="1100" b="0" i="1">
                                                    <a:solidFill>
                                                      <a:srgbClr val="FF0000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pt-BR" sz="1100" b="0" i="1">
                                                    <a:solidFill>
                                                      <a:srgbClr val="FF0000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pt-BR" sz="1100" b="0" i="1">
                                                    <a:solidFill>
                                                      <a:srgbClr val="FF0000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sup>
                                        </m:sSup>
                                      </m:e>
                                    </m:d>
                                  </m:e>
                                </m:nary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pt-BR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CEF120-3CD9-4571-8660-6180D2BD5C7C}"/>
                </a:ext>
              </a:extLst>
            </xdr:cNvPr>
            <xdr:cNvSpPr txBox="1"/>
          </xdr:nvSpPr>
          <xdr:spPr>
            <a:xfrm>
              <a:off x="3533775" y="3457575"/>
              <a:ext cx="1426288" cy="391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ln⁡[(</a:t>
              </a:r>
              <a:r>
                <a:rPr lang="pt-BR" sz="11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</a:rPr>
                <a:t>𝐺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×40000)/(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</a:rPr>
                <a:t>"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π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×</a:t>
              </a:r>
              <a:r>
                <a:rPr lang="pt-B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pt-B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▒</a:t>
              </a:r>
              <a:r>
                <a:rPr lang="pt-B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(𝑥_𝑖^2</a:t>
              </a:r>
              <a:r>
                <a:rPr lang="pt-BR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×𝑒^(𝑏_1×𝑥_𝑖 ) ) )]</a:t>
              </a:r>
              <a:endParaRPr lang="pt-BR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219075</xdr:colOff>
      <xdr:row>49</xdr:row>
      <xdr:rowOff>114300</xdr:rowOff>
    </xdr:from>
    <xdr:ext cx="1302280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C7AC420-65F4-450C-AD30-40E1D744F0BF}"/>
                </a:ext>
              </a:extLst>
            </xdr:cNvPr>
            <xdr:cNvSpPr txBox="1"/>
          </xdr:nvSpPr>
          <xdr:spPr>
            <a:xfrm>
              <a:off x="828675" y="9334500"/>
              <a:ext cx="130228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pt-BR" sz="1100" b="0" i="1">
                                        <a:solidFill>
                                          <a:schemeClr val="accent4">
                                            <a:lumMod val="75000"/>
                                          </a:schemeClr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rgbClr val="7030A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C7AC420-65F4-450C-AD30-40E1D744F0BF}"/>
                </a:ext>
              </a:extLst>
            </xdr:cNvPr>
            <xdr:cNvSpPr txBox="1"/>
          </xdr:nvSpPr>
          <xdr:spPr>
            <a:xfrm>
              <a:off x="828675" y="9334500"/>
              <a:ext cx="130228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[</a:t>
              </a:r>
              <a:r>
                <a:rPr lang="pt-BR" sz="1100" b="0" i="0">
                  <a:latin typeface="Cambria Math" panose="02040503050406030204" pitchFamily="18" charset="0"/>
                </a:rPr>
                <a:t>1−1/(1+</a:t>
              </a:r>
              <a:r>
                <a:rPr lang="pt-BR" sz="1100" b="0" i="0">
                  <a:solidFill>
                    <a:schemeClr val="accent4">
                      <a:lumMod val="75000"/>
                    </a:schemeClr>
                  </a:solidFill>
                  <a:latin typeface="Cambria Math" panose="02040503050406030204" pitchFamily="18" charset="0"/>
                </a:rPr>
                <a:t>𝑝)^</a:t>
              </a:r>
              <a:r>
                <a:rPr lang="pt-BR" sz="1100" b="0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𝑛 ]</a:t>
              </a:r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161925</xdr:colOff>
      <xdr:row>23</xdr:row>
      <xdr:rowOff>0</xdr:rowOff>
    </xdr:from>
    <xdr:ext cx="1149674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620B3F9-706F-48F4-AA3F-572476CED41D}"/>
                </a:ext>
              </a:extLst>
            </xdr:cNvPr>
            <xdr:cNvSpPr txBox="1"/>
          </xdr:nvSpPr>
          <xdr:spPr>
            <a:xfrm>
              <a:off x="771525" y="4333875"/>
              <a:ext cx="1149674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t-BR" sz="1100" b="0" i="0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pt-BR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func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620B3F9-706F-48F4-AA3F-572476CED41D}"/>
                </a:ext>
              </a:extLst>
            </xdr:cNvPr>
            <xdr:cNvSpPr txBox="1"/>
          </xdr:nvSpPr>
          <xdr:spPr>
            <a:xfrm>
              <a:off x="771525" y="4333875"/>
              <a:ext cx="1149674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𝑏_1=</a:t>
              </a:r>
              <a:r>
                <a:rPr lang="pt-BR" sz="1100" b="0" i="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ln⁡𝑞/[</a:t>
              </a:r>
              <a:r>
                <a:rPr lang="pt-BR" sz="1100" b="0" i="0">
                  <a:latin typeface="Cambria Math" panose="02040503050406030204" pitchFamily="18" charset="0"/>
                </a:rPr>
                <a:t>𝑑_𝑖−𝑑_(𝑖+1) ] =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1"/>
  <sheetViews>
    <sheetView tabSelected="1" view="pageLayout" zoomScaleNormal="100" workbookViewId="0">
      <selection activeCell="A2" sqref="A2"/>
    </sheetView>
  </sheetViews>
  <sheetFormatPr defaultRowHeight="14.4" x14ac:dyDescent="0.3"/>
  <cols>
    <col min="1" max="1" width="8.33203125" style="1" customWidth="1"/>
    <col min="2" max="2" width="12.5546875" style="1" customWidth="1"/>
    <col min="3" max="3" width="10.109375" style="1" customWidth="1"/>
    <col min="4" max="4" width="8.6640625" style="1" customWidth="1"/>
    <col min="5" max="6" width="9.109375" style="1"/>
    <col min="7" max="7" width="10.33203125" style="1" bestFit="1" customWidth="1"/>
    <col min="8" max="25" width="9.109375" style="1"/>
  </cols>
  <sheetData>
    <row r="1" spans="1:25" x14ac:dyDescent="0.3">
      <c r="A1" s="90" t="s">
        <v>61</v>
      </c>
    </row>
    <row r="3" spans="1:25" ht="15.6" x14ac:dyDescent="0.3">
      <c r="A3" s="93" t="s">
        <v>59</v>
      </c>
      <c r="B3" s="93"/>
      <c r="C3" s="93"/>
      <c r="D3" s="93"/>
      <c r="E3" s="93"/>
      <c r="F3" s="93"/>
      <c r="G3" s="93"/>
      <c r="H3" s="93"/>
      <c r="I3" s="93"/>
      <c r="J3" s="9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x14ac:dyDescent="0.3"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ht="16.8" thickBot="1" x14ac:dyDescent="0.4">
      <c r="A5" s="3"/>
      <c r="B5" s="3"/>
      <c r="C5" s="3"/>
      <c r="D5" s="3"/>
      <c r="E5" s="3"/>
      <c r="F5" s="3" t="s">
        <v>52</v>
      </c>
      <c r="G5" s="3"/>
      <c r="H5" s="3"/>
      <c r="I5" s="3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ht="15" customHeight="1" x14ac:dyDescent="0.3">
      <c r="A6" s="94" t="s">
        <v>0</v>
      </c>
      <c r="B6" s="94" t="s">
        <v>1</v>
      </c>
      <c r="C6" s="94" t="s">
        <v>45</v>
      </c>
      <c r="D6" s="94" t="s">
        <v>2</v>
      </c>
      <c r="E6" s="3"/>
      <c r="F6" s="4" t="s">
        <v>3</v>
      </c>
      <c r="G6" s="5" t="s">
        <v>4</v>
      </c>
      <c r="H6" s="6" t="s">
        <v>46</v>
      </c>
      <c r="I6" s="7">
        <f>INTERCEPT(G8:G15,F8:F15)</f>
        <v>6.5213634303328414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6.8" thickBot="1" x14ac:dyDescent="0.4">
      <c r="A7" s="95"/>
      <c r="B7" s="95"/>
      <c r="C7" s="95"/>
      <c r="D7" s="95"/>
      <c r="E7" s="3"/>
      <c r="F7" s="8" t="s">
        <v>47</v>
      </c>
      <c r="G7" s="9" t="s">
        <v>48</v>
      </c>
      <c r="H7" s="6" t="s">
        <v>49</v>
      </c>
      <c r="I7" s="7">
        <f>SLOPE(G8:G15,F8:F15)</f>
        <v>-7.0283191693817054E-2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x14ac:dyDescent="0.3">
      <c r="A8" s="10">
        <v>10</v>
      </c>
      <c r="B8" s="11">
        <v>251</v>
      </c>
      <c r="C8" s="11">
        <v>3.8399999999999997E-2</v>
      </c>
      <c r="D8" s="12">
        <f>B8*C8</f>
        <v>9.638399999999999</v>
      </c>
      <c r="E8" s="3"/>
      <c r="F8" s="13">
        <f>A8</f>
        <v>10</v>
      </c>
      <c r="G8" s="14">
        <f>LN(B8)</f>
        <v>5.5254529391317835</v>
      </c>
      <c r="H8" s="6" t="s">
        <v>51</v>
      </c>
      <c r="I8" s="7">
        <f>RSQ(G8:G15,F8:F15)</f>
        <v>0.98315997191114246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6.2" x14ac:dyDescent="0.3">
      <c r="A9" s="13">
        <v>20</v>
      </c>
      <c r="B9" s="15">
        <v>163</v>
      </c>
      <c r="C9" s="15">
        <v>0.13220000000000001</v>
      </c>
      <c r="D9" s="16">
        <f t="shared" ref="D9:D15" si="0">B9*C9</f>
        <v>21.5486</v>
      </c>
      <c r="E9" s="3"/>
      <c r="F9" s="13">
        <f t="shared" ref="F9:F15" si="1">A9</f>
        <v>20</v>
      </c>
      <c r="G9" s="14">
        <f t="shared" ref="G9:G15" si="2">LN(B9)</f>
        <v>5.0937502008067623</v>
      </c>
      <c r="H9" s="6" t="s">
        <v>5</v>
      </c>
      <c r="I9" s="17" t="s">
        <v>50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3">
      <c r="A10" s="13">
        <v>30</v>
      </c>
      <c r="B10" s="15">
        <v>97</v>
      </c>
      <c r="C10" s="15">
        <v>0.36830000000000002</v>
      </c>
      <c r="D10" s="16">
        <f t="shared" si="0"/>
        <v>35.725100000000005</v>
      </c>
      <c r="E10" s="3"/>
      <c r="F10" s="13">
        <f t="shared" si="1"/>
        <v>30</v>
      </c>
      <c r="G10" s="14">
        <f t="shared" si="2"/>
        <v>4.5747109785033828</v>
      </c>
      <c r="H10" s="6" t="s">
        <v>5</v>
      </c>
      <c r="I10" s="3">
        <f>EXP(I7*(A8-A9))</f>
        <v>2.0194635704001378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3">
      <c r="A11" s="13">
        <v>40</v>
      </c>
      <c r="B11" s="15">
        <v>50</v>
      </c>
      <c r="C11" s="15">
        <v>0.94310000000000005</v>
      </c>
      <c r="D11" s="16">
        <f t="shared" si="0"/>
        <v>47.155000000000001</v>
      </c>
      <c r="E11" s="3"/>
      <c r="F11" s="13">
        <f t="shared" si="1"/>
        <v>40</v>
      </c>
      <c r="G11" s="14">
        <f t="shared" si="2"/>
        <v>3.912023005428146</v>
      </c>
      <c r="H11" s="18"/>
      <c r="I11" s="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3">
      <c r="A12" s="13">
        <v>50</v>
      </c>
      <c r="B12" s="15">
        <v>21</v>
      </c>
      <c r="C12" s="15">
        <v>1.8935</v>
      </c>
      <c r="D12" s="16">
        <f t="shared" si="0"/>
        <v>39.763500000000001</v>
      </c>
      <c r="E12" s="3"/>
      <c r="F12" s="13">
        <f t="shared" si="1"/>
        <v>50</v>
      </c>
      <c r="G12" s="14">
        <f t="shared" si="2"/>
        <v>3.044522437723423</v>
      </c>
      <c r="H12" s="3"/>
      <c r="I12" s="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3">
      <c r="A13" s="13">
        <v>60</v>
      </c>
      <c r="B13" s="15">
        <v>14</v>
      </c>
      <c r="C13" s="15">
        <v>2.7157</v>
      </c>
      <c r="D13" s="16">
        <f t="shared" si="0"/>
        <v>38.019800000000004</v>
      </c>
      <c r="E13" s="3"/>
      <c r="F13" s="13">
        <f t="shared" si="1"/>
        <v>60</v>
      </c>
      <c r="G13" s="14">
        <f t="shared" si="2"/>
        <v>2.6390573296152584</v>
      </c>
      <c r="H13" s="3"/>
      <c r="I13" s="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3">
      <c r="A14" s="13">
        <v>70</v>
      </c>
      <c r="B14" s="15">
        <v>4</v>
      </c>
      <c r="C14" s="15">
        <v>4.1501000000000001</v>
      </c>
      <c r="D14" s="16">
        <f t="shared" si="0"/>
        <v>16.6004</v>
      </c>
      <c r="E14" s="3"/>
      <c r="F14" s="13">
        <f t="shared" si="1"/>
        <v>70</v>
      </c>
      <c r="G14" s="14">
        <f t="shared" si="2"/>
        <v>1.3862943611198906</v>
      </c>
      <c r="H14" s="3"/>
      <c r="I14" s="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5" thickBot="1" x14ac:dyDescent="0.35">
      <c r="A15" s="19">
        <v>80</v>
      </c>
      <c r="B15" s="20">
        <v>2</v>
      </c>
      <c r="C15" s="20">
        <v>5.9330999999999996</v>
      </c>
      <c r="D15" s="21">
        <f t="shared" si="0"/>
        <v>11.866199999999999</v>
      </c>
      <c r="E15" s="3"/>
      <c r="F15" s="19">
        <f t="shared" si="1"/>
        <v>80</v>
      </c>
      <c r="G15" s="22">
        <f t="shared" si="2"/>
        <v>0.69314718055994529</v>
      </c>
      <c r="H15" s="3"/>
      <c r="I15" s="3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3">
      <c r="A16" s="23" t="s">
        <v>12</v>
      </c>
      <c r="B16" s="24">
        <f>SUM(B8:B15)</f>
        <v>602</v>
      </c>
      <c r="C16" s="24"/>
      <c r="D16" s="24">
        <f>SUM(D8:D15)</f>
        <v>220.31700000000001</v>
      </c>
      <c r="E16" s="3"/>
      <c r="F16" s="3"/>
      <c r="G16" s="3"/>
      <c r="H16" s="3"/>
      <c r="I16" s="3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3"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ht="18" x14ac:dyDescent="0.4">
      <c r="A18" s="91" t="s">
        <v>44</v>
      </c>
      <c r="B18" s="91"/>
      <c r="C18" s="91"/>
      <c r="D18" s="91"/>
      <c r="E18" s="91"/>
      <c r="F18" s="91"/>
      <c r="G18" s="91"/>
      <c r="H18" s="91"/>
      <c r="I18" s="91"/>
      <c r="J18" s="91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ht="16.2" x14ac:dyDescent="0.3">
      <c r="A20" s="25" t="s">
        <v>53</v>
      </c>
      <c r="B20" s="26">
        <v>2.1</v>
      </c>
      <c r="C20" s="27"/>
      <c r="D20" s="3"/>
      <c r="E20" s="28"/>
      <c r="F20" s="28"/>
      <c r="G20" s="28"/>
      <c r="H20" s="28"/>
      <c r="I20" s="3"/>
      <c r="J20" s="3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ht="16.2" x14ac:dyDescent="0.35">
      <c r="A21" s="29" t="s">
        <v>54</v>
      </c>
      <c r="B21" s="30">
        <v>50</v>
      </c>
      <c r="C21" s="31" t="s">
        <v>6</v>
      </c>
      <c r="D21" s="3"/>
      <c r="E21" s="28" t="s">
        <v>55</v>
      </c>
      <c r="F21" s="28"/>
      <c r="G21" s="32" t="s">
        <v>8</v>
      </c>
      <c r="H21" s="28">
        <f>LN((B22*40000)/(PI()*F29))</f>
        <v>6.6054455168691124</v>
      </c>
      <c r="I21" s="3"/>
      <c r="J21" s="3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ht="16.2" x14ac:dyDescent="0.3">
      <c r="A22" s="33" t="s">
        <v>56</v>
      </c>
      <c r="B22" s="34">
        <v>22</v>
      </c>
      <c r="C22" s="35" t="s">
        <v>7</v>
      </c>
      <c r="D22" s="3"/>
      <c r="E22" s="28"/>
      <c r="F22" s="28"/>
      <c r="G22" s="28"/>
      <c r="H22" s="28"/>
      <c r="I22" s="3"/>
      <c r="J22" s="3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15" thickBot="1" x14ac:dyDescent="0.35">
      <c r="A23" s="3"/>
      <c r="B23" s="3"/>
      <c r="C23" s="3"/>
      <c r="D23" s="3"/>
      <c r="E23" s="7" t="s">
        <v>27</v>
      </c>
      <c r="F23" s="36" t="s">
        <v>26</v>
      </c>
      <c r="G23" s="3"/>
      <c r="H23" s="3"/>
      <c r="I23" s="3"/>
      <c r="J23" s="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3">
      <c r="A24" s="37"/>
      <c r="B24" s="38"/>
      <c r="C24" s="97">
        <f>(LN(B20)/(A8-A9))</f>
        <v>-7.4193734472937728E-2</v>
      </c>
      <c r="D24" s="3"/>
      <c r="E24" s="39">
        <v>10</v>
      </c>
      <c r="F24" s="40">
        <f>(A8^2)*EXP($C$24*A8)</f>
        <v>47.619047619047613</v>
      </c>
      <c r="G24" s="3"/>
      <c r="H24" s="3"/>
      <c r="I24" s="3"/>
      <c r="J24" s="3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3">
      <c r="A25" s="28"/>
      <c r="B25" s="41"/>
      <c r="C25" s="97"/>
      <c r="D25" s="3"/>
      <c r="E25" s="7">
        <v>20</v>
      </c>
      <c r="F25" s="40">
        <f>(A9^2)*EXP($C$24*A9)</f>
        <v>90.702947845804985</v>
      </c>
      <c r="G25" s="3"/>
      <c r="H25" s="3"/>
      <c r="I25" s="3"/>
      <c r="J25" s="3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3">
      <c r="A26" s="3"/>
      <c r="B26" s="3"/>
      <c r="C26" s="3"/>
      <c r="D26" s="3"/>
      <c r="E26" s="7">
        <v>30</v>
      </c>
      <c r="F26" s="40">
        <f>(A10^2)*EXP($C$24*A10)</f>
        <v>97.181729834791071</v>
      </c>
      <c r="G26" s="3"/>
      <c r="H26" s="3"/>
      <c r="I26" s="3"/>
      <c r="J26" s="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6.2" x14ac:dyDescent="0.35">
      <c r="A27" s="42" t="s">
        <v>57</v>
      </c>
      <c r="B27" s="43">
        <f>H21</f>
        <v>6.6054455168691124</v>
      </c>
      <c r="C27" s="3"/>
      <c r="D27" s="3"/>
      <c r="E27" s="7">
        <v>40</v>
      </c>
      <c r="F27" s="40">
        <f>(A11^2)*EXP($C$24*A11)</f>
        <v>82.270247479188185</v>
      </c>
      <c r="G27" s="3"/>
      <c r="H27" s="3"/>
      <c r="I27" s="3"/>
      <c r="J27" s="3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6.2" x14ac:dyDescent="0.35">
      <c r="A28" s="42" t="s">
        <v>58</v>
      </c>
      <c r="B28" s="44">
        <f>C24</f>
        <v>-7.4193734472937728E-2</v>
      </c>
      <c r="C28" s="3"/>
      <c r="D28" s="3"/>
      <c r="E28" s="45">
        <v>50</v>
      </c>
      <c r="F28" s="46">
        <f>(A12^2)*EXP($C$24*A12)</f>
        <v>61.212981755348366</v>
      </c>
      <c r="G28" s="3"/>
      <c r="H28" s="3"/>
      <c r="I28" s="3"/>
      <c r="J28" s="3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3">
      <c r="A29" s="3"/>
      <c r="B29" s="3"/>
      <c r="C29" s="3"/>
      <c r="D29" s="3"/>
      <c r="E29" s="3"/>
      <c r="F29" s="47">
        <f>SUM(F24:F28)</f>
        <v>378.98695453418026</v>
      </c>
      <c r="G29" s="3"/>
      <c r="H29" s="3"/>
      <c r="I29" s="3"/>
      <c r="J29" s="3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5.6" x14ac:dyDescent="0.3">
      <c r="A31" s="91" t="s">
        <v>28</v>
      </c>
      <c r="B31" s="91"/>
      <c r="C31" s="91"/>
      <c r="D31" s="91"/>
      <c r="E31" s="91"/>
      <c r="F31" s="91"/>
      <c r="G31" s="91"/>
      <c r="H31" s="91"/>
      <c r="I31" s="91"/>
      <c r="J31" s="9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3">
      <c r="A33" s="3" t="s">
        <v>9</v>
      </c>
      <c r="B33" s="3"/>
      <c r="C33" s="3"/>
      <c r="D33" s="3"/>
      <c r="E33" s="3"/>
      <c r="F33" s="3"/>
      <c r="G33" s="3"/>
      <c r="H33" s="3"/>
      <c r="I33" s="3"/>
      <c r="J33" s="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ht="15" thickBo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ht="28.2" thickBot="1" x14ac:dyDescent="0.35">
      <c r="A35" s="48" t="s">
        <v>0</v>
      </c>
      <c r="B35" s="49" t="s">
        <v>2</v>
      </c>
      <c r="C35" s="50" t="s">
        <v>10</v>
      </c>
      <c r="D35" s="51" t="s">
        <v>11</v>
      </c>
      <c r="E35" s="3"/>
      <c r="F35" s="3"/>
      <c r="G35" s="3"/>
      <c r="H35" s="3"/>
      <c r="I35" s="3"/>
      <c r="J35" s="3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3">
      <c r="A36" s="52">
        <v>10</v>
      </c>
      <c r="B36" s="53">
        <f>D8</f>
        <v>9.638399999999999</v>
      </c>
      <c r="C36" s="54">
        <f>EXP(5.7142-(1.3318*LN(A36)))</f>
        <v>14.120352172518082</v>
      </c>
      <c r="D36" s="55">
        <f>B36*C36</f>
        <v>136.09760237959827</v>
      </c>
      <c r="E36" s="3"/>
      <c r="F36" s="3"/>
      <c r="G36" s="3"/>
      <c r="H36" s="3"/>
      <c r="I36" s="3"/>
      <c r="J36" s="3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3">
      <c r="A37" s="52">
        <v>20</v>
      </c>
      <c r="B37" s="53">
        <f>D9</f>
        <v>21.5486</v>
      </c>
      <c r="C37" s="54">
        <f t="shared" ref="C37:C40" si="3">EXP(5.7142-(1.3318*LN(A37)))</f>
        <v>5.6096243588210051</v>
      </c>
      <c r="D37" s="55">
        <f t="shared" ref="D37:D40" si="4">B37*C37</f>
        <v>120.87955145849031</v>
      </c>
      <c r="E37" s="3"/>
      <c r="F37" s="3"/>
      <c r="G37" s="3"/>
      <c r="H37" s="3"/>
      <c r="I37" s="3"/>
      <c r="J37" s="3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3">
      <c r="A38" s="52">
        <v>30</v>
      </c>
      <c r="B38" s="53">
        <f>D10</f>
        <v>35.725100000000005</v>
      </c>
      <c r="C38" s="54">
        <f t="shared" si="3"/>
        <v>3.2690039207110662</v>
      </c>
      <c r="D38" s="55">
        <f t="shared" si="4"/>
        <v>116.78549196779493</v>
      </c>
      <c r="E38" s="3"/>
      <c r="F38" s="3"/>
      <c r="G38" s="3"/>
      <c r="H38" s="3"/>
      <c r="I38" s="3"/>
      <c r="J38" s="3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3">
      <c r="A39" s="52">
        <v>40</v>
      </c>
      <c r="B39" s="53">
        <f>D11</f>
        <v>47.155000000000001</v>
      </c>
      <c r="C39" s="54">
        <f t="shared" si="3"/>
        <v>2.2285482020995699</v>
      </c>
      <c r="D39" s="55">
        <f t="shared" si="4"/>
        <v>105.08719047000523</v>
      </c>
      <c r="E39" s="3"/>
      <c r="F39" s="3"/>
      <c r="G39" s="3"/>
      <c r="H39" s="3"/>
      <c r="I39" s="3"/>
      <c r="J39" s="3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ht="15" thickBot="1" x14ac:dyDescent="0.35">
      <c r="A40" s="56">
        <v>50</v>
      </c>
      <c r="B40" s="57">
        <f>D12</f>
        <v>39.763500000000001</v>
      </c>
      <c r="C40" s="57">
        <f t="shared" si="3"/>
        <v>1.6556070867751309</v>
      </c>
      <c r="D40" s="58">
        <f t="shared" si="4"/>
        <v>65.832732394982912</v>
      </c>
      <c r="H40" s="3"/>
      <c r="I40" s="3"/>
      <c r="J40" s="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3">
      <c r="A41" s="7" t="s">
        <v>12</v>
      </c>
      <c r="B41" s="3">
        <f>SUM(B36:B40)</f>
        <v>153.8306</v>
      </c>
      <c r="C41" s="3"/>
      <c r="D41" s="3">
        <f>SUM(D36:D40)</f>
        <v>544.68256867087166</v>
      </c>
      <c r="G41" s="3"/>
      <c r="H41" s="3"/>
      <c r="I41" s="3"/>
      <c r="J41" s="3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3">
      <c r="A42" s="7"/>
      <c r="B42" s="3"/>
      <c r="C42" s="3"/>
      <c r="D42" s="3"/>
      <c r="E42" s="3"/>
      <c r="F42" s="59"/>
      <c r="G42" s="3"/>
      <c r="H42" s="3"/>
      <c r="I42" s="3"/>
      <c r="J42" s="3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3">
      <c r="A43" s="18" t="s">
        <v>13</v>
      </c>
      <c r="B43" s="3">
        <f>D41/B41</f>
        <v>3.5407946707018736</v>
      </c>
      <c r="C43" s="3" t="s">
        <v>14</v>
      </c>
      <c r="D43" s="3"/>
      <c r="E43" s="3"/>
      <c r="F43" s="59"/>
      <c r="G43" s="3"/>
      <c r="H43" s="3"/>
      <c r="I43" s="3"/>
      <c r="J43" s="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3">
      <c r="A44" s="3"/>
      <c r="B44" s="59">
        <f>B43/100</f>
        <v>3.5407946707018738E-2</v>
      </c>
      <c r="C44" s="3"/>
      <c r="D44" s="3"/>
      <c r="E44" s="3"/>
      <c r="F44" s="59"/>
      <c r="G44" s="3"/>
      <c r="H44" s="3"/>
      <c r="I44" s="3"/>
      <c r="J44" s="3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3">
      <c r="A45" s="7"/>
      <c r="B45" s="3"/>
      <c r="C45" s="3"/>
      <c r="D45" s="3"/>
      <c r="E45" s="3"/>
      <c r="F45" s="59"/>
      <c r="G45" s="3"/>
      <c r="H45" s="3"/>
      <c r="I45" s="3"/>
      <c r="J45" s="3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3">
      <c r="A46" s="7"/>
      <c r="B46" s="3"/>
      <c r="C46" s="3"/>
      <c r="D46" s="3"/>
      <c r="E46" s="3"/>
      <c r="F46" s="59"/>
      <c r="G46" s="3"/>
      <c r="H46" s="3"/>
      <c r="I46" s="3"/>
      <c r="J46" s="3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ht="15.6" x14ac:dyDescent="0.3">
      <c r="A47" s="91" t="s">
        <v>29</v>
      </c>
      <c r="B47" s="91"/>
      <c r="C47" s="91"/>
      <c r="D47" s="91"/>
      <c r="E47" s="91"/>
      <c r="F47" s="91"/>
      <c r="G47" s="91"/>
      <c r="H47" s="91"/>
      <c r="I47" s="91"/>
      <c r="J47" s="91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3">
      <c r="A49" s="60" t="s">
        <v>15</v>
      </c>
      <c r="B49" s="61">
        <v>15</v>
      </c>
      <c r="C49" s="17" t="s">
        <v>16</v>
      </c>
      <c r="D49" s="3"/>
      <c r="E49" s="3"/>
      <c r="F49" s="3"/>
      <c r="G49" s="3"/>
      <c r="H49" s="3"/>
      <c r="I49" s="3"/>
      <c r="J49" s="3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3">
      <c r="A50" s="28"/>
      <c r="B50" s="28"/>
      <c r="C50" s="28"/>
      <c r="D50" s="28"/>
      <c r="E50" s="28"/>
      <c r="F50" s="3"/>
      <c r="G50" s="3"/>
      <c r="H50" s="3"/>
      <c r="I50" s="3"/>
      <c r="J50" s="3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3">
      <c r="A51" s="28" t="s">
        <v>17</v>
      </c>
      <c r="B51" s="28"/>
      <c r="C51" s="37" t="s">
        <v>8</v>
      </c>
      <c r="D51" s="28">
        <f>(1-(1/(1+B44)^B49))*100</f>
        <v>40.66272577321763</v>
      </c>
      <c r="E51" s="28" t="s">
        <v>14</v>
      </c>
      <c r="F51" s="3"/>
      <c r="G51" s="3"/>
      <c r="H51" s="3"/>
      <c r="I51" s="3"/>
      <c r="J51" s="3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3">
      <c r="A52" s="28"/>
      <c r="B52" s="28"/>
      <c r="C52" s="28"/>
      <c r="D52" s="28"/>
      <c r="E52" s="28"/>
      <c r="F52" s="3"/>
      <c r="G52" s="3"/>
      <c r="H52" s="3"/>
      <c r="I52" s="3"/>
      <c r="J52" s="3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3">
      <c r="A54" s="28" t="s">
        <v>18</v>
      </c>
      <c r="B54" s="28"/>
      <c r="C54" s="62" t="s">
        <v>19</v>
      </c>
      <c r="D54" s="62"/>
      <c r="E54" s="32" t="s">
        <v>8</v>
      </c>
      <c r="F54" s="63">
        <f>(D16*D51)/100</f>
        <v>89.586897541779891</v>
      </c>
      <c r="G54" s="28" t="s">
        <v>20</v>
      </c>
      <c r="H54" s="3"/>
      <c r="I54" s="3"/>
      <c r="J54" s="3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3">
      <c r="A55" s="28"/>
      <c r="B55" s="28"/>
      <c r="C55" s="96">
        <v>100</v>
      </c>
      <c r="D55" s="96"/>
      <c r="E55" s="28"/>
      <c r="F55" s="28"/>
      <c r="G55" s="28"/>
      <c r="H55" s="3"/>
      <c r="I55" s="3"/>
      <c r="J55" s="3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ht="15" thickBo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3">
      <c r="A57" s="120" t="s">
        <v>0</v>
      </c>
      <c r="B57" s="122" t="s">
        <v>21</v>
      </c>
      <c r="C57" s="98"/>
      <c r="D57" s="98"/>
      <c r="E57" s="98" t="s">
        <v>24</v>
      </c>
      <c r="F57" s="98"/>
      <c r="G57" s="98"/>
      <c r="H57" s="98" t="s">
        <v>25</v>
      </c>
      <c r="I57" s="98"/>
      <c r="J57" s="99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thickBot="1" x14ac:dyDescent="0.35">
      <c r="A58" s="121"/>
      <c r="B58" s="64" t="s">
        <v>22</v>
      </c>
      <c r="C58" s="64" t="s">
        <v>23</v>
      </c>
      <c r="D58" s="65" t="s">
        <v>2</v>
      </c>
      <c r="E58" s="64" t="s">
        <v>22</v>
      </c>
      <c r="F58" s="64" t="s">
        <v>23</v>
      </c>
      <c r="G58" s="65" t="s">
        <v>2</v>
      </c>
      <c r="H58" s="64" t="s">
        <v>22</v>
      </c>
      <c r="I58" s="64" t="s">
        <v>23</v>
      </c>
      <c r="J58" s="66" t="s">
        <v>2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3">
      <c r="A59" s="67">
        <v>10</v>
      </c>
      <c r="B59" s="68">
        <f t="shared" ref="B59:B66" si="5">B8</f>
        <v>251</v>
      </c>
      <c r="C59" s="69">
        <f>((A59^2*PI())/40000)*B59</f>
        <v>1.9713493901275954</v>
      </c>
      <c r="D59" s="70">
        <f t="shared" ref="D59:D66" si="6">D8</f>
        <v>9.638399999999999</v>
      </c>
      <c r="E59" s="68">
        <f>EXP($B$27+($B$28*A59))</f>
        <v>351.95670544540104</v>
      </c>
      <c r="F59" s="69">
        <f>((A59^2*PI())/40000)*E59</f>
        <v>2.764261500522347</v>
      </c>
      <c r="G59" s="71">
        <f>C8*E59</f>
        <v>13.515137489103399</v>
      </c>
      <c r="H59" s="72"/>
      <c r="I59" s="73"/>
      <c r="J59" s="74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3">
      <c r="A60" s="67">
        <v>20</v>
      </c>
      <c r="B60" s="75">
        <f t="shared" si="5"/>
        <v>163</v>
      </c>
      <c r="C60" s="73">
        <f t="shared" ref="C60:C66" si="7">((A60^2*PI())/40000)*B60</f>
        <v>5.1207960253513631</v>
      </c>
      <c r="D60" s="74">
        <f t="shared" si="6"/>
        <v>21.5486</v>
      </c>
      <c r="E60" s="75">
        <f>EXP($B$27+($B$28*A60))</f>
        <v>167.59843116447664</v>
      </c>
      <c r="F60" s="73">
        <f t="shared" ref="F60:F63" si="8">((A60^2*PI())/40000)*E60</f>
        <v>5.2652600009949451</v>
      </c>
      <c r="G60" s="76">
        <f>C9*E60</f>
        <v>22.156512599943813</v>
      </c>
      <c r="H60" s="72"/>
      <c r="I60" s="73"/>
      <c r="J60" s="74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3">
      <c r="A61" s="67">
        <v>30</v>
      </c>
      <c r="B61" s="75">
        <f t="shared" si="5"/>
        <v>97</v>
      </c>
      <c r="C61" s="73">
        <f t="shared" si="7"/>
        <v>6.8565259664597233</v>
      </c>
      <c r="D61" s="74">
        <f t="shared" si="6"/>
        <v>35.725100000000005</v>
      </c>
      <c r="E61" s="75">
        <f>EXP($B$27+($B$28*A61))</f>
        <v>79.808776744988933</v>
      </c>
      <c r="F61" s="73">
        <f t="shared" si="8"/>
        <v>5.6413500010660158</v>
      </c>
      <c r="G61" s="76">
        <f>C10*E61</f>
        <v>29.393572475179425</v>
      </c>
      <c r="H61" s="72">
        <f>B61-E61</f>
        <v>17.191223255011067</v>
      </c>
      <c r="I61" s="73">
        <f t="shared" ref="I61" si="9">((H61/B61)*C61)</f>
        <v>1.2151759653937075</v>
      </c>
      <c r="J61" s="74">
        <f t="shared" ref="J61" si="10">((H61/B61)*D61)</f>
        <v>6.3315275248205776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3">
      <c r="A62" s="67">
        <v>40</v>
      </c>
      <c r="B62" s="75">
        <f t="shared" si="5"/>
        <v>50</v>
      </c>
      <c r="C62" s="73">
        <f t="shared" si="7"/>
        <v>6.2831853071795871</v>
      </c>
      <c r="D62" s="74">
        <f t="shared" si="6"/>
        <v>47.155000000000001</v>
      </c>
      <c r="E62" s="75">
        <f>EXP($B$27+($B$28*A62))</f>
        <v>38.004179402375669</v>
      </c>
      <c r="F62" s="73">
        <f t="shared" si="8"/>
        <v>4.7757460326484775</v>
      </c>
      <c r="G62" s="76">
        <f>C11*E62</f>
        <v>35.841741594380494</v>
      </c>
      <c r="H62" s="72">
        <f>B62-E62</f>
        <v>11.995820597624331</v>
      </c>
      <c r="I62" s="73">
        <f>((H62/B62)*C62)</f>
        <v>1.5074392745311089</v>
      </c>
      <c r="J62" s="74">
        <f>((H62/B62)*D62)</f>
        <v>11.313258405619507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3">
      <c r="A63" s="67">
        <v>50</v>
      </c>
      <c r="B63" s="75">
        <f t="shared" si="5"/>
        <v>21</v>
      </c>
      <c r="C63" s="73">
        <f t="shared" si="7"/>
        <v>4.1233403578366037</v>
      </c>
      <c r="D63" s="74">
        <f t="shared" si="6"/>
        <v>39.763500000000001</v>
      </c>
      <c r="E63" s="75">
        <f>EXP($B$27+($B$28*A63))</f>
        <v>18.097228286845564</v>
      </c>
      <c r="F63" s="73">
        <f t="shared" si="8"/>
        <v>3.5533824647682137</v>
      </c>
      <c r="G63" s="76">
        <f>C12*E63</f>
        <v>34.267101761142072</v>
      </c>
      <c r="H63" s="72">
        <f>B63-E63</f>
        <v>2.9027717131544364</v>
      </c>
      <c r="I63" s="73">
        <f>((H63/B63)*C63)</f>
        <v>0.56995789306838984</v>
      </c>
      <c r="J63" s="74">
        <f>((H63/B63)*D63)</f>
        <v>5.4963982388579256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3">
      <c r="A64" s="67">
        <v>60</v>
      </c>
      <c r="B64" s="75">
        <f t="shared" si="5"/>
        <v>14</v>
      </c>
      <c r="C64" s="73">
        <f t="shared" si="7"/>
        <v>3.9584067435231396</v>
      </c>
      <c r="D64" s="74">
        <f t="shared" si="6"/>
        <v>38.019800000000004</v>
      </c>
      <c r="E64" s="75"/>
      <c r="F64" s="73"/>
      <c r="G64" s="76"/>
      <c r="H64" s="72">
        <f t="shared" ref="H64:J66" si="11">B64</f>
        <v>14</v>
      </c>
      <c r="I64" s="73">
        <f t="shared" si="11"/>
        <v>3.9584067435231396</v>
      </c>
      <c r="J64" s="74">
        <f t="shared" si="11"/>
        <v>38.019800000000004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3">
      <c r="A65" s="67">
        <v>70</v>
      </c>
      <c r="B65" s="75">
        <f t="shared" si="5"/>
        <v>4</v>
      </c>
      <c r="C65" s="73">
        <f t="shared" si="7"/>
        <v>1.5393804002589986</v>
      </c>
      <c r="D65" s="74">
        <f t="shared" si="6"/>
        <v>16.6004</v>
      </c>
      <c r="E65" s="75"/>
      <c r="F65" s="73"/>
      <c r="G65" s="76"/>
      <c r="H65" s="72">
        <f t="shared" si="11"/>
        <v>4</v>
      </c>
      <c r="I65" s="73">
        <f t="shared" si="11"/>
        <v>1.5393804002589986</v>
      </c>
      <c r="J65" s="74">
        <f t="shared" si="11"/>
        <v>16.6004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ht="15" thickBot="1" x14ac:dyDescent="0.35">
      <c r="A66" s="77">
        <v>80</v>
      </c>
      <c r="B66" s="78">
        <f t="shared" si="5"/>
        <v>2</v>
      </c>
      <c r="C66" s="79">
        <f t="shared" si="7"/>
        <v>1.0053096491487339</v>
      </c>
      <c r="D66" s="80">
        <f t="shared" si="6"/>
        <v>11.866199999999999</v>
      </c>
      <c r="E66" s="78"/>
      <c r="F66" s="79"/>
      <c r="G66" s="81"/>
      <c r="H66" s="82">
        <f t="shared" si="11"/>
        <v>2</v>
      </c>
      <c r="I66" s="79">
        <f t="shared" si="11"/>
        <v>1.0053096491487339</v>
      </c>
      <c r="J66" s="80">
        <f t="shared" si="11"/>
        <v>11.866199999999999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3">
      <c r="A67" s="23" t="s">
        <v>12</v>
      </c>
      <c r="B67" s="3"/>
      <c r="C67" s="3"/>
      <c r="D67" s="3"/>
      <c r="E67" s="3"/>
      <c r="F67" s="3"/>
      <c r="G67" s="3"/>
      <c r="H67" s="3"/>
      <c r="I67" s="3"/>
      <c r="J67" s="24">
        <f>SUM(J59:J66)</f>
        <v>89.627584169298018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3">
      <c r="A68" s="3"/>
      <c r="B68" s="3"/>
      <c r="C68" s="3"/>
      <c r="D68" s="3"/>
      <c r="E68" s="3"/>
      <c r="F68" s="3"/>
      <c r="G68" s="3"/>
      <c r="H68" s="3"/>
      <c r="I68" s="3"/>
      <c r="J68" s="83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ht="15.6" x14ac:dyDescent="0.3">
      <c r="A69" s="91" t="s">
        <v>30</v>
      </c>
      <c r="B69" s="91"/>
      <c r="C69" s="91"/>
      <c r="D69" s="91"/>
      <c r="E69" s="91"/>
      <c r="F69" s="91"/>
      <c r="G69" s="91"/>
      <c r="H69" s="91"/>
      <c r="I69" s="91"/>
      <c r="J69" s="91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ht="15" customHeight="1" x14ac:dyDescent="0.3">
      <c r="A70" s="102" t="s">
        <v>60</v>
      </c>
      <c r="B70" s="103"/>
      <c r="C70" s="103"/>
      <c r="D70" s="103"/>
      <c r="E70" s="104"/>
      <c r="F70" s="3"/>
      <c r="G70" s="3"/>
      <c r="H70" s="3"/>
      <c r="I70" s="3"/>
      <c r="J70" s="3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3">
      <c r="A71" s="105"/>
      <c r="B71" s="106"/>
      <c r="C71" s="106"/>
      <c r="D71" s="106"/>
      <c r="E71" s="107"/>
      <c r="F71" s="3" t="s">
        <v>34</v>
      </c>
      <c r="G71" s="3"/>
      <c r="H71" s="3"/>
      <c r="I71" s="3"/>
      <c r="J71" s="87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3">
      <c r="A72" s="108"/>
      <c r="B72" s="109"/>
      <c r="C72" s="109"/>
      <c r="D72" s="109"/>
      <c r="E72" s="110"/>
      <c r="F72" s="85" t="s">
        <v>35</v>
      </c>
      <c r="G72" s="3"/>
      <c r="H72" s="3"/>
      <c r="I72" s="3"/>
      <c r="J72" s="3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3">
      <c r="A73" s="84"/>
      <c r="B73" s="84"/>
      <c r="C73" s="84"/>
      <c r="D73" s="84"/>
      <c r="E73" s="3"/>
      <c r="F73" s="18" t="s">
        <v>36</v>
      </c>
      <c r="G73" s="3">
        <f>(C76/J61)*H61</f>
        <v>17.080751825420716</v>
      </c>
      <c r="H73" s="3" t="s">
        <v>37</v>
      </c>
      <c r="I73" s="3"/>
      <c r="J73" s="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3">
      <c r="A74" s="3" t="s">
        <v>31</v>
      </c>
      <c r="B74" s="3"/>
      <c r="C74" s="3">
        <f>J67-F54</f>
        <v>4.0686627518127239E-2</v>
      </c>
      <c r="D74" s="3" t="s">
        <v>32</v>
      </c>
      <c r="E74" s="3"/>
      <c r="F74" s="3"/>
      <c r="G74" s="7" t="s">
        <v>38</v>
      </c>
      <c r="H74" s="3"/>
      <c r="I74" s="3">
        <f>H61-G73</f>
        <v>0.11047142959035128</v>
      </c>
      <c r="J74" s="3" t="s">
        <v>37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3">
      <c r="A75" s="3"/>
      <c r="B75" s="3"/>
      <c r="C75" s="3"/>
      <c r="D75" s="3"/>
      <c r="E75" s="3"/>
      <c r="F75" s="111" t="s">
        <v>39</v>
      </c>
      <c r="G75" s="112"/>
      <c r="H75" s="113"/>
      <c r="I75" s="3"/>
      <c r="J75" s="3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3">
      <c r="A76" s="3" t="s">
        <v>33</v>
      </c>
      <c r="B76" s="3"/>
      <c r="C76" s="3">
        <f>J61-C74</f>
        <v>6.2908408973024503</v>
      </c>
      <c r="D76" s="3" t="s">
        <v>32</v>
      </c>
      <c r="E76" s="3"/>
      <c r="F76" s="114"/>
      <c r="G76" s="115"/>
      <c r="H76" s="116"/>
      <c r="I76" s="3"/>
      <c r="J76" s="3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ht="15" customHeight="1" x14ac:dyDescent="0.3">
      <c r="A77" s="3"/>
      <c r="B77" s="3"/>
      <c r="C77" s="3"/>
      <c r="D77" s="3"/>
      <c r="E77" s="3"/>
      <c r="F77" s="117"/>
      <c r="G77" s="118"/>
      <c r="H77" s="119"/>
      <c r="I77" s="3"/>
      <c r="J77" s="3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ht="15" thickBo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ht="15" customHeight="1" x14ac:dyDescent="0.3">
      <c r="A79" s="123" t="s">
        <v>0</v>
      </c>
      <c r="B79" s="125" t="s">
        <v>21</v>
      </c>
      <c r="C79" s="100"/>
      <c r="D79" s="122"/>
      <c r="E79" s="125" t="s">
        <v>24</v>
      </c>
      <c r="F79" s="100"/>
      <c r="G79" s="122"/>
      <c r="H79" s="100" t="s">
        <v>25</v>
      </c>
      <c r="I79" s="100"/>
      <c r="J79" s="101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ht="15" thickBot="1" x14ac:dyDescent="0.35">
      <c r="A80" s="124"/>
      <c r="B80" s="89" t="s">
        <v>22</v>
      </c>
      <c r="C80" s="64" t="s">
        <v>23</v>
      </c>
      <c r="D80" s="65" t="s">
        <v>2</v>
      </c>
      <c r="E80" s="89" t="s">
        <v>22</v>
      </c>
      <c r="F80" s="64" t="s">
        <v>23</v>
      </c>
      <c r="G80" s="65" t="s">
        <v>2</v>
      </c>
      <c r="H80" s="64" t="s">
        <v>22</v>
      </c>
      <c r="I80" s="64" t="s">
        <v>23</v>
      </c>
      <c r="J80" s="66" t="s">
        <v>2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3">
      <c r="A81" s="67">
        <v>10</v>
      </c>
      <c r="B81" s="75">
        <f t="shared" ref="B81:B88" si="12">B8</f>
        <v>251</v>
      </c>
      <c r="C81" s="73">
        <f>((A81^2*PI())/40000)*B81</f>
        <v>1.9713493901275954</v>
      </c>
      <c r="D81" s="74">
        <f t="shared" ref="D81:D88" si="13">D8</f>
        <v>9.638399999999999</v>
      </c>
      <c r="E81" s="75">
        <v>251</v>
      </c>
      <c r="F81" s="73">
        <f>((A81^2*PI())/40000)*E81</f>
        <v>1.9713493901275954</v>
      </c>
      <c r="G81" s="76">
        <f t="shared" ref="G81:G88" si="14">C8*E81</f>
        <v>9.638399999999999</v>
      </c>
      <c r="H81" s="72">
        <v>0</v>
      </c>
      <c r="I81" s="73">
        <f t="shared" ref="I81:I86" si="15">((A81^2*PI())/40000)*H81</f>
        <v>0</v>
      </c>
      <c r="J81" s="74">
        <f t="shared" ref="J81:J87" si="16">H81*C8</f>
        <v>0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3">
      <c r="A82" s="67">
        <v>20</v>
      </c>
      <c r="B82" s="75">
        <f t="shared" si="12"/>
        <v>163</v>
      </c>
      <c r="C82" s="73">
        <f>((A82^2*PI())/40000)*B82</f>
        <v>5.1207960253513631</v>
      </c>
      <c r="D82" s="74">
        <f t="shared" si="13"/>
        <v>21.5486</v>
      </c>
      <c r="E82" s="75">
        <v>163</v>
      </c>
      <c r="F82" s="73">
        <f>((A82^2*PI())/40000)*E82</f>
        <v>5.1207960253513631</v>
      </c>
      <c r="G82" s="76">
        <f t="shared" si="14"/>
        <v>21.5486</v>
      </c>
      <c r="H82" s="72">
        <v>0</v>
      </c>
      <c r="I82" s="73">
        <f t="shared" si="15"/>
        <v>0</v>
      </c>
      <c r="J82" s="74">
        <f t="shared" si="16"/>
        <v>0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3">
      <c r="A83" s="67">
        <v>30</v>
      </c>
      <c r="B83" s="75">
        <f t="shared" si="12"/>
        <v>97</v>
      </c>
      <c r="C83" s="73">
        <f t="shared" ref="C83:C88" si="17">((A83^2*PI())/40000)*B83</f>
        <v>6.8565259664597233</v>
      </c>
      <c r="D83" s="74">
        <f t="shared" si="13"/>
        <v>35.725100000000005</v>
      </c>
      <c r="E83" s="86">
        <f>EXP($B$27+($B$28*A83))+0.1104714</f>
        <v>79.919248144988927</v>
      </c>
      <c r="F83" s="73">
        <f t="shared" ref="F83:F88" si="18">((A83^2*PI())/40000)*E83</f>
        <v>5.6491587641861312</v>
      </c>
      <c r="G83" s="76">
        <f t="shared" si="14"/>
        <v>29.434259091799422</v>
      </c>
      <c r="H83" s="72">
        <f t="shared" ref="H83:H86" si="19">B83-E83</f>
        <v>17.080751855011073</v>
      </c>
      <c r="I83" s="73">
        <f t="shared" si="15"/>
        <v>1.2073672022735928</v>
      </c>
      <c r="J83" s="74">
        <f t="shared" si="16"/>
        <v>6.2908409082005781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3">
      <c r="A84" s="67">
        <v>40</v>
      </c>
      <c r="B84" s="75">
        <f t="shared" si="12"/>
        <v>50</v>
      </c>
      <c r="C84" s="73">
        <f t="shared" si="17"/>
        <v>6.2831853071795871</v>
      </c>
      <c r="D84" s="74">
        <f t="shared" si="13"/>
        <v>47.155000000000001</v>
      </c>
      <c r="E84" s="75">
        <f t="shared" ref="E84:E85" si="20">EXP($B$27+($B$28*A84))</f>
        <v>38.004179402375669</v>
      </c>
      <c r="F84" s="73">
        <f t="shared" si="18"/>
        <v>4.7757460326484775</v>
      </c>
      <c r="G84" s="76">
        <f t="shared" si="14"/>
        <v>35.841741594380494</v>
      </c>
      <c r="H84" s="72">
        <f t="shared" si="19"/>
        <v>11.995820597624331</v>
      </c>
      <c r="I84" s="73">
        <f t="shared" si="15"/>
        <v>1.5074392745311089</v>
      </c>
      <c r="J84" s="74">
        <f t="shared" si="16"/>
        <v>11.313258405619507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3">
      <c r="A85" s="67">
        <v>50</v>
      </c>
      <c r="B85" s="75">
        <f t="shared" si="12"/>
        <v>21</v>
      </c>
      <c r="C85" s="73">
        <f t="shared" si="17"/>
        <v>4.1233403578366037</v>
      </c>
      <c r="D85" s="74">
        <f t="shared" si="13"/>
        <v>39.763500000000001</v>
      </c>
      <c r="E85" s="75">
        <f t="shared" si="20"/>
        <v>18.097228286845564</v>
      </c>
      <c r="F85" s="73">
        <f t="shared" si="18"/>
        <v>3.5533824647682137</v>
      </c>
      <c r="G85" s="76">
        <f t="shared" si="14"/>
        <v>34.267101761142072</v>
      </c>
      <c r="H85" s="72">
        <f t="shared" si="19"/>
        <v>2.9027717131544364</v>
      </c>
      <c r="I85" s="73">
        <f t="shared" si="15"/>
        <v>0.56995789306838973</v>
      </c>
      <c r="J85" s="74">
        <f t="shared" si="16"/>
        <v>5.4963982388579256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3">
      <c r="A86" s="67">
        <v>60</v>
      </c>
      <c r="B86" s="75">
        <f t="shared" si="12"/>
        <v>14</v>
      </c>
      <c r="C86" s="73">
        <f t="shared" si="17"/>
        <v>3.9584067435231396</v>
      </c>
      <c r="D86" s="74">
        <f t="shared" si="13"/>
        <v>38.019800000000004</v>
      </c>
      <c r="E86" s="75">
        <v>0</v>
      </c>
      <c r="F86" s="73">
        <f t="shared" si="18"/>
        <v>0</v>
      </c>
      <c r="G86" s="76">
        <f t="shared" si="14"/>
        <v>0</v>
      </c>
      <c r="H86" s="72">
        <f t="shared" si="19"/>
        <v>14</v>
      </c>
      <c r="I86" s="73">
        <f t="shared" si="15"/>
        <v>3.9584067435231396</v>
      </c>
      <c r="J86" s="74">
        <f t="shared" si="16"/>
        <v>38.019800000000004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3">
      <c r="A87" s="67">
        <v>70</v>
      </c>
      <c r="B87" s="75">
        <f t="shared" si="12"/>
        <v>4</v>
      </c>
      <c r="C87" s="73">
        <f t="shared" si="17"/>
        <v>1.5393804002589986</v>
      </c>
      <c r="D87" s="74">
        <f t="shared" si="13"/>
        <v>16.6004</v>
      </c>
      <c r="E87" s="75">
        <v>0</v>
      </c>
      <c r="F87" s="73">
        <f t="shared" si="18"/>
        <v>0</v>
      </c>
      <c r="G87" s="76">
        <f t="shared" si="14"/>
        <v>0</v>
      </c>
      <c r="H87" s="72">
        <f>B87-E87</f>
        <v>4</v>
      </c>
      <c r="I87" s="73">
        <f>((A87^2*PI())/40000)*H87</f>
        <v>1.5393804002589986</v>
      </c>
      <c r="J87" s="74">
        <f t="shared" si="16"/>
        <v>16.6004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ht="15" thickBot="1" x14ac:dyDescent="0.35">
      <c r="A88" s="77">
        <v>80</v>
      </c>
      <c r="B88" s="78">
        <f t="shared" si="12"/>
        <v>2</v>
      </c>
      <c r="C88" s="79">
        <f t="shared" si="17"/>
        <v>1.0053096491487339</v>
      </c>
      <c r="D88" s="80">
        <f t="shared" si="13"/>
        <v>11.866199999999999</v>
      </c>
      <c r="E88" s="78">
        <v>0</v>
      </c>
      <c r="F88" s="79">
        <f t="shared" si="18"/>
        <v>0</v>
      </c>
      <c r="G88" s="81">
        <f t="shared" si="14"/>
        <v>0</v>
      </c>
      <c r="H88" s="82">
        <f>B88-E88</f>
        <v>2</v>
      </c>
      <c r="I88" s="79">
        <f>((A88^2*PI())/40000)*H88</f>
        <v>1.0053096491487339</v>
      </c>
      <c r="J88" s="80">
        <f>C15*H88</f>
        <v>11.866199999999999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3">
      <c r="A89" s="23" t="s">
        <v>12</v>
      </c>
      <c r="B89" s="23">
        <f t="shared" ref="B89:J89" si="21">SUM(B81:B88)</f>
        <v>602</v>
      </c>
      <c r="C89" s="23">
        <f t="shared" si="21"/>
        <v>30.858293839885743</v>
      </c>
      <c r="D89" s="23">
        <f t="shared" si="21"/>
        <v>220.31700000000001</v>
      </c>
      <c r="E89" s="23">
        <f t="shared" si="21"/>
        <v>550.02065583421017</v>
      </c>
      <c r="F89" s="23">
        <f t="shared" si="21"/>
        <v>21.070432677081779</v>
      </c>
      <c r="G89" s="23">
        <f t="shared" si="21"/>
        <v>130.730102447322</v>
      </c>
      <c r="H89" s="23">
        <f t="shared" si="21"/>
        <v>51.97934416578984</v>
      </c>
      <c r="I89" s="23">
        <f t="shared" si="21"/>
        <v>9.7878611628039636</v>
      </c>
      <c r="J89" s="23">
        <f t="shared" si="21"/>
        <v>89.58689755267801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ht="15.6" x14ac:dyDescent="0.3">
      <c r="A91" s="3"/>
      <c r="B91" s="3"/>
      <c r="C91" s="91" t="s">
        <v>40</v>
      </c>
      <c r="D91" s="91"/>
      <c r="E91" s="91"/>
      <c r="F91" s="91"/>
      <c r="G91" s="91"/>
      <c r="H91" s="2"/>
      <c r="I91" s="3"/>
      <c r="J91" s="3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3">
      <c r="A92" s="3"/>
      <c r="B92" s="3"/>
      <c r="C92" s="92" t="s">
        <v>22</v>
      </c>
      <c r="D92" s="92"/>
      <c r="E92" s="88" t="s">
        <v>41</v>
      </c>
      <c r="G92" s="24"/>
      <c r="H92" s="24"/>
      <c r="I92" s="3"/>
      <c r="J92" s="3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3">
      <c r="A93" s="3"/>
      <c r="B93" s="3"/>
      <c r="C93" s="92" t="s">
        <v>23</v>
      </c>
      <c r="D93" s="92"/>
      <c r="E93" s="88" t="s">
        <v>42</v>
      </c>
      <c r="G93" s="24"/>
      <c r="H93" s="24"/>
      <c r="I93" s="3"/>
      <c r="J93" s="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3">
      <c r="A94" s="3"/>
      <c r="B94" s="3"/>
      <c r="C94" s="92" t="s">
        <v>2</v>
      </c>
      <c r="D94" s="92"/>
      <c r="E94" s="88" t="s">
        <v>43</v>
      </c>
      <c r="G94" s="24"/>
      <c r="H94" s="24"/>
      <c r="I94" s="3"/>
      <c r="J94" s="3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3"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3"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1:25" x14ac:dyDescent="0.3"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1:25" x14ac:dyDescent="0.3"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1:25" x14ac:dyDescent="0.3"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1:25" x14ac:dyDescent="0.3"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1:25" x14ac:dyDescent="0.3"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1:25" x14ac:dyDescent="0.3"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1:25" x14ac:dyDescent="0.3"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1:25" x14ac:dyDescent="0.3"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1:25" x14ac:dyDescent="0.3"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1:25" x14ac:dyDescent="0.3"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1:25" x14ac:dyDescent="0.3"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1:25" x14ac:dyDescent="0.3"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1:25" x14ac:dyDescent="0.3"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1:25" x14ac:dyDescent="0.3"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1:25" x14ac:dyDescent="0.3"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1:25" x14ac:dyDescent="0.3"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1:25" x14ac:dyDescent="0.3"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1:25" x14ac:dyDescent="0.3"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1:25" x14ac:dyDescent="0.3"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1:25" x14ac:dyDescent="0.3"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1:25" x14ac:dyDescent="0.3"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1:25" x14ac:dyDescent="0.3"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1:25" x14ac:dyDescent="0.3"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1:25" x14ac:dyDescent="0.3"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1:25" x14ac:dyDescent="0.3"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1:25" x14ac:dyDescent="0.3"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1:25" x14ac:dyDescent="0.3"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1:25" x14ac:dyDescent="0.3"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1:25" x14ac:dyDescent="0.3"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1:25" x14ac:dyDescent="0.3"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1:25" x14ac:dyDescent="0.3"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1:25" x14ac:dyDescent="0.3"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1:25" x14ac:dyDescent="0.3"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1:25" x14ac:dyDescent="0.3"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1:25" x14ac:dyDescent="0.3"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1:25" x14ac:dyDescent="0.3"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1:25" x14ac:dyDescent="0.3"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1:25" x14ac:dyDescent="0.3"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1:25" x14ac:dyDescent="0.3"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1:25" x14ac:dyDescent="0.3"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1:25" x14ac:dyDescent="0.3"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1:25" x14ac:dyDescent="0.3"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1:25" x14ac:dyDescent="0.3"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1:25" x14ac:dyDescent="0.3"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1:25" x14ac:dyDescent="0.3"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1:25" x14ac:dyDescent="0.3"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1:25" x14ac:dyDescent="0.3"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1:25" x14ac:dyDescent="0.3"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1:25" x14ac:dyDescent="0.3"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1:25" x14ac:dyDescent="0.3"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1:25" x14ac:dyDescent="0.3"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1:25" x14ac:dyDescent="0.3"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1:25" x14ac:dyDescent="0.3"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1:25" x14ac:dyDescent="0.3"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1:25" x14ac:dyDescent="0.3"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1:25" x14ac:dyDescent="0.3"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1:25" x14ac:dyDescent="0.3"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1:25" x14ac:dyDescent="0.3"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1:25" x14ac:dyDescent="0.3"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1:25" x14ac:dyDescent="0.3"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1:25" x14ac:dyDescent="0.3"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1:25" x14ac:dyDescent="0.3"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1:25" x14ac:dyDescent="0.3"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1:25" x14ac:dyDescent="0.3"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1:25" x14ac:dyDescent="0.3"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1:25" x14ac:dyDescent="0.3"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1:25" x14ac:dyDescent="0.3"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1:25" x14ac:dyDescent="0.3"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1:25" x14ac:dyDescent="0.3"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1:25" x14ac:dyDescent="0.3"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1:25" x14ac:dyDescent="0.3"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1:25" x14ac:dyDescent="0.3"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1:25" x14ac:dyDescent="0.3"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1:25" x14ac:dyDescent="0.3"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1:25" x14ac:dyDescent="0.3"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1:25" x14ac:dyDescent="0.3"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1:25" x14ac:dyDescent="0.3"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1:25" x14ac:dyDescent="0.3"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1:25" x14ac:dyDescent="0.3"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1:25" x14ac:dyDescent="0.3"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1:25" x14ac:dyDescent="0.3"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1:25" x14ac:dyDescent="0.3"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1:25" x14ac:dyDescent="0.3"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1:25" x14ac:dyDescent="0.3"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1:25" x14ac:dyDescent="0.3"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1:25" x14ac:dyDescent="0.3"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1:25" x14ac:dyDescent="0.3"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1:25" x14ac:dyDescent="0.3"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1:25" x14ac:dyDescent="0.3"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1:25" x14ac:dyDescent="0.3"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1:25" x14ac:dyDescent="0.3"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1:25" x14ac:dyDescent="0.3"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1:25" x14ac:dyDescent="0.3"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1:25" x14ac:dyDescent="0.3"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1:25" x14ac:dyDescent="0.3"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1:25" x14ac:dyDescent="0.3"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1:25" x14ac:dyDescent="0.3"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1:25" x14ac:dyDescent="0.3"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1:25" x14ac:dyDescent="0.3"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1:25" x14ac:dyDescent="0.3"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1:25" x14ac:dyDescent="0.3"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1:25" x14ac:dyDescent="0.3"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1:25" x14ac:dyDescent="0.3"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1:25" x14ac:dyDescent="0.3"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1:25" x14ac:dyDescent="0.3"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1:25" x14ac:dyDescent="0.3"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1:25" x14ac:dyDescent="0.3"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1:25" x14ac:dyDescent="0.3"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1:25" x14ac:dyDescent="0.3"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1:25" x14ac:dyDescent="0.3"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1:25" x14ac:dyDescent="0.3"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1:25" x14ac:dyDescent="0.3"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1:25" x14ac:dyDescent="0.3"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1:25" x14ac:dyDescent="0.3"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1:25" x14ac:dyDescent="0.3"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1:25" x14ac:dyDescent="0.3"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1:25" x14ac:dyDescent="0.3"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1:25" x14ac:dyDescent="0.3"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1:25" x14ac:dyDescent="0.3"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1:25" x14ac:dyDescent="0.3"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1:25" x14ac:dyDescent="0.3"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1:25" x14ac:dyDescent="0.3"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1:25" x14ac:dyDescent="0.3"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1:25" x14ac:dyDescent="0.3"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1:25" x14ac:dyDescent="0.3"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1:25" x14ac:dyDescent="0.3"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1:25" x14ac:dyDescent="0.3"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1:25" x14ac:dyDescent="0.3"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1:25" x14ac:dyDescent="0.3"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1:25" x14ac:dyDescent="0.3"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1:25" x14ac:dyDescent="0.3"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1:25" x14ac:dyDescent="0.3"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1:25" x14ac:dyDescent="0.3"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1:25" x14ac:dyDescent="0.3"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1:25" x14ac:dyDescent="0.3"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1:25" x14ac:dyDescent="0.3"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1:25" x14ac:dyDescent="0.3"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1:25" x14ac:dyDescent="0.3"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1:25" x14ac:dyDescent="0.3"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1:25" x14ac:dyDescent="0.3"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1:25" x14ac:dyDescent="0.3"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1:25" x14ac:dyDescent="0.3"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1:25" x14ac:dyDescent="0.3"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1:25" x14ac:dyDescent="0.3"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1:25" x14ac:dyDescent="0.3"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1:25" x14ac:dyDescent="0.3"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1:25" x14ac:dyDescent="0.3"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1:25" x14ac:dyDescent="0.3"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1:25" x14ac:dyDescent="0.3"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1:25" x14ac:dyDescent="0.3"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1:25" x14ac:dyDescent="0.3"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1:25" x14ac:dyDescent="0.3"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1:25" x14ac:dyDescent="0.3"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1:25" x14ac:dyDescent="0.3"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1:25" x14ac:dyDescent="0.3"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1:25" x14ac:dyDescent="0.3"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1:25" x14ac:dyDescent="0.3"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1:25" x14ac:dyDescent="0.3"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1:25" x14ac:dyDescent="0.3"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1:25" x14ac:dyDescent="0.3"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1:25" x14ac:dyDescent="0.3"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1:25" x14ac:dyDescent="0.3"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1:25" x14ac:dyDescent="0.3"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1:25" x14ac:dyDescent="0.3"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1:25" x14ac:dyDescent="0.3"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1:25" x14ac:dyDescent="0.3"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1:25" x14ac:dyDescent="0.3"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1:25" x14ac:dyDescent="0.3"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1:25" x14ac:dyDescent="0.3"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1:25" x14ac:dyDescent="0.3"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1:25" x14ac:dyDescent="0.3"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1:25" x14ac:dyDescent="0.3"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1:25" x14ac:dyDescent="0.3"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1:25" x14ac:dyDescent="0.3"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1:25" x14ac:dyDescent="0.3"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1:25" x14ac:dyDescent="0.3"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1:25" x14ac:dyDescent="0.3"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1:25" x14ac:dyDescent="0.3"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1:25" x14ac:dyDescent="0.3"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1:25" x14ac:dyDescent="0.3"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1:25" x14ac:dyDescent="0.3"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1:25" x14ac:dyDescent="0.3"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1:25" x14ac:dyDescent="0.3"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1:25" x14ac:dyDescent="0.3"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1:25" x14ac:dyDescent="0.3"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1:25" x14ac:dyDescent="0.3"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1:25" x14ac:dyDescent="0.3"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1:25" x14ac:dyDescent="0.3"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1:25" x14ac:dyDescent="0.3"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1:25" x14ac:dyDescent="0.3"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1:25" x14ac:dyDescent="0.3"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1:25" x14ac:dyDescent="0.3"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1:25" x14ac:dyDescent="0.3"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1:25" x14ac:dyDescent="0.3"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1:25" x14ac:dyDescent="0.3"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1:25" x14ac:dyDescent="0.3"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1:25" x14ac:dyDescent="0.3"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1:25" x14ac:dyDescent="0.3"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1:25" x14ac:dyDescent="0.3"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1:25" x14ac:dyDescent="0.3"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1:25" x14ac:dyDescent="0.3"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1:25" x14ac:dyDescent="0.3"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1:25" x14ac:dyDescent="0.3"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1:25" x14ac:dyDescent="0.3"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1:25" x14ac:dyDescent="0.3"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1:25" x14ac:dyDescent="0.3"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1:25" x14ac:dyDescent="0.3"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1:25" x14ac:dyDescent="0.3"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1:25" x14ac:dyDescent="0.3"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1:25" x14ac:dyDescent="0.3"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1:25" x14ac:dyDescent="0.3"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1:25" x14ac:dyDescent="0.3"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1:25" x14ac:dyDescent="0.3"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1:25" x14ac:dyDescent="0.3"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1:25" x14ac:dyDescent="0.3"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1:25" x14ac:dyDescent="0.3"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1:25" x14ac:dyDescent="0.3"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1:25" x14ac:dyDescent="0.3"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1:25" x14ac:dyDescent="0.3"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1:25" x14ac:dyDescent="0.3"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1:25" x14ac:dyDescent="0.3"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1:25" x14ac:dyDescent="0.3"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1:25" x14ac:dyDescent="0.3"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1:25" x14ac:dyDescent="0.3"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1:25" x14ac:dyDescent="0.3"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1:25" x14ac:dyDescent="0.3"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1:25" x14ac:dyDescent="0.3"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1:25" x14ac:dyDescent="0.3"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1:25" x14ac:dyDescent="0.3"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1:25" x14ac:dyDescent="0.3"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1:25" x14ac:dyDescent="0.3"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1:25" x14ac:dyDescent="0.3"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1:25" x14ac:dyDescent="0.3"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1:25" x14ac:dyDescent="0.3"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1:25" x14ac:dyDescent="0.3"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1:25" x14ac:dyDescent="0.3"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1:25" x14ac:dyDescent="0.3"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1:25" x14ac:dyDescent="0.3"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1:25" x14ac:dyDescent="0.3"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1:25" x14ac:dyDescent="0.3"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1:25" x14ac:dyDescent="0.3"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1:25" x14ac:dyDescent="0.3"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1:25" x14ac:dyDescent="0.3"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1:25" x14ac:dyDescent="0.3"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1:25" x14ac:dyDescent="0.3"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1:25" x14ac:dyDescent="0.3"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1:25" x14ac:dyDescent="0.3"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1:25" x14ac:dyDescent="0.3"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1:25" x14ac:dyDescent="0.3"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1:25" x14ac:dyDescent="0.3"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1:25" x14ac:dyDescent="0.3"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1:25" x14ac:dyDescent="0.3"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1:25" x14ac:dyDescent="0.3"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1:25" x14ac:dyDescent="0.3"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1:25" x14ac:dyDescent="0.3"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1:25" x14ac:dyDescent="0.3"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1:25" x14ac:dyDescent="0.3"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1:25" x14ac:dyDescent="0.3"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1:25" x14ac:dyDescent="0.3"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1:25" x14ac:dyDescent="0.3"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1:25" x14ac:dyDescent="0.3"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1:25" x14ac:dyDescent="0.3"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1:25" x14ac:dyDescent="0.3"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1:25" x14ac:dyDescent="0.3"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1:25" x14ac:dyDescent="0.3"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1:25" x14ac:dyDescent="0.3"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1:25" x14ac:dyDescent="0.3"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1:25" x14ac:dyDescent="0.3"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1:25" x14ac:dyDescent="0.3"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1:25" x14ac:dyDescent="0.3"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1:25" x14ac:dyDescent="0.3"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1:25" x14ac:dyDescent="0.3"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1:25" x14ac:dyDescent="0.3"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1:25" x14ac:dyDescent="0.3"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1:25" x14ac:dyDescent="0.3"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1:25" x14ac:dyDescent="0.3"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1:25" x14ac:dyDescent="0.3"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1:25" x14ac:dyDescent="0.3"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1:25" x14ac:dyDescent="0.3"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1:25" x14ac:dyDescent="0.3"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1:25" x14ac:dyDescent="0.3"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1:25" x14ac:dyDescent="0.3"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1:25" x14ac:dyDescent="0.3"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1:25" x14ac:dyDescent="0.3"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1:25" x14ac:dyDescent="0.3"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1:25" x14ac:dyDescent="0.3"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1:25" x14ac:dyDescent="0.3"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1:25" x14ac:dyDescent="0.3"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1:25" x14ac:dyDescent="0.3"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1:25" x14ac:dyDescent="0.3"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1:25" x14ac:dyDescent="0.3"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1:25" x14ac:dyDescent="0.3"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1:25" x14ac:dyDescent="0.3"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1:25" x14ac:dyDescent="0.3"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1:25" x14ac:dyDescent="0.3"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1:25" x14ac:dyDescent="0.3"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1:25" x14ac:dyDescent="0.3"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1:25" x14ac:dyDescent="0.3"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1:25" x14ac:dyDescent="0.3"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1:25" x14ac:dyDescent="0.3"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1:25" x14ac:dyDescent="0.3"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1:25" x14ac:dyDescent="0.3"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1:25" x14ac:dyDescent="0.3"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1:25" x14ac:dyDescent="0.3"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1:25" x14ac:dyDescent="0.3"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</sheetData>
  <mergeCells count="25">
    <mergeCell ref="H79:J79"/>
    <mergeCell ref="A70:E72"/>
    <mergeCell ref="A69:J69"/>
    <mergeCell ref="F75:H77"/>
    <mergeCell ref="A57:A58"/>
    <mergeCell ref="B57:D57"/>
    <mergeCell ref="A79:A80"/>
    <mergeCell ref="B79:D79"/>
    <mergeCell ref="E79:G79"/>
    <mergeCell ref="C91:G91"/>
    <mergeCell ref="C92:D92"/>
    <mergeCell ref="C93:D93"/>
    <mergeCell ref="C94:D94"/>
    <mergeCell ref="A3:J3"/>
    <mergeCell ref="A18:J18"/>
    <mergeCell ref="A31:J31"/>
    <mergeCell ref="A47:J47"/>
    <mergeCell ref="A6:A7"/>
    <mergeCell ref="B6:B7"/>
    <mergeCell ref="C6:C7"/>
    <mergeCell ref="D6:D7"/>
    <mergeCell ref="C55:D55"/>
    <mergeCell ref="C24:C25"/>
    <mergeCell ref="E57:G57"/>
    <mergeCell ref="H57:J57"/>
  </mergeCells>
  <pageMargins left="0.25" right="0.25" top="0.95833333333333337" bottom="0.75" header="0.3" footer="0.3"/>
  <pageSetup paperSize="9" orientation="portrait" r:id="rId1"/>
  <headerFooter>
    <oddHeader>&amp;C&amp;"Times New Roman,Negrito"Universidade Federal de Mato Grosso
Faculdade de Engenharia Florestal
Disciplina de Silvicultura Tropical</oddHeader>
  </headerFooter>
  <ignoredErrors>
    <ignoredError sqref="C59 C60:C66 C81:C8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Orso</cp:lastModifiedBy>
  <cp:lastPrinted>2025-02-20T13:37:04Z</cp:lastPrinted>
  <dcterms:created xsi:type="dcterms:W3CDTF">2017-06-26T18:38:27Z</dcterms:created>
  <dcterms:modified xsi:type="dcterms:W3CDTF">2025-02-20T13:37:54Z</dcterms:modified>
</cp:coreProperties>
</file>