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6d0e6379324727/case_ss_bup/"/>
    </mc:Choice>
  </mc:AlternateContent>
  <xr:revisionPtr revIDLastSave="23" documentId="13_ncr:1_{69235E5B-F87F-4428-8A6E-D30D7A519E82}" xr6:coauthVersionLast="47" xr6:coauthVersionMax="47" xr10:uidLastSave="{006538AD-32CE-40A9-98C4-7FD5BFCCD70A}"/>
  <bookViews>
    <workbookView xWindow="-108" yWindow="-108" windowWidth="23256" windowHeight="12456" xr2:uid="{BEAC90F2-0329-4F22-AE31-D5D877522791}"/>
  </bookViews>
  <sheets>
    <sheet name="Premissas" sheetId="1" r:id="rId1"/>
    <sheet name="Debêntures" sheetId="4" r:id="rId2"/>
    <sheet name="Indicador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5" l="1"/>
  <c r="I22" i="5" s="1"/>
  <c r="K22" i="5" s="1"/>
  <c r="K33" i="5"/>
  <c r="O26" i="5"/>
  <c r="O25" i="5"/>
  <c r="O23" i="5"/>
  <c r="O22" i="5" s="1"/>
  <c r="Q21" i="5"/>
  <c r="R21" i="5" s="1"/>
  <c r="S21" i="5" s="1"/>
  <c r="T21" i="5" s="1"/>
  <c r="R12" i="5"/>
  <c r="S12" i="5" s="1"/>
  <c r="T12" i="5" s="1"/>
  <c r="Q12" i="5"/>
  <c r="I14" i="5"/>
  <c r="K14" i="5" s="1"/>
  <c r="K21" i="5" s="1"/>
  <c r="O16" i="5"/>
  <c r="O17" i="5" s="1"/>
  <c r="O14" i="5"/>
  <c r="O13" i="5" s="1"/>
  <c r="I25" i="5"/>
  <c r="K25" i="5"/>
  <c r="G25" i="5"/>
  <c r="K11" i="5"/>
  <c r="K10" i="5"/>
  <c r="K8" i="5"/>
  <c r="I6" i="5"/>
  <c r="I27" i="5" s="1"/>
  <c r="I29" i="5" s="1"/>
  <c r="G28" i="5"/>
  <c r="K28" i="5" s="1"/>
  <c r="G27" i="5"/>
  <c r="G29" i="5" s="1"/>
  <c r="G21" i="5"/>
  <c r="G23" i="5" s="1"/>
  <c r="G22" i="5"/>
  <c r="G16" i="5"/>
  <c r="K16" i="5" s="1"/>
  <c r="G15" i="5"/>
  <c r="K15" i="5" s="1"/>
  <c r="G14" i="5"/>
  <c r="C15" i="5"/>
  <c r="C14" i="5"/>
  <c r="C17" i="5" s="1"/>
  <c r="G9" i="5"/>
  <c r="K9" i="5" s="1"/>
  <c r="G7" i="5"/>
  <c r="G6" i="5"/>
  <c r="G12" i="5" s="1"/>
  <c r="C9" i="5"/>
  <c r="C10" i="5"/>
  <c r="C7" i="5"/>
  <c r="C6" i="5"/>
  <c r="D19" i="4"/>
  <c r="E19" i="4"/>
  <c r="F19" i="4"/>
  <c r="G19" i="4"/>
  <c r="H19" i="4"/>
  <c r="I19" i="4"/>
  <c r="J19" i="4"/>
  <c r="K19" i="4"/>
  <c r="L19" i="4"/>
  <c r="M19" i="4"/>
  <c r="C19" i="4"/>
  <c r="C12" i="4"/>
  <c r="C11" i="4"/>
  <c r="C13" i="4" s="1"/>
  <c r="C20" i="4" s="1"/>
  <c r="I17" i="5" l="1"/>
  <c r="K23" i="5"/>
  <c r="O12" i="5" s="1"/>
  <c r="I12" i="5"/>
  <c r="K27" i="5"/>
  <c r="K29" i="5" s="1"/>
  <c r="K17" i="5"/>
  <c r="K6" i="5"/>
  <c r="K7" i="5"/>
  <c r="K12" i="5" s="1"/>
  <c r="G17" i="5"/>
  <c r="G19" i="5" s="1"/>
  <c r="C12" i="5"/>
  <c r="C19" i="5" s="1"/>
  <c r="C15" i="4"/>
  <c r="K19" i="5" l="1"/>
  <c r="O21" i="5" s="1"/>
  <c r="D11" i="4"/>
  <c r="D12" i="4"/>
  <c r="D13" i="4" s="1"/>
  <c r="D20" i="4" s="1"/>
  <c r="D15" i="4" l="1"/>
  <c r="E12" i="4" l="1"/>
  <c r="E13" i="4" s="1"/>
  <c r="E20" i="4" s="1"/>
  <c r="E11" i="4"/>
  <c r="E15" i="4" l="1"/>
  <c r="F11" i="4" l="1"/>
  <c r="F12" i="4"/>
  <c r="F13" i="4" s="1"/>
  <c r="F20" i="4" s="1"/>
  <c r="F15" i="4" l="1"/>
  <c r="G11" i="4" l="1"/>
  <c r="G14" i="4" s="1"/>
  <c r="J14" i="4" s="1"/>
  <c r="M14" i="4" s="1"/>
  <c r="G12" i="4"/>
  <c r="G13" i="4" s="1"/>
  <c r="G20" i="4" l="1"/>
  <c r="G15" i="4"/>
  <c r="H12" i="4" l="1"/>
  <c r="H13" i="4" s="1"/>
  <c r="H20" i="4" s="1"/>
  <c r="H11" i="4"/>
  <c r="H15" i="4" s="1"/>
  <c r="I12" i="4" s="1"/>
  <c r="I13" i="4" s="1"/>
  <c r="I20" i="4" s="1"/>
  <c r="I11" i="4"/>
  <c r="I15" i="4" s="1"/>
  <c r="J11" i="4" l="1"/>
  <c r="J12" i="4"/>
  <c r="J13" i="4" s="1"/>
  <c r="J20" i="4" s="1"/>
  <c r="J15" i="4" l="1"/>
  <c r="K11" i="4"/>
  <c r="K12" i="4"/>
  <c r="K13" i="4" s="1"/>
  <c r="K20" i="4" s="1"/>
  <c r="K15" i="4" l="1"/>
  <c r="L11" i="4" s="1"/>
  <c r="L12" i="4" l="1"/>
  <c r="L13" i="4" s="1"/>
  <c r="L20" i="4" s="1"/>
  <c r="L15" i="4" l="1"/>
  <c r="M12" i="4"/>
  <c r="M13" i="4" s="1"/>
  <c r="M20" i="4" s="1"/>
  <c r="M11" i="4"/>
  <c r="M21" i="4" l="1"/>
  <c r="C21" i="4"/>
  <c r="B23" i="4"/>
  <c r="D21" i="4"/>
  <c r="G21" i="4"/>
  <c r="E21" i="4"/>
  <c r="I21" i="4"/>
  <c r="F21" i="4"/>
  <c r="K21" i="4"/>
  <c r="J21" i="4"/>
  <c r="H21" i="4"/>
  <c r="L21" i="4"/>
  <c r="M15" i="4"/>
  <c r="B24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 1</author>
  </authors>
  <commentList>
    <comment ref="B17" authorId="0" shapeId="0" xr:uid="{4A0AD9CF-9C4B-441B-AFE9-D724C45BA7F0}">
      <text>
        <r>
          <rPr>
            <b/>
            <sz val="9"/>
            <color indexed="81"/>
            <rFont val="Tahoma"/>
            <family val="2"/>
          </rPr>
          <t>User 1:</t>
        </r>
        <r>
          <rPr>
            <sz val="9"/>
            <color indexed="81"/>
            <rFont val="Tahoma"/>
            <family val="2"/>
          </rPr>
          <t xml:space="preserve">
DI assumido usando o 1o vértice (252)
https://www.anbima.com.br/pt_br/informar/curvas-de-juros-fechamento.htm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 1</author>
  </authors>
  <commentList>
    <comment ref="B11" authorId="0" shapeId="0" xr:uid="{514086B2-ECBB-4A19-87B0-31465E5A1D08}">
      <text>
        <r>
          <rPr>
            <b/>
            <sz val="9"/>
            <color indexed="81"/>
            <rFont val="Tahoma"/>
            <family val="2"/>
          </rPr>
          <t>User 1:</t>
        </r>
        <r>
          <rPr>
            <sz val="9"/>
            <color indexed="81"/>
            <rFont val="Tahoma"/>
            <family val="2"/>
          </rPr>
          <t xml:space="preserve">
PU histórico em 17/10/2025.
https://www.debentures.com.br/exploreosnd/consultaadados/emissoesdedebentures/puhistorico_r.asp</t>
        </r>
      </text>
    </comment>
    <comment ref="J14" authorId="0" shapeId="0" xr:uid="{54F05246-4B13-48BF-BCE9-CD0C1EEDE2C7}">
      <text>
        <r>
          <rPr>
            <b/>
            <sz val="9"/>
            <color indexed="81"/>
            <rFont val="Tahoma"/>
            <family val="2"/>
          </rPr>
          <t>User 1:</t>
        </r>
        <r>
          <rPr>
            <sz val="9"/>
            <color indexed="81"/>
            <rFont val="Tahoma"/>
            <family val="2"/>
          </rPr>
          <t xml:space="preserve">
Amortização replicada de G15 visto que essa debênture foi modelada com 3 amortizações de 1/3</t>
        </r>
      </text>
    </comment>
    <comment ref="B20" authorId="0" shapeId="0" xr:uid="{B16C7439-DC61-4A15-A5D7-48E2C5A1F95A}">
      <text>
        <r>
          <rPr>
            <b/>
            <sz val="9"/>
            <color indexed="81"/>
            <rFont val="Tahoma"/>
            <family val="2"/>
          </rPr>
          <t>User 1:</t>
        </r>
        <r>
          <rPr>
            <sz val="9"/>
            <color indexed="81"/>
            <rFont val="Tahoma"/>
            <family val="2"/>
          </rPr>
          <t xml:space="preserve">
PU negociado no mercado secundário em 17/10/2025
https://www.debentures.com.br/exploreosnd/consultaadados/mercadosecundario/precosdenegociacao_r.asp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 1</author>
  </authors>
  <commentList>
    <comment ref="I6" authorId="0" shapeId="0" xr:uid="{F0A1445A-447B-445D-94F7-8B5BC35BCFFD}">
      <text>
        <r>
          <rPr>
            <b/>
            <sz val="9"/>
            <color indexed="81"/>
            <rFont val="Tahoma"/>
            <charset val="1"/>
          </rPr>
          <t>User 1:</t>
        </r>
        <r>
          <rPr>
            <sz val="9"/>
            <color indexed="81"/>
            <rFont val="Tahoma"/>
            <charset val="1"/>
          </rPr>
          <t xml:space="preserve">
Foi realizado um write off integral do caixa devido ao cenáio de incerteza sobre a veracidade essa informação reportada</t>
        </r>
      </text>
    </comment>
    <comment ref="I7" authorId="0" shapeId="0" xr:uid="{1F0DB611-C90D-4408-BA6D-643ED4C1DD8A}">
      <text>
        <r>
          <rPr>
            <b/>
            <sz val="9"/>
            <color indexed="81"/>
            <rFont val="Tahoma"/>
            <family val="2"/>
          </rPr>
          <t>User 1:</t>
        </r>
        <r>
          <rPr>
            <sz val="9"/>
            <color indexed="81"/>
            <rFont val="Tahoma"/>
            <family val="2"/>
          </rPr>
          <t xml:space="preserve">
Assumi uma redução da dívida bruta em 40% para atingir a cobertura total de juros. Redução através de renegociação ou uma RJ</t>
        </r>
      </text>
    </comment>
    <comment ref="K32" authorId="0" shapeId="0" xr:uid="{69B89DE4-152B-4E39-9E90-4589180EAE6D}">
      <text>
        <r>
          <rPr>
            <b/>
            <sz val="9"/>
            <color indexed="81"/>
            <rFont val="Tahoma"/>
            <family val="2"/>
          </rPr>
          <t>User 1:</t>
        </r>
        <r>
          <rPr>
            <sz val="9"/>
            <color indexed="81"/>
            <rFont val="Tahoma"/>
            <family val="2"/>
          </rPr>
          <t xml:space="preserve">
10% do PU negociado na curva no secundário em 15/10/2025</t>
        </r>
      </text>
    </comment>
  </commentList>
</comments>
</file>

<file path=xl/sharedStrings.xml><?xml version="1.0" encoding="utf-8"?>
<sst xmlns="http://schemas.openxmlformats.org/spreadsheetml/2006/main" count="184" uniqueCount="99">
  <si>
    <t>Evento</t>
  </si>
  <si>
    <t>Ativo</t>
  </si>
  <si>
    <t>Tipo de Remuneração</t>
  </si>
  <si>
    <t>25/10/2025</t>
  </si>
  <si>
    <t>27/10/2025</t>
  </si>
  <si>
    <t>AMBP16</t>
  </si>
  <si>
    <t>Juros</t>
  </si>
  <si>
    <t>DI</t>
  </si>
  <si>
    <t>25/04/2026</t>
  </si>
  <si>
    <t>27/04/2026</t>
  </si>
  <si>
    <t>25/10/2026</t>
  </si>
  <si>
    <t>26/10/2026</t>
  </si>
  <si>
    <t>25/04/2027</t>
  </si>
  <si>
    <t>26/04/2027</t>
  </si>
  <si>
    <t>Amortização</t>
  </si>
  <si>
    <t>VNA VAR/UNIF</t>
  </si>
  <si>
    <t>25/10/2027</t>
  </si>
  <si>
    <t>25/04/2028</t>
  </si>
  <si>
    <t>25/10/2028</t>
  </si>
  <si>
    <t>25/04/2029</t>
  </si>
  <si>
    <t>Vencimento</t>
  </si>
  <si>
    <t>-</t>
  </si>
  <si>
    <t>Data do pagamento</t>
  </si>
  <si>
    <t>(-) Juros</t>
  </si>
  <si>
    <t>(-) Amort</t>
  </si>
  <si>
    <t>(+) Juros</t>
  </si>
  <si>
    <t>YTM</t>
  </si>
  <si>
    <t>EBIT</t>
  </si>
  <si>
    <t>(+)DA</t>
  </si>
  <si>
    <t>(-) IFRS16</t>
  </si>
  <si>
    <t>Ambipar Participações E Empreendimentos S.A</t>
  </si>
  <si>
    <t>12.648.266/0001-24</t>
  </si>
  <si>
    <t>Empresa</t>
  </si>
  <si>
    <t>CNPJ</t>
  </si>
  <si>
    <t>Série/Emissão</t>
  </si>
  <si>
    <t>Forma</t>
  </si>
  <si>
    <t>Escritural</t>
  </si>
  <si>
    <t>ÚNI/006</t>
  </si>
  <si>
    <t>Garantia</t>
  </si>
  <si>
    <t>Quirografária</t>
  </si>
  <si>
    <t>Emissão</t>
  </si>
  <si>
    <t>Início de rentabilidade</t>
  </si>
  <si>
    <t>Data emissão</t>
  </si>
  <si>
    <t>Ripo de Correção</t>
  </si>
  <si>
    <t>Taxa</t>
  </si>
  <si>
    <t>Prazo</t>
  </si>
  <si>
    <t>Cada</t>
  </si>
  <si>
    <t>Unidade</t>
  </si>
  <si>
    <t>Carência</t>
  </si>
  <si>
    <t>Critério</t>
  </si>
  <si>
    <t>Tipo</t>
  </si>
  <si>
    <t>MÊS</t>
  </si>
  <si>
    <t>Útil</t>
  </si>
  <si>
    <t>Exponencial</t>
  </si>
  <si>
    <t>Taxa de Juros/Spread</t>
  </si>
  <si>
    <t>Prêmio</t>
  </si>
  <si>
    <t>Tipo de Amortização</t>
  </si>
  <si>
    <t xml:space="preserve">	Percentual variável sobre o valor nominal atualizado em períodos uniformes </t>
  </si>
  <si>
    <t>Data do evento</t>
  </si>
  <si>
    <t>Fluxo de caixa</t>
  </si>
  <si>
    <t>PU BoP</t>
  </si>
  <si>
    <t>Data da Avaliação</t>
  </si>
  <si>
    <t>DI Futuro Assumido</t>
  </si>
  <si>
    <t>Data Evento</t>
  </si>
  <si>
    <t>Duration approx (anos)</t>
  </si>
  <si>
    <t>(=) PU  EoP</t>
  </si>
  <si>
    <t>Dias corridos</t>
  </si>
  <si>
    <t>Tipo de remuneração</t>
  </si>
  <si>
    <t>Cód ativo</t>
  </si>
  <si>
    <t>Taxa/percentual</t>
  </si>
  <si>
    <t>Pro rata fluxo de caixa</t>
  </si>
  <si>
    <t>Pré IFRS16</t>
  </si>
  <si>
    <t>Valores em milhares de Reais</t>
  </si>
  <si>
    <t>Pós IFRS16</t>
  </si>
  <si>
    <t>EBIT LTM</t>
  </si>
  <si>
    <t>(+) DA</t>
  </si>
  <si>
    <t>(=) EBITDA</t>
  </si>
  <si>
    <t>(/) Despesas financeiras</t>
  </si>
  <si>
    <t>(=) Cobertura de Juros</t>
  </si>
  <si>
    <t>(+) Caixa</t>
  </si>
  <si>
    <t>(+) Dívida financeira bruta</t>
  </si>
  <si>
    <t>(+) Parcelamento tributário</t>
  </si>
  <si>
    <t>(+) M&amp;A a pagar</t>
  </si>
  <si>
    <t>(+) Derivativos</t>
  </si>
  <si>
    <t>(=) Dívida Líquida</t>
  </si>
  <si>
    <t>(+) Arrendamento</t>
  </si>
  <si>
    <t>Ativo Circulante</t>
  </si>
  <si>
    <t>(-) Passivo Circulante</t>
  </si>
  <si>
    <t>(=) Liquidez imediata</t>
  </si>
  <si>
    <t>(-) Ajustes</t>
  </si>
  <si>
    <t>Fair Mkt Value</t>
  </si>
  <si>
    <t>Custo aproximado divida</t>
  </si>
  <si>
    <t>Sensibilidade de Cobertura de juros</t>
  </si>
  <si>
    <t>Haircut no EBIT</t>
  </si>
  <si>
    <t>Haircut Divida</t>
  </si>
  <si>
    <t>Sensibilidade de Alavancagem</t>
  </si>
  <si>
    <t>Valor de aquisicao</t>
  </si>
  <si>
    <t>Multiple on invested capital (MOIC)</t>
  </si>
  <si>
    <t>Alavancagem (Div liq/EBITDA)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</si>
</sst>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%"/>
    <numFmt numFmtId="165" formatCode="0.0"/>
    <numFmt numFmtId="166" formatCode="_(* #,##0.00_);_(* \(#,##0.00\);_(* &quot;-&quot;??_);_(@_)"/>
    <numFmt numFmtId="167" formatCode="_(* #,##0_);_(* \(#,##0\);_(* &quot;-&quot;??_);_(@_)"/>
    <numFmt numFmtId="168" formatCode="0.0%"/>
    <numFmt numFmtId="169" formatCode="0.0\x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2" borderId="0" xfId="0" applyFont="1" applyFill="1"/>
    <xf numFmtId="14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0" fillId="2" borderId="0" xfId="0" applyNumberFormat="1" applyFill="1" applyAlignment="1">
      <alignment horizontal="center"/>
    </xf>
    <xf numFmtId="164" fontId="5" fillId="0" borderId="0" xfId="3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166" fontId="3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66" fontId="3" fillId="0" borderId="0" xfId="2" applyNumberFormat="1" applyFont="1" applyAlignment="1">
      <alignment horizontal="right" vertical="center"/>
    </xf>
    <xf numFmtId="166" fontId="0" fillId="0" borderId="0" xfId="2" applyNumberFormat="1" applyFont="1" applyAlignment="1">
      <alignment horizontal="right" vertical="center"/>
    </xf>
    <xf numFmtId="166" fontId="8" fillId="0" borderId="0" xfId="2" applyNumberFormat="1" applyFont="1" applyAlignment="1">
      <alignment horizontal="right" vertical="center"/>
    </xf>
    <xf numFmtId="166" fontId="2" fillId="0" borderId="0" xfId="2" applyNumberFormat="1" applyFont="1" applyAlignment="1">
      <alignment horizontal="right" vertical="center"/>
    </xf>
    <xf numFmtId="43" fontId="1" fillId="0" borderId="0" xfId="1" applyFont="1"/>
    <xf numFmtId="10" fontId="1" fillId="0" borderId="0" xfId="3" applyNumberFormat="1" applyFont="1"/>
    <xf numFmtId="9" fontId="2" fillId="0" borderId="0" xfId="3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167" fontId="8" fillId="0" borderId="1" xfId="2" applyNumberFormat="1" applyFont="1" applyBorder="1" applyAlignment="1">
      <alignment horizontal="right" vertical="center"/>
    </xf>
    <xf numFmtId="167" fontId="3" fillId="0" borderId="0" xfId="2" applyNumberFormat="1" applyFont="1" applyAlignment="1">
      <alignment horizontal="right" vertical="center"/>
    </xf>
    <xf numFmtId="167" fontId="8" fillId="0" borderId="0" xfId="2" applyNumberFormat="1" applyFont="1" applyBorder="1" applyAlignment="1">
      <alignment horizontal="right" vertical="center"/>
    </xf>
    <xf numFmtId="167" fontId="2" fillId="0" borderId="1" xfId="0" applyNumberFormat="1" applyFont="1" applyBorder="1"/>
    <xf numFmtId="167" fontId="0" fillId="0" borderId="0" xfId="0" applyNumberFormat="1"/>
    <xf numFmtId="2" fontId="2" fillId="0" borderId="0" xfId="0" applyNumberFormat="1" applyFont="1"/>
    <xf numFmtId="166" fontId="2" fillId="0" borderId="0" xfId="0" applyNumberFormat="1" applyFont="1"/>
    <xf numFmtId="2" fontId="2" fillId="0" borderId="1" xfId="0" applyNumberFormat="1" applyFont="1" applyBorder="1"/>
    <xf numFmtId="168" fontId="0" fillId="0" borderId="0" xfId="3" applyNumberFormat="1" applyFont="1"/>
    <xf numFmtId="168" fontId="0" fillId="0" borderId="0" xfId="0" applyNumberFormat="1"/>
    <xf numFmtId="9" fontId="0" fillId="0" borderId="0" xfId="0" applyNumberFormat="1"/>
    <xf numFmtId="9" fontId="0" fillId="3" borderId="0" xfId="3" applyFont="1" applyFill="1"/>
    <xf numFmtId="9" fontId="10" fillId="3" borderId="0" xfId="3" applyFont="1" applyFill="1"/>
    <xf numFmtId="166" fontId="10" fillId="3" borderId="0" xfId="3" applyNumberFormat="1" applyFont="1" applyFill="1"/>
    <xf numFmtId="169" fontId="0" fillId="0" borderId="0" xfId="3" applyNumberFormat="1" applyFont="1"/>
    <xf numFmtId="165" fontId="0" fillId="0" borderId="0" xfId="3" applyNumberFormat="1" applyFont="1"/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C589-00E8-4B1B-BDFF-4AE4BDE71117}">
  <dimension ref="A2:K18"/>
  <sheetViews>
    <sheetView showGridLines="0" showRowColHeaders="0" tabSelected="1" workbookViewId="0">
      <selection activeCell="B17" sqref="B17"/>
    </sheetView>
  </sheetViews>
  <sheetFormatPr defaultRowHeight="14.4" x14ac:dyDescent="0.3"/>
  <cols>
    <col min="1" max="1" width="19.21875" bestFit="1" customWidth="1"/>
    <col min="2" max="2" width="39.44140625" customWidth="1"/>
    <col min="3" max="3" width="12" bestFit="1" customWidth="1"/>
    <col min="4" max="4" width="18.5546875" bestFit="1" customWidth="1"/>
    <col min="5" max="5" width="16.5546875" customWidth="1"/>
    <col min="6" max="6" width="5.5546875" bestFit="1" customWidth="1"/>
    <col min="7" max="7" width="5.109375" bestFit="1" customWidth="1"/>
    <col min="8" max="8" width="7.77734375" bestFit="1" customWidth="1"/>
    <col min="9" max="9" width="10.5546875" bestFit="1" customWidth="1"/>
    <col min="10" max="10" width="7.109375" bestFit="1" customWidth="1"/>
    <col min="11" max="11" width="10.77734375" bestFit="1" customWidth="1"/>
  </cols>
  <sheetData>
    <row r="2" spans="1:11" ht="14.4" customHeight="1" x14ac:dyDescent="0.3">
      <c r="A2" s="8" t="s">
        <v>32</v>
      </c>
      <c r="B2" s="9" t="s">
        <v>30</v>
      </c>
      <c r="C2" s="5"/>
      <c r="D2" s="5"/>
      <c r="E2" s="6" t="s">
        <v>44</v>
      </c>
      <c r="F2" s="6" t="s">
        <v>45</v>
      </c>
      <c r="G2" s="6" t="s">
        <v>46</v>
      </c>
      <c r="H2" s="6" t="s">
        <v>47</v>
      </c>
      <c r="I2" s="6" t="s">
        <v>48</v>
      </c>
      <c r="J2" s="6" t="s">
        <v>49</v>
      </c>
      <c r="K2" s="6" t="s">
        <v>50</v>
      </c>
    </row>
    <row r="3" spans="1:11" x14ac:dyDescent="0.3">
      <c r="A3" s="8" t="s">
        <v>33</v>
      </c>
      <c r="B3" s="9" t="s">
        <v>31</v>
      </c>
      <c r="C3" s="5"/>
      <c r="D3" s="6" t="s">
        <v>54</v>
      </c>
      <c r="E3" s="12">
        <v>2.75E-2</v>
      </c>
      <c r="F3" s="9">
        <v>252</v>
      </c>
      <c r="G3" s="9">
        <v>6</v>
      </c>
      <c r="H3" s="9" t="s">
        <v>51</v>
      </c>
      <c r="I3" s="10">
        <v>45590</v>
      </c>
      <c r="J3" s="9" t="s">
        <v>52</v>
      </c>
      <c r="K3" s="9" t="s">
        <v>53</v>
      </c>
    </row>
    <row r="4" spans="1:11" x14ac:dyDescent="0.3">
      <c r="A4" s="8"/>
      <c r="B4" s="9"/>
      <c r="C4" s="5"/>
      <c r="D4" s="6" t="s">
        <v>55</v>
      </c>
      <c r="E4" s="9" t="s">
        <v>21</v>
      </c>
      <c r="F4" s="9" t="s">
        <v>21</v>
      </c>
      <c r="G4" s="9" t="s">
        <v>21</v>
      </c>
      <c r="H4" s="9" t="s">
        <v>21</v>
      </c>
      <c r="I4" s="10" t="s">
        <v>21</v>
      </c>
      <c r="J4" s="9" t="s">
        <v>21</v>
      </c>
      <c r="K4" s="9" t="s">
        <v>21</v>
      </c>
    </row>
    <row r="5" spans="1:11" x14ac:dyDescent="0.3">
      <c r="A5" s="8" t="s">
        <v>1</v>
      </c>
      <c r="B5" s="9" t="s">
        <v>5</v>
      </c>
      <c r="C5" s="5"/>
      <c r="D5" s="6" t="s">
        <v>14</v>
      </c>
      <c r="E5" s="9" t="s">
        <v>21</v>
      </c>
      <c r="F5" s="9" t="s">
        <v>21</v>
      </c>
      <c r="G5" s="9">
        <v>12</v>
      </c>
      <c r="H5" s="9" t="s">
        <v>51</v>
      </c>
      <c r="I5" s="10">
        <v>46502</v>
      </c>
      <c r="J5" s="9" t="s">
        <v>21</v>
      </c>
      <c r="K5" s="9" t="s">
        <v>21</v>
      </c>
    </row>
    <row r="6" spans="1:11" x14ac:dyDescent="0.3">
      <c r="A6" s="8" t="s">
        <v>34</v>
      </c>
      <c r="B6" s="9" t="s">
        <v>37</v>
      </c>
      <c r="C6" s="5"/>
      <c r="D6" s="6" t="s">
        <v>56</v>
      </c>
      <c r="E6" s="48" t="s">
        <v>57</v>
      </c>
      <c r="F6" s="48"/>
      <c r="G6" s="48"/>
      <c r="H6" s="48"/>
      <c r="I6" s="48"/>
      <c r="J6" s="48"/>
      <c r="K6" s="48"/>
    </row>
    <row r="7" spans="1:11" x14ac:dyDescent="0.3">
      <c r="A7" s="8" t="s">
        <v>35</v>
      </c>
      <c r="B7" s="9" t="s">
        <v>36</v>
      </c>
      <c r="C7" s="5"/>
      <c r="D7" s="5"/>
      <c r="E7" s="5"/>
      <c r="F7" s="5"/>
      <c r="G7" s="5"/>
      <c r="H7" s="5"/>
      <c r="I7" s="5"/>
      <c r="J7" s="5"/>
      <c r="K7" s="5"/>
    </row>
    <row r="8" spans="1:11" x14ac:dyDescent="0.3">
      <c r="A8" s="8" t="s">
        <v>38</v>
      </c>
      <c r="B8" s="9" t="s">
        <v>39</v>
      </c>
      <c r="C8" s="5"/>
      <c r="D8" s="5"/>
      <c r="E8" s="5"/>
      <c r="F8" s="5"/>
      <c r="G8" s="5"/>
      <c r="H8" s="5"/>
      <c r="I8" s="5"/>
      <c r="J8" s="5"/>
      <c r="K8" s="5"/>
    </row>
    <row r="9" spans="1:11" x14ac:dyDescent="0.3">
      <c r="A9" s="8" t="s">
        <v>42</v>
      </c>
      <c r="B9" s="10">
        <v>47233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8" t="s">
        <v>20</v>
      </c>
      <c r="B10" s="10">
        <v>47233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">
      <c r="A11" s="8" t="s">
        <v>41</v>
      </c>
      <c r="B11" s="10">
        <v>45429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8" t="s">
        <v>40</v>
      </c>
      <c r="B12" s="29">
        <v>1000000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">
      <c r="A13" s="8" t="s">
        <v>2</v>
      </c>
      <c r="B13" s="9" t="s">
        <v>7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8" t="s">
        <v>43</v>
      </c>
      <c r="B14" s="9" t="s">
        <v>21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8"/>
      <c r="B15" s="9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A16" s="8" t="s">
        <v>61</v>
      </c>
      <c r="B16" s="10">
        <v>45947</v>
      </c>
      <c r="C16" s="5"/>
      <c r="D16" s="5"/>
      <c r="E16" s="5"/>
      <c r="F16" s="5"/>
      <c r="G16" s="5"/>
      <c r="H16" s="5"/>
      <c r="I16" s="5"/>
      <c r="J16" s="5"/>
      <c r="K16" s="5"/>
    </row>
    <row r="17" spans="1:2" x14ac:dyDescent="0.3">
      <c r="A17" s="8" t="s">
        <v>62</v>
      </c>
      <c r="B17" s="13">
        <v>0.14189199999999999</v>
      </c>
    </row>
    <row r="18" spans="1:2" x14ac:dyDescent="0.3">
      <c r="A18" s="8"/>
      <c r="B18" s="9"/>
    </row>
  </sheetData>
  <mergeCells count="1">
    <mergeCell ref="E6:K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A460-F01D-4317-8A53-FF83CB2EEA9C}">
  <dimension ref="A2:M24"/>
  <sheetViews>
    <sheetView showGridLines="0" workbookViewId="0">
      <selection activeCell="P12" sqref="P12"/>
    </sheetView>
  </sheetViews>
  <sheetFormatPr defaultRowHeight="14.4" x14ac:dyDescent="0.3"/>
  <cols>
    <col min="1" max="1" width="19" bestFit="1" customWidth="1"/>
    <col min="2" max="2" width="19" customWidth="1"/>
    <col min="3" max="3" width="15.109375" customWidth="1"/>
    <col min="4" max="4" width="13.6640625" customWidth="1"/>
    <col min="5" max="5" width="11.33203125" customWidth="1"/>
    <col min="6" max="6" width="11.77734375" customWidth="1"/>
    <col min="7" max="7" width="13.77734375" customWidth="1"/>
    <col min="8" max="8" width="14.6640625" customWidth="1"/>
    <col min="9" max="10" width="12" customWidth="1"/>
    <col min="11" max="11" width="11.109375" customWidth="1"/>
    <col min="12" max="13" width="13.33203125" customWidth="1"/>
  </cols>
  <sheetData>
    <row r="2" spans="1:13" x14ac:dyDescent="0.3">
      <c r="A2" s="4" t="s">
        <v>58</v>
      </c>
      <c r="B2" s="11">
        <v>45947</v>
      </c>
      <c r="C2" s="14" t="s">
        <v>3</v>
      </c>
      <c r="D2" s="14" t="s">
        <v>8</v>
      </c>
      <c r="E2" s="14" t="s">
        <v>10</v>
      </c>
      <c r="F2" s="14" t="s">
        <v>12</v>
      </c>
      <c r="G2" s="14" t="s">
        <v>12</v>
      </c>
      <c r="H2" s="14" t="s">
        <v>16</v>
      </c>
      <c r="I2" s="14" t="s">
        <v>17</v>
      </c>
      <c r="J2" s="14" t="s">
        <v>17</v>
      </c>
      <c r="K2" s="14" t="s">
        <v>18</v>
      </c>
      <c r="L2" s="14" t="s">
        <v>19</v>
      </c>
      <c r="M2" s="14" t="s">
        <v>19</v>
      </c>
    </row>
    <row r="3" spans="1:13" x14ac:dyDescent="0.3">
      <c r="A3" s="4" t="s">
        <v>22</v>
      </c>
      <c r="B3" s="2"/>
      <c r="C3" s="9" t="s">
        <v>4</v>
      </c>
      <c r="D3" s="9" t="s">
        <v>9</v>
      </c>
      <c r="E3" s="9" t="s">
        <v>11</v>
      </c>
      <c r="F3" s="9" t="s">
        <v>13</v>
      </c>
      <c r="G3" s="9" t="s">
        <v>13</v>
      </c>
      <c r="H3" s="9" t="s">
        <v>16</v>
      </c>
      <c r="I3" s="9" t="s">
        <v>17</v>
      </c>
      <c r="J3" s="9" t="s">
        <v>17</v>
      </c>
      <c r="K3" s="9" t="s">
        <v>18</v>
      </c>
      <c r="L3" s="9" t="s">
        <v>19</v>
      </c>
      <c r="M3" s="9" t="s">
        <v>19</v>
      </c>
    </row>
    <row r="4" spans="1:13" x14ac:dyDescent="0.3">
      <c r="A4" s="4" t="s">
        <v>68</v>
      </c>
      <c r="B4" s="2"/>
      <c r="C4" s="9" t="s">
        <v>5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5</v>
      </c>
      <c r="I4" s="9" t="s">
        <v>5</v>
      </c>
      <c r="J4" s="9" t="s">
        <v>5</v>
      </c>
      <c r="K4" s="9" t="s">
        <v>5</v>
      </c>
      <c r="L4" s="9" t="s">
        <v>5</v>
      </c>
      <c r="M4" s="9" t="s">
        <v>5</v>
      </c>
    </row>
    <row r="5" spans="1:13" x14ac:dyDescent="0.3">
      <c r="A5" s="4" t="s">
        <v>0</v>
      </c>
      <c r="B5" s="2"/>
      <c r="C5" s="9" t="s">
        <v>6</v>
      </c>
      <c r="D5" s="9" t="s">
        <v>6</v>
      </c>
      <c r="E5" s="9" t="s">
        <v>6</v>
      </c>
      <c r="F5" s="9" t="s">
        <v>6</v>
      </c>
      <c r="G5" s="9" t="s">
        <v>14</v>
      </c>
      <c r="H5" s="9" t="s">
        <v>6</v>
      </c>
      <c r="I5" s="9" t="s">
        <v>6</v>
      </c>
      <c r="J5" s="9" t="s">
        <v>14</v>
      </c>
      <c r="K5" s="9" t="s">
        <v>6</v>
      </c>
      <c r="L5" s="9" t="s">
        <v>6</v>
      </c>
      <c r="M5" s="9" t="s">
        <v>20</v>
      </c>
    </row>
    <row r="6" spans="1:13" x14ac:dyDescent="0.3">
      <c r="A6" s="4" t="s">
        <v>67</v>
      </c>
      <c r="B6" s="2"/>
      <c r="C6" s="9" t="s">
        <v>7</v>
      </c>
      <c r="D6" s="9" t="s">
        <v>7</v>
      </c>
      <c r="E6" s="9" t="s">
        <v>7</v>
      </c>
      <c r="F6" s="9" t="s">
        <v>7</v>
      </c>
      <c r="G6" s="9" t="s">
        <v>15</v>
      </c>
      <c r="H6" s="9" t="s">
        <v>7</v>
      </c>
      <c r="I6" s="9" t="s">
        <v>7</v>
      </c>
      <c r="J6" s="9" t="s">
        <v>15</v>
      </c>
      <c r="K6" s="9" t="s">
        <v>7</v>
      </c>
      <c r="L6" s="9" t="s">
        <v>7</v>
      </c>
      <c r="M6" s="9" t="s">
        <v>21</v>
      </c>
    </row>
    <row r="7" spans="1:13" x14ac:dyDescent="0.3">
      <c r="A7" s="4" t="s">
        <v>69</v>
      </c>
      <c r="B7" s="2"/>
      <c r="C7" s="9">
        <v>2.75</v>
      </c>
      <c r="D7" s="9">
        <v>2.75</v>
      </c>
      <c r="E7" s="9">
        <v>2.75</v>
      </c>
      <c r="F7" s="9">
        <v>2.75</v>
      </c>
      <c r="G7" s="9">
        <v>33.332999999999998</v>
      </c>
      <c r="H7" s="9">
        <v>2.75</v>
      </c>
      <c r="I7" s="9">
        <v>2.75</v>
      </c>
      <c r="J7" s="9">
        <v>50</v>
      </c>
      <c r="K7" s="9">
        <v>2.75</v>
      </c>
      <c r="L7" s="9">
        <v>2.75</v>
      </c>
      <c r="M7" s="9">
        <v>0</v>
      </c>
    </row>
    <row r="9" spans="1:13" x14ac:dyDescent="0.3">
      <c r="A9" s="4" t="s">
        <v>59</v>
      </c>
    </row>
    <row r="10" spans="1:13" x14ac:dyDescent="0.3">
      <c r="A10" s="4" t="s">
        <v>63</v>
      </c>
      <c r="B10" s="11">
        <v>45947</v>
      </c>
      <c r="C10" s="7">
        <v>45955</v>
      </c>
      <c r="D10" s="3" t="s">
        <v>8</v>
      </c>
      <c r="E10" s="3" t="s">
        <v>10</v>
      </c>
      <c r="F10" s="3" t="s">
        <v>12</v>
      </c>
      <c r="G10" s="3" t="s">
        <v>12</v>
      </c>
      <c r="H10" s="3" t="s">
        <v>16</v>
      </c>
      <c r="I10" s="3" t="s">
        <v>17</v>
      </c>
      <c r="J10" s="3" t="s">
        <v>17</v>
      </c>
      <c r="K10" s="3" t="s">
        <v>18</v>
      </c>
      <c r="L10" s="3" t="s">
        <v>19</v>
      </c>
      <c r="M10" s="3" t="s">
        <v>19</v>
      </c>
    </row>
    <row r="11" spans="1:13" x14ac:dyDescent="0.3">
      <c r="A11" s="4" t="s">
        <v>60</v>
      </c>
      <c r="B11" s="28">
        <v>1083.9010029999999</v>
      </c>
      <c r="C11" s="20">
        <f>B11</f>
        <v>1083.9010029999999</v>
      </c>
      <c r="D11" s="21">
        <f t="shared" ref="D11:M11" si="0">C15</f>
        <v>1000</v>
      </c>
      <c r="E11" s="21">
        <f t="shared" si="0"/>
        <v>999.99999999999989</v>
      </c>
      <c r="F11" s="21">
        <f t="shared" si="0"/>
        <v>999.99999999999989</v>
      </c>
      <c r="G11" s="21">
        <f t="shared" si="0"/>
        <v>999.99999999999989</v>
      </c>
      <c r="H11" s="21">
        <f t="shared" si="0"/>
        <v>666.66666666666663</v>
      </c>
      <c r="I11" s="21">
        <f t="shared" si="0"/>
        <v>666.66666666666663</v>
      </c>
      <c r="J11" s="21">
        <f t="shared" si="0"/>
        <v>666.66666666666663</v>
      </c>
      <c r="K11" s="21">
        <f t="shared" si="0"/>
        <v>333.33333333333337</v>
      </c>
      <c r="L11" s="21">
        <f t="shared" si="0"/>
        <v>333.33333333333337</v>
      </c>
      <c r="M11" s="21">
        <f t="shared" si="0"/>
        <v>333.33333333333337</v>
      </c>
    </row>
    <row r="12" spans="1:13" x14ac:dyDescent="0.3">
      <c r="A12" s="4" t="s">
        <v>25</v>
      </c>
      <c r="B12" s="16"/>
      <c r="C12" s="20">
        <f>+(((1+Premissas!$B$17)^(9/252))-1)*B11</f>
        <v>5.1485847656343253</v>
      </c>
      <c r="D12" s="21">
        <f>+(((1+Premissas!$B$17)^(126/252))-1)*C15</f>
        <v>68.593468069124924</v>
      </c>
      <c r="E12" s="21">
        <f>+(((1+Premissas!$B$17)^(126/252))-1)*D15</f>
        <v>68.59346806912491</v>
      </c>
      <c r="F12" s="21">
        <f>+(((1+Premissas!$B$17)^(126/252))-1)*E15</f>
        <v>68.59346806912491</v>
      </c>
      <c r="G12" s="21">
        <f>+(((1+Premissas!$B$17)^(126/252))-1)*F15</f>
        <v>68.59346806912491</v>
      </c>
      <c r="H12" s="21">
        <f>+(((1+Premissas!$B$17)^(126/252))-1)*G15</f>
        <v>45.728978712749942</v>
      </c>
      <c r="I12" s="21">
        <f>+(((1+Premissas!$B$17)^(126/252))-1)*H15</f>
        <v>45.728978712749942</v>
      </c>
      <c r="J12" s="21">
        <f>+(((1+Premissas!$B$17)^(126/252))-1)*I15</f>
        <v>45.728978712749942</v>
      </c>
      <c r="K12" s="21">
        <f>+(((1+Premissas!$B$17)^(126/252))-1)*J15</f>
        <v>22.864489356374975</v>
      </c>
      <c r="L12" s="21">
        <f>+(((1+Premissas!$B$17)^(126/252))-1)*K15</f>
        <v>22.864489356374975</v>
      </c>
      <c r="M12" s="21">
        <f>+(((1+Premissas!$B$17)^(126/252))-1)*L15</f>
        <v>22.864489356374975</v>
      </c>
    </row>
    <row r="13" spans="1:13" x14ac:dyDescent="0.3">
      <c r="A13" s="4" t="s">
        <v>23</v>
      </c>
      <c r="B13" s="16"/>
      <c r="C13" s="20">
        <f>-(+C11+C12-1000)</f>
        <v>-89.049587765634215</v>
      </c>
      <c r="D13" s="21">
        <f t="shared" ref="D13:M13" si="1">-D12</f>
        <v>-68.593468069124924</v>
      </c>
      <c r="E13" s="21">
        <f t="shared" si="1"/>
        <v>-68.59346806912491</v>
      </c>
      <c r="F13" s="21">
        <f t="shared" si="1"/>
        <v>-68.59346806912491</v>
      </c>
      <c r="G13" s="21">
        <f t="shared" si="1"/>
        <v>-68.59346806912491</v>
      </c>
      <c r="H13" s="21">
        <f t="shared" si="1"/>
        <v>-45.728978712749942</v>
      </c>
      <c r="I13" s="21">
        <f t="shared" si="1"/>
        <v>-45.728978712749942</v>
      </c>
      <c r="J13" s="21">
        <f t="shared" si="1"/>
        <v>-45.728978712749942</v>
      </c>
      <c r="K13" s="21">
        <f t="shared" si="1"/>
        <v>-22.864489356374975</v>
      </c>
      <c r="L13" s="21">
        <f t="shared" si="1"/>
        <v>-22.864489356374975</v>
      </c>
      <c r="M13" s="21">
        <f t="shared" si="1"/>
        <v>-22.864489356374975</v>
      </c>
    </row>
    <row r="14" spans="1:13" x14ac:dyDescent="0.3">
      <c r="A14" s="4" t="s">
        <v>24</v>
      </c>
      <c r="B14" s="16"/>
      <c r="C14" s="20">
        <v>0</v>
      </c>
      <c r="D14" s="21">
        <v>0</v>
      </c>
      <c r="E14" s="21">
        <v>0</v>
      </c>
      <c r="F14" s="21">
        <v>0</v>
      </c>
      <c r="G14" s="21">
        <f>-(1/3)*G11</f>
        <v>-333.33333333333326</v>
      </c>
      <c r="H14" s="21">
        <v>0</v>
      </c>
      <c r="I14" s="21">
        <v>0</v>
      </c>
      <c r="J14" s="21">
        <f>G14</f>
        <v>-333.33333333333326</v>
      </c>
      <c r="K14" s="21">
        <v>0</v>
      </c>
      <c r="L14" s="21">
        <v>0</v>
      </c>
      <c r="M14" s="21">
        <f>J14</f>
        <v>-333.33333333333326</v>
      </c>
    </row>
    <row r="15" spans="1:13" x14ac:dyDescent="0.3">
      <c r="A15" s="4" t="s">
        <v>65</v>
      </c>
      <c r="B15" s="16"/>
      <c r="C15" s="22">
        <f t="shared" ref="C15:M15" si="2">SUM(C11:C14)</f>
        <v>1000</v>
      </c>
      <c r="D15" s="23">
        <f t="shared" si="2"/>
        <v>999.99999999999989</v>
      </c>
      <c r="E15" s="23">
        <f t="shared" si="2"/>
        <v>999.99999999999989</v>
      </c>
      <c r="F15" s="23">
        <f t="shared" si="2"/>
        <v>999.99999999999989</v>
      </c>
      <c r="G15" s="23">
        <f t="shared" si="2"/>
        <v>666.66666666666663</v>
      </c>
      <c r="H15" s="23">
        <f t="shared" si="2"/>
        <v>666.66666666666663</v>
      </c>
      <c r="I15" s="23">
        <f t="shared" si="2"/>
        <v>666.66666666666663</v>
      </c>
      <c r="J15" s="23">
        <f t="shared" si="2"/>
        <v>333.33333333333337</v>
      </c>
      <c r="K15" s="23">
        <f t="shared" si="2"/>
        <v>333.33333333333337</v>
      </c>
      <c r="L15" s="23">
        <f t="shared" si="2"/>
        <v>333.33333333333337</v>
      </c>
      <c r="M15" s="23">
        <f t="shared" si="2"/>
        <v>0</v>
      </c>
    </row>
    <row r="16" spans="1:13" x14ac:dyDescent="0.3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x14ac:dyDescent="0.3">
      <c r="A18" s="3"/>
      <c r="B18" s="11">
        <v>45947</v>
      </c>
      <c r="C18" s="7">
        <v>45955</v>
      </c>
      <c r="D18" s="3" t="s">
        <v>8</v>
      </c>
      <c r="E18" s="3" t="s">
        <v>10</v>
      </c>
      <c r="F18" s="3" t="s">
        <v>12</v>
      </c>
      <c r="G18" s="3" t="s">
        <v>12</v>
      </c>
      <c r="H18" s="3" t="s">
        <v>16</v>
      </c>
      <c r="I18" s="3" t="s">
        <v>17</v>
      </c>
      <c r="J18" s="3" t="s">
        <v>17</v>
      </c>
      <c r="K18" s="3" t="s">
        <v>18</v>
      </c>
      <c r="L18" s="3" t="s">
        <v>19</v>
      </c>
      <c r="M18" s="3" t="s">
        <v>19</v>
      </c>
    </row>
    <row r="19" spans="1:13" x14ac:dyDescent="0.3">
      <c r="A19" s="3" t="s">
        <v>66</v>
      </c>
      <c r="C19" s="19">
        <f>C18-$B$18</f>
        <v>8</v>
      </c>
      <c r="D19" s="19">
        <f t="shared" ref="D19:M19" si="3">D18-$B$18</f>
        <v>190</v>
      </c>
      <c r="E19" s="19">
        <f t="shared" si="3"/>
        <v>373</v>
      </c>
      <c r="F19" s="19">
        <f t="shared" si="3"/>
        <v>555</v>
      </c>
      <c r="G19" s="19">
        <f t="shared" si="3"/>
        <v>555</v>
      </c>
      <c r="H19" s="19">
        <f t="shared" si="3"/>
        <v>738</v>
      </c>
      <c r="I19" s="19">
        <f t="shared" si="3"/>
        <v>921</v>
      </c>
      <c r="J19" s="19">
        <f t="shared" si="3"/>
        <v>921</v>
      </c>
      <c r="K19" s="19">
        <f t="shared" si="3"/>
        <v>1104</v>
      </c>
      <c r="L19" s="19">
        <f t="shared" si="3"/>
        <v>1286</v>
      </c>
      <c r="M19" s="19">
        <f t="shared" si="3"/>
        <v>1286</v>
      </c>
    </row>
    <row r="20" spans="1:13" x14ac:dyDescent="0.3">
      <c r="A20" s="3" t="s">
        <v>59</v>
      </c>
      <c r="B20" s="24">
        <v>108.788613</v>
      </c>
      <c r="C20" s="15">
        <f>C13+C14</f>
        <v>-89.049587765634215</v>
      </c>
      <c r="D20" s="15">
        <f t="shared" ref="D20:M20" si="4">D13+D14</f>
        <v>-68.593468069124924</v>
      </c>
      <c r="E20" s="15">
        <f t="shared" si="4"/>
        <v>-68.59346806912491</v>
      </c>
      <c r="F20" s="15">
        <f t="shared" si="4"/>
        <v>-68.59346806912491</v>
      </c>
      <c r="G20" s="15">
        <f t="shared" si="4"/>
        <v>-401.92680140245818</v>
      </c>
      <c r="H20" s="15">
        <f t="shared" si="4"/>
        <v>-45.728978712749942</v>
      </c>
      <c r="I20" s="15">
        <f t="shared" si="4"/>
        <v>-45.728978712749942</v>
      </c>
      <c r="J20" s="15">
        <f t="shared" si="4"/>
        <v>-379.06231204608321</v>
      </c>
      <c r="K20" s="15">
        <f t="shared" si="4"/>
        <v>-22.864489356374975</v>
      </c>
      <c r="L20" s="15">
        <f t="shared" si="4"/>
        <v>-22.864489356374975</v>
      </c>
      <c r="M20" s="15">
        <f t="shared" si="4"/>
        <v>-356.19782268970823</v>
      </c>
    </row>
    <row r="21" spans="1:13" x14ac:dyDescent="0.3">
      <c r="A21" s="3" t="s">
        <v>70</v>
      </c>
      <c r="B21" s="25"/>
      <c r="C21" s="25">
        <f>C20/(SUM($C$20:$M$20))</f>
        <v>5.6748259288937765E-2</v>
      </c>
      <c r="D21" s="25">
        <f t="shared" ref="D21:M21" si="5">D20/(SUM($C$20:$M$20))</f>
        <v>4.3712273230942247E-2</v>
      </c>
      <c r="E21" s="25">
        <f t="shared" si="5"/>
        <v>4.371227323094224E-2</v>
      </c>
      <c r="F21" s="25">
        <f t="shared" si="5"/>
        <v>4.371227323094224E-2</v>
      </c>
      <c r="G21" s="25">
        <f t="shared" si="5"/>
        <v>0.25613421592909774</v>
      </c>
      <c r="H21" s="25">
        <f t="shared" si="5"/>
        <v>2.9141515487294826E-2</v>
      </c>
      <c r="I21" s="25">
        <f t="shared" si="5"/>
        <v>2.9141515487294826E-2</v>
      </c>
      <c r="J21" s="25">
        <f t="shared" si="5"/>
        <v>0.2415634581854503</v>
      </c>
      <c r="K21" s="25">
        <f t="shared" si="5"/>
        <v>1.4570757743647415E-2</v>
      </c>
      <c r="L21" s="25">
        <f t="shared" si="5"/>
        <v>1.4570757743647415E-2</v>
      </c>
      <c r="M21" s="25">
        <f t="shared" si="5"/>
        <v>0.22699270044180289</v>
      </c>
    </row>
    <row r="23" spans="1:13" x14ac:dyDescent="0.3">
      <c r="A23" s="3" t="s">
        <v>26</v>
      </c>
      <c r="B23" s="26">
        <f>XIRR(B20:M20, B18:M18)</f>
        <v>16.886537075042725</v>
      </c>
    </row>
    <row r="24" spans="1:13" x14ac:dyDescent="0.3">
      <c r="A24" s="3" t="s">
        <v>64</v>
      </c>
      <c r="B24" s="27">
        <f>SUMPRODUCT(C19:M19,C21:M21)/365</f>
        <v>2.1617568228626078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8F1E-B66F-4EA5-AD45-17C88A76E39D}">
  <dimension ref="B1:T33"/>
  <sheetViews>
    <sheetView showGridLines="0" zoomScale="85" zoomScaleNormal="85" workbookViewId="0">
      <selection activeCell="B37" sqref="B37"/>
    </sheetView>
  </sheetViews>
  <sheetFormatPr defaultRowHeight="14.4" x14ac:dyDescent="0.3"/>
  <cols>
    <col min="2" max="2" width="31.44140625" customWidth="1"/>
    <col min="3" max="3" width="14.6640625" bestFit="1" customWidth="1"/>
    <col min="4" max="4" width="5.21875" customWidth="1"/>
    <col min="5" max="5" width="4.6640625" customWidth="1"/>
    <col min="6" max="6" width="27.44140625" bestFit="1" customWidth="1"/>
    <col min="7" max="7" width="15.6640625" customWidth="1"/>
    <col min="9" max="9" width="11.6640625" bestFit="1" customWidth="1"/>
    <col min="11" max="11" width="13.21875" customWidth="1"/>
    <col min="15" max="15" width="21.109375" customWidth="1"/>
  </cols>
  <sheetData>
    <row r="1" spans="2:20" x14ac:dyDescent="0.3">
      <c r="B1" t="s">
        <v>72</v>
      </c>
    </row>
    <row r="4" spans="2:20" x14ac:dyDescent="0.3">
      <c r="B4" s="30" t="s">
        <v>73</v>
      </c>
      <c r="F4" s="30" t="s">
        <v>71</v>
      </c>
      <c r="I4" s="30" t="s">
        <v>89</v>
      </c>
      <c r="K4" s="30" t="s">
        <v>90</v>
      </c>
    </row>
    <row r="5" spans="2:20" x14ac:dyDescent="0.3">
      <c r="C5" s="1">
        <v>45838</v>
      </c>
      <c r="G5" s="1">
        <v>45838</v>
      </c>
    </row>
    <row r="6" spans="2:20" x14ac:dyDescent="0.3">
      <c r="B6" t="s">
        <v>79</v>
      </c>
      <c r="C6" s="33">
        <f>-(2616046+2068841)</f>
        <v>-4684887</v>
      </c>
      <c r="F6" t="s">
        <v>79</v>
      </c>
      <c r="G6" s="33">
        <f>-(2616046+2068841)</f>
        <v>-4684887</v>
      </c>
      <c r="I6" s="36">
        <f>-G6</f>
        <v>4684887</v>
      </c>
      <c r="K6" s="36">
        <f>+G6+I6</f>
        <v>0</v>
      </c>
    </row>
    <row r="7" spans="2:20" x14ac:dyDescent="0.3">
      <c r="B7" t="s">
        <v>80</v>
      </c>
      <c r="C7" s="33">
        <f>556175+27607+60236+50819+7286309+2811688</f>
        <v>10792834</v>
      </c>
      <c r="F7" t="s">
        <v>80</v>
      </c>
      <c r="G7" s="33">
        <f>556175+27607+60236+50819+7286309+2811688</f>
        <v>10792834</v>
      </c>
      <c r="I7" s="36">
        <f>-G7*L7</f>
        <v>-4317133.6000000006</v>
      </c>
      <c r="K7" s="36">
        <f t="shared" ref="K7:K11" si="0">+G7+I7</f>
        <v>6475700.3999999994</v>
      </c>
      <c r="L7" s="42">
        <v>0.4</v>
      </c>
    </row>
    <row r="8" spans="2:20" x14ac:dyDescent="0.3">
      <c r="B8" t="s">
        <v>81</v>
      </c>
      <c r="C8" s="33">
        <v>0</v>
      </c>
      <c r="F8" t="s">
        <v>81</v>
      </c>
      <c r="G8" s="33">
        <v>0</v>
      </c>
      <c r="K8" s="36">
        <f t="shared" si="0"/>
        <v>0</v>
      </c>
    </row>
    <row r="9" spans="2:20" x14ac:dyDescent="0.3">
      <c r="B9" t="s">
        <v>82</v>
      </c>
      <c r="C9" s="33">
        <f>82634+119680</f>
        <v>202314</v>
      </c>
      <c r="F9" t="s">
        <v>82</v>
      </c>
      <c r="G9" s="33">
        <f>82634+119680</f>
        <v>202314</v>
      </c>
      <c r="K9" s="36">
        <f t="shared" si="0"/>
        <v>202314</v>
      </c>
    </row>
    <row r="10" spans="2:20" x14ac:dyDescent="0.3">
      <c r="B10" t="s">
        <v>85</v>
      </c>
      <c r="C10" s="33">
        <f>96119+304421+135593+787466</f>
        <v>1323599</v>
      </c>
      <c r="G10" s="33"/>
      <c r="K10" s="36">
        <f t="shared" si="0"/>
        <v>0</v>
      </c>
      <c r="P10" s="50" t="s">
        <v>92</v>
      </c>
      <c r="Q10" s="50"/>
      <c r="R10" s="50"/>
      <c r="S10" s="50"/>
      <c r="T10" s="50"/>
    </row>
    <row r="11" spans="2:20" x14ac:dyDescent="0.3">
      <c r="B11" t="s">
        <v>83</v>
      </c>
      <c r="C11" s="33">
        <v>40682</v>
      </c>
      <c r="F11" t="s">
        <v>83</v>
      </c>
      <c r="G11" s="33">
        <v>40682</v>
      </c>
      <c r="K11" s="36">
        <f t="shared" si="0"/>
        <v>40682</v>
      </c>
      <c r="P11" s="51" t="s">
        <v>93</v>
      </c>
      <c r="Q11" s="51"/>
      <c r="R11" s="51"/>
      <c r="S11" s="51"/>
      <c r="T11" s="51"/>
    </row>
    <row r="12" spans="2:20" x14ac:dyDescent="0.3">
      <c r="B12" s="31" t="s">
        <v>84</v>
      </c>
      <c r="C12" s="32">
        <f>SUM(C6:C11)</f>
        <v>7674542</v>
      </c>
      <c r="F12" s="31" t="s">
        <v>84</v>
      </c>
      <c r="G12" s="32">
        <f>SUM(G6:G11)</f>
        <v>6350943</v>
      </c>
      <c r="I12" s="32">
        <f>SUM(I6:I11)</f>
        <v>367753.39999999944</v>
      </c>
      <c r="K12" s="32">
        <f>SUM(K6:K11)</f>
        <v>6718696.3999999994</v>
      </c>
      <c r="O12" s="44">
        <f>+K23</f>
        <v>0.9983656549292419</v>
      </c>
      <c r="P12" s="43">
        <v>0</v>
      </c>
      <c r="Q12" s="43">
        <f>+P12+10%</f>
        <v>0.1</v>
      </c>
      <c r="R12" s="43">
        <f t="shared" ref="R12:T12" si="1">+Q12+10%</f>
        <v>0.2</v>
      </c>
      <c r="S12" s="43">
        <f t="shared" si="1"/>
        <v>0.30000000000000004</v>
      </c>
      <c r="T12" s="43">
        <f t="shared" si="1"/>
        <v>0.4</v>
      </c>
    </row>
    <row r="13" spans="2:20" x14ac:dyDescent="0.3">
      <c r="B13" s="30"/>
      <c r="C13" s="34"/>
      <c r="F13" s="30"/>
      <c r="G13" s="34"/>
      <c r="N13" s="49" t="s">
        <v>94</v>
      </c>
      <c r="O13" s="43">
        <f>+O14-10%</f>
        <v>0.30000000000000004</v>
      </c>
      <c r="P13" s="47">
        <f t="dataTable" ref="P13:T17" dt2D="1" dtr="1" r1="L14" r2="L7"/>
        <v>0.85574198993935024</v>
      </c>
      <c r="Q13" s="47">
        <v>0.77016779094541521</v>
      </c>
      <c r="R13" s="47">
        <v>0.68459359195148017</v>
      </c>
      <c r="S13" s="47">
        <v>0.59901939295754514</v>
      </c>
      <c r="T13" s="47">
        <v>0.5134451939636101</v>
      </c>
    </row>
    <row r="14" spans="2:20" x14ac:dyDescent="0.3">
      <c r="B14" t="s">
        <v>74</v>
      </c>
      <c r="C14" s="33">
        <f>367252 + (1172315-922932)+640527</f>
        <v>1257162</v>
      </c>
      <c r="F14" t="s">
        <v>27</v>
      </c>
      <c r="G14" s="33">
        <f>367252 + (1172315-922932)+640527</f>
        <v>1257162</v>
      </c>
      <c r="I14">
        <f>+G14*-L14</f>
        <v>0</v>
      </c>
      <c r="K14" s="36">
        <f>+G14+I14</f>
        <v>1257162</v>
      </c>
      <c r="L14" s="42">
        <v>0</v>
      </c>
      <c r="N14" s="49"/>
      <c r="O14" s="43">
        <f>+O15-10%</f>
        <v>0.4</v>
      </c>
      <c r="P14" s="47">
        <v>0.9983656549292419</v>
      </c>
      <c r="Q14" s="47">
        <v>0.89852908943631771</v>
      </c>
      <c r="R14" s="47">
        <v>0.79869252394339352</v>
      </c>
      <c r="S14" s="47">
        <v>0.69885595845046922</v>
      </c>
      <c r="T14" s="47">
        <v>0.59901939295754514</v>
      </c>
    </row>
    <row r="15" spans="2:20" x14ac:dyDescent="0.3">
      <c r="B15" t="s">
        <v>75</v>
      </c>
      <c r="C15" s="33">
        <f>622716-255240+497175</f>
        <v>864651</v>
      </c>
      <c r="F15" t="s">
        <v>28</v>
      </c>
      <c r="G15" s="33">
        <f>622716-255240+497175</f>
        <v>864651</v>
      </c>
      <c r="K15" s="36">
        <f>+G15+I15</f>
        <v>864651</v>
      </c>
      <c r="N15" s="49"/>
      <c r="O15" s="43">
        <v>0.5</v>
      </c>
      <c r="P15" s="47">
        <v>1.1980387859150903</v>
      </c>
      <c r="Q15" s="47">
        <v>1.0782349073235813</v>
      </c>
      <c r="R15" s="47">
        <v>0.9584310287320722</v>
      </c>
      <c r="S15" s="47">
        <v>0.8386271501405631</v>
      </c>
      <c r="T15" s="47">
        <v>0.71882327154905412</v>
      </c>
    </row>
    <row r="16" spans="2:20" x14ac:dyDescent="0.3">
      <c r="C16" s="33"/>
      <c r="F16" t="s">
        <v>29</v>
      </c>
      <c r="G16" s="33">
        <f>(-43998-326652)-(-3863-126314)-76446-296779</f>
        <v>-613698</v>
      </c>
      <c r="K16" s="36">
        <f>+G16+I16</f>
        <v>-613698</v>
      </c>
      <c r="N16" s="49"/>
      <c r="O16" s="43">
        <f>+O15+10%</f>
        <v>0.6</v>
      </c>
      <c r="P16" s="47">
        <v>1.497548482393863</v>
      </c>
      <c r="Q16" s="47">
        <v>1.3477936341544767</v>
      </c>
      <c r="R16" s="47">
        <v>1.1980387859150903</v>
      </c>
      <c r="S16" s="47">
        <v>1.0482839376757038</v>
      </c>
      <c r="T16" s="47">
        <v>0.89852908943631771</v>
      </c>
    </row>
    <row r="17" spans="2:20" x14ac:dyDescent="0.3">
      <c r="B17" s="31" t="s">
        <v>76</v>
      </c>
      <c r="C17" s="32">
        <f>SUM(C14:C15)</f>
        <v>2121813</v>
      </c>
      <c r="F17" s="31" t="s">
        <v>76</v>
      </c>
      <c r="G17" s="35">
        <f>SUM(G14:G16)</f>
        <v>1508115</v>
      </c>
      <c r="I17" s="35">
        <f>SUM(I14:I16)</f>
        <v>0</v>
      </c>
      <c r="K17" s="35">
        <f>SUM(K14:K16)</f>
        <v>1508115</v>
      </c>
      <c r="N17" s="49"/>
      <c r="O17" s="43">
        <f>+O16+10%</f>
        <v>0.7</v>
      </c>
      <c r="P17" s="47">
        <v>1.9967313098584838</v>
      </c>
      <c r="Q17" s="47">
        <v>1.7970581788726354</v>
      </c>
      <c r="R17" s="47">
        <v>1.597385047886787</v>
      </c>
      <c r="S17" s="47">
        <v>1.3977119169009384</v>
      </c>
      <c r="T17" s="47">
        <v>1.1980387859150903</v>
      </c>
    </row>
    <row r="19" spans="2:20" x14ac:dyDescent="0.3">
      <c r="B19" s="30" t="s">
        <v>98</v>
      </c>
      <c r="C19" s="37">
        <f>C12/C17</f>
        <v>3.6169737860970783</v>
      </c>
      <c r="F19" s="30" t="s">
        <v>98</v>
      </c>
      <c r="G19" s="38">
        <f>G12/G17</f>
        <v>4.2111795188032746</v>
      </c>
      <c r="K19" s="38">
        <f>K12/K17</f>
        <v>4.455029225224866</v>
      </c>
      <c r="P19" s="50" t="s">
        <v>95</v>
      </c>
      <c r="Q19" s="50"/>
      <c r="R19" s="50"/>
      <c r="S19" s="50"/>
      <c r="T19" s="50"/>
    </row>
    <row r="20" spans="2:20" x14ac:dyDescent="0.3">
      <c r="B20" s="30"/>
      <c r="C20" s="37"/>
      <c r="F20" s="30"/>
      <c r="G20" s="38"/>
      <c r="P20" s="51" t="s">
        <v>93</v>
      </c>
      <c r="Q20" s="51"/>
      <c r="R20" s="51"/>
      <c r="S20" s="51"/>
      <c r="T20" s="51"/>
    </row>
    <row r="21" spans="2:20" x14ac:dyDescent="0.3">
      <c r="F21" t="s">
        <v>27</v>
      </c>
      <c r="G21" s="33">
        <f>367252 + (1172315-922932)+640527</f>
        <v>1257162</v>
      </c>
      <c r="K21" s="33">
        <f>+K14</f>
        <v>1257162</v>
      </c>
      <c r="O21" s="45">
        <f>+K19</f>
        <v>4.455029225224866</v>
      </c>
      <c r="P21" s="43">
        <v>0</v>
      </c>
      <c r="Q21" s="43">
        <f>+P21+10%</f>
        <v>0.1</v>
      </c>
      <c r="R21" s="43">
        <f t="shared" ref="R21:T21" si="2">+Q21+10%</f>
        <v>0.2</v>
      </c>
      <c r="S21" s="43">
        <f t="shared" si="2"/>
        <v>0.30000000000000004</v>
      </c>
      <c r="T21" s="43">
        <f t="shared" si="2"/>
        <v>0.4</v>
      </c>
    </row>
    <row r="22" spans="2:20" x14ac:dyDescent="0.3">
      <c r="F22" t="s">
        <v>77</v>
      </c>
      <c r="G22" s="36">
        <f>(1531652-109187-76776-183891-112448)*2</f>
        <v>2098700</v>
      </c>
      <c r="I22" s="36">
        <f>+I25*I7</f>
        <v>-839480.00000000012</v>
      </c>
      <c r="K22" s="36">
        <f>+G22+I22</f>
        <v>1259220</v>
      </c>
      <c r="N22" s="49" t="s">
        <v>94</v>
      </c>
      <c r="O22" s="43">
        <f>+O23-10%</f>
        <v>0.30000000000000004</v>
      </c>
      <c r="P22" s="46">
        <f t="dataTable" ref="P22:T26" dt2D="1" dtr="1" r1="L14" r2="L7" ca="1"/>
        <v>5.1706798221621026</v>
      </c>
      <c r="Q22" s="46">
        <v>5.6409046362019399</v>
      </c>
      <c r="R22" s="46">
        <v>6.2052102893761703</v>
      </c>
      <c r="S22" s="46">
        <v>6.8949703545569516</v>
      </c>
      <c r="T22" s="46">
        <v>7.7572526720213526</v>
      </c>
    </row>
    <row r="23" spans="2:20" x14ac:dyDescent="0.3">
      <c r="B23" s="30"/>
      <c r="F23" s="31" t="s">
        <v>78</v>
      </c>
      <c r="G23" s="39">
        <f>G21/G22</f>
        <v>0.59901939295754514</v>
      </c>
      <c r="K23" s="39">
        <f>K21/K22</f>
        <v>0.9983656549292419</v>
      </c>
      <c r="N23" s="49"/>
      <c r="O23" s="43">
        <f>+O24-10%</f>
        <v>0.4</v>
      </c>
      <c r="P23" s="46">
        <v>4.455029225224866</v>
      </c>
      <c r="Q23" s="46">
        <v>4.8601723323255195</v>
      </c>
      <c r="R23" s="46">
        <v>5.3463749716913398</v>
      </c>
      <c r="S23" s="46">
        <v>5.9406684407246759</v>
      </c>
      <c r="T23" s="46">
        <v>6.6836061310905484</v>
      </c>
    </row>
    <row r="24" spans="2:20" x14ac:dyDescent="0.3">
      <c r="B24" s="30"/>
      <c r="N24" s="49"/>
      <c r="O24" s="43">
        <v>0.5</v>
      </c>
      <c r="P24" s="46">
        <v>3.7393786282876307</v>
      </c>
      <c r="Q24" s="46">
        <v>4.079440028449099</v>
      </c>
      <c r="R24" s="46">
        <v>4.4875396540065084</v>
      </c>
      <c r="S24" s="46">
        <v>4.9863665268923993</v>
      </c>
      <c r="T24" s="46">
        <v>5.6099595901597432</v>
      </c>
    </row>
    <row r="25" spans="2:20" x14ac:dyDescent="0.3">
      <c r="B25" s="30"/>
      <c r="F25" t="s">
        <v>91</v>
      </c>
      <c r="G25" s="40">
        <f>+G22/G7</f>
        <v>0.19445309730511931</v>
      </c>
      <c r="I25" s="41">
        <f>+G25</f>
        <v>0.19445309730511931</v>
      </c>
      <c r="K25" s="41">
        <f>+G25</f>
        <v>0.19445309730511931</v>
      </c>
      <c r="N25" s="49"/>
      <c r="O25" s="43">
        <f>+O24+10%</f>
        <v>0.6</v>
      </c>
      <c r="P25" s="46">
        <v>3.0237280313503949</v>
      </c>
      <c r="Q25" s="46">
        <v>3.2987077245726777</v>
      </c>
      <c r="R25" s="46">
        <v>3.6287043363216775</v>
      </c>
      <c r="S25" s="46">
        <v>4.0320646130601236</v>
      </c>
      <c r="T25" s="46">
        <v>4.536313049228939</v>
      </c>
    </row>
    <row r="26" spans="2:20" x14ac:dyDescent="0.3">
      <c r="B26" s="30"/>
      <c r="N26" s="49"/>
      <c r="O26" s="43">
        <f>+O25+10%</f>
        <v>0.7</v>
      </c>
      <c r="P26" s="46">
        <v>2.3080774344131583</v>
      </c>
      <c r="Q26" s="46">
        <v>2.5179754206962564</v>
      </c>
      <c r="R26" s="46">
        <v>2.7698690186368458</v>
      </c>
      <c r="S26" s="46">
        <v>3.0777626992278466</v>
      </c>
      <c r="T26" s="46">
        <v>3.4626665082981334</v>
      </c>
    </row>
    <row r="27" spans="2:20" x14ac:dyDescent="0.3">
      <c r="F27" t="s">
        <v>86</v>
      </c>
      <c r="G27" s="33">
        <f>7328510</f>
        <v>7328510</v>
      </c>
      <c r="I27" s="36">
        <f>-I6</f>
        <v>-4684887</v>
      </c>
      <c r="K27" s="36">
        <f>+G27+I27</f>
        <v>2643623</v>
      </c>
    </row>
    <row r="28" spans="2:20" x14ac:dyDescent="0.3">
      <c r="F28" t="s">
        <v>87</v>
      </c>
      <c r="G28" s="33">
        <f>-2691144</f>
        <v>-2691144</v>
      </c>
      <c r="K28" s="36">
        <f>+G28+I28</f>
        <v>-2691144</v>
      </c>
    </row>
    <row r="29" spans="2:20" x14ac:dyDescent="0.3">
      <c r="F29" s="31" t="s">
        <v>88</v>
      </c>
      <c r="G29" s="35">
        <f>SUM(G27:G28)</f>
        <v>4637366</v>
      </c>
      <c r="I29" s="35">
        <f>SUM(I27:I28)</f>
        <v>-4684887</v>
      </c>
      <c r="K29" s="35">
        <f>SUM(K27:K28)</f>
        <v>-47521</v>
      </c>
    </row>
    <row r="32" spans="2:20" x14ac:dyDescent="0.3">
      <c r="F32" t="s">
        <v>96</v>
      </c>
      <c r="K32" s="42">
        <v>0.1</v>
      </c>
    </row>
    <row r="33" spans="6:11" x14ac:dyDescent="0.3">
      <c r="F33" t="s">
        <v>97</v>
      </c>
      <c r="K33" s="46">
        <f>+(1-L7)/K32</f>
        <v>5.9999999999999991</v>
      </c>
    </row>
  </sheetData>
  <mergeCells count="6">
    <mergeCell ref="N22:N26"/>
    <mergeCell ref="P10:T10"/>
    <mergeCell ref="P11:T11"/>
    <mergeCell ref="N13:N17"/>
    <mergeCell ref="P19:T19"/>
    <mergeCell ref="P20:T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Premissas</vt:lpstr>
      <vt:lpstr>Debêntures</vt:lpstr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2025-10-17T21:26:04Z</dcterms:created>
  <dcterms:modified xsi:type="dcterms:W3CDTF">2025-10-20T00:25:49Z</dcterms:modified>
</cp:coreProperties>
</file>