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uo\Dropbox\DecentralizedDebit\Docs\"/>
    </mc:Choice>
  </mc:AlternateContent>
  <xr:revisionPtr revIDLastSave="0" documentId="8_{58E6350E-88DE-4656-A563-65E119B971F8}" xr6:coauthVersionLast="46" xr6:coauthVersionMax="46" xr10:uidLastSave="{00000000-0000-0000-0000-000000000000}"/>
  <bookViews>
    <workbookView minimized="1" xWindow="0" yWindow="0" windowWidth="2400" windowHeight="585" xr2:uid="{20042A14-7821-436F-95FC-454255FD472C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A7" i="2"/>
  <c r="A6" i="2"/>
  <c r="A5" i="2"/>
  <c r="A4" i="2"/>
  <c r="A3" i="2"/>
  <c r="A2" i="2"/>
  <c r="B10" i="1"/>
  <c r="B17" i="1"/>
  <c r="AH11" i="1"/>
  <c r="K7" i="1"/>
  <c r="AD4" i="1" s="1"/>
  <c r="K6" i="1"/>
  <c r="AB6" i="1" s="1"/>
  <c r="K5" i="1"/>
  <c r="Z7" i="1" s="1"/>
  <c r="K4" i="1"/>
  <c r="X6" i="1" s="1"/>
  <c r="H14" i="1"/>
  <c r="AG4" i="1" s="1"/>
  <c r="B4" i="1"/>
  <c r="B3" i="1"/>
  <c r="B20" i="1" l="1"/>
  <c r="X8" i="1"/>
  <c r="AG8" i="1"/>
  <c r="AG6" i="1"/>
  <c r="AG5" i="1"/>
  <c r="AG3" i="1"/>
  <c r="AG7" i="1"/>
  <c r="AD6" i="1"/>
  <c r="AD8" i="1"/>
  <c r="AB8" i="1"/>
  <c r="AB5" i="1"/>
  <c r="Z6" i="1"/>
  <c r="Z5" i="1"/>
  <c r="AD3" i="1"/>
  <c r="AD5" i="1"/>
  <c r="Z3" i="1"/>
  <c r="AD7" i="1"/>
  <c r="AB3" i="1"/>
  <c r="AB7" i="1"/>
  <c r="AB4" i="1"/>
  <c r="Z8" i="1"/>
  <c r="Z4" i="1"/>
  <c r="X3" i="1"/>
  <c r="X5" i="1"/>
  <c r="X4" i="1"/>
  <c r="X7" i="1"/>
  <c r="B21" i="1"/>
  <c r="T7" i="1"/>
  <c r="T5" i="1"/>
  <c r="T3" i="1"/>
  <c r="U8" i="1"/>
  <c r="T8" i="1"/>
  <c r="T6" i="1"/>
  <c r="T4" i="1"/>
  <c r="U7" i="1"/>
  <c r="U6" i="1"/>
  <c r="U5" i="1"/>
  <c r="U4" i="1"/>
  <c r="B22" i="1" l="1"/>
  <c r="AE6" i="1"/>
  <c r="AE3" i="1"/>
  <c r="AE7" i="1"/>
  <c r="AE8" i="1"/>
  <c r="AE4" i="1"/>
  <c r="AE5" i="1"/>
  <c r="V7" i="1"/>
  <c r="V8" i="1"/>
  <c r="U3" i="1"/>
  <c r="V3" i="1" s="1"/>
  <c r="AH3" i="1" s="1"/>
  <c r="AJ3" i="1" s="1"/>
  <c r="B2" i="2" s="1"/>
  <c r="V5" i="1"/>
  <c r="V6" i="1"/>
  <c r="V4" i="1"/>
  <c r="AH6" i="1" l="1"/>
  <c r="AJ6" i="1" s="1"/>
  <c r="B5" i="2" s="1"/>
  <c r="AH8" i="1"/>
  <c r="AJ8" i="1" s="1"/>
  <c r="B7" i="2" s="1"/>
  <c r="AH7" i="1"/>
  <c r="AJ7" i="1" s="1"/>
  <c r="B6" i="2" s="1"/>
  <c r="AH5" i="1"/>
  <c r="AH4" i="1"/>
  <c r="AJ4" i="1" s="1"/>
  <c r="B3" i="2" s="1"/>
  <c r="AJ5" i="1" l="1"/>
  <c r="B4" i="2" s="1"/>
  <c r="AH10" i="1"/>
</calcChain>
</file>

<file path=xl/sharedStrings.xml><?xml version="1.0" encoding="utf-8"?>
<sst xmlns="http://schemas.openxmlformats.org/spreadsheetml/2006/main" count="75" uniqueCount="73">
  <si>
    <t>Revenue Model</t>
  </si>
  <si>
    <t>Transaction breakdown</t>
  </si>
  <si>
    <t>blockchain fee</t>
  </si>
  <si>
    <t>Daily rate</t>
  </si>
  <si>
    <t>Hourly rate</t>
  </si>
  <si>
    <t>Pay Structure</t>
  </si>
  <si>
    <t>Hours per day</t>
  </si>
  <si>
    <t>Employee Type</t>
  </si>
  <si>
    <t>Monthly Compensation</t>
  </si>
  <si>
    <t>Phases</t>
  </si>
  <si>
    <t>Phase</t>
  </si>
  <si>
    <t>Description</t>
  </si>
  <si>
    <t>Development. No revenue.</t>
  </si>
  <si>
    <t>Test Release (one merchant)</t>
  </si>
  <si>
    <t>First controlled release (50 merchants)</t>
  </si>
  <si>
    <t>Phase Transaction Multiplier</t>
  </si>
  <si>
    <t>Open release (up to 25,000 merchants)</t>
  </si>
  <si>
    <t>Target capacity (250,000 merchants)</t>
  </si>
  <si>
    <t>Normal</t>
  </si>
  <si>
    <t>Revenue per normal transaction</t>
  </si>
  <si>
    <t>Monthly normal transaction Revenue</t>
  </si>
  <si>
    <t>Monthly large transaction Revenue</t>
  </si>
  <si>
    <t>Revenue per large transaction</t>
  </si>
  <si>
    <t>Total monthly Revenue</t>
  </si>
  <si>
    <t>Fee type (+/- revenue)</t>
  </si>
  <si>
    <t>-</t>
  </si>
  <si>
    <t>+</t>
  </si>
  <si>
    <t>Fee name</t>
  </si>
  <si>
    <t>Fee amount</t>
  </si>
  <si>
    <t>Monthly normal transaction revenue</t>
  </si>
  <si>
    <t>Monthly large transaction revenue</t>
  </si>
  <si>
    <t>Second controlled release (1250 merchants)</t>
  </si>
  <si>
    <t>Gross Monthly Revenue</t>
  </si>
  <si>
    <t>Type</t>
  </si>
  <si>
    <t>Prevalance</t>
  </si>
  <si>
    <t>Large</t>
  </si>
  <si>
    <t>Lawyer</t>
  </si>
  <si>
    <t>Consultant</t>
  </si>
  <si>
    <t>Employee</t>
  </si>
  <si>
    <t>Executive</t>
  </si>
  <si>
    <t>Revenue Model by phase</t>
  </si>
  <si>
    <t>Phase Exec Multiplier</t>
  </si>
  <si>
    <t>Pay Structure Model by Phase</t>
  </si>
  <si>
    <t>Gross Monthly employee pay</t>
  </si>
  <si>
    <t>Gross Monthly exec pay</t>
  </si>
  <si>
    <t>Gross Monthly consultant pay</t>
  </si>
  <si>
    <t>Gross Monthly lawyer pay</t>
  </si>
  <si>
    <t>Infrastructure</t>
  </si>
  <si>
    <t>Daily Cost</t>
  </si>
  <si>
    <t>Hosting</t>
  </si>
  <si>
    <t>Data Storage</t>
  </si>
  <si>
    <t>Phase infrastructure multiplier</t>
  </si>
  <si>
    <t>Net Yearly Revenue</t>
  </si>
  <si>
    <t>Phase employees</t>
  </si>
  <si>
    <t>Phase consultants</t>
  </si>
  <si>
    <t>Phase lawyers</t>
  </si>
  <si>
    <t>Continuation</t>
  </si>
  <si>
    <t>Projected Exec Yearly Salary</t>
  </si>
  <si>
    <t>Gross Monthly Pay Overhead</t>
  </si>
  <si>
    <t>Duration (months)</t>
  </si>
  <si>
    <t>Loss before profit</t>
  </si>
  <si>
    <t>Base Monthly Infrastructure overhead</t>
  </si>
  <si>
    <t>Gross Monthly Infrastructure Overhead</t>
  </si>
  <si>
    <r>
      <t>Net Monthly Revenue (</t>
    </r>
    <r>
      <rPr>
        <b/>
        <sz val="11"/>
        <color rgb="FFFF0000"/>
        <rFont val="Calibri"/>
        <family val="2"/>
        <scheme val="minor"/>
      </rPr>
      <t>red</t>
    </r>
    <r>
      <rPr>
        <b/>
        <sz val="11"/>
        <color theme="1"/>
        <rFont val="Calibri"/>
        <family val="2"/>
        <scheme val="minor"/>
      </rPr>
      <t xml:space="preserve"> indicates negative)</t>
    </r>
  </si>
  <si>
    <t>Over</t>
  </si>
  <si>
    <t>months</t>
  </si>
  <si>
    <t>Transaction Rates</t>
  </si>
  <si>
    <t>Total base transactions per day</t>
  </si>
  <si>
    <t>client fee</t>
  </si>
  <si>
    <t>Large transaction ($500+) fee</t>
  </si>
  <si>
    <t>Large transactions ($500+) (2%)</t>
  </si>
  <si>
    <t>Normal transactions (98%)</t>
  </si>
  <si>
    <t>Overhead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</si>
</sst>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3" fillId="0" borderId="0" xfId="0" applyFont="1"/>
    <xf numFmtId="0" fontId="3" fillId="0" borderId="0" xfId="0" applyFont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2" xfId="0" applyFont="1" applyBorder="1" applyAlignment="1">
      <alignment wrapText="1"/>
    </xf>
    <xf numFmtId="44" fontId="0" fillId="0" borderId="2" xfId="2" applyFont="1" applyBorder="1"/>
    <xf numFmtId="0" fontId="0" fillId="0" borderId="2" xfId="0" applyFill="1" applyBorder="1" applyAlignment="1">
      <alignment wrapText="1"/>
    </xf>
    <xf numFmtId="44" fontId="0" fillId="0" borderId="2" xfId="0" applyNumberFormat="1" applyBorder="1"/>
    <xf numFmtId="43" fontId="0" fillId="0" borderId="2" xfId="1" applyFont="1" applyBorder="1"/>
    <xf numFmtId="0" fontId="3" fillId="2" borderId="2" xfId="0" applyFont="1" applyFill="1" applyBorder="1" applyAlignment="1">
      <alignment wrapText="1"/>
    </xf>
    <xf numFmtId="44" fontId="0" fillId="2" borderId="2" xfId="0" applyNumberFormat="1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Fill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0" fillId="0" borderId="2" xfId="0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44" fontId="0" fillId="2" borderId="2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4" fontId="0" fillId="0" borderId="5" xfId="2" applyFont="1" applyBorder="1" applyAlignment="1">
      <alignment horizontal="center" vertical="center"/>
    </xf>
    <xf numFmtId="0" fontId="3" fillId="0" borderId="6" xfId="0" applyFont="1" applyFill="1" applyBorder="1" applyAlignment="1">
      <alignment wrapText="1"/>
    </xf>
    <xf numFmtId="44" fontId="0" fillId="0" borderId="6" xfId="0" applyNumberFormat="1" applyFill="1" applyBorder="1"/>
    <xf numFmtId="0" fontId="0" fillId="0" borderId="4" xfId="0" applyBorder="1"/>
    <xf numFmtId="0" fontId="3" fillId="2" borderId="2" xfId="0" applyFont="1" applyFill="1" applyBorder="1" applyAlignment="1">
      <alignment horizontal="center" vertical="center" wrapText="1"/>
    </xf>
    <xf numFmtId="44" fontId="0" fillId="2" borderId="2" xfId="2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44" fontId="2" fillId="2" borderId="2" xfId="0" applyNumberFormat="1" applyFont="1" applyFill="1" applyBorder="1" applyAlignment="1">
      <alignment horizontal="center" vertical="center"/>
    </xf>
    <xf numFmtId="43" fontId="0" fillId="0" borderId="2" xfId="1" applyFont="1" applyBorder="1" applyAlignment="1"/>
    <xf numFmtId="43" fontId="0" fillId="0" borderId="2" xfId="1" applyFont="1" applyFill="1" applyBorder="1" applyAlignment="1"/>
    <xf numFmtId="0" fontId="3" fillId="3" borderId="2" xfId="0" applyFont="1" applyFill="1" applyBorder="1" applyAlignment="1">
      <alignment wrapText="1"/>
    </xf>
    <xf numFmtId="0" fontId="3" fillId="3" borderId="0" xfId="0" applyFont="1" applyFill="1"/>
    <xf numFmtId="0" fontId="3" fillId="4" borderId="1" xfId="0" applyFont="1" applyFill="1" applyBorder="1"/>
    <xf numFmtId="0" fontId="3" fillId="4" borderId="2" xfId="0" applyFont="1" applyFill="1" applyBorder="1" applyAlignment="1">
      <alignment horizontal="center" vertical="center" wrapText="1"/>
    </xf>
    <xf numFmtId="0" fontId="3" fillId="5" borderId="0" xfId="0" applyFont="1" applyFill="1"/>
    <xf numFmtId="0" fontId="3" fillId="5" borderId="2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wrapText="1"/>
    </xf>
    <xf numFmtId="44" fontId="2" fillId="0" borderId="5" xfId="0" applyNumberFormat="1" applyFont="1" applyBorder="1"/>
    <xf numFmtId="0" fontId="2" fillId="0" borderId="2" xfId="0" applyFont="1" applyBorder="1"/>
    <xf numFmtId="0" fontId="2" fillId="0" borderId="7" xfId="0" applyFont="1" applyBorder="1"/>
    <xf numFmtId="0" fontId="2" fillId="0" borderId="8" xfId="0" applyFont="1" applyBorder="1"/>
    <xf numFmtId="9" fontId="0" fillId="0" borderId="2" xfId="3" applyFont="1" applyBorder="1"/>
    <xf numFmtId="10" fontId="0" fillId="2" borderId="2" xfId="3" applyNumberFormat="1" applyFont="1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B8C3C-BA76-49E2-8468-85E38DA6AAB4}">
  <dimension ref="A1:AJ22"/>
  <sheetViews>
    <sheetView tabSelected="1" topLeftCell="O1" workbookViewId="0">
      <selection activeCell="AI14" sqref="AI14"/>
    </sheetView>
  </sheetViews>
  <sheetFormatPr defaultRowHeight="15" x14ac:dyDescent="0.25"/>
  <cols>
    <col min="1" max="1" width="16.7109375" customWidth="1"/>
    <col min="2" max="2" width="13.28515625" bestFit="1" customWidth="1"/>
    <col min="7" max="7" width="18.28515625" customWidth="1"/>
    <col min="8" max="8" width="12.42578125" customWidth="1"/>
    <col min="9" max="9" width="11.28515625" customWidth="1"/>
    <col min="10" max="10" width="12.140625" customWidth="1"/>
    <col min="11" max="11" width="13.85546875" customWidth="1"/>
    <col min="12" max="12" width="15.42578125" customWidth="1"/>
    <col min="17" max="17" width="14.140625" customWidth="1"/>
    <col min="18" max="18" width="13" customWidth="1"/>
    <col min="19" max="19" width="15" customWidth="1"/>
    <col min="20" max="20" width="21" customWidth="1"/>
    <col min="21" max="21" width="19.28515625" customWidth="1"/>
    <col min="22" max="22" width="21" customWidth="1"/>
    <col min="23" max="23" width="13" customWidth="1"/>
    <col min="24" max="24" width="14.140625" customWidth="1"/>
    <col min="25" max="25" width="13.85546875" customWidth="1"/>
    <col min="26" max="26" width="15.28515625" customWidth="1"/>
    <col min="27" max="27" width="11.7109375" customWidth="1"/>
    <col min="28" max="28" width="10.7109375" customWidth="1"/>
    <col min="29" max="29" width="10.5703125" bestFit="1" customWidth="1"/>
    <col min="30" max="30" width="12.140625" customWidth="1"/>
    <col min="31" max="31" width="14.7109375" customWidth="1"/>
    <col min="32" max="32" width="13.5703125" customWidth="1"/>
    <col min="33" max="33" width="14.85546875" customWidth="1"/>
    <col min="34" max="34" width="19.28515625" customWidth="1"/>
    <col min="35" max="35" width="17.42578125" customWidth="1"/>
    <col min="36" max="36" width="23.85546875" customWidth="1"/>
    <col min="37" max="37" width="16.5703125" customWidth="1"/>
    <col min="38" max="38" width="13.42578125" customWidth="1"/>
  </cols>
  <sheetData>
    <row r="1" spans="1:36" ht="45" x14ac:dyDescent="0.25">
      <c r="A1" s="2" t="s">
        <v>66</v>
      </c>
      <c r="G1" s="1" t="s">
        <v>72</v>
      </c>
      <c r="P1" s="1" t="s">
        <v>9</v>
      </c>
      <c r="S1" s="41" t="s">
        <v>40</v>
      </c>
      <c r="W1" s="39" t="s">
        <v>42</v>
      </c>
    </row>
    <row r="2" spans="1:36" ht="60" x14ac:dyDescent="0.25">
      <c r="A2" s="7" t="s">
        <v>67</v>
      </c>
      <c r="B2" s="12">
        <v>10</v>
      </c>
      <c r="G2" s="38" t="s">
        <v>5</v>
      </c>
      <c r="H2" s="4"/>
      <c r="I2" s="4"/>
      <c r="J2" s="4"/>
      <c r="K2" s="4"/>
      <c r="L2" s="3"/>
      <c r="P2" s="13" t="s">
        <v>10</v>
      </c>
      <c r="Q2" s="7" t="s">
        <v>11</v>
      </c>
      <c r="R2" s="7" t="s">
        <v>59</v>
      </c>
      <c r="S2" s="7" t="s">
        <v>15</v>
      </c>
      <c r="T2" s="18" t="s">
        <v>29</v>
      </c>
      <c r="U2" s="18" t="s">
        <v>30</v>
      </c>
      <c r="V2" s="13" t="s">
        <v>32</v>
      </c>
      <c r="W2" s="18" t="s">
        <v>41</v>
      </c>
      <c r="X2" s="18" t="s">
        <v>44</v>
      </c>
      <c r="Y2" s="18" t="s">
        <v>53</v>
      </c>
      <c r="Z2" s="18" t="s">
        <v>43</v>
      </c>
      <c r="AA2" s="18" t="s">
        <v>54</v>
      </c>
      <c r="AB2" s="18" t="s">
        <v>45</v>
      </c>
      <c r="AC2" s="18" t="s">
        <v>55</v>
      </c>
      <c r="AD2" s="18" t="s">
        <v>46</v>
      </c>
      <c r="AE2" s="13" t="s">
        <v>58</v>
      </c>
      <c r="AF2" s="36" t="s">
        <v>51</v>
      </c>
      <c r="AG2" s="30" t="s">
        <v>62</v>
      </c>
      <c r="AH2" s="30" t="s">
        <v>63</v>
      </c>
      <c r="AJ2" s="13" t="s">
        <v>52</v>
      </c>
    </row>
    <row r="3" spans="1:36" ht="45" x14ac:dyDescent="0.25">
      <c r="A3" s="7" t="s">
        <v>71</v>
      </c>
      <c r="B3" s="12">
        <f>PRODUCT(B9,B2)</f>
        <v>9.8000000000000007</v>
      </c>
      <c r="G3" s="23" t="s">
        <v>7</v>
      </c>
      <c r="H3" s="23" t="s">
        <v>3</v>
      </c>
      <c r="I3" s="23" t="s">
        <v>4</v>
      </c>
      <c r="J3" s="23" t="s">
        <v>6</v>
      </c>
      <c r="K3" s="23" t="s">
        <v>8</v>
      </c>
      <c r="L3" s="29"/>
      <c r="P3" s="32">
        <v>0</v>
      </c>
      <c r="Q3" s="6" t="s">
        <v>12</v>
      </c>
      <c r="R3" s="5">
        <v>4</v>
      </c>
      <c r="S3" s="21">
        <v>0</v>
      </c>
      <c r="T3" s="20">
        <f>PRODUCT(B17,B3,S3,30)</f>
        <v>0</v>
      </c>
      <c r="U3" s="20">
        <f>PRODUCT(C17,C3,T3,30)</f>
        <v>0</v>
      </c>
      <c r="V3" s="24">
        <f t="shared" ref="V3:V8" si="0">SUM(T3,U3)</f>
        <v>0</v>
      </c>
      <c r="W3" s="19">
        <v>2</v>
      </c>
      <c r="X3" s="20">
        <f>PRODUCT(W3,K4)</f>
        <v>1800</v>
      </c>
      <c r="Y3" s="19">
        <v>2</v>
      </c>
      <c r="Z3" s="20">
        <f t="shared" ref="Z3:Z8" si="1">PRODUCT(Y3,$K$5)</f>
        <v>600</v>
      </c>
      <c r="AA3" s="19">
        <v>1</v>
      </c>
      <c r="AB3" s="20">
        <f t="shared" ref="AB3:AB8" si="2">PRODUCT(AA3,$K$6)</f>
        <v>300</v>
      </c>
      <c r="AC3" s="19">
        <v>1</v>
      </c>
      <c r="AD3" s="20">
        <f t="shared" ref="AD3:AD8" si="3">PRODUCT(AC3,$K$7)</f>
        <v>375</v>
      </c>
      <c r="AE3" s="24">
        <f t="shared" ref="AE3:AE8" si="4">SUM(AD3,AB3,Z3,X3)</f>
        <v>3075</v>
      </c>
      <c r="AF3" s="19">
        <v>1</v>
      </c>
      <c r="AG3" s="31">
        <f t="shared" ref="AG3:AG8" si="5">PRODUCT(AF3,$H$14)</f>
        <v>180</v>
      </c>
      <c r="AH3" s="33">
        <f t="shared" ref="AH3:AH8" si="6">V3-AE3-AG3</f>
        <v>-3255</v>
      </c>
      <c r="AJ3" s="14">
        <f t="shared" ref="AJ3:AJ8" si="7">AH3*12</f>
        <v>-39060</v>
      </c>
    </row>
    <row r="4" spans="1:36" ht="45" x14ac:dyDescent="0.25">
      <c r="A4" s="7" t="s">
        <v>70</v>
      </c>
      <c r="B4" s="12">
        <f>PRODUCT(B10,B2)</f>
        <v>0.20000000000000018</v>
      </c>
      <c r="G4" s="8" t="s">
        <v>39</v>
      </c>
      <c r="H4" s="20">
        <v>30</v>
      </c>
      <c r="I4" s="20">
        <v>0</v>
      </c>
      <c r="J4" s="19">
        <v>0</v>
      </c>
      <c r="K4" s="20">
        <f>PRODUCT(SUM(PRODUCT(I4,J4), H4), 30)</f>
        <v>900</v>
      </c>
      <c r="P4" s="32">
        <v>1</v>
      </c>
      <c r="Q4" s="6" t="s">
        <v>13</v>
      </c>
      <c r="R4" s="5">
        <v>3</v>
      </c>
      <c r="S4" s="34">
        <v>1</v>
      </c>
      <c r="T4" s="20">
        <f>PRODUCT(B17,B3,S4,30)</f>
        <v>73.5</v>
      </c>
      <c r="U4" s="20">
        <f>PRODUCT(S4,B4,B18,30)</f>
        <v>15.000000000000014</v>
      </c>
      <c r="V4" s="24">
        <f t="shared" si="0"/>
        <v>88.500000000000014</v>
      </c>
      <c r="W4" s="19">
        <v>2</v>
      </c>
      <c r="X4" s="20">
        <f>PRODUCT(W4,K4)</f>
        <v>1800</v>
      </c>
      <c r="Y4" s="19">
        <v>4</v>
      </c>
      <c r="Z4" s="20">
        <f t="shared" si="1"/>
        <v>1200</v>
      </c>
      <c r="AA4" s="19">
        <v>2</v>
      </c>
      <c r="AB4" s="20">
        <f t="shared" si="2"/>
        <v>600</v>
      </c>
      <c r="AC4" s="19">
        <v>5</v>
      </c>
      <c r="AD4" s="20">
        <f t="shared" si="3"/>
        <v>1875</v>
      </c>
      <c r="AE4" s="24">
        <f t="shared" si="4"/>
        <v>5475</v>
      </c>
      <c r="AF4" s="19">
        <v>2</v>
      </c>
      <c r="AG4" s="31">
        <f t="shared" si="5"/>
        <v>360</v>
      </c>
      <c r="AH4" s="33">
        <f t="shared" si="6"/>
        <v>-5746.5</v>
      </c>
      <c r="AJ4" s="14">
        <f t="shared" si="7"/>
        <v>-68958</v>
      </c>
    </row>
    <row r="5" spans="1:36" ht="60" x14ac:dyDescent="0.25">
      <c r="G5" s="6" t="s">
        <v>38</v>
      </c>
      <c r="H5" s="20">
        <v>0</v>
      </c>
      <c r="I5" s="20">
        <v>20</v>
      </c>
      <c r="J5" s="19">
        <v>0.5</v>
      </c>
      <c r="K5" s="20">
        <f>PRODUCT(SUM(PRODUCT(I5,J5), H5),30)</f>
        <v>300</v>
      </c>
      <c r="P5" s="32">
        <v>2</v>
      </c>
      <c r="Q5" s="6" t="s">
        <v>14</v>
      </c>
      <c r="R5" s="5">
        <v>6</v>
      </c>
      <c r="S5" s="34">
        <v>50</v>
      </c>
      <c r="T5" s="20">
        <f>PRODUCT(B17,B3,S5,30)</f>
        <v>3675.0000000000005</v>
      </c>
      <c r="U5" s="20">
        <f>PRODUCT(B4,B18,S5,30)</f>
        <v>750.00000000000068</v>
      </c>
      <c r="V5" s="24">
        <f t="shared" si="0"/>
        <v>4425.0000000000009</v>
      </c>
      <c r="W5" s="19">
        <v>2</v>
      </c>
      <c r="X5" s="20">
        <f>PRODUCT(W5,K4)</f>
        <v>1800</v>
      </c>
      <c r="Y5" s="19">
        <v>8</v>
      </c>
      <c r="Z5" s="20">
        <f t="shared" si="1"/>
        <v>2400</v>
      </c>
      <c r="AA5" s="19">
        <v>4</v>
      </c>
      <c r="AB5" s="20">
        <f t="shared" si="2"/>
        <v>1200</v>
      </c>
      <c r="AC5" s="19">
        <v>8</v>
      </c>
      <c r="AD5" s="20">
        <f t="shared" si="3"/>
        <v>3000</v>
      </c>
      <c r="AE5" s="24">
        <f t="shared" si="4"/>
        <v>8400</v>
      </c>
      <c r="AF5" s="19">
        <v>10</v>
      </c>
      <c r="AG5" s="31">
        <f t="shared" si="5"/>
        <v>1800</v>
      </c>
      <c r="AH5" s="33">
        <f t="shared" si="6"/>
        <v>-5774.9999999999991</v>
      </c>
      <c r="AJ5" s="14">
        <f t="shared" si="7"/>
        <v>-69299.999999999985</v>
      </c>
    </row>
    <row r="6" spans="1:36" ht="60" x14ac:dyDescent="0.25">
      <c r="A6" s="40" t="s">
        <v>0</v>
      </c>
      <c r="G6" s="6" t="s">
        <v>37</v>
      </c>
      <c r="H6" s="20">
        <v>0</v>
      </c>
      <c r="I6" s="20">
        <v>100</v>
      </c>
      <c r="J6" s="22">
        <v>0.1</v>
      </c>
      <c r="K6" s="20">
        <f>PRODUCT(SUM(PRODUCT(I6,J6), H6),  30)</f>
        <v>300</v>
      </c>
      <c r="P6" s="32">
        <v>3</v>
      </c>
      <c r="Q6" s="6" t="s">
        <v>31</v>
      </c>
      <c r="R6" s="5">
        <v>6</v>
      </c>
      <c r="S6" s="34">
        <v>1250</v>
      </c>
      <c r="T6" s="20">
        <f>PRODUCT(B17,B3,S6,30)</f>
        <v>91875</v>
      </c>
      <c r="U6" s="20">
        <f>PRODUCT(B18,S6,B4,30)</f>
        <v>18750.000000000018</v>
      </c>
      <c r="V6" s="24">
        <f t="shared" si="0"/>
        <v>110625.00000000001</v>
      </c>
      <c r="W6" s="19">
        <v>7</v>
      </c>
      <c r="X6" s="20">
        <f>PRODUCT(W6,K4)</f>
        <v>6300</v>
      </c>
      <c r="Y6" s="19">
        <v>32</v>
      </c>
      <c r="Z6" s="20">
        <f t="shared" si="1"/>
        <v>9600</v>
      </c>
      <c r="AA6" s="19">
        <v>6</v>
      </c>
      <c r="AB6" s="20">
        <f t="shared" si="2"/>
        <v>1800</v>
      </c>
      <c r="AC6" s="19">
        <v>20</v>
      </c>
      <c r="AD6" s="20">
        <f t="shared" si="3"/>
        <v>7500</v>
      </c>
      <c r="AE6" s="24">
        <f t="shared" si="4"/>
        <v>25200</v>
      </c>
      <c r="AF6" s="19">
        <v>50</v>
      </c>
      <c r="AG6" s="31">
        <f t="shared" si="5"/>
        <v>9000</v>
      </c>
      <c r="AH6" s="24">
        <f t="shared" si="6"/>
        <v>76425.000000000015</v>
      </c>
      <c r="AJ6" s="14">
        <f t="shared" si="7"/>
        <v>917100.00000000023</v>
      </c>
    </row>
    <row r="7" spans="1:36" ht="45" x14ac:dyDescent="0.25">
      <c r="A7" s="1" t="s">
        <v>1</v>
      </c>
      <c r="G7" s="10" t="s">
        <v>36</v>
      </c>
      <c r="H7" s="20">
        <v>0</v>
      </c>
      <c r="I7" s="20">
        <v>250</v>
      </c>
      <c r="J7" s="25">
        <v>0.05</v>
      </c>
      <c r="K7" s="26">
        <f>PRODUCT(SUM(PRODUCT(I7,J7), H7),  30)</f>
        <v>375</v>
      </c>
      <c r="P7" s="32">
        <v>4</v>
      </c>
      <c r="Q7" s="10" t="s">
        <v>16</v>
      </c>
      <c r="R7" s="5">
        <v>48</v>
      </c>
      <c r="S7" s="34">
        <v>25000</v>
      </c>
      <c r="T7" s="20">
        <f>PRODUCT(B17,B3,S7,30)</f>
        <v>1837500.0000000002</v>
      </c>
      <c r="U7" s="20">
        <f>PRODUCT(B4,B18,S7,30)</f>
        <v>375000.00000000035</v>
      </c>
      <c r="V7" s="24">
        <f t="shared" si="0"/>
        <v>2212500.0000000005</v>
      </c>
      <c r="W7" s="19">
        <v>185</v>
      </c>
      <c r="X7" s="20">
        <f>PRODUCT(W7,K4)</f>
        <v>166500</v>
      </c>
      <c r="Y7" s="19">
        <v>128</v>
      </c>
      <c r="Z7" s="20">
        <f t="shared" si="1"/>
        <v>38400</v>
      </c>
      <c r="AA7" s="19">
        <v>8</v>
      </c>
      <c r="AB7" s="20">
        <f t="shared" si="2"/>
        <v>2400</v>
      </c>
      <c r="AC7" s="19">
        <v>50</v>
      </c>
      <c r="AD7" s="20">
        <f t="shared" si="3"/>
        <v>18750</v>
      </c>
      <c r="AE7" s="24">
        <f t="shared" si="4"/>
        <v>226050</v>
      </c>
      <c r="AF7" s="19">
        <v>250</v>
      </c>
      <c r="AG7" s="31">
        <f t="shared" si="5"/>
        <v>45000</v>
      </c>
      <c r="AH7" s="24">
        <f t="shared" si="6"/>
        <v>1941450.0000000005</v>
      </c>
      <c r="AJ7" s="14">
        <f t="shared" si="7"/>
        <v>23297400.000000007</v>
      </c>
    </row>
    <row r="8" spans="1:36" ht="60" x14ac:dyDescent="0.25">
      <c r="A8" s="5" t="s">
        <v>33</v>
      </c>
      <c r="B8" s="5" t="s">
        <v>34</v>
      </c>
      <c r="J8" s="27"/>
      <c r="K8" s="28"/>
      <c r="P8" s="32">
        <v>5</v>
      </c>
      <c r="Q8" s="10" t="s">
        <v>17</v>
      </c>
      <c r="R8" s="6" t="s">
        <v>56</v>
      </c>
      <c r="S8" s="35">
        <v>250000</v>
      </c>
      <c r="T8" s="20">
        <f>PRODUCT(B17,B3,S8,30)</f>
        <v>18375000</v>
      </c>
      <c r="U8" s="20">
        <f>PRODUCT(B18,B4,S8,30)</f>
        <v>3750000.0000000037</v>
      </c>
      <c r="V8" s="24">
        <f t="shared" si="0"/>
        <v>22125000.000000004</v>
      </c>
      <c r="W8" s="19">
        <v>2000</v>
      </c>
      <c r="X8" s="20">
        <f>PRODUCT(W8,K4)</f>
        <v>1800000</v>
      </c>
      <c r="Y8" s="19">
        <v>256</v>
      </c>
      <c r="Z8" s="20">
        <f t="shared" si="1"/>
        <v>76800</v>
      </c>
      <c r="AA8" s="19">
        <v>10</v>
      </c>
      <c r="AB8" s="20">
        <f t="shared" si="2"/>
        <v>3000</v>
      </c>
      <c r="AC8" s="19">
        <v>100</v>
      </c>
      <c r="AD8" s="20">
        <f t="shared" si="3"/>
        <v>37500</v>
      </c>
      <c r="AE8" s="24">
        <f t="shared" si="4"/>
        <v>1917300</v>
      </c>
      <c r="AF8" s="19">
        <v>1250</v>
      </c>
      <c r="AG8" s="31">
        <f t="shared" si="5"/>
        <v>225000</v>
      </c>
      <c r="AH8" s="24">
        <f t="shared" si="6"/>
        <v>19982700.000000004</v>
      </c>
      <c r="AJ8" s="14">
        <f t="shared" si="7"/>
        <v>239792400.00000006</v>
      </c>
    </row>
    <row r="9" spans="1:36" x14ac:dyDescent="0.25">
      <c r="A9" s="5" t="s">
        <v>18</v>
      </c>
      <c r="B9" s="47">
        <v>0.98</v>
      </c>
      <c r="D9" s="1"/>
    </row>
    <row r="10" spans="1:36" ht="30" x14ac:dyDescent="0.25">
      <c r="A10" s="5" t="s">
        <v>35</v>
      </c>
      <c r="B10" s="47">
        <f>1-B9</f>
        <v>2.0000000000000018E-2</v>
      </c>
      <c r="G10" s="37" t="s">
        <v>47</v>
      </c>
      <c r="AG10" s="42" t="s">
        <v>60</v>
      </c>
      <c r="AH10" s="43">
        <f>(AH3*R3)+(AH4*R4)+(AH5*R5)</f>
        <v>-64909.499999999993</v>
      </c>
    </row>
    <row r="11" spans="1:36" x14ac:dyDescent="0.25">
      <c r="G11" s="5" t="s">
        <v>33</v>
      </c>
      <c r="H11" s="5" t="s">
        <v>48</v>
      </c>
      <c r="AG11" s="44" t="s">
        <v>64</v>
      </c>
      <c r="AH11" s="45">
        <f>(R3+R4+R5)</f>
        <v>13</v>
      </c>
      <c r="AI11" s="46" t="s">
        <v>65</v>
      </c>
    </row>
    <row r="12" spans="1:36" ht="30" x14ac:dyDescent="0.25">
      <c r="A12" s="7" t="s">
        <v>27</v>
      </c>
      <c r="B12" s="7" t="s">
        <v>24</v>
      </c>
      <c r="C12" s="7" t="s">
        <v>28</v>
      </c>
      <c r="G12" s="5" t="s">
        <v>49</v>
      </c>
      <c r="H12" s="9">
        <v>5</v>
      </c>
    </row>
    <row r="13" spans="1:36" x14ac:dyDescent="0.25">
      <c r="A13" s="6" t="s">
        <v>68</v>
      </c>
      <c r="B13" s="15" t="s">
        <v>26</v>
      </c>
      <c r="C13" s="9">
        <v>0.25</v>
      </c>
      <c r="G13" s="5" t="s">
        <v>50</v>
      </c>
      <c r="H13" s="9">
        <v>1</v>
      </c>
    </row>
    <row r="14" spans="1:36" ht="45.75" customHeight="1" x14ac:dyDescent="0.25">
      <c r="A14" s="6" t="s">
        <v>2</v>
      </c>
      <c r="B14" s="16" t="s">
        <v>25</v>
      </c>
      <c r="C14" s="9">
        <v>-0.25</v>
      </c>
      <c r="G14" s="17" t="s">
        <v>61</v>
      </c>
      <c r="H14" s="11">
        <f>PRODUCT(SUM(H12,H13),30)</f>
        <v>180</v>
      </c>
    </row>
    <row r="15" spans="1:36" ht="30" x14ac:dyDescent="0.25">
      <c r="A15" s="6" t="s">
        <v>69</v>
      </c>
      <c r="B15" s="16" t="s">
        <v>26</v>
      </c>
      <c r="C15" s="9">
        <v>2.5</v>
      </c>
    </row>
    <row r="16" spans="1:36" ht="33" customHeight="1" x14ac:dyDescent="0.25"/>
    <row r="17" spans="1:2" ht="45" x14ac:dyDescent="0.25">
      <c r="A17" s="7" t="s">
        <v>19</v>
      </c>
      <c r="B17" s="11">
        <f>SUM(C13)</f>
        <v>0.25</v>
      </c>
    </row>
    <row r="18" spans="1:2" ht="30" x14ac:dyDescent="0.25">
      <c r="A18" s="7" t="s">
        <v>22</v>
      </c>
      <c r="B18" s="11">
        <f>SUM(C15)</f>
        <v>2.5</v>
      </c>
    </row>
    <row r="20" spans="1:2" ht="45" x14ac:dyDescent="0.25">
      <c r="A20" s="7" t="s">
        <v>20</v>
      </c>
      <c r="B20" s="9">
        <f>PRODUCT(B17,B3,30)</f>
        <v>73.5</v>
      </c>
    </row>
    <row r="21" spans="1:2" ht="45" x14ac:dyDescent="0.25">
      <c r="A21" s="7" t="s">
        <v>21</v>
      </c>
      <c r="B21" s="9">
        <f>PRODUCT(B18,B4,30)</f>
        <v>15.000000000000014</v>
      </c>
    </row>
    <row r="22" spans="1:2" ht="30" x14ac:dyDescent="0.25">
      <c r="A22" s="13" t="s">
        <v>23</v>
      </c>
      <c r="B22" s="14">
        <f>SUM(B20,B21)</f>
        <v>88.500000000000014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AC4ED-7D3E-4D64-B931-9D571AA96C4E}">
  <dimension ref="A1:B7"/>
  <sheetViews>
    <sheetView workbookViewId="0">
      <selection sqref="A1:B7"/>
    </sheetView>
  </sheetViews>
  <sheetFormatPr defaultRowHeight="15" x14ac:dyDescent="0.25"/>
  <sheetData>
    <row r="1" spans="1:2" ht="60" x14ac:dyDescent="0.25">
      <c r="A1" s="30" t="s">
        <v>57</v>
      </c>
    </row>
    <row r="2" spans="1:2" x14ac:dyDescent="0.25">
      <c r="A2" s="31">
        <f>PRODUCT(Sheet1!X3,12,0.5)</f>
        <v>10800</v>
      </c>
      <c r="B2" s="48">
        <f>(A2/Sheet1!AJ3)</f>
        <v>-0.27649769585253459</v>
      </c>
    </row>
    <row r="3" spans="1:2" x14ac:dyDescent="0.25">
      <c r="A3" s="31">
        <f>PRODUCT(Sheet1!X4,12,0.5)</f>
        <v>10800</v>
      </c>
      <c r="B3" s="48">
        <f>(A3/Sheet1!AJ4)</f>
        <v>-0.15661707126076743</v>
      </c>
    </row>
    <row r="4" spans="1:2" x14ac:dyDescent="0.25">
      <c r="A4" s="31">
        <f>PRODUCT(Sheet1!X5,12,0.5)</f>
        <v>10800</v>
      </c>
      <c r="B4" s="48">
        <f>(A4/Sheet1!AJ5)</f>
        <v>-0.15584415584415587</v>
      </c>
    </row>
    <row r="5" spans="1:2" x14ac:dyDescent="0.25">
      <c r="A5" s="31">
        <f>PRODUCT(Sheet1!X6,12,0.5)</f>
        <v>37800</v>
      </c>
      <c r="B5" s="48">
        <f>(A5/Sheet1!AJ6)</f>
        <v>4.1216879293424914E-2</v>
      </c>
    </row>
    <row r="6" spans="1:2" x14ac:dyDescent="0.25">
      <c r="A6" s="31">
        <f>PRODUCT(Sheet1!X7,12,0.5)</f>
        <v>999000</v>
      </c>
      <c r="B6" s="48">
        <f>(A6/Sheet1!AJ7)</f>
        <v>4.2880321409255955E-2</v>
      </c>
    </row>
    <row r="7" spans="1:2" x14ac:dyDescent="0.25">
      <c r="A7" s="31">
        <f>PRODUCT(Sheet1!X8,12,0.5)</f>
        <v>10800000</v>
      </c>
      <c r="B7" s="48">
        <f>(A7/Sheet1!AJ8)</f>
        <v>4.5038958699274864E-2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Ruoff</dc:creator>
  <cp:lastModifiedBy>Gabriel Ruoff</cp:lastModifiedBy>
  <dcterms:created xsi:type="dcterms:W3CDTF">2021-03-09T04:37:23Z</dcterms:created>
  <dcterms:modified xsi:type="dcterms:W3CDTF">2021-03-10T03:20:22Z</dcterms:modified>
</cp:coreProperties>
</file>