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ropbox\Cents Content Team\Content Pieces\Airbnb\"/>
    </mc:Choice>
  </mc:AlternateContent>
  <xr:revisionPtr revIDLastSave="0" documentId="13_ncr:1_{CE7F1940-A476-4D48-81F5-247BA0F58910}" xr6:coauthVersionLast="45" xr6:coauthVersionMax="45" xr10:uidLastSave="{00000000-0000-0000-0000-000000000000}"/>
  <bookViews>
    <workbookView xWindow="32160" yWindow="1275" windowWidth="17280" windowHeight="8970" xr2:uid="{A7822C30-9ABE-46F6-AC74-A40887C2B172}"/>
  </bookViews>
  <sheets>
    <sheet name="Sheet1" sheetId="1" r:id="rId1"/>
    <sheet name="Sheet2" sheetId="2" r:id="rId2"/>
  </sheets>
  <definedNames>
    <definedName name="case">Sheet1!$B$2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L16" i="1"/>
  <c r="H7" i="2"/>
  <c r="G7" i="2"/>
  <c r="E5" i="2"/>
  <c r="D5" i="2" s="1"/>
  <c r="C5" i="2" s="1"/>
  <c r="B5" i="2" s="1"/>
  <c r="F7" i="2"/>
  <c r="I7" i="2" s="1"/>
  <c r="J7" i="2" s="1"/>
  <c r="K7" i="2" s="1"/>
  <c r="L7" i="2" s="1"/>
  <c r="M7" i="2" s="1"/>
  <c r="N7" i="2" s="1"/>
  <c r="O7" i="2" s="1"/>
  <c r="P7" i="2" s="1"/>
  <c r="D8" i="2"/>
  <c r="E8" i="2"/>
  <c r="C8" i="2"/>
  <c r="E1" i="2"/>
  <c r="D1" i="2" s="1"/>
  <c r="C1" i="2" s="1"/>
  <c r="B1" i="2" s="1"/>
  <c r="P79" i="1" l="1"/>
  <c r="Q79" i="1"/>
  <c r="R79" i="1"/>
  <c r="S79" i="1"/>
  <c r="T79" i="1"/>
  <c r="U79" i="1"/>
  <c r="V79" i="1"/>
  <c r="W79" i="1"/>
  <c r="O79" i="1"/>
  <c r="N79" i="1"/>
  <c r="D170" i="1"/>
  <c r="D171" i="1"/>
  <c r="D180" i="1" s="1"/>
  <c r="B186" i="1" s="1"/>
  <c r="D172" i="1"/>
  <c r="D173" i="1"/>
  <c r="D174" i="1"/>
  <c r="D175" i="1"/>
  <c r="D176" i="1"/>
  <c r="D177" i="1"/>
  <c r="D178" i="1"/>
  <c r="D179" i="1"/>
  <c r="D169" i="1"/>
  <c r="H132" i="1" l="1"/>
  <c r="L43" i="1" l="1"/>
  <c r="L44" i="1" s="1"/>
  <c r="K43" i="1"/>
  <c r="K44" i="1" s="1"/>
  <c r="B162" i="1" l="1"/>
  <c r="V89" i="1" l="1"/>
  <c r="W89" i="1" s="1"/>
  <c r="Q122" i="1"/>
  <c r="R122" i="1" s="1"/>
  <c r="S122" i="1" s="1"/>
  <c r="T122" i="1" s="1"/>
  <c r="U122" i="1" s="1"/>
  <c r="V122" i="1" s="1"/>
  <c r="W122" i="1" s="1"/>
  <c r="Q124" i="1"/>
  <c r="R124" i="1" s="1"/>
  <c r="S124" i="1" s="1"/>
  <c r="T124" i="1" s="1"/>
  <c r="U124" i="1" s="1"/>
  <c r="V124" i="1" s="1"/>
  <c r="W124" i="1" s="1"/>
  <c r="Q123" i="1"/>
  <c r="R123" i="1" s="1"/>
  <c r="S123" i="1" s="1"/>
  <c r="T123" i="1" s="1"/>
  <c r="U123" i="1" s="1"/>
  <c r="V123" i="1" s="1"/>
  <c r="W123" i="1" s="1"/>
  <c r="S62" i="1"/>
  <c r="T62" i="1" s="1"/>
  <c r="U62" i="1" s="1"/>
  <c r="V62" i="1" s="1"/>
  <c r="W62" i="1" s="1"/>
  <c r="T61" i="1"/>
  <c r="U61" i="1" s="1"/>
  <c r="V61" i="1" s="1"/>
  <c r="W61" i="1" s="1"/>
  <c r="T63" i="1"/>
  <c r="U63" i="1" s="1"/>
  <c r="V63" i="1" s="1"/>
  <c r="W63" i="1" s="1"/>
  <c r="S63" i="1"/>
  <c r="R49" i="1"/>
  <c r="S49" i="1" s="1"/>
  <c r="T49" i="1" s="1"/>
  <c r="U49" i="1" s="1"/>
  <c r="V49" i="1" s="1"/>
  <c r="W49" i="1" s="1"/>
  <c r="S51" i="1"/>
  <c r="T51" i="1" s="1"/>
  <c r="U51" i="1" s="1"/>
  <c r="V51" i="1" s="1"/>
  <c r="W51" i="1" s="1"/>
  <c r="L73" i="1"/>
  <c r="K73" i="1"/>
  <c r="P61" i="1"/>
  <c r="S50" i="1"/>
  <c r="T50" i="1" s="1"/>
  <c r="U50" i="1" s="1"/>
  <c r="V50" i="1" s="1"/>
  <c r="W50" i="1" s="1"/>
  <c r="O37" i="1"/>
  <c r="Q37" i="1" s="1"/>
  <c r="R37" i="1" s="1"/>
  <c r="S37" i="1" s="1"/>
  <c r="T37" i="1" s="1"/>
  <c r="U37" i="1" s="1"/>
  <c r="V37" i="1" s="1"/>
  <c r="W37" i="1" s="1"/>
  <c r="Q38" i="1"/>
  <c r="R38" i="1" s="1"/>
  <c r="S38" i="1" s="1"/>
  <c r="T38" i="1" s="1"/>
  <c r="U38" i="1" s="1"/>
  <c r="V38" i="1" s="1"/>
  <c r="W38" i="1" s="1"/>
  <c r="Q39" i="1"/>
  <c r="R39" i="1" s="1"/>
  <c r="S39" i="1" s="1"/>
  <c r="T39" i="1" s="1"/>
  <c r="U39" i="1" s="1"/>
  <c r="V39" i="1" s="1"/>
  <c r="W39" i="1" s="1"/>
  <c r="L36" i="1"/>
  <c r="N38" i="1" s="1"/>
  <c r="N36" i="1" s="1"/>
  <c r="K36" i="1"/>
  <c r="Q27" i="1"/>
  <c r="R27" i="1" s="1"/>
  <c r="S27" i="1" s="1"/>
  <c r="T27" i="1" s="1"/>
  <c r="U27" i="1" s="1"/>
  <c r="V27" i="1" s="1"/>
  <c r="W27" i="1" s="1"/>
  <c r="K15" i="1"/>
  <c r="L15" i="1"/>
  <c r="L25" i="1"/>
  <c r="G25" i="1"/>
  <c r="H25" i="1"/>
  <c r="I25" i="1"/>
  <c r="F25" i="1"/>
  <c r="O26" i="1"/>
  <c r="N26" i="1"/>
  <c r="K8" i="1"/>
  <c r="L8" i="1"/>
  <c r="O18" i="1"/>
  <c r="P18" i="1"/>
  <c r="Q18" i="1"/>
  <c r="R18" i="1"/>
  <c r="S18" i="1"/>
  <c r="T18" i="1"/>
  <c r="U18" i="1"/>
  <c r="V18" i="1"/>
  <c r="W18" i="1"/>
  <c r="N18" i="1"/>
  <c r="I17" i="1"/>
  <c r="H17" i="1"/>
  <c r="G17" i="1"/>
  <c r="G18" i="1" s="1"/>
  <c r="F17" i="1"/>
  <c r="F18" i="1" s="1"/>
  <c r="E17" i="1"/>
  <c r="W9" i="1"/>
  <c r="V9" i="1"/>
  <c r="U9" i="1"/>
  <c r="T9" i="1"/>
  <c r="S9" i="1"/>
  <c r="R9" i="1"/>
  <c r="Q9" i="1"/>
  <c r="P9" i="1"/>
  <c r="O9" i="1"/>
  <c r="N9" i="1"/>
  <c r="N8" i="1" s="1"/>
  <c r="I9" i="1"/>
  <c r="H9" i="1"/>
  <c r="G9" i="1"/>
  <c r="F9" i="1"/>
  <c r="L26" i="1"/>
  <c r="K26" i="1"/>
  <c r="F26" i="1"/>
  <c r="G26" i="1"/>
  <c r="H26" i="1"/>
  <c r="I26" i="1"/>
  <c r="E26" i="1"/>
  <c r="F16" i="1"/>
  <c r="G16" i="1"/>
  <c r="H16" i="1"/>
  <c r="I16" i="1"/>
  <c r="L130" i="1"/>
  <c r="F132" i="1"/>
  <c r="G132" i="1"/>
  <c r="I132" i="1"/>
  <c r="E132" i="1"/>
  <c r="L120" i="1"/>
  <c r="L121" i="1" s="1"/>
  <c r="L101" i="1"/>
  <c r="K101" i="1"/>
  <c r="I95" i="1"/>
  <c r="N97" i="1" s="1"/>
  <c r="L89" i="1"/>
  <c r="K89" i="1"/>
  <c r="L81" i="1"/>
  <c r="K81" i="1"/>
  <c r="F81" i="1"/>
  <c r="G81" i="1"/>
  <c r="H81" i="1"/>
  <c r="I81" i="1"/>
  <c r="I82" i="1" s="1"/>
  <c r="E81" i="1"/>
  <c r="L76" i="1"/>
  <c r="K76" i="1"/>
  <c r="F73" i="1"/>
  <c r="G73" i="1"/>
  <c r="H73" i="1"/>
  <c r="I73" i="1"/>
  <c r="E73" i="1"/>
  <c r="W66" i="1"/>
  <c r="V66" i="1"/>
  <c r="U66" i="1"/>
  <c r="T66" i="1"/>
  <c r="S66" i="1"/>
  <c r="R66" i="1"/>
  <c r="Q66" i="1"/>
  <c r="P66" i="1"/>
  <c r="O66" i="1"/>
  <c r="N66" i="1"/>
  <c r="N65" i="1" s="1"/>
  <c r="L66" i="1"/>
  <c r="K66" i="1"/>
  <c r="I66" i="1"/>
  <c r="H66" i="1"/>
  <c r="G66" i="1"/>
  <c r="F66" i="1"/>
  <c r="E66" i="1"/>
  <c r="L60" i="1"/>
  <c r="N62" i="1" s="1"/>
  <c r="K60" i="1"/>
  <c r="I60" i="1"/>
  <c r="H60" i="1"/>
  <c r="G60" i="1"/>
  <c r="F60" i="1"/>
  <c r="E60" i="1"/>
  <c r="L48" i="1"/>
  <c r="K48" i="1"/>
  <c r="F48" i="1"/>
  <c r="G48" i="1"/>
  <c r="H48" i="1"/>
  <c r="I48" i="1"/>
  <c r="E48" i="1"/>
  <c r="L54" i="1"/>
  <c r="F54" i="1"/>
  <c r="G54" i="1"/>
  <c r="P36" i="1"/>
  <c r="O36" i="1"/>
  <c r="N3" i="1"/>
  <c r="O3" i="1" s="1"/>
  <c r="P3" i="1" s="1"/>
  <c r="Q3" i="1" s="1"/>
  <c r="R3" i="1" s="1"/>
  <c r="S3" i="1" s="1"/>
  <c r="T3" i="1" s="1"/>
  <c r="U3" i="1" s="1"/>
  <c r="V3" i="1" s="1"/>
  <c r="W3" i="1" s="1"/>
  <c r="H18" i="1" l="1"/>
  <c r="I18" i="1"/>
  <c r="L9" i="1"/>
  <c r="L132" i="1"/>
  <c r="T80" i="1"/>
  <c r="T81" i="1" s="1"/>
  <c r="U80" i="1"/>
  <c r="U81" i="1" s="1"/>
  <c r="V80" i="1"/>
  <c r="V81" i="1" s="1"/>
  <c r="R80" i="1"/>
  <c r="R81" i="1" s="1"/>
  <c r="W80" i="1"/>
  <c r="W81" i="1" s="1"/>
  <c r="O80" i="1"/>
  <c r="O81" i="1" s="1"/>
  <c r="Q80" i="1"/>
  <c r="Q81" i="1" s="1"/>
  <c r="P80" i="1"/>
  <c r="P81" i="1" s="1"/>
  <c r="N80" i="1"/>
  <c r="S80" i="1"/>
  <c r="S81" i="1" s="1"/>
  <c r="O97" i="1"/>
  <c r="P97" i="1" s="1"/>
  <c r="Q97" i="1" s="1"/>
  <c r="R97" i="1" s="1"/>
  <c r="S97" i="1" s="1"/>
  <c r="T97" i="1" s="1"/>
  <c r="U97" i="1" s="1"/>
  <c r="V97" i="1" s="1"/>
  <c r="W97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63" i="1"/>
  <c r="N60" i="1"/>
  <c r="N61" i="1"/>
  <c r="O62" i="1"/>
  <c r="N81" i="1"/>
  <c r="K77" i="1"/>
  <c r="K109" i="1"/>
  <c r="K110" i="1" s="1"/>
  <c r="L77" i="1"/>
  <c r="L109" i="1"/>
  <c r="L110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Q60" i="1"/>
  <c r="R60" i="1"/>
  <c r="Q36" i="1"/>
  <c r="Q28" i="1"/>
  <c r="Q26" i="1" s="1"/>
  <c r="P26" i="1"/>
  <c r="O8" i="1"/>
  <c r="P8" i="1" s="1"/>
  <c r="K86" i="1"/>
  <c r="K91" i="1" s="1"/>
  <c r="L86" i="1"/>
  <c r="L91" i="1" s="1"/>
  <c r="O65" i="1"/>
  <c r="P65" i="1" s="1"/>
  <c r="Q65" i="1" s="1"/>
  <c r="R65" i="1" s="1"/>
  <c r="S65" i="1" s="1"/>
  <c r="T65" i="1" s="1"/>
  <c r="U65" i="1" s="1"/>
  <c r="V65" i="1" s="1"/>
  <c r="W65" i="1" s="1"/>
  <c r="L74" i="1"/>
  <c r="K74" i="1"/>
  <c r="F141" i="1"/>
  <c r="H4" i="1"/>
  <c r="G4" i="1" s="1"/>
  <c r="F4" i="1" s="1"/>
  <c r="E4" i="1" s="1"/>
  <c r="E141" i="1"/>
  <c r="N15" i="1" l="1"/>
  <c r="N24" i="1" s="1"/>
  <c r="N25" i="1" s="1"/>
  <c r="O60" i="1"/>
  <c r="P62" i="1"/>
  <c r="P60" i="1" s="1"/>
  <c r="P15" i="1"/>
  <c r="P24" i="1" s="1"/>
  <c r="S60" i="1"/>
  <c r="R36" i="1"/>
  <c r="R28" i="1"/>
  <c r="S28" i="1" s="1"/>
  <c r="R26" i="1"/>
  <c r="Q8" i="1"/>
  <c r="R8" i="1" s="1"/>
  <c r="S8" i="1" s="1"/>
  <c r="T8" i="1" s="1"/>
  <c r="U8" i="1" s="1"/>
  <c r="V8" i="1" s="1"/>
  <c r="W8" i="1" s="1"/>
  <c r="W15" i="1" s="1"/>
  <c r="O15" i="1"/>
  <c r="O24" i="1" s="1"/>
  <c r="E101" i="1"/>
  <c r="E89" i="1"/>
  <c r="E142" i="1"/>
  <c r="E43" i="1"/>
  <c r="E36" i="1"/>
  <c r="E74" i="1"/>
  <c r="N59" i="1" l="1"/>
  <c r="P59" i="1"/>
  <c r="O25" i="1"/>
  <c r="O59" i="1"/>
  <c r="T60" i="1"/>
  <c r="S36" i="1"/>
  <c r="P25" i="1"/>
  <c r="S26" i="1"/>
  <c r="T28" i="1"/>
  <c r="T15" i="1"/>
  <c r="S15" i="1"/>
  <c r="U15" i="1"/>
  <c r="V15" i="1"/>
  <c r="R15" i="1"/>
  <c r="R24" i="1" s="1"/>
  <c r="Q15" i="1"/>
  <c r="Q24" i="1" s="1"/>
  <c r="F43" i="1"/>
  <c r="F89" i="1"/>
  <c r="F101" i="1"/>
  <c r="F142" i="1"/>
  <c r="F36" i="1"/>
  <c r="F74" i="1"/>
  <c r="E44" i="1"/>
  <c r="E76" i="1"/>
  <c r="E109" i="1" s="1"/>
  <c r="E110" i="1" s="1"/>
  <c r="R59" i="1" l="1"/>
  <c r="Q25" i="1"/>
  <c r="Q59" i="1"/>
  <c r="U60" i="1"/>
  <c r="T36" i="1"/>
  <c r="S24" i="1"/>
  <c r="R25" i="1"/>
  <c r="U28" i="1"/>
  <c r="T26" i="1"/>
  <c r="T24" i="1" s="1"/>
  <c r="F44" i="1"/>
  <c r="F76" i="1"/>
  <c r="F109" i="1" s="1"/>
  <c r="E86" i="1"/>
  <c r="E91" i="1" s="1"/>
  <c r="E77" i="1"/>
  <c r="I54" i="1"/>
  <c r="H54" i="1"/>
  <c r="T25" i="1" l="1"/>
  <c r="T59" i="1"/>
  <c r="S25" i="1"/>
  <c r="S59" i="1"/>
  <c r="V60" i="1"/>
  <c r="W60" i="1"/>
  <c r="U36" i="1"/>
  <c r="V28" i="1"/>
  <c r="U26" i="1"/>
  <c r="U24" i="1" s="1"/>
  <c r="F110" i="1"/>
  <c r="F86" i="1"/>
  <c r="F91" i="1" s="1"/>
  <c r="F77" i="1"/>
  <c r="U25" i="1" l="1"/>
  <c r="U59" i="1"/>
  <c r="V36" i="1"/>
  <c r="W36" i="1"/>
  <c r="V26" i="1"/>
  <c r="V24" i="1" s="1"/>
  <c r="W28" i="1"/>
  <c r="W26" i="1" s="1"/>
  <c r="W24" i="1" s="1"/>
  <c r="V25" i="1" l="1"/>
  <c r="V59" i="1"/>
  <c r="W59" i="1"/>
  <c r="W25" i="1"/>
  <c r="H151" i="1"/>
  <c r="I151" i="1"/>
  <c r="W54" i="1"/>
  <c r="V54" i="1"/>
  <c r="U54" i="1"/>
  <c r="T54" i="1"/>
  <c r="S54" i="1"/>
  <c r="R54" i="1"/>
  <c r="Q54" i="1"/>
  <c r="P54" i="1"/>
  <c r="O54" i="1"/>
  <c r="N54" i="1"/>
  <c r="N53" i="1" s="1"/>
  <c r="W48" i="1"/>
  <c r="W47" i="1" s="1"/>
  <c r="V48" i="1"/>
  <c r="V47" i="1" s="1"/>
  <c r="U48" i="1"/>
  <c r="U47" i="1" s="1"/>
  <c r="T48" i="1"/>
  <c r="T47" i="1" s="1"/>
  <c r="S48" i="1"/>
  <c r="S47" i="1" s="1"/>
  <c r="R48" i="1"/>
  <c r="R47" i="1" s="1"/>
  <c r="Q48" i="1"/>
  <c r="Q47" i="1" s="1"/>
  <c r="P48" i="1"/>
  <c r="P47" i="1" s="1"/>
  <c r="O48" i="1"/>
  <c r="O47" i="1" s="1"/>
  <c r="N48" i="1"/>
  <c r="G141" i="1"/>
  <c r="H141" i="1"/>
  <c r="H152" i="1" s="1"/>
  <c r="I141" i="1"/>
  <c r="I152" i="1" s="1"/>
  <c r="H120" i="1"/>
  <c r="I120" i="1"/>
  <c r="N4" i="1"/>
  <c r="O4" i="1" s="1"/>
  <c r="P4" i="1" s="1"/>
  <c r="Q4" i="1" s="1"/>
  <c r="R4" i="1" s="1"/>
  <c r="S4" i="1" s="1"/>
  <c r="T4" i="1" s="1"/>
  <c r="U4" i="1" s="1"/>
  <c r="V4" i="1" s="1"/>
  <c r="W4" i="1" s="1"/>
  <c r="N47" i="1" l="1"/>
  <c r="N73" i="1" s="1"/>
  <c r="G101" i="1"/>
  <c r="I101" i="1"/>
  <c r="H101" i="1"/>
  <c r="I153" i="1"/>
  <c r="H153" i="1"/>
  <c r="G74" i="1"/>
  <c r="I74" i="1"/>
  <c r="H121" i="1"/>
  <c r="H74" i="1"/>
  <c r="H142" i="1"/>
  <c r="G142" i="1"/>
  <c r="H36" i="1"/>
  <c r="I121" i="1"/>
  <c r="I36" i="1"/>
  <c r="I142" i="1"/>
  <c r="N144" i="1" s="1"/>
  <c r="G89" i="1"/>
  <c r="H89" i="1"/>
  <c r="I89" i="1"/>
  <c r="N101" i="1"/>
  <c r="N95" i="1"/>
  <c r="N94" i="1" s="1"/>
  <c r="O53" i="1"/>
  <c r="P53" i="1" s="1"/>
  <c r="Q53" i="1" s="1"/>
  <c r="R53" i="1" s="1"/>
  <c r="S53" i="1" s="1"/>
  <c r="T53" i="1" s="1"/>
  <c r="U53" i="1" s="1"/>
  <c r="V53" i="1" s="1"/>
  <c r="W53" i="1" s="1"/>
  <c r="G36" i="1"/>
  <c r="H43" i="1"/>
  <c r="H76" i="1" s="1"/>
  <c r="H109" i="1" s="1"/>
  <c r="I43" i="1"/>
  <c r="I76" i="1" s="1"/>
  <c r="I109" i="1" s="1"/>
  <c r="N145" i="1" l="1"/>
  <c r="O145" i="1" s="1"/>
  <c r="P145" i="1" s="1"/>
  <c r="Q145" i="1" s="1"/>
  <c r="R145" i="1" s="1"/>
  <c r="S145" i="1" s="1"/>
  <c r="T145" i="1" s="1"/>
  <c r="U145" i="1" s="1"/>
  <c r="V145" i="1" s="1"/>
  <c r="W145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4" i="1"/>
  <c r="P144" i="1" s="1"/>
  <c r="Q144" i="1" s="1"/>
  <c r="R144" i="1" s="1"/>
  <c r="S144" i="1" s="1"/>
  <c r="T144" i="1" s="1"/>
  <c r="U144" i="1" s="1"/>
  <c r="V144" i="1" s="1"/>
  <c r="W144" i="1" s="1"/>
  <c r="O73" i="1"/>
  <c r="H86" i="1"/>
  <c r="H91" i="1" s="1"/>
  <c r="H150" i="1"/>
  <c r="H156" i="1" s="1"/>
  <c r="H159" i="1" s="1"/>
  <c r="I86" i="1"/>
  <c r="I91" i="1" s="1"/>
  <c r="I150" i="1"/>
  <c r="I156" i="1" s="1"/>
  <c r="I159" i="1" s="1"/>
  <c r="I77" i="1"/>
  <c r="H77" i="1"/>
  <c r="G43" i="1"/>
  <c r="O142" i="1"/>
  <c r="N142" i="1"/>
  <c r="N121" i="1"/>
  <c r="O121" i="1"/>
  <c r="P142" i="1"/>
  <c r="O95" i="1"/>
  <c r="I44" i="1"/>
  <c r="H44" i="1"/>
  <c r="O101" i="1"/>
  <c r="P101" i="1"/>
  <c r="P73" i="1"/>
  <c r="P95" i="1" l="1"/>
  <c r="G76" i="1"/>
  <c r="G109" i="1" s="1"/>
  <c r="G44" i="1"/>
  <c r="H110" i="1"/>
  <c r="I111" i="1"/>
  <c r="I110" i="1"/>
  <c r="P121" i="1"/>
  <c r="Q142" i="1"/>
  <c r="Q101" i="1"/>
  <c r="Q73" i="1"/>
  <c r="N141" i="1" l="1"/>
  <c r="N35" i="1"/>
  <c r="Q95" i="1"/>
  <c r="G86" i="1"/>
  <c r="G91" i="1" s="1"/>
  <c r="G110" i="1"/>
  <c r="O35" i="1"/>
  <c r="G77" i="1"/>
  <c r="N74" i="1"/>
  <c r="N100" i="1"/>
  <c r="Q121" i="1"/>
  <c r="R142" i="1"/>
  <c r="N120" i="1"/>
  <c r="N153" i="1" s="1"/>
  <c r="R101" i="1"/>
  <c r="R73" i="1"/>
  <c r="R95" i="1" l="1"/>
  <c r="H111" i="1"/>
  <c r="N152" i="1"/>
  <c r="N126" i="1"/>
  <c r="O43" i="1"/>
  <c r="P35" i="1"/>
  <c r="R121" i="1"/>
  <c r="O141" i="1"/>
  <c r="O152" i="1" s="1"/>
  <c r="O74" i="1"/>
  <c r="O100" i="1"/>
  <c r="S142" i="1"/>
  <c r="O120" i="1"/>
  <c r="O153" i="1" s="1"/>
  <c r="S101" i="1"/>
  <c r="S95" i="1"/>
  <c r="S73" i="1"/>
  <c r="O76" i="1" l="1"/>
  <c r="O77" i="1" s="1"/>
  <c r="O94" i="1"/>
  <c r="P43" i="1"/>
  <c r="P76" i="1" s="1"/>
  <c r="Q35" i="1"/>
  <c r="S121" i="1"/>
  <c r="P141" i="1"/>
  <c r="P152" i="1" s="1"/>
  <c r="P100" i="1"/>
  <c r="P74" i="1"/>
  <c r="T142" i="1"/>
  <c r="P120" i="1"/>
  <c r="P153" i="1" s="1"/>
  <c r="T101" i="1"/>
  <c r="T95" i="1"/>
  <c r="O44" i="1"/>
  <c r="T73" i="1"/>
  <c r="O109" i="1" l="1"/>
  <c r="O150" i="1" s="1"/>
  <c r="O86" i="1"/>
  <c r="O88" i="1" s="1"/>
  <c r="O91" i="1" s="1"/>
  <c r="P77" i="1"/>
  <c r="P86" i="1"/>
  <c r="P88" i="1" s="1"/>
  <c r="P151" i="1" s="1"/>
  <c r="O126" i="1"/>
  <c r="P94" i="1" s="1"/>
  <c r="P126" i="1" s="1"/>
  <c r="Q94" i="1" s="1"/>
  <c r="Q43" i="1"/>
  <c r="Q76" i="1" s="1"/>
  <c r="R35" i="1"/>
  <c r="Q141" i="1"/>
  <c r="Q152" i="1" s="1"/>
  <c r="Q74" i="1"/>
  <c r="Q100" i="1"/>
  <c r="U142" i="1"/>
  <c r="Q120" i="1"/>
  <c r="Q153" i="1" s="1"/>
  <c r="U101" i="1"/>
  <c r="U95" i="1"/>
  <c r="P44" i="1"/>
  <c r="U73" i="1"/>
  <c r="O110" i="1" l="1"/>
  <c r="O151" i="1"/>
  <c r="O156" i="1" s="1"/>
  <c r="O159" i="1" s="1"/>
  <c r="O160" i="1" s="1"/>
  <c r="Q109" i="1"/>
  <c r="P109" i="1"/>
  <c r="P111" i="1" s="1"/>
  <c r="P91" i="1"/>
  <c r="Q77" i="1"/>
  <c r="Q86" i="1"/>
  <c r="Q88" i="1" s="1"/>
  <c r="Q126" i="1"/>
  <c r="R94" i="1" s="1"/>
  <c r="R43" i="1"/>
  <c r="R76" i="1" s="1"/>
  <c r="S35" i="1"/>
  <c r="T121" i="1"/>
  <c r="R141" i="1"/>
  <c r="R152" i="1" s="1"/>
  <c r="R100" i="1"/>
  <c r="R74" i="1"/>
  <c r="V142" i="1"/>
  <c r="R120" i="1"/>
  <c r="R153" i="1" s="1"/>
  <c r="U121" i="1"/>
  <c r="W101" i="1"/>
  <c r="V101" i="1"/>
  <c r="V95" i="1"/>
  <c r="Q44" i="1"/>
  <c r="V73" i="1"/>
  <c r="W142" i="1" l="1"/>
  <c r="W95" i="1"/>
  <c r="R109" i="1"/>
  <c r="Q91" i="1"/>
  <c r="R77" i="1"/>
  <c r="R86" i="1"/>
  <c r="Q151" i="1"/>
  <c r="P110" i="1"/>
  <c r="P150" i="1"/>
  <c r="P156" i="1" s="1"/>
  <c r="P159" i="1" s="1"/>
  <c r="P160" i="1" s="1"/>
  <c r="R126" i="1"/>
  <c r="T35" i="1"/>
  <c r="S43" i="1"/>
  <c r="S76" i="1" s="1"/>
  <c r="S141" i="1"/>
  <c r="S152" i="1" s="1"/>
  <c r="S100" i="1"/>
  <c r="S74" i="1"/>
  <c r="Q110" i="1"/>
  <c r="Q111" i="1"/>
  <c r="Q150" i="1"/>
  <c r="S120" i="1"/>
  <c r="S153" i="1" s="1"/>
  <c r="W121" i="1"/>
  <c r="V121" i="1"/>
  <c r="R44" i="1"/>
  <c r="W73" i="1"/>
  <c r="R88" i="1" l="1"/>
  <c r="R151" i="1" s="1"/>
  <c r="S77" i="1"/>
  <c r="S86" i="1"/>
  <c r="S88" i="1" s="1"/>
  <c r="Q156" i="1"/>
  <c r="Q159" i="1" s="1"/>
  <c r="Q160" i="1" s="1"/>
  <c r="S94" i="1"/>
  <c r="S126" i="1" s="1"/>
  <c r="U35" i="1"/>
  <c r="T43" i="1"/>
  <c r="T76" i="1" s="1"/>
  <c r="T141" i="1"/>
  <c r="T152" i="1" s="1"/>
  <c r="T74" i="1"/>
  <c r="T100" i="1"/>
  <c r="R110" i="1"/>
  <c r="R111" i="1"/>
  <c r="R150" i="1"/>
  <c r="T120" i="1"/>
  <c r="T153" i="1" s="1"/>
  <c r="S44" i="1"/>
  <c r="R156" i="1" l="1"/>
  <c r="R159" i="1" s="1"/>
  <c r="R160" i="1" s="1"/>
  <c r="S109" i="1"/>
  <c r="S150" i="1" s="1"/>
  <c r="R91" i="1"/>
  <c r="S91" i="1"/>
  <c r="T77" i="1"/>
  <c r="T86" i="1"/>
  <c r="T88" i="1" s="1"/>
  <c r="S151" i="1"/>
  <c r="T94" i="1"/>
  <c r="T126" i="1" s="1"/>
  <c r="U43" i="1"/>
  <c r="U76" i="1" s="1"/>
  <c r="V35" i="1"/>
  <c r="U74" i="1"/>
  <c r="U100" i="1"/>
  <c r="U120" i="1"/>
  <c r="U153" i="1" s="1"/>
  <c r="U141" i="1"/>
  <c r="U152" i="1" s="1"/>
  <c r="T44" i="1"/>
  <c r="T109" i="1" l="1"/>
  <c r="T110" i="1" s="1"/>
  <c r="T91" i="1"/>
  <c r="U77" i="1"/>
  <c r="U86" i="1"/>
  <c r="U88" i="1" s="1"/>
  <c r="U151" i="1" s="1"/>
  <c r="T151" i="1"/>
  <c r="S110" i="1"/>
  <c r="S111" i="1"/>
  <c r="U94" i="1"/>
  <c r="U126" i="1" s="1"/>
  <c r="S156" i="1"/>
  <c r="S159" i="1" s="1"/>
  <c r="S160" i="1" s="1"/>
  <c r="V43" i="1"/>
  <c r="V76" i="1" s="1"/>
  <c r="W35" i="1"/>
  <c r="V141" i="1"/>
  <c r="V152" i="1" s="1"/>
  <c r="V74" i="1"/>
  <c r="V100" i="1"/>
  <c r="V120" i="1"/>
  <c r="V153" i="1" s="1"/>
  <c r="U44" i="1"/>
  <c r="U109" i="1" l="1"/>
  <c r="U111" i="1" s="1"/>
  <c r="U91" i="1"/>
  <c r="V77" i="1"/>
  <c r="V86" i="1"/>
  <c r="V88" i="1" s="1"/>
  <c r="T150" i="1"/>
  <c r="T156" i="1" s="1"/>
  <c r="T159" i="1" s="1"/>
  <c r="T160" i="1" s="1"/>
  <c r="T111" i="1"/>
  <c r="V94" i="1"/>
  <c r="V126" i="1" s="1"/>
  <c r="W94" i="1" s="1"/>
  <c r="W43" i="1"/>
  <c r="W76" i="1" s="1"/>
  <c r="W141" i="1"/>
  <c r="W152" i="1" s="1"/>
  <c r="W100" i="1"/>
  <c r="W74" i="1"/>
  <c r="W120" i="1"/>
  <c r="W153" i="1" s="1"/>
  <c r="V44" i="1"/>
  <c r="W109" i="1" l="1"/>
  <c r="V109" i="1"/>
  <c r="V110" i="1" s="1"/>
  <c r="V91" i="1"/>
  <c r="W77" i="1"/>
  <c r="W86" i="1"/>
  <c r="W88" i="1" s="1"/>
  <c r="U150" i="1"/>
  <c r="U156" i="1" s="1"/>
  <c r="U159" i="1" s="1"/>
  <c r="U160" i="1" s="1"/>
  <c r="U110" i="1"/>
  <c r="V151" i="1"/>
  <c r="W126" i="1"/>
  <c r="W44" i="1"/>
  <c r="W91" i="1" l="1"/>
  <c r="V150" i="1"/>
  <c r="V156" i="1" s="1"/>
  <c r="V159" i="1" s="1"/>
  <c r="V160" i="1" s="1"/>
  <c r="V111" i="1"/>
  <c r="W151" i="1"/>
  <c r="W110" i="1"/>
  <c r="W111" i="1"/>
  <c r="W150" i="1"/>
  <c r="W156" i="1" l="1"/>
  <c r="W157" i="1" s="1"/>
  <c r="W159" i="1" l="1"/>
  <c r="W160" i="1" s="1"/>
  <c r="N43" i="1" l="1"/>
  <c r="N76" i="1" s="1"/>
  <c r="N109" i="1" s="1"/>
  <c r="N77" i="1" l="1"/>
  <c r="N86" i="1"/>
  <c r="N44" i="1"/>
  <c r="N88" i="1" l="1"/>
  <c r="N91" i="1" s="1"/>
  <c r="N110" i="1"/>
  <c r="N111" i="1"/>
  <c r="N150" i="1"/>
  <c r="O111" i="1"/>
  <c r="N151" i="1" l="1"/>
  <c r="N156" i="1" s="1"/>
  <c r="N159" i="1" s="1"/>
  <c r="N160" i="1" s="1"/>
  <c r="B182" i="1" s="1"/>
  <c r="B185" i="1" l="1"/>
  <c r="N16" i="1"/>
  <c r="O16" i="1"/>
  <c r="P16" i="1"/>
  <c r="Q16" i="1"/>
  <c r="R16" i="1"/>
  <c r="S16" i="1"/>
  <c r="T16" i="1"/>
  <c r="U16" i="1"/>
  <c r="V16" i="1"/>
  <c r="W16" i="1"/>
  <c r="B187" i="1" l="1"/>
  <c r="B191" i="1" l="1"/>
  <c r="C191" i="1"/>
  <c r="B190" i="1"/>
  <c r="C190" i="1"/>
  <c r="B192" i="1"/>
  <c r="C192" i="1"/>
  <c r="B193" i="1"/>
  <c r="C193" i="1"/>
  <c r="B195" i="1"/>
  <c r="B196" i="1"/>
</calcChain>
</file>

<file path=xl/sharedStrings.xml><?xml version="1.0" encoding="utf-8"?>
<sst xmlns="http://schemas.openxmlformats.org/spreadsheetml/2006/main" count="329" uniqueCount="97">
  <si>
    <t>Capital Expenditures</t>
  </si>
  <si>
    <t>Discounted Cash Flow Model</t>
  </si>
  <si>
    <t>Revenue</t>
  </si>
  <si>
    <t>Gross profit</t>
  </si>
  <si>
    <t>Total Revenues</t>
  </si>
  <si>
    <t>Total cost of revenues (COGS)</t>
  </si>
  <si>
    <t>Restructuring and other</t>
  </si>
  <si>
    <t>Total operating expenses</t>
  </si>
  <si>
    <t>-------</t>
  </si>
  <si>
    <t>Interest income</t>
  </si>
  <si>
    <t>Interest expense</t>
  </si>
  <si>
    <t>Other income (expense), net</t>
  </si>
  <si>
    <t>Provision for income taxes</t>
  </si>
  <si>
    <t>Depreciation &amp; Amortization</t>
  </si>
  <si>
    <t>Adj. EBITDA</t>
  </si>
  <si>
    <t>Current Assets</t>
  </si>
  <si>
    <t>(-) Current Liabilities</t>
  </si>
  <si>
    <t>(+) ST Debt</t>
  </si>
  <si>
    <t>Net Working Capital</t>
  </si>
  <si>
    <t>(-) Unrestricted Cash</t>
  </si>
  <si>
    <t>Stock-based compensation</t>
  </si>
  <si>
    <t>% growth</t>
  </si>
  <si>
    <t>Scenario</t>
  </si>
  <si>
    <t>B</t>
  </si>
  <si>
    <t xml:space="preserve">Base Case: </t>
  </si>
  <si>
    <t xml:space="preserve">Bear Case: </t>
  </si>
  <si>
    <t>Expenses</t>
  </si>
  <si>
    <t>% of revenue</t>
  </si>
  <si>
    <t>Effective tax rate</t>
  </si>
  <si>
    <t>Balance Sheet</t>
  </si>
  <si>
    <t>Net PP&amp;E</t>
  </si>
  <si>
    <t>Historical</t>
  </si>
  <si>
    <t>Projected</t>
  </si>
  <si>
    <t>Adjusted EBITDA</t>
  </si>
  <si>
    <t xml:space="preserve"> - Taxes</t>
  </si>
  <si>
    <t xml:space="preserve"> - Capex</t>
  </si>
  <si>
    <t xml:space="preserve"> - Change in NWC</t>
  </si>
  <si>
    <t xml:space="preserve"> - Other</t>
  </si>
  <si>
    <t>Unlevered FCF</t>
  </si>
  <si>
    <t>Total operating profit (loss)</t>
  </si>
  <si>
    <t>Total Capital Expenditures</t>
  </si>
  <si>
    <t>Perpetuity Growth Rate</t>
  </si>
  <si>
    <t>Terminal Value</t>
  </si>
  <si>
    <t>Discount Rate (WACC)</t>
  </si>
  <si>
    <t>FCF to DCF</t>
  </si>
  <si>
    <t>Enterprise Value</t>
  </si>
  <si>
    <t>(-) Debt</t>
  </si>
  <si>
    <t>(+) Cash</t>
  </si>
  <si>
    <t>Equity Value</t>
  </si>
  <si>
    <t>Fair Value of Stock</t>
  </si>
  <si>
    <t>% of previous year capex</t>
  </si>
  <si>
    <t>A Case</t>
  </si>
  <si>
    <t>B Case</t>
  </si>
  <si>
    <t>C Case</t>
  </si>
  <si>
    <t>Probability</t>
  </si>
  <si>
    <t>Price Target</t>
  </si>
  <si>
    <t>Net interest expense</t>
  </si>
  <si>
    <t>% of debt</t>
  </si>
  <si>
    <t>Discounted CFs</t>
  </si>
  <si>
    <t>Previous Year End</t>
  </si>
  <si>
    <t>Earnings (Loss) before income taxes (EBT)</t>
  </si>
  <si>
    <t>Net income (loss)</t>
  </si>
  <si>
    <t>FD Shares Outstanding</t>
  </si>
  <si>
    <t>Addbacks</t>
  </si>
  <si>
    <t>$ABNB</t>
  </si>
  <si>
    <t>Cash</t>
  </si>
  <si>
    <t>Net Debt</t>
  </si>
  <si>
    <t>9 months ended</t>
  </si>
  <si>
    <t>Q3 2020</t>
  </si>
  <si>
    <t>Q3 2019</t>
  </si>
  <si>
    <t>Operations and support</t>
  </si>
  <si>
    <t>Product development</t>
  </si>
  <si>
    <t>Sales and marketing</t>
  </si>
  <si>
    <t>General and administrative</t>
  </si>
  <si>
    <t>Debt + Capitalized Operating Leases</t>
  </si>
  <si>
    <t>Gross Booking Value (bn)</t>
  </si>
  <si>
    <t>in $ thousands unless otherwise stated</t>
  </si>
  <si>
    <t>% of GBV</t>
  </si>
  <si>
    <t>Nights &amp; experiences booked</t>
  </si>
  <si>
    <t>Average cost per "night"</t>
  </si>
  <si>
    <t>% growth of cost per "night"</t>
  </si>
  <si>
    <t>Bull Case:</t>
  </si>
  <si>
    <t>x 2022 Gross Profit</t>
  </si>
  <si>
    <t>x 2021 Gross Profit</t>
  </si>
  <si>
    <t>Today</t>
  </si>
  <si>
    <t>Prob. Weight. Target</t>
  </si>
  <si>
    <t>Warrants</t>
  </si>
  <si>
    <t>Total Dilution</t>
  </si>
  <si>
    <t>Class A Options</t>
  </si>
  <si>
    <t>Class B Options</t>
  </si>
  <si>
    <t>RSUs</t>
  </si>
  <si>
    <t>Equity Incentive Dilution</t>
  </si>
  <si>
    <t>IPO Price:</t>
  </si>
  <si>
    <t>&lt;- Really quick and dirty</t>
  </si>
  <si>
    <t>Capex</t>
  </si>
  <si>
    <t>Airbnb Gross Booking Value (bn)</t>
  </si>
  <si>
    <t>Global hotel market size (bn)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</si>
</sst>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\x_)"/>
    <numFmt numFmtId="169" formatCode="_(&quot;$&quot;* #,##0_);_(&quot;$&quot;* \(#,##0\);_(&quot;$&quot;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Border="1" applyAlignment="1">
      <alignment horizontal="left" indent="1"/>
    </xf>
    <xf numFmtId="0" fontId="0" fillId="0" borderId="0" xfId="0" quotePrefix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applyFont="1"/>
    <xf numFmtId="0" fontId="5" fillId="0" borderId="0" xfId="0" applyFont="1"/>
    <xf numFmtId="164" fontId="4" fillId="0" borderId="0" xfId="1" applyNumberFormat="1" applyFont="1"/>
    <xf numFmtId="164" fontId="0" fillId="0" borderId="0" xfId="1" quotePrefix="1" applyNumberFormat="1" applyFont="1" applyAlignment="1">
      <alignment horizontal="right"/>
    </xf>
    <xf numFmtId="164" fontId="0" fillId="0" borderId="0" xfId="1" applyNumberFormat="1" applyFont="1"/>
    <xf numFmtId="164" fontId="3" fillId="0" borderId="0" xfId="1" applyNumberFormat="1" applyFont="1"/>
    <xf numFmtId="164" fontId="3" fillId="0" borderId="0" xfId="0" quotePrefix="1" applyNumberFormat="1" applyFont="1" applyAlignment="1">
      <alignment horizontal="right"/>
    </xf>
    <xf numFmtId="164" fontId="3" fillId="0" borderId="0" xfId="0" applyNumberFormat="1" applyFont="1"/>
    <xf numFmtId="164" fontId="6" fillId="0" borderId="0" xfId="1" applyNumberFormat="1" applyFont="1"/>
    <xf numFmtId="0" fontId="7" fillId="0" borderId="0" xfId="0" applyFont="1"/>
    <xf numFmtId="164" fontId="7" fillId="0" borderId="0" xfId="1" applyNumberFormat="1" applyFont="1"/>
    <xf numFmtId="0" fontId="7" fillId="0" borderId="0" xfId="0" applyFont="1" applyAlignment="1">
      <alignment horizontal="left" indent="1"/>
    </xf>
    <xf numFmtId="164" fontId="0" fillId="0" borderId="0" xfId="0" applyNumberFormat="1"/>
    <xf numFmtId="0" fontId="8" fillId="0" borderId="0" xfId="0" applyFont="1"/>
    <xf numFmtId="0" fontId="8" fillId="0" borderId="0" xfId="0" applyFont="1" applyAlignment="1">
      <alignment horizontal="right"/>
    </xf>
    <xf numFmtId="9" fontId="10" fillId="0" borderId="0" xfId="3" applyFont="1" applyAlignment="1">
      <alignment horizontal="left" indent="1"/>
    </xf>
    <xf numFmtId="9" fontId="10" fillId="0" borderId="0" xfId="3" applyFont="1"/>
    <xf numFmtId="9" fontId="10" fillId="0" borderId="0" xfId="3" applyFont="1" applyAlignment="1">
      <alignment horizontal="right"/>
    </xf>
    <xf numFmtId="165" fontId="10" fillId="0" borderId="0" xfId="3" applyNumberFormat="1" applyFont="1"/>
    <xf numFmtId="9" fontId="10" fillId="0" borderId="0" xfId="3" applyFont="1" applyAlignment="1">
      <alignment horizontal="left" indent="2"/>
    </xf>
    <xf numFmtId="165" fontId="9" fillId="0" borderId="2" xfId="3" applyNumberFormat="1" applyFont="1" applyBorder="1"/>
    <xf numFmtId="0" fontId="3" fillId="3" borderId="0" xfId="0" applyFont="1" applyFill="1" applyBorder="1" applyAlignment="1">
      <alignment horizontal="left" indent="1"/>
    </xf>
    <xf numFmtId="0" fontId="3" fillId="3" borderId="0" xfId="0" applyFont="1" applyFill="1"/>
    <xf numFmtId="164" fontId="3" fillId="3" borderId="0" xfId="1" applyNumberFormat="1" applyFont="1" applyFill="1"/>
    <xf numFmtId="0" fontId="3" fillId="3" borderId="0" xfId="0" applyFont="1" applyFill="1" applyBorder="1" applyAlignment="1">
      <alignment horizontal="left" indent="2"/>
    </xf>
    <xf numFmtId="3" fontId="3" fillId="3" borderId="0" xfId="0" applyNumberFormat="1" applyFont="1" applyFill="1"/>
    <xf numFmtId="165" fontId="9" fillId="0" borderId="0" xfId="3" applyNumberFormat="1" applyFont="1" applyBorder="1"/>
    <xf numFmtId="9" fontId="4" fillId="0" borderId="0" xfId="3" applyFont="1"/>
    <xf numFmtId="9" fontId="10" fillId="3" borderId="0" xfId="3" applyFont="1" applyFill="1" applyAlignment="1">
      <alignment horizontal="left" indent="2"/>
    </xf>
    <xf numFmtId="165" fontId="10" fillId="3" borderId="0" xfId="3" applyNumberFormat="1" applyFont="1" applyFill="1"/>
    <xf numFmtId="9" fontId="10" fillId="3" borderId="0" xfId="3" applyFont="1" applyFill="1" applyAlignment="1">
      <alignment horizontal="left" indent="3"/>
    </xf>
    <xf numFmtId="9" fontId="10" fillId="0" borderId="0" xfId="3" applyFont="1" applyFill="1" applyAlignment="1">
      <alignment horizontal="left" indent="2"/>
    </xf>
    <xf numFmtId="165" fontId="4" fillId="0" borderId="0" xfId="3" applyNumberFormat="1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Continuous"/>
    </xf>
    <xf numFmtId="164" fontId="0" fillId="0" borderId="0" xfId="0" applyNumberFormat="1" applyFont="1"/>
    <xf numFmtId="165" fontId="4" fillId="0" borderId="2" xfId="3" applyNumberFormat="1" applyFont="1" applyBorder="1"/>
    <xf numFmtId="6" fontId="3" fillId="0" borderId="0" xfId="0" applyNumberFormat="1" applyFont="1"/>
    <xf numFmtId="6" fontId="4" fillId="0" borderId="0" xfId="0" applyNumberFormat="1" applyFont="1"/>
    <xf numFmtId="164" fontId="11" fillId="0" borderId="0" xfId="1" applyNumberFormat="1" applyFont="1"/>
    <xf numFmtId="0" fontId="4" fillId="0" borderId="0" xfId="0" applyFont="1" applyBorder="1" applyAlignment="1">
      <alignment horizontal="center"/>
    </xf>
    <xf numFmtId="165" fontId="4" fillId="0" borderId="0" xfId="3" applyNumberFormat="1" applyFont="1" applyBorder="1"/>
    <xf numFmtId="0" fontId="12" fillId="0" borderId="0" xfId="0" applyFont="1" applyAlignment="1">
      <alignment horizontal="center"/>
    </xf>
    <xf numFmtId="0" fontId="3" fillId="0" borderId="0" xfId="0" applyFont="1" applyFill="1"/>
    <xf numFmtId="9" fontId="4" fillId="0" borderId="2" xfId="0" applyNumberFormat="1" applyFont="1" applyBorder="1"/>
    <xf numFmtId="9" fontId="4" fillId="0" borderId="3" xfId="0" applyNumberFormat="1" applyFont="1" applyBorder="1"/>
    <xf numFmtId="164" fontId="4" fillId="0" borderId="0" xfId="0" applyNumberFormat="1" applyFont="1"/>
    <xf numFmtId="0" fontId="0" fillId="4" borderId="0" xfId="0" applyFill="1"/>
    <xf numFmtId="6" fontId="3" fillId="4" borderId="1" xfId="0" applyNumberFormat="1" applyFont="1" applyFill="1" applyBorder="1"/>
    <xf numFmtId="164" fontId="6" fillId="0" borderId="4" xfId="1" applyNumberFormat="1" applyFont="1" applyBorder="1"/>
    <xf numFmtId="9" fontId="6" fillId="0" borderId="0" xfId="3" applyFont="1" applyAlignment="1">
      <alignment horizontal="left" indent="1"/>
    </xf>
    <xf numFmtId="0" fontId="13" fillId="0" borderId="0" xfId="0" applyFont="1"/>
    <xf numFmtId="164" fontId="9" fillId="0" borderId="0" xfId="1" applyNumberFormat="1" applyFont="1"/>
    <xf numFmtId="0" fontId="0" fillId="0" borderId="0" xfId="0" applyBorder="1"/>
    <xf numFmtId="165" fontId="4" fillId="0" borderId="5" xfId="3" applyNumberFormat="1" applyFont="1" applyBorder="1"/>
    <xf numFmtId="0" fontId="4" fillId="0" borderId="1" xfId="0" applyFont="1" applyBorder="1"/>
    <xf numFmtId="164" fontId="6" fillId="0" borderId="0" xfId="1" applyNumberFormat="1" applyFont="1" applyBorder="1"/>
    <xf numFmtId="43" fontId="0" fillId="0" borderId="0" xfId="0" applyNumberFormat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Continuous"/>
    </xf>
    <xf numFmtId="14" fontId="3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4" fillId="0" borderId="0" xfId="1" applyNumberFormat="1" applyFont="1" applyAlignment="1">
      <alignment wrapText="1"/>
    </xf>
    <xf numFmtId="0" fontId="6" fillId="0" borderId="0" xfId="0" applyFont="1"/>
    <xf numFmtId="164" fontId="0" fillId="0" borderId="0" xfId="1" quotePrefix="1" applyNumberFormat="1" applyFont="1" applyBorder="1" applyAlignment="1">
      <alignment horizontal="right"/>
    </xf>
    <xf numFmtId="9" fontId="10" fillId="0" borderId="0" xfId="3" applyFont="1" applyFill="1" applyAlignment="1">
      <alignment horizontal="left" indent="3"/>
    </xf>
    <xf numFmtId="0" fontId="0" fillId="0" borderId="0" xfId="0" applyFill="1"/>
    <xf numFmtId="164" fontId="0" fillId="0" borderId="0" xfId="1" applyNumberFormat="1" applyFont="1" applyFill="1"/>
    <xf numFmtId="165" fontId="10" fillId="0" borderId="0" xfId="3" applyNumberFormat="1" applyFont="1" applyFill="1"/>
    <xf numFmtId="44" fontId="10" fillId="0" borderId="0" xfId="2" applyFont="1"/>
    <xf numFmtId="166" fontId="11" fillId="0" borderId="0" xfId="1" applyNumberFormat="1" applyFont="1"/>
    <xf numFmtId="166" fontId="7" fillId="0" borderId="0" xfId="1" applyNumberFormat="1" applyFont="1"/>
    <xf numFmtId="0" fontId="13" fillId="3" borderId="0" xfId="0" applyFont="1" applyFill="1" applyBorder="1" applyAlignment="1">
      <alignment horizontal="left" indent="2"/>
    </xf>
    <xf numFmtId="0" fontId="13" fillId="3" borderId="0" xfId="0" applyFont="1" applyFill="1"/>
    <xf numFmtId="164" fontId="13" fillId="3" borderId="0" xfId="1" applyNumberFormat="1" applyFont="1" applyFill="1"/>
    <xf numFmtId="165" fontId="8" fillId="3" borderId="0" xfId="3" applyNumberFormat="1" applyFont="1" applyFill="1"/>
    <xf numFmtId="3" fontId="13" fillId="3" borderId="0" xfId="0" applyNumberFormat="1" applyFont="1" applyFill="1"/>
    <xf numFmtId="0" fontId="8" fillId="3" borderId="0" xfId="0" applyFont="1" applyFill="1"/>
    <xf numFmtId="164" fontId="0" fillId="0" borderId="0" xfId="0" applyNumberFormat="1" applyFont="1" applyFill="1"/>
    <xf numFmtId="165" fontId="9" fillId="0" borderId="2" xfId="0" quotePrefix="1" applyNumberFormat="1" applyFont="1" applyFill="1" applyBorder="1" applyAlignment="1">
      <alignment horizontal="right"/>
    </xf>
    <xf numFmtId="167" fontId="3" fillId="0" borderId="0" xfId="0" applyNumberFormat="1" applyFont="1"/>
    <xf numFmtId="14" fontId="4" fillId="0" borderId="1" xfId="0" applyNumberFormat="1" applyFont="1" applyBorder="1"/>
    <xf numFmtId="166" fontId="3" fillId="0" borderId="0" xfId="1" applyNumberFormat="1" applyFont="1"/>
    <xf numFmtId="44" fontId="3" fillId="0" borderId="1" xfId="2" applyNumberFormat="1" applyFont="1" applyFill="1" applyBorder="1"/>
    <xf numFmtId="14" fontId="4" fillId="0" borderId="0" xfId="0" applyNumberFormat="1" applyFont="1" applyBorder="1"/>
    <xf numFmtId="0" fontId="4" fillId="0" borderId="0" xfId="0" applyFont="1" applyBorder="1"/>
    <xf numFmtId="44" fontId="3" fillId="0" borderId="0" xfId="2" applyNumberFormat="1" applyFont="1" applyFill="1" applyBorder="1"/>
    <xf numFmtId="8" fontId="3" fillId="0" borderId="0" xfId="0" applyNumberFormat="1" applyFont="1"/>
    <xf numFmtId="8" fontId="3" fillId="4" borderId="1" xfId="0" applyNumberFormat="1" applyFont="1" applyFill="1" applyBorder="1"/>
    <xf numFmtId="8" fontId="4" fillId="0" borderId="0" xfId="0" applyNumberFormat="1" applyFont="1"/>
    <xf numFmtId="0" fontId="12" fillId="0" borderId="0" xfId="0" applyFont="1"/>
    <xf numFmtId="8" fontId="0" fillId="0" borderId="0" xfId="0" applyNumberFormat="1"/>
    <xf numFmtId="164" fontId="3" fillId="0" borderId="4" xfId="0" applyNumberFormat="1" applyFont="1" applyBorder="1"/>
    <xf numFmtId="8" fontId="4" fillId="0" borderId="1" xfId="0" applyNumberFormat="1" applyFont="1" applyBorder="1"/>
    <xf numFmtId="165" fontId="9" fillId="0" borderId="0" xfId="3" applyNumberFormat="1" applyFont="1" applyFill="1" applyBorder="1"/>
    <xf numFmtId="164" fontId="4" fillId="0" borderId="0" xfId="1" applyNumberFormat="1" applyFont="1" applyFill="1" applyBorder="1"/>
    <xf numFmtId="44" fontId="4" fillId="0" borderId="0" xfId="2" applyFont="1"/>
    <xf numFmtId="169" fontId="4" fillId="0" borderId="0" xfId="2" applyNumberFormat="1" applyFont="1"/>
    <xf numFmtId="166" fontId="4" fillId="0" borderId="0" xfId="1" applyNumberFormat="1" applyFont="1"/>
    <xf numFmtId="165" fontId="0" fillId="0" borderId="0" xfId="3" applyNumberFormat="1" applyFont="1"/>
    <xf numFmtId="169" fontId="6" fillId="0" borderId="0" xfId="2" applyNumberFormat="1" applyFont="1"/>
    <xf numFmtId="16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Nights &amp; experiences booked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Sheet2!$B$1:$P$1</c:f>
              <c:numCache>
                <c:formatCode>General</c:formatCode>
                <c:ptCount val="1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</c:numCache>
            </c:numRef>
          </c:cat>
          <c:val>
            <c:numRef>
              <c:f>Sheet2!$B$2:$P$2</c:f>
              <c:numCache>
                <c:formatCode>_(* #,##0.0_);_(* \(#,##0.0\);_(* "-"??_);_(@_)</c:formatCode>
                <c:ptCount val="15"/>
                <c:pt idx="0">
                  <c:v>72.400000000000006</c:v>
                </c:pt>
                <c:pt idx="1">
                  <c:v>125.7</c:v>
                </c:pt>
                <c:pt idx="2">
                  <c:v>185.8</c:v>
                </c:pt>
                <c:pt idx="3">
                  <c:v>250.3</c:v>
                </c:pt>
                <c:pt idx="4">
                  <c:v>326.89999999999998</c:v>
                </c:pt>
                <c:pt idx="5">
                  <c:v>212.48499999999999</c:v>
                </c:pt>
                <c:pt idx="6">
                  <c:v>329.35174999999998</c:v>
                </c:pt>
                <c:pt idx="7">
                  <c:v>428.15727499999997</c:v>
                </c:pt>
                <c:pt idx="8">
                  <c:v>535.19659374999992</c:v>
                </c:pt>
                <c:pt idx="9">
                  <c:v>642.23591249999993</c:v>
                </c:pt>
                <c:pt idx="10">
                  <c:v>770.68309499999987</c:v>
                </c:pt>
                <c:pt idx="11">
                  <c:v>901.69922114999974</c:v>
                </c:pt>
                <c:pt idx="12">
                  <c:v>1036.9541043224997</c:v>
                </c:pt>
                <c:pt idx="13">
                  <c:v>1119.9104326682998</c:v>
                </c:pt>
                <c:pt idx="14">
                  <c:v>1175.9059543017149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C-4F2F-8E7A-ACC6A44B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37744"/>
        <c:axId val="197174032"/>
      </c:lineChart>
      <c:lineChart>
        <c:grouping val="standard"/>
        <c:varyColors val="0"/>
        <c:ser>
          <c:idx val="1"/>
          <c:order val="1"/>
          <c:tx>
            <c:strRef>
              <c:f>Sheet2!$A$3</c:f>
              <c:strCache>
                <c:ptCount val="1"/>
                <c:pt idx="0">
                  <c:v>Average cost per "night"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Sheet2!$B$1:$P$1</c:f>
              <c:numCache>
                <c:formatCode>General</c:formatCode>
                <c:ptCount val="1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</c:numCache>
            </c:numRef>
          </c:cat>
          <c:val>
            <c:numRef>
              <c:f>Sheet2!$B$3:$P$3</c:f>
              <c:numCache>
                <c:formatCode>_("$"* #,##0.00_);_("$"* \(#,##0.00\);_("$"* "-"??_);_(@_)</c:formatCode>
                <c:ptCount val="15"/>
                <c:pt idx="0">
                  <c:v>111.87845303867402</c:v>
                </c:pt>
                <c:pt idx="1">
                  <c:v>110.58074781225139</c:v>
                </c:pt>
                <c:pt idx="2">
                  <c:v>113.02475780409041</c:v>
                </c:pt>
                <c:pt idx="3">
                  <c:v>117.45904914103076</c:v>
                </c:pt>
                <c:pt idx="4">
                  <c:v>116.24349954114409</c:v>
                </c:pt>
                <c:pt idx="5">
                  <c:v>116.24349954114409</c:v>
                </c:pt>
                <c:pt idx="6">
                  <c:v>116.24349954114409</c:v>
                </c:pt>
                <c:pt idx="7">
                  <c:v>116.24349954114409</c:v>
                </c:pt>
                <c:pt idx="8">
                  <c:v>116.24349954114409</c:v>
                </c:pt>
                <c:pt idx="9">
                  <c:v>116.24349954114409</c:v>
                </c:pt>
                <c:pt idx="10">
                  <c:v>117.40593453655553</c:v>
                </c:pt>
                <c:pt idx="11">
                  <c:v>119.16702355460386</c:v>
                </c:pt>
                <c:pt idx="12">
                  <c:v>120.95452890792291</c:v>
                </c:pt>
                <c:pt idx="13">
                  <c:v>123.37361948608137</c:v>
                </c:pt>
                <c:pt idx="14">
                  <c:v>125.841091875803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C-4F2F-8E7A-ACC6A44B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60528"/>
        <c:axId val="251136576"/>
      </c:lineChart>
      <c:catAx>
        <c:axId val="1847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4032"/>
        <c:crosses val="autoZero"/>
        <c:auto val="1"/>
        <c:lblAlgn val="ctr"/>
        <c:lblOffset val="100"/>
        <c:noMultiLvlLbl val="0"/>
      </c:catAx>
      <c:valAx>
        <c:axId val="197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744"/>
        <c:crosses val="autoZero"/>
        <c:crossBetween val="between"/>
      </c:valAx>
      <c:valAx>
        <c:axId val="251136576"/>
        <c:scaling>
          <c:orientation val="minMax"/>
          <c:max val="300"/>
          <c:min val="0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60528"/>
        <c:crosses val="max"/>
        <c:crossBetween val="between"/>
      </c:valAx>
      <c:catAx>
        <c:axId val="25506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136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12331511385585E-2"/>
          <c:y val="5.1032243099048948E-2"/>
          <c:w val="0.85761199699063317"/>
          <c:h val="0.73521973636385218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Airbnb Gross Booking Value (bn)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DC-4E75-9ED5-4C379E058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Sheet2!$B$5:$P$5</c:f>
              <c:numCache>
                <c:formatCode>General</c:formatCode>
                <c:ptCount val="1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</c:numCache>
            </c:numRef>
          </c:cat>
          <c:val>
            <c:numRef>
              <c:f>Sheet2!$B$6:$P$6</c:f>
              <c:numCache>
                <c:formatCode>_("$"* #,##0_);_("$"* \(#,##0\);_("$"* "-"??_);_(@_)</c:formatCode>
                <c:ptCount val="15"/>
                <c:pt idx="0">
                  <c:v>8.1</c:v>
                </c:pt>
                <c:pt idx="1">
                  <c:v>13.9</c:v>
                </c:pt>
                <c:pt idx="2">
                  <c:v>21</c:v>
                </c:pt>
                <c:pt idx="3">
                  <c:v>29.4</c:v>
                </c:pt>
                <c:pt idx="4">
                  <c:v>38</c:v>
                </c:pt>
                <c:pt idx="5">
                  <c:v>24.7</c:v>
                </c:pt>
                <c:pt idx="6">
                  <c:v>38.284999999999997</c:v>
                </c:pt>
                <c:pt idx="7">
                  <c:v>49.770499999999998</c:v>
                </c:pt>
                <c:pt idx="8">
                  <c:v>62.213124999999991</c:v>
                </c:pt>
                <c:pt idx="9">
                  <c:v>74.655749999999998</c:v>
                </c:pt>
                <c:pt idx="10">
                  <c:v>90.482769000000005</c:v>
                </c:pt>
                <c:pt idx="11">
                  <c:v>107.45281232594996</c:v>
                </c:pt>
                <c:pt idx="12">
                  <c:v>125.42429518746509</c:v>
                </c:pt>
                <c:pt idx="13">
                  <c:v>138.16740357851157</c:v>
                </c:pt>
                <c:pt idx="14">
                  <c:v>147.97728923258592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C-4E75-9ED5-4C379E0589DA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Global hotel market size (bn)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DC-4E75-9ED5-4C379E058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Sheet2!$B$5:$P$5</c:f>
              <c:numCache>
                <c:formatCode>General</c:formatCode>
                <c:ptCount val="1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</c:numCache>
            </c:numRef>
          </c:cat>
          <c:val>
            <c:numRef>
              <c:f>Sheet2!$B$7:$P$7</c:f>
              <c:numCache>
                <c:formatCode>_("$"* #,##0_);_("$"* \(#,##0\);_("$"* "-"??_);_(@_)</c:formatCode>
                <c:ptCount val="15"/>
                <c:pt idx="0">
                  <c:v>527.05999999999995</c:v>
                </c:pt>
                <c:pt idx="1">
                  <c:v>562.99</c:v>
                </c:pt>
                <c:pt idx="2">
                  <c:v>570.17999999999995</c:v>
                </c:pt>
                <c:pt idx="3">
                  <c:v>600.49</c:v>
                </c:pt>
                <c:pt idx="4">
                  <c:v>618.50470000000007</c:v>
                </c:pt>
                <c:pt idx="5">
                  <c:v>618.50470000000007</c:v>
                </c:pt>
                <c:pt idx="6">
                  <c:v>618.50470000000007</c:v>
                </c:pt>
                <c:pt idx="7">
                  <c:v>637.05984100000012</c:v>
                </c:pt>
                <c:pt idx="8">
                  <c:v>656.1716362300001</c:v>
                </c:pt>
                <c:pt idx="9">
                  <c:v>675.85678531690007</c:v>
                </c:pt>
                <c:pt idx="10">
                  <c:v>696.13248887640714</c:v>
                </c:pt>
                <c:pt idx="11">
                  <c:v>717.0164635426994</c:v>
                </c:pt>
                <c:pt idx="12">
                  <c:v>738.5269574489804</c:v>
                </c:pt>
                <c:pt idx="13">
                  <c:v>760.68276617244987</c:v>
                </c:pt>
                <c:pt idx="14">
                  <c:v>783.50324915762337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C-4E75-9ED5-4C379E05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89152"/>
        <c:axId val="188042720"/>
      </c:lineChart>
      <c:catAx>
        <c:axId val="2617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2720"/>
        <c:crosses val="autoZero"/>
        <c:auto val="1"/>
        <c:lblAlgn val="ctr"/>
        <c:lblOffset val="100"/>
        <c:noMultiLvlLbl val="0"/>
      </c:catAx>
      <c:valAx>
        <c:axId val="188042720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535304</xdr:colOff>
      <xdr:row>10</xdr:row>
      <xdr:rowOff>164782</xdr:rowOff>
    </xdr:from>
    <xdr:to>
      <xdr:col>15</xdr:col>
      <xdr:colOff>19050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000CE-3E3A-4F3C-9C4C-CAB955DA9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40956</xdr:colOff>
      <xdr:row>34</xdr:row>
      <xdr:rowOff>75247</xdr:rowOff>
    </xdr:from>
    <xdr:to>
      <xdr:col>15</xdr:col>
      <xdr:colOff>419099</xdr:colOff>
      <xdr:row>61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C7D95-467F-45B0-A280-3F07379E1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C76C-6F08-459E-96A3-A3E2BBB48428}">
  <dimension ref="A1:AA202"/>
  <sheetViews>
    <sheetView showGridLines="0" tabSelected="1" zoomScaleNormal="100" workbookViewId="0">
      <pane xSplit="4" ySplit="4" topLeftCell="Q185" activePane="bottomRight" state="frozen"/>
      <selection pane="topRight" activeCell="D1" sqref="D1"/>
      <selection pane="bottomLeft" activeCell="A2" sqref="A2"/>
      <selection pane="bottomRight" activeCell="C201" sqref="C201"/>
    </sheetView>
  </sheetViews>
  <sheetFormatPr defaultRowHeight="14.4"/>
  <cols>
    <col min="1" max="1" width="38" customWidth="1"/>
    <col min="2" max="2" width="15" bestFit="1" customWidth="1"/>
    <col min="3" max="3" width="12.77734375" customWidth="1"/>
    <col min="4" max="4" width="11.77734375" bestFit="1" customWidth="1"/>
    <col min="5" max="9" width="12.6640625" customWidth="1"/>
    <col min="10" max="10" width="9.6640625" customWidth="1"/>
    <col min="11" max="12" width="11.77734375" customWidth="1"/>
    <col min="13" max="13" width="20.5546875" customWidth="1"/>
    <col min="14" max="23" width="13.21875" customWidth="1"/>
    <col min="24" max="24" width="3.6640625" customWidth="1"/>
    <col min="25" max="25" width="26.44140625" bestFit="1" customWidth="1"/>
    <col min="26" max="26" width="20" bestFit="1" customWidth="1"/>
    <col min="27" max="38" width="12.6640625" customWidth="1"/>
  </cols>
  <sheetData>
    <row r="1" spans="1:23" ht="25.8">
      <c r="A1" s="8" t="s">
        <v>64</v>
      </c>
    </row>
    <row r="2" spans="1:23">
      <c r="A2" t="s">
        <v>22</v>
      </c>
      <c r="B2" s="40" t="s">
        <v>23</v>
      </c>
      <c r="C2" s="47"/>
      <c r="D2" s="47"/>
      <c r="E2" s="41" t="s">
        <v>31</v>
      </c>
      <c r="F2" s="41"/>
      <c r="G2" s="41"/>
      <c r="H2" s="41"/>
      <c r="I2" s="41"/>
      <c r="J2" s="66"/>
      <c r="K2" s="41" t="s">
        <v>67</v>
      </c>
      <c r="L2" s="41"/>
      <c r="N2" s="41" t="s">
        <v>32</v>
      </c>
      <c r="O2" s="41"/>
      <c r="P2" s="41"/>
      <c r="Q2" s="41"/>
      <c r="R2" s="41"/>
      <c r="S2" s="41"/>
      <c r="T2" s="41"/>
      <c r="U2" s="41"/>
      <c r="V2" s="41"/>
      <c r="W2" s="41"/>
    </row>
    <row r="3" spans="1:23">
      <c r="B3" s="47"/>
      <c r="C3" s="47"/>
      <c r="D3" s="47"/>
      <c r="E3" s="67">
        <f>EOMONTH(F3,-12)</f>
        <v>42369</v>
      </c>
      <c r="F3" s="67">
        <f>EOMONTH(G3,-12)</f>
        <v>42735</v>
      </c>
      <c r="G3" s="67">
        <f>EOMONTH(H3,-12)</f>
        <v>43100</v>
      </c>
      <c r="H3" s="67">
        <f>EOMONTH(I3,-12)</f>
        <v>43465</v>
      </c>
      <c r="I3" s="69">
        <v>43830</v>
      </c>
      <c r="J3" s="65"/>
      <c r="K3" s="67">
        <v>43738</v>
      </c>
      <c r="L3" s="67">
        <v>44104</v>
      </c>
      <c r="N3" s="68">
        <f>EOMONTH(I3,12)</f>
        <v>44196</v>
      </c>
      <c r="O3" s="67">
        <f>EOMONTH(N3,12)</f>
        <v>44561</v>
      </c>
      <c r="P3" s="67">
        <f>EOMONTH(O3,12)</f>
        <v>44926</v>
      </c>
      <c r="Q3" s="67">
        <f t="shared" ref="Q3:W3" si="0">EOMONTH(P3,12)</f>
        <v>45291</v>
      </c>
      <c r="R3" s="67">
        <f t="shared" si="0"/>
        <v>45657</v>
      </c>
      <c r="S3" s="67">
        <f t="shared" si="0"/>
        <v>46022</v>
      </c>
      <c r="T3" s="67">
        <f t="shared" si="0"/>
        <v>46387</v>
      </c>
      <c r="U3" s="67">
        <f t="shared" si="0"/>
        <v>46752</v>
      </c>
      <c r="V3" s="67">
        <f t="shared" si="0"/>
        <v>47118</v>
      </c>
      <c r="W3" s="67">
        <f t="shared" si="0"/>
        <v>47483</v>
      </c>
    </row>
    <row r="4" spans="1:23">
      <c r="A4" s="20" t="s">
        <v>76</v>
      </c>
      <c r="E4" s="6">
        <f>F4-1</f>
        <v>2015</v>
      </c>
      <c r="F4" s="6">
        <f>G4-1</f>
        <v>2016</v>
      </c>
      <c r="G4" s="6">
        <f>H4-1</f>
        <v>2017</v>
      </c>
      <c r="H4" s="6">
        <f>I4-1</f>
        <v>2018</v>
      </c>
      <c r="I4" s="6">
        <v>2019</v>
      </c>
      <c r="J4" s="66"/>
      <c r="K4" s="6" t="s">
        <v>69</v>
      </c>
      <c r="L4" s="6" t="s">
        <v>68</v>
      </c>
      <c r="N4" s="6">
        <f>I4+1</f>
        <v>2020</v>
      </c>
      <c r="O4" s="6">
        <f>N4+1</f>
        <v>2021</v>
      </c>
      <c r="P4" s="6">
        <f t="shared" ref="P4:W4" si="1">O4+1</f>
        <v>2022</v>
      </c>
      <c r="Q4" s="6">
        <f t="shared" si="1"/>
        <v>2023</v>
      </c>
      <c r="R4" s="6">
        <f t="shared" si="1"/>
        <v>2024</v>
      </c>
      <c r="S4" s="6">
        <f t="shared" si="1"/>
        <v>2025</v>
      </c>
      <c r="T4" s="6">
        <f t="shared" si="1"/>
        <v>2026</v>
      </c>
      <c r="U4" s="6">
        <f t="shared" si="1"/>
        <v>2027</v>
      </c>
      <c r="V4" s="6">
        <f t="shared" si="1"/>
        <v>2028</v>
      </c>
      <c r="W4" s="6">
        <f t="shared" si="1"/>
        <v>2029</v>
      </c>
    </row>
    <row r="5" spans="1:23" s="1" customFormat="1">
      <c r="A5" s="1" t="s">
        <v>2</v>
      </c>
    </row>
    <row r="7" spans="1:23">
      <c r="O7" s="64"/>
      <c r="P7" s="64"/>
    </row>
    <row r="8" spans="1:23" s="3" customFormat="1">
      <c r="A8" s="3" t="s">
        <v>78</v>
      </c>
      <c r="E8" s="78">
        <v>72.400000000000006</v>
      </c>
      <c r="F8" s="78">
        <v>125.7</v>
      </c>
      <c r="G8" s="78">
        <v>185.8</v>
      </c>
      <c r="H8" s="78">
        <v>250.3</v>
      </c>
      <c r="I8" s="78">
        <v>326.89999999999998</v>
      </c>
      <c r="J8" s="46"/>
      <c r="K8" s="78">
        <f>81.3+83.9+85.9</f>
        <v>251.1</v>
      </c>
      <c r="L8" s="78">
        <f>57.1+28+61.8</f>
        <v>146.89999999999998</v>
      </c>
      <c r="N8" s="17">
        <f>I8*(1+N9)</f>
        <v>212.48499999999999</v>
      </c>
      <c r="O8" s="17">
        <f>N8*(1+O9)</f>
        <v>297.47899999999998</v>
      </c>
      <c r="P8" s="17">
        <f t="shared" ref="P8" si="2">O8*(1+P9)</f>
        <v>401.59665000000001</v>
      </c>
      <c r="Q8" s="17">
        <f t="shared" ref="Q8" si="3">P8*(1+Q9)</f>
        <v>522.07564500000001</v>
      </c>
      <c r="R8" s="17">
        <f t="shared" ref="R8" si="4">Q8*(1+R9)</f>
        <v>626.49077399999999</v>
      </c>
      <c r="S8" s="17">
        <f t="shared" ref="S8" si="5">R8*(1+S9)</f>
        <v>751.78892880000001</v>
      </c>
      <c r="T8" s="17">
        <f t="shared" ref="T8" si="6">S8*(1+T9)</f>
        <v>879.59304669599999</v>
      </c>
      <c r="U8" s="17">
        <f t="shared" ref="U8" si="7">T8*(1+U9)</f>
        <v>1011.5320037003999</v>
      </c>
      <c r="V8" s="17">
        <f t="shared" ref="V8" si="8">U8*(1+V9)</f>
        <v>1092.4545639964319</v>
      </c>
      <c r="W8" s="17">
        <f t="shared" ref="W8" si="9">V8*(1+W9)</f>
        <v>1147.0772921962537</v>
      </c>
    </row>
    <row r="9" spans="1:23" s="23" customFormat="1">
      <c r="A9" s="22" t="s">
        <v>21</v>
      </c>
      <c r="E9" s="25"/>
      <c r="F9" s="25">
        <f>F8/E8-1</f>
        <v>0.73618784530386727</v>
      </c>
      <c r="G9" s="25">
        <f>G8/F8-1</f>
        <v>0.47812251392203664</v>
      </c>
      <c r="H9" s="25">
        <f>H8/G8-1</f>
        <v>0.34714747039827776</v>
      </c>
      <c r="I9" s="25">
        <f>I8/H8-1</f>
        <v>0.30603276068717533</v>
      </c>
      <c r="J9" s="25"/>
      <c r="K9" s="25"/>
      <c r="L9" s="25">
        <f>L8/K8-1</f>
        <v>-0.4149741138988452</v>
      </c>
      <c r="M9" s="24"/>
      <c r="N9" s="25">
        <f t="shared" ref="N9:W9" si="10">IF(case="A",N10,IF(case="B",N11,N12))</f>
        <v>-0.35</v>
      </c>
      <c r="O9" s="25">
        <f t="shared" si="10"/>
        <v>0.4</v>
      </c>
      <c r="P9" s="25">
        <f t="shared" si="10"/>
        <v>0.35</v>
      </c>
      <c r="Q9" s="25">
        <f t="shared" si="10"/>
        <v>0.3</v>
      </c>
      <c r="R9" s="25">
        <f t="shared" si="10"/>
        <v>0.2</v>
      </c>
      <c r="S9" s="25">
        <f t="shared" si="10"/>
        <v>0.2</v>
      </c>
      <c r="T9" s="25">
        <f t="shared" si="10"/>
        <v>0.17</v>
      </c>
      <c r="U9" s="25">
        <f t="shared" si="10"/>
        <v>0.15</v>
      </c>
      <c r="V9" s="25">
        <f t="shared" si="10"/>
        <v>0.08</v>
      </c>
      <c r="W9" s="25">
        <f t="shared" si="10"/>
        <v>0.05</v>
      </c>
    </row>
    <row r="10" spans="1:23">
      <c r="E10" s="9"/>
      <c r="F10" s="9"/>
      <c r="G10" s="9"/>
      <c r="H10" s="9"/>
      <c r="I10" s="9"/>
      <c r="J10" s="9"/>
      <c r="K10" s="9"/>
      <c r="L10" s="9"/>
      <c r="M10" s="21" t="s">
        <v>25</v>
      </c>
      <c r="N10" s="27">
        <v>-0.35</v>
      </c>
      <c r="O10" s="27">
        <v>0.3</v>
      </c>
      <c r="P10" s="27">
        <v>0.25</v>
      </c>
      <c r="Q10" s="27">
        <v>0.2</v>
      </c>
      <c r="R10" s="27">
        <v>0.17</v>
      </c>
      <c r="S10" s="27">
        <v>0.15</v>
      </c>
      <c r="T10" s="27">
        <v>0.1</v>
      </c>
      <c r="U10" s="27">
        <v>0.1</v>
      </c>
      <c r="V10" s="27">
        <v>0.05</v>
      </c>
      <c r="W10" s="27">
        <v>0.05</v>
      </c>
    </row>
    <row r="11" spans="1:23">
      <c r="E11" s="9"/>
      <c r="F11" s="9"/>
      <c r="G11" s="9"/>
      <c r="H11" s="9"/>
      <c r="I11" s="9"/>
      <c r="J11" s="9"/>
      <c r="K11" s="9"/>
      <c r="L11" s="9"/>
      <c r="M11" s="21" t="s">
        <v>24</v>
      </c>
      <c r="N11" s="27">
        <v>-0.35</v>
      </c>
      <c r="O11" s="27">
        <v>0.4</v>
      </c>
      <c r="P11" s="27">
        <v>0.35</v>
      </c>
      <c r="Q11" s="27">
        <v>0.3</v>
      </c>
      <c r="R11" s="27">
        <v>0.2</v>
      </c>
      <c r="S11" s="27">
        <v>0.2</v>
      </c>
      <c r="T11" s="27">
        <v>0.17</v>
      </c>
      <c r="U11" s="27">
        <v>0.15</v>
      </c>
      <c r="V11" s="27">
        <v>0.08</v>
      </c>
      <c r="W11" s="27">
        <v>0.05</v>
      </c>
    </row>
    <row r="12" spans="1:23">
      <c r="E12" s="9"/>
      <c r="F12" s="9"/>
      <c r="G12" s="9"/>
      <c r="H12" s="9"/>
      <c r="I12" s="9"/>
      <c r="J12" s="9"/>
      <c r="K12" s="9"/>
      <c r="L12" s="9"/>
      <c r="M12" s="21" t="s">
        <v>81</v>
      </c>
      <c r="N12" s="27">
        <v>-0.35</v>
      </c>
      <c r="O12" s="27">
        <v>0.5</v>
      </c>
      <c r="P12" s="27">
        <v>0.45</v>
      </c>
      <c r="Q12" s="27">
        <v>0.27</v>
      </c>
      <c r="R12" s="27">
        <v>0.25</v>
      </c>
      <c r="S12" s="27">
        <v>0.2</v>
      </c>
      <c r="T12" s="27">
        <v>0.15</v>
      </c>
      <c r="U12" s="27">
        <v>0.15</v>
      </c>
      <c r="V12" s="27">
        <v>0.1</v>
      </c>
      <c r="W12" s="27">
        <v>0.1</v>
      </c>
    </row>
    <row r="13" spans="1:23">
      <c r="A13" s="22"/>
    </row>
    <row r="15" spans="1:23" s="3" customFormat="1">
      <c r="A15" s="3" t="s">
        <v>75</v>
      </c>
      <c r="E15" s="78">
        <v>8.1</v>
      </c>
      <c r="F15" s="78">
        <v>13.9</v>
      </c>
      <c r="G15" s="78">
        <v>21</v>
      </c>
      <c r="H15" s="78">
        <v>29.4</v>
      </c>
      <c r="I15" s="78">
        <v>38</v>
      </c>
      <c r="J15" s="46"/>
      <c r="K15" s="78">
        <f>10+9.8+9.7</f>
        <v>29.5</v>
      </c>
      <c r="L15" s="78">
        <f>6.8+3.2+8</f>
        <v>18</v>
      </c>
      <c r="N15" s="79">
        <f>N17*N8/1000</f>
        <v>24.7</v>
      </c>
      <c r="O15" s="79">
        <f t="shared" ref="O15:W15" si="11">O17*O8/1000</f>
        <v>34.58</v>
      </c>
      <c r="P15" s="79">
        <f t="shared" si="11"/>
        <v>46.683000000000007</v>
      </c>
      <c r="Q15" s="79">
        <f t="shared" si="11"/>
        <v>60.687900000000006</v>
      </c>
      <c r="R15" s="79">
        <f t="shared" si="11"/>
        <v>72.825480000000013</v>
      </c>
      <c r="S15" s="79">
        <f t="shared" si="11"/>
        <v>88.26448176000001</v>
      </c>
      <c r="T15" s="79">
        <f t="shared" si="11"/>
        <v>104.81848531408799</v>
      </c>
      <c r="U15" s="79">
        <f t="shared" si="11"/>
        <v>122.34937698286919</v>
      </c>
      <c r="V15" s="79">
        <f t="shared" si="11"/>
        <v>134.78007368432873</v>
      </c>
      <c r="W15" s="79">
        <f t="shared" si="11"/>
        <v>144.3494589159161</v>
      </c>
    </row>
    <row r="16" spans="1:23" s="23" customFormat="1">
      <c r="A16" s="22" t="s">
        <v>21</v>
      </c>
      <c r="E16" s="25"/>
      <c r="F16" s="25">
        <f>F15/E15-1</f>
        <v>0.71604938271604945</v>
      </c>
      <c r="G16" s="25">
        <f>G15/F15-1</f>
        <v>0.51079136690647475</v>
      </c>
      <c r="H16" s="25">
        <f>H15/G15-1</f>
        <v>0.39999999999999991</v>
      </c>
      <c r="I16" s="25">
        <f>I15/H15-1</f>
        <v>0.29251700680272119</v>
      </c>
      <c r="J16" s="25"/>
      <c r="K16" s="25"/>
      <c r="L16" s="25">
        <f>L15/K15-1</f>
        <v>-0.38983050847457623</v>
      </c>
      <c r="M16" s="24"/>
      <c r="N16" s="25">
        <f>N15/I15-1</f>
        <v>-0.35</v>
      </c>
      <c r="O16" s="25">
        <f t="shared" ref="O16:W16" si="12">O15/N15-1</f>
        <v>0.39999999999999991</v>
      </c>
      <c r="P16" s="25">
        <f t="shared" si="12"/>
        <v>0.35000000000000031</v>
      </c>
      <c r="Q16" s="25">
        <f t="shared" si="12"/>
        <v>0.30000000000000004</v>
      </c>
      <c r="R16" s="25">
        <f t="shared" si="12"/>
        <v>0.20000000000000018</v>
      </c>
      <c r="S16" s="25">
        <f t="shared" si="12"/>
        <v>0.21199999999999997</v>
      </c>
      <c r="T16" s="25">
        <f t="shared" si="12"/>
        <v>0.18754999999999988</v>
      </c>
      <c r="U16" s="25">
        <f t="shared" si="12"/>
        <v>0.16724999999999968</v>
      </c>
      <c r="V16" s="25">
        <f t="shared" si="12"/>
        <v>0.10160000000000013</v>
      </c>
      <c r="W16" s="25">
        <f t="shared" si="12"/>
        <v>7.1000000000000174E-2</v>
      </c>
    </row>
    <row r="17" spans="1:23" s="23" customFormat="1">
      <c r="A17" s="22" t="s">
        <v>79</v>
      </c>
      <c r="E17" s="77">
        <f>E15*1000/E8</f>
        <v>111.87845303867402</v>
      </c>
      <c r="F17" s="77">
        <f>F15*1000/F8</f>
        <v>110.58074781225139</v>
      </c>
      <c r="G17" s="77">
        <f>G15*1000/G8</f>
        <v>113.02475780409041</v>
      </c>
      <c r="H17" s="77">
        <f>H15*1000/H8</f>
        <v>117.45904914103076</v>
      </c>
      <c r="I17" s="77">
        <f>I15*1000/I8</f>
        <v>116.24349954114409</v>
      </c>
      <c r="J17" s="25"/>
      <c r="K17" s="25"/>
      <c r="L17" s="25"/>
      <c r="M17" s="24"/>
      <c r="N17" s="77">
        <f>I17*(1+N18)</f>
        <v>116.24349954114409</v>
      </c>
      <c r="O17" s="77">
        <f>N17*(1+O18)</f>
        <v>116.24349954114409</v>
      </c>
      <c r="P17" s="77">
        <f t="shared" ref="P17:W17" si="13">O17*(1+P18)</f>
        <v>116.24349954114409</v>
      </c>
      <c r="Q17" s="77">
        <f t="shared" si="13"/>
        <v>116.24349954114409</v>
      </c>
      <c r="R17" s="77">
        <f t="shared" si="13"/>
        <v>116.24349954114409</v>
      </c>
      <c r="S17" s="77">
        <f t="shared" si="13"/>
        <v>117.40593453655553</v>
      </c>
      <c r="T17" s="77">
        <f t="shared" si="13"/>
        <v>119.16702355460386</v>
      </c>
      <c r="U17" s="77">
        <f t="shared" si="13"/>
        <v>120.95452890792291</v>
      </c>
      <c r="V17" s="77">
        <f t="shared" si="13"/>
        <v>123.37361948608137</v>
      </c>
      <c r="W17" s="77">
        <f t="shared" si="13"/>
        <v>125.841091875803</v>
      </c>
    </row>
    <row r="18" spans="1:23">
      <c r="A18" s="26" t="s">
        <v>80</v>
      </c>
      <c r="E18" s="9"/>
      <c r="F18" s="25">
        <f>F17/E17-1</f>
        <v>-1.1599241776913405E-2</v>
      </c>
      <c r="G18" s="25">
        <f>G17/F17-1</f>
        <v>2.2101586760731262E-2</v>
      </c>
      <c r="H18" s="25">
        <f>H17/G17-1</f>
        <v>3.923292049540561E-2</v>
      </c>
      <c r="I18" s="25">
        <f>I17/H17-1</f>
        <v>-1.0348709688831059E-2</v>
      </c>
      <c r="J18" s="9"/>
      <c r="K18" s="9"/>
      <c r="L18" s="9"/>
      <c r="N18" s="25">
        <f t="shared" ref="N18:W18" si="14">IF(case="A",N19,IF(case="B",N20,N21))</f>
        <v>0</v>
      </c>
      <c r="O18" s="25">
        <f t="shared" si="14"/>
        <v>0</v>
      </c>
      <c r="P18" s="25">
        <f t="shared" si="14"/>
        <v>0</v>
      </c>
      <c r="Q18" s="25">
        <f t="shared" si="14"/>
        <v>0</v>
      </c>
      <c r="R18" s="25">
        <f t="shared" si="14"/>
        <v>0</v>
      </c>
      <c r="S18" s="25">
        <f t="shared" si="14"/>
        <v>0.01</v>
      </c>
      <c r="T18" s="25">
        <f t="shared" si="14"/>
        <v>1.4999999999999999E-2</v>
      </c>
      <c r="U18" s="25">
        <f t="shared" si="14"/>
        <v>1.4999999999999999E-2</v>
      </c>
      <c r="V18" s="25">
        <f t="shared" si="14"/>
        <v>0.02</v>
      </c>
      <c r="W18" s="25">
        <f t="shared" si="14"/>
        <v>0.02</v>
      </c>
    </row>
    <row r="19" spans="1:23">
      <c r="E19" s="9"/>
      <c r="F19" s="9"/>
      <c r="G19" s="9"/>
      <c r="H19" s="9"/>
      <c r="I19" s="9"/>
      <c r="J19" s="9"/>
      <c r="K19" s="9"/>
      <c r="L19" s="9"/>
      <c r="M19" s="21" t="s">
        <v>25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</row>
    <row r="20" spans="1:23">
      <c r="E20" s="9"/>
      <c r="F20" s="9"/>
      <c r="G20" s="9"/>
      <c r="H20" s="9"/>
      <c r="I20" s="9"/>
      <c r="J20" s="9"/>
      <c r="K20" s="9"/>
      <c r="L20" s="9"/>
      <c r="M20" s="21" t="s">
        <v>24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0.01</v>
      </c>
      <c r="T20" s="27">
        <v>1.4999999999999999E-2</v>
      </c>
      <c r="U20" s="27">
        <v>1.4999999999999999E-2</v>
      </c>
      <c r="V20" s="27">
        <v>0.02</v>
      </c>
      <c r="W20" s="27">
        <v>0.02</v>
      </c>
    </row>
    <row r="21" spans="1:23">
      <c r="E21" s="9"/>
      <c r="F21" s="9"/>
      <c r="G21" s="9"/>
      <c r="H21" s="9"/>
      <c r="I21" s="9"/>
      <c r="J21" s="9"/>
      <c r="K21" s="9"/>
      <c r="L21" s="9"/>
      <c r="M21" s="21" t="s">
        <v>81</v>
      </c>
      <c r="N21" s="27">
        <v>1.4999999999999999E-2</v>
      </c>
      <c r="O21" s="27">
        <v>1.4999999999999999E-2</v>
      </c>
      <c r="P21" s="27">
        <v>1.4999999999999999E-2</v>
      </c>
      <c r="Q21" s="27">
        <v>1.4999999999999999E-2</v>
      </c>
      <c r="R21" s="27">
        <v>1.4999999999999999E-2</v>
      </c>
      <c r="S21" s="27">
        <v>1.4999999999999999E-2</v>
      </c>
      <c r="T21" s="27">
        <v>1.4999999999999999E-2</v>
      </c>
      <c r="U21" s="27">
        <v>1.4999999999999999E-2</v>
      </c>
      <c r="V21" s="27">
        <v>1.4999999999999999E-2</v>
      </c>
      <c r="W21" s="27">
        <v>1.4999999999999999E-2</v>
      </c>
    </row>
    <row r="22" spans="1:23" s="60" customFormat="1">
      <c r="E22" s="72"/>
      <c r="F22" s="72"/>
      <c r="G22" s="72"/>
      <c r="H22" s="72"/>
      <c r="I22" s="72"/>
      <c r="J22" s="72"/>
      <c r="K22" s="72"/>
      <c r="L22" s="72"/>
      <c r="N22" s="72"/>
      <c r="O22" s="72"/>
      <c r="P22" s="72"/>
      <c r="Q22" s="72"/>
      <c r="R22" s="72"/>
      <c r="S22" s="72"/>
      <c r="T22" s="72"/>
      <c r="U22" s="72"/>
      <c r="V22" s="72"/>
      <c r="W22" s="72"/>
    </row>
    <row r="23" spans="1:23">
      <c r="E23" s="10" t="s">
        <v>8</v>
      </c>
      <c r="F23" s="10" t="s">
        <v>8</v>
      </c>
      <c r="G23" s="10" t="s">
        <v>8</v>
      </c>
      <c r="H23" s="10" t="s">
        <v>8</v>
      </c>
      <c r="I23" s="10" t="s">
        <v>8</v>
      </c>
      <c r="J23" s="10"/>
      <c r="K23" s="10" t="s">
        <v>8</v>
      </c>
      <c r="L23" s="10" t="s">
        <v>8</v>
      </c>
      <c r="N23" s="10" t="s">
        <v>8</v>
      </c>
      <c r="O23" s="10" t="s">
        <v>8</v>
      </c>
      <c r="P23" s="10" t="s">
        <v>8</v>
      </c>
      <c r="Q23" s="10" t="s">
        <v>8</v>
      </c>
      <c r="R23" s="10" t="s">
        <v>8</v>
      </c>
      <c r="S23" s="10" t="s">
        <v>8</v>
      </c>
      <c r="T23" s="10" t="s">
        <v>8</v>
      </c>
      <c r="U23" s="10" t="s">
        <v>8</v>
      </c>
      <c r="V23" s="10" t="s">
        <v>8</v>
      </c>
      <c r="W23" s="10" t="s">
        <v>8</v>
      </c>
    </row>
    <row r="24" spans="1:23" s="29" customFormat="1">
      <c r="A24" s="31" t="s">
        <v>4</v>
      </c>
      <c r="E24" s="30">
        <v>919041</v>
      </c>
      <c r="F24" s="30">
        <v>1655576</v>
      </c>
      <c r="G24" s="30">
        <v>2561721</v>
      </c>
      <c r="H24" s="30">
        <v>3651985</v>
      </c>
      <c r="I24" s="30">
        <v>4805239</v>
      </c>
      <c r="J24" s="30"/>
      <c r="K24" s="30">
        <v>3698443</v>
      </c>
      <c r="L24" s="30">
        <v>2518935</v>
      </c>
      <c r="M24" s="32"/>
      <c r="N24" s="30">
        <f>N26*N15*1000000</f>
        <v>3458000</v>
      </c>
      <c r="O24" s="30">
        <f t="shared" ref="O24:W24" si="15">O26*O15*1000000</f>
        <v>4668300</v>
      </c>
      <c r="P24" s="30">
        <f t="shared" si="15"/>
        <v>6068790.0000000009</v>
      </c>
      <c r="Q24" s="30">
        <f t="shared" si="15"/>
        <v>7889427.0000000009</v>
      </c>
      <c r="R24" s="30">
        <f t="shared" si="15"/>
        <v>9467312.4000000022</v>
      </c>
      <c r="S24" s="30">
        <f t="shared" si="15"/>
        <v>11474382.628800001</v>
      </c>
      <c r="T24" s="30">
        <f t="shared" si="15"/>
        <v>13626403.09083144</v>
      </c>
      <c r="U24" s="30">
        <f t="shared" si="15"/>
        <v>15905419.007772995</v>
      </c>
      <c r="V24" s="30">
        <f t="shared" si="15"/>
        <v>17521409.578962736</v>
      </c>
      <c r="W24" s="30">
        <f t="shared" si="15"/>
        <v>18765429.659069095</v>
      </c>
    </row>
    <row r="25" spans="1:23" s="81" customFormat="1">
      <c r="A25" s="80"/>
      <c r="E25" s="82"/>
      <c r="F25" s="83">
        <f>F24/E24-1</f>
        <v>0.80141691175910545</v>
      </c>
      <c r="G25" s="83">
        <f t="shared" ref="G25:I25" si="16">G24/F24-1</f>
        <v>0.54732914707630465</v>
      </c>
      <c r="H25" s="83">
        <f t="shared" si="16"/>
        <v>0.42559825991979605</v>
      </c>
      <c r="I25" s="83">
        <f t="shared" si="16"/>
        <v>0.31578826309527552</v>
      </c>
      <c r="J25" s="82"/>
      <c r="K25" s="82"/>
      <c r="L25" s="83">
        <f t="shared" ref="L25" si="17">L24/K24-1</f>
        <v>-0.31892015099326931</v>
      </c>
      <c r="M25" s="84"/>
      <c r="N25" s="83">
        <f>N24/I24-1</f>
        <v>-0.28036878082442929</v>
      </c>
      <c r="O25" s="83">
        <f t="shared" ref="O25" si="18">O24/N24-1</f>
        <v>0.35000000000000009</v>
      </c>
      <c r="P25" s="83">
        <f t="shared" ref="P25" si="19">P24/O24-1</f>
        <v>0.30000000000000027</v>
      </c>
      <c r="Q25" s="83">
        <f t="shared" ref="Q25" si="20">Q24/P24-1</f>
        <v>0.30000000000000004</v>
      </c>
      <c r="R25" s="83">
        <f t="shared" ref="R25" si="21">R24/Q24-1</f>
        <v>0.20000000000000018</v>
      </c>
      <c r="S25" s="83">
        <f t="shared" ref="S25" si="22">S24/R24-1</f>
        <v>0.21199999999999974</v>
      </c>
      <c r="T25" s="83">
        <f t="shared" ref="T25" si="23">T24/S24-1</f>
        <v>0.18754999999999988</v>
      </c>
      <c r="U25" s="83">
        <f t="shared" ref="U25" si="24">U24/T24-1</f>
        <v>0.16724999999999968</v>
      </c>
      <c r="V25" s="83">
        <f t="shared" ref="V25" si="25">V24/U24-1</f>
        <v>0.10160000000000036</v>
      </c>
      <c r="W25" s="83">
        <f t="shared" ref="W25" si="26">W24/V24-1</f>
        <v>7.1000000000000174E-2</v>
      </c>
    </row>
    <row r="26" spans="1:23" s="85" customFormat="1">
      <c r="A26" s="37" t="s">
        <v>77</v>
      </c>
      <c r="E26" s="83">
        <f>E24/(E15*1000000)</f>
        <v>0.11346185185185186</v>
      </c>
      <c r="F26" s="83">
        <f>F24/(F15*1000000)</f>
        <v>0.11910618705035972</v>
      </c>
      <c r="G26" s="83">
        <f>G24/(G15*1000000)</f>
        <v>0.12198671428571428</v>
      </c>
      <c r="H26" s="83">
        <f>H24/(H15*1000000)</f>
        <v>0.12421717687074831</v>
      </c>
      <c r="I26" s="83">
        <f>I24/(I15*1000000)</f>
        <v>0.12645365789473684</v>
      </c>
      <c r="J26" s="36"/>
      <c r="K26" s="83">
        <f>K24/(K15*1000000)</f>
        <v>0.12537094915254238</v>
      </c>
      <c r="L26" s="83">
        <f>L24/(L15*1000000)</f>
        <v>0.13994083333333332</v>
      </c>
      <c r="N26" s="36">
        <f t="shared" ref="N26:W26" si="27">IF(case="A",N27,IF(case="B",N28,N29))</f>
        <v>0.14000000000000001</v>
      </c>
      <c r="O26" s="36">
        <f t="shared" si="27"/>
        <v>0.13500000000000001</v>
      </c>
      <c r="P26" s="36">
        <f t="shared" si="27"/>
        <v>0.13</v>
      </c>
      <c r="Q26" s="36">
        <f t="shared" si="27"/>
        <v>0.13</v>
      </c>
      <c r="R26" s="36">
        <f t="shared" si="27"/>
        <v>0.13</v>
      </c>
      <c r="S26" s="36">
        <f t="shared" si="27"/>
        <v>0.13</v>
      </c>
      <c r="T26" s="36">
        <f t="shared" si="27"/>
        <v>0.13</v>
      </c>
      <c r="U26" s="36">
        <f t="shared" si="27"/>
        <v>0.13</v>
      </c>
      <c r="V26" s="36">
        <f t="shared" si="27"/>
        <v>0.13</v>
      </c>
      <c r="W26" s="36">
        <f t="shared" si="27"/>
        <v>0.13</v>
      </c>
    </row>
    <row r="27" spans="1:23" s="74" customFormat="1">
      <c r="A27" s="73"/>
      <c r="E27" s="75"/>
      <c r="F27" s="75"/>
      <c r="G27" s="75"/>
      <c r="H27" s="76"/>
      <c r="I27" s="76"/>
      <c r="J27" s="76"/>
      <c r="K27" s="76"/>
      <c r="L27" s="76"/>
      <c r="M27" s="21" t="s">
        <v>25</v>
      </c>
      <c r="N27" s="27">
        <v>0.13500000000000001</v>
      </c>
      <c r="O27" s="27">
        <v>0.13</v>
      </c>
      <c r="P27" s="27">
        <v>0.12</v>
      </c>
      <c r="Q27" s="27">
        <f>P27</f>
        <v>0.12</v>
      </c>
      <c r="R27" s="27">
        <f t="shared" ref="R27:W27" si="28">Q27</f>
        <v>0.12</v>
      </c>
      <c r="S27" s="27">
        <f t="shared" si="28"/>
        <v>0.12</v>
      </c>
      <c r="T27" s="27">
        <f t="shared" si="28"/>
        <v>0.12</v>
      </c>
      <c r="U27" s="27">
        <f t="shared" si="28"/>
        <v>0.12</v>
      </c>
      <c r="V27" s="27">
        <f t="shared" si="28"/>
        <v>0.12</v>
      </c>
      <c r="W27" s="27">
        <f t="shared" si="28"/>
        <v>0.12</v>
      </c>
    </row>
    <row r="28" spans="1:23" s="74" customFormat="1">
      <c r="A28" s="73"/>
      <c r="E28" s="75"/>
      <c r="F28" s="75"/>
      <c r="G28" s="75"/>
      <c r="H28" s="76"/>
      <c r="I28" s="76"/>
      <c r="J28" s="76"/>
      <c r="K28" s="76"/>
      <c r="L28" s="76"/>
      <c r="M28" s="21" t="s">
        <v>24</v>
      </c>
      <c r="N28" s="27">
        <v>0.14000000000000001</v>
      </c>
      <c r="O28" s="27">
        <v>0.13500000000000001</v>
      </c>
      <c r="P28" s="27">
        <v>0.13</v>
      </c>
      <c r="Q28" s="27">
        <f t="shared" ref="Q28:W28" si="29">P28</f>
        <v>0.13</v>
      </c>
      <c r="R28" s="27">
        <f t="shared" si="29"/>
        <v>0.13</v>
      </c>
      <c r="S28" s="27">
        <f t="shared" si="29"/>
        <v>0.13</v>
      </c>
      <c r="T28" s="27">
        <f t="shared" si="29"/>
        <v>0.13</v>
      </c>
      <c r="U28" s="27">
        <f t="shared" si="29"/>
        <v>0.13</v>
      </c>
      <c r="V28" s="27">
        <f t="shared" si="29"/>
        <v>0.13</v>
      </c>
      <c r="W28" s="27">
        <f t="shared" si="29"/>
        <v>0.13</v>
      </c>
    </row>
    <row r="29" spans="1:23" s="74" customFormat="1">
      <c r="A29" s="73"/>
      <c r="E29" s="75"/>
      <c r="F29" s="75"/>
      <c r="G29" s="75"/>
      <c r="H29" s="76"/>
      <c r="I29" s="76"/>
      <c r="J29" s="76"/>
      <c r="K29" s="76"/>
      <c r="L29" s="76"/>
      <c r="M29" s="21" t="s">
        <v>81</v>
      </c>
      <c r="N29" s="27">
        <v>0.14000000000000001</v>
      </c>
      <c r="O29" s="27">
        <v>0.14000000000000001</v>
      </c>
      <c r="P29" s="27">
        <v>0.14000000000000001</v>
      </c>
      <c r="Q29" s="27">
        <v>0.14000000000000001</v>
      </c>
      <c r="R29" s="27">
        <v>0.14000000000000001</v>
      </c>
      <c r="S29" s="27">
        <v>0.14000000000000001</v>
      </c>
      <c r="T29" s="27">
        <v>0.14000000000000001</v>
      </c>
      <c r="U29" s="27">
        <v>0.14000000000000001</v>
      </c>
      <c r="V29" s="27">
        <v>0.14000000000000001</v>
      </c>
      <c r="W29" s="27">
        <v>0.14000000000000001</v>
      </c>
    </row>
    <row r="30" spans="1:23" s="74" customFormat="1">
      <c r="A30" s="73"/>
      <c r="E30" s="75"/>
      <c r="F30" s="75"/>
      <c r="G30" s="75"/>
      <c r="H30" s="76"/>
      <c r="I30" s="76"/>
      <c r="J30" s="76"/>
      <c r="K30" s="76"/>
      <c r="L30" s="76"/>
      <c r="N30" s="76"/>
      <c r="O30" s="76"/>
      <c r="P30" s="76"/>
      <c r="Q30" s="76"/>
      <c r="R30" s="76"/>
      <c r="S30" s="76"/>
      <c r="T30" s="76"/>
      <c r="U30" s="76"/>
      <c r="V30" s="76"/>
      <c r="W30" s="76"/>
    </row>
    <row r="31" spans="1:23" s="74" customFormat="1">
      <c r="A31" s="73"/>
      <c r="E31" s="75"/>
      <c r="F31" s="75"/>
      <c r="G31" s="75"/>
      <c r="H31" s="76"/>
      <c r="I31" s="76"/>
      <c r="J31" s="76"/>
      <c r="K31" s="76"/>
      <c r="L31" s="76"/>
      <c r="N31" s="76"/>
      <c r="O31" s="76"/>
      <c r="P31" s="76"/>
      <c r="Q31" s="76"/>
      <c r="R31" s="76"/>
      <c r="S31" s="76"/>
      <c r="T31" s="76"/>
      <c r="U31" s="76"/>
      <c r="V31" s="76"/>
      <c r="W31" s="76"/>
    </row>
    <row r="32" spans="1:23" s="3" customFormat="1">
      <c r="A32" s="2"/>
      <c r="E32" s="12"/>
      <c r="F32" s="12"/>
      <c r="G32" s="12"/>
      <c r="H32" s="12"/>
      <c r="I32" s="12"/>
      <c r="J32" s="12"/>
      <c r="K32" s="12"/>
      <c r="L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5" s="1" customFormat="1">
      <c r="A33" s="1" t="s">
        <v>26</v>
      </c>
    </row>
    <row r="34" spans="1:25" s="3" customFormat="1">
      <c r="A34"/>
      <c r="E34" s="9"/>
      <c r="F34" s="9"/>
      <c r="G34" s="9"/>
      <c r="H34" s="9"/>
      <c r="I34" s="9"/>
      <c r="J34" s="9"/>
      <c r="K34" s="9"/>
      <c r="L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5" s="3" customFormat="1">
      <c r="A35" s="4" t="s">
        <v>5</v>
      </c>
      <c r="E35" s="46">
        <v>226397</v>
      </c>
      <c r="F35" s="46">
        <v>412748</v>
      </c>
      <c r="G35" s="46">
        <v>647690</v>
      </c>
      <c r="H35" s="46">
        <v>864032</v>
      </c>
      <c r="I35" s="46">
        <v>1196313</v>
      </c>
      <c r="J35" s="46"/>
      <c r="K35" s="46">
        <v>902695</v>
      </c>
      <c r="L35" s="46">
        <v>666295</v>
      </c>
      <c r="N35" s="12">
        <f t="shared" ref="N35:W35" si="30">N36*N24</f>
        <v>914691.37155186606</v>
      </c>
      <c r="O35" s="12">
        <f t="shared" si="30"/>
        <v>1167075</v>
      </c>
      <c r="P35" s="12">
        <f t="shared" si="30"/>
        <v>1456509.6</v>
      </c>
      <c r="Q35" s="12">
        <f t="shared" si="30"/>
        <v>1893462.4800000002</v>
      </c>
      <c r="R35" s="12">
        <f t="shared" si="30"/>
        <v>2272154.9760000003</v>
      </c>
      <c r="S35" s="12">
        <f t="shared" si="30"/>
        <v>2753851.830912</v>
      </c>
      <c r="T35" s="12">
        <f t="shared" si="30"/>
        <v>3270336.7417995455</v>
      </c>
      <c r="U35" s="12">
        <f t="shared" si="30"/>
        <v>3817300.5618655188</v>
      </c>
      <c r="V35" s="12">
        <f t="shared" si="30"/>
        <v>4205138.2989510568</v>
      </c>
      <c r="W35" s="12">
        <f t="shared" si="30"/>
        <v>4503703.1181765823</v>
      </c>
    </row>
    <row r="36" spans="1:25" s="3" customFormat="1">
      <c r="A36" s="26" t="s">
        <v>27</v>
      </c>
      <c r="E36" s="25">
        <f>E35/E$24</f>
        <v>0.24634047882521018</v>
      </c>
      <c r="F36" s="25">
        <f>F35/F$24</f>
        <v>0.24930779378294926</v>
      </c>
      <c r="G36" s="25">
        <f>G35/G$24</f>
        <v>0.25283393468687654</v>
      </c>
      <c r="H36" s="25">
        <f t="shared" ref="H36:L36" si="31">H35/H$24</f>
        <v>0.23659242850121234</v>
      </c>
      <c r="I36" s="25">
        <f t="shared" si="31"/>
        <v>0.24896014537466293</v>
      </c>
      <c r="J36" s="25"/>
      <c r="K36" s="25">
        <f t="shared" si="31"/>
        <v>0.24407433073863785</v>
      </c>
      <c r="L36" s="25">
        <f t="shared" si="31"/>
        <v>0.26451456667202605</v>
      </c>
      <c r="M36" s="24"/>
      <c r="N36" s="25">
        <f t="shared" ref="N36:W36" si="32">IF(case="A",N37,IF(case="B",N38,N39))</f>
        <v>0.26451456667202605</v>
      </c>
      <c r="O36" s="25">
        <f t="shared" si="32"/>
        <v>0.25</v>
      </c>
      <c r="P36" s="25">
        <f t="shared" si="32"/>
        <v>0.24</v>
      </c>
      <c r="Q36" s="25">
        <f t="shared" si="32"/>
        <v>0.24</v>
      </c>
      <c r="R36" s="25">
        <f t="shared" si="32"/>
        <v>0.24</v>
      </c>
      <c r="S36" s="25">
        <f t="shared" si="32"/>
        <v>0.24</v>
      </c>
      <c r="T36" s="25">
        <f t="shared" si="32"/>
        <v>0.24</v>
      </c>
      <c r="U36" s="25">
        <f t="shared" si="32"/>
        <v>0.24</v>
      </c>
      <c r="V36" s="25">
        <f t="shared" si="32"/>
        <v>0.24</v>
      </c>
      <c r="W36" s="25">
        <f t="shared" si="32"/>
        <v>0.24</v>
      </c>
    </row>
    <row r="37" spans="1:25" s="3" customFormat="1">
      <c r="A37" s="26"/>
      <c r="E37" s="12"/>
      <c r="F37" s="12"/>
      <c r="G37" s="12"/>
      <c r="H37" s="25"/>
      <c r="I37" s="25"/>
      <c r="J37" s="25"/>
      <c r="K37" s="25"/>
      <c r="L37" s="25"/>
      <c r="M37" s="21" t="s">
        <v>25</v>
      </c>
      <c r="N37" s="27">
        <v>0.26</v>
      </c>
      <c r="O37" s="27">
        <f>N37</f>
        <v>0.26</v>
      </c>
      <c r="P37" s="27">
        <v>0.25</v>
      </c>
      <c r="Q37" s="27">
        <f t="shared" ref="Q37:W37" si="33">P37</f>
        <v>0.25</v>
      </c>
      <c r="R37" s="27">
        <f t="shared" si="33"/>
        <v>0.25</v>
      </c>
      <c r="S37" s="27">
        <f t="shared" si="33"/>
        <v>0.25</v>
      </c>
      <c r="T37" s="27">
        <f t="shared" si="33"/>
        <v>0.25</v>
      </c>
      <c r="U37" s="27">
        <f t="shared" si="33"/>
        <v>0.25</v>
      </c>
      <c r="V37" s="27">
        <f t="shared" si="33"/>
        <v>0.25</v>
      </c>
      <c r="W37" s="27">
        <f t="shared" si="33"/>
        <v>0.25</v>
      </c>
    </row>
    <row r="38" spans="1:25" s="3" customFormat="1">
      <c r="A38" s="26"/>
      <c r="E38" s="12"/>
      <c r="F38" s="12"/>
      <c r="G38" s="12"/>
      <c r="H38" s="25"/>
      <c r="I38" s="25"/>
      <c r="J38" s="25"/>
      <c r="K38" s="25"/>
      <c r="L38" s="25"/>
      <c r="M38" s="21" t="s">
        <v>24</v>
      </c>
      <c r="N38" s="27">
        <f>L36</f>
        <v>0.26451456667202605</v>
      </c>
      <c r="O38" s="27">
        <v>0.25</v>
      </c>
      <c r="P38" s="27">
        <v>0.24</v>
      </c>
      <c r="Q38" s="27">
        <f>P38</f>
        <v>0.24</v>
      </c>
      <c r="R38" s="27">
        <f t="shared" ref="R38:W38" si="34">Q38</f>
        <v>0.24</v>
      </c>
      <c r="S38" s="27">
        <f t="shared" si="34"/>
        <v>0.24</v>
      </c>
      <c r="T38" s="27">
        <f t="shared" si="34"/>
        <v>0.24</v>
      </c>
      <c r="U38" s="27">
        <f t="shared" si="34"/>
        <v>0.24</v>
      </c>
      <c r="V38" s="27">
        <f t="shared" si="34"/>
        <v>0.24</v>
      </c>
      <c r="W38" s="27">
        <f t="shared" si="34"/>
        <v>0.24</v>
      </c>
    </row>
    <row r="39" spans="1:25" s="3" customFormat="1">
      <c r="A39" s="26"/>
      <c r="E39" s="12"/>
      <c r="F39" s="12"/>
      <c r="G39" s="12"/>
      <c r="H39" s="25"/>
      <c r="I39" s="25"/>
      <c r="J39" s="25"/>
      <c r="K39" s="25"/>
      <c r="L39" s="25"/>
      <c r="M39" s="21" t="s">
        <v>81</v>
      </c>
      <c r="N39" s="27">
        <v>0.26</v>
      </c>
      <c r="O39" s="27">
        <v>0.24</v>
      </c>
      <c r="P39" s="27">
        <v>0.23499999999999999</v>
      </c>
      <c r="Q39" s="27">
        <f t="shared" ref="Q39:W39" si="35">P39</f>
        <v>0.23499999999999999</v>
      </c>
      <c r="R39" s="27">
        <f t="shared" si="35"/>
        <v>0.23499999999999999</v>
      </c>
      <c r="S39" s="27">
        <f t="shared" si="35"/>
        <v>0.23499999999999999</v>
      </c>
      <c r="T39" s="27">
        <f t="shared" si="35"/>
        <v>0.23499999999999999</v>
      </c>
      <c r="U39" s="27">
        <f t="shared" si="35"/>
        <v>0.23499999999999999</v>
      </c>
      <c r="V39" s="27">
        <f t="shared" si="35"/>
        <v>0.23499999999999999</v>
      </c>
      <c r="W39" s="27">
        <f t="shared" si="35"/>
        <v>0.23499999999999999</v>
      </c>
    </row>
    <row r="40" spans="1:25" s="3" customFormat="1">
      <c r="A40" s="26"/>
      <c r="E40" s="12"/>
      <c r="F40" s="12"/>
      <c r="G40" s="12"/>
      <c r="H40" s="25"/>
      <c r="I40" s="25"/>
      <c r="J40" s="25"/>
      <c r="K40" s="25"/>
      <c r="L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5" s="3" customFormat="1">
      <c r="A41" s="26"/>
      <c r="E41" s="12"/>
      <c r="F41" s="12"/>
      <c r="G41" s="12"/>
      <c r="H41" s="25"/>
      <c r="I41" s="25"/>
      <c r="J41" s="25"/>
      <c r="K41" s="25"/>
      <c r="L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5"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/>
      <c r="K42" s="10" t="s">
        <v>8</v>
      </c>
      <c r="L42" s="10" t="s">
        <v>8</v>
      </c>
      <c r="N42" s="10" t="s">
        <v>8</v>
      </c>
      <c r="O42" s="10" t="s">
        <v>8</v>
      </c>
      <c r="P42" s="10" t="s">
        <v>8</v>
      </c>
      <c r="Q42" s="10" t="s">
        <v>8</v>
      </c>
      <c r="R42" s="10" t="s">
        <v>8</v>
      </c>
      <c r="S42" s="10" t="s">
        <v>8</v>
      </c>
      <c r="T42" s="10" t="s">
        <v>8</v>
      </c>
      <c r="U42" s="10" t="s">
        <v>8</v>
      </c>
      <c r="V42" s="10" t="s">
        <v>8</v>
      </c>
      <c r="W42" s="10" t="s">
        <v>8</v>
      </c>
      <c r="Y42" s="3"/>
    </row>
    <row r="43" spans="1:25" s="29" customFormat="1">
      <c r="A43" s="28" t="s">
        <v>3</v>
      </c>
      <c r="E43" s="30">
        <f>E24-E35</f>
        <v>692644</v>
      </c>
      <c r="F43" s="30">
        <f>F24-F35</f>
        <v>1242828</v>
      </c>
      <c r="G43" s="30">
        <f>G24-G35</f>
        <v>1914031</v>
      </c>
      <c r="H43" s="30">
        <f>H24-H35</f>
        <v>2787953</v>
      </c>
      <c r="I43" s="30">
        <f>I24-I35</f>
        <v>3608926</v>
      </c>
      <c r="J43" s="30"/>
      <c r="K43" s="30">
        <f>K24-K35</f>
        <v>2795748</v>
      </c>
      <c r="L43" s="30">
        <f>L24-L35</f>
        <v>1852640</v>
      </c>
      <c r="N43" s="30">
        <f t="shared" ref="N43:W43" si="36">N24-N35</f>
        <v>2543308.6284481338</v>
      </c>
      <c r="O43" s="30">
        <f t="shared" si="36"/>
        <v>3501225</v>
      </c>
      <c r="P43" s="30">
        <f t="shared" si="36"/>
        <v>4612280.4000000004</v>
      </c>
      <c r="Q43" s="30">
        <f t="shared" si="36"/>
        <v>5995964.5200000005</v>
      </c>
      <c r="R43" s="30">
        <f t="shared" si="36"/>
        <v>7195157.4240000024</v>
      </c>
      <c r="S43" s="30">
        <f t="shared" si="36"/>
        <v>8720530.7978880014</v>
      </c>
      <c r="T43" s="30">
        <f t="shared" si="36"/>
        <v>10356066.349031895</v>
      </c>
      <c r="U43" s="30">
        <f t="shared" si="36"/>
        <v>12088118.445907477</v>
      </c>
      <c r="V43" s="30">
        <f t="shared" si="36"/>
        <v>13316271.28001168</v>
      </c>
      <c r="W43" s="30">
        <f t="shared" si="36"/>
        <v>14261726.540892512</v>
      </c>
    </row>
    <row r="44" spans="1:25" s="29" customFormat="1">
      <c r="A44" s="35" t="s">
        <v>27</v>
      </c>
      <c r="E44" s="36">
        <f>E43/E$24</f>
        <v>0.75365952117478985</v>
      </c>
      <c r="F44" s="36">
        <f>F43/F$24</f>
        <v>0.75069220621705079</v>
      </c>
      <c r="G44" s="36">
        <f>G43/G$24</f>
        <v>0.74716606531312346</v>
      </c>
      <c r="H44" s="36">
        <f t="shared" ref="H44" si="37">H43/H$24</f>
        <v>0.76340757149878768</v>
      </c>
      <c r="I44" s="36">
        <f t="shared" ref="I44:K44" si="38">I43/I$24</f>
        <v>0.75103985462533707</v>
      </c>
      <c r="J44" s="36"/>
      <c r="K44" s="36">
        <f t="shared" si="38"/>
        <v>0.75592566926136218</v>
      </c>
      <c r="L44" s="36">
        <f t="shared" ref="L44" si="39">L43/L$24</f>
        <v>0.73548543332797389</v>
      </c>
      <c r="N44" s="36">
        <f t="shared" ref="N44" si="40">N43/N$24</f>
        <v>0.73548543332797389</v>
      </c>
      <c r="O44" s="36">
        <f t="shared" ref="O44" si="41">O43/O$24</f>
        <v>0.75</v>
      </c>
      <c r="P44" s="36">
        <f t="shared" ref="P44" si="42">P43/P$24</f>
        <v>0.7599999999999999</v>
      </c>
      <c r="Q44" s="36">
        <f t="shared" ref="Q44" si="43">Q43/Q$24</f>
        <v>0.76</v>
      </c>
      <c r="R44" s="36">
        <f t="shared" ref="R44" si="44">R43/R$24</f>
        <v>0.76000000000000012</v>
      </c>
      <c r="S44" s="36">
        <f t="shared" ref="S44" si="45">S43/S$24</f>
        <v>0.76</v>
      </c>
      <c r="T44" s="36">
        <f t="shared" ref="T44" si="46">T43/T$24</f>
        <v>0.76000000000000012</v>
      </c>
      <c r="U44" s="36">
        <f t="shared" ref="U44" si="47">U43/U$24</f>
        <v>0.76</v>
      </c>
      <c r="V44" s="36">
        <f t="shared" ref="V44" si="48">V43/V$24</f>
        <v>0.76</v>
      </c>
      <c r="W44" s="36">
        <f t="shared" ref="W44" si="49">W43/W$24</f>
        <v>0.76</v>
      </c>
    </row>
    <row r="45" spans="1:25" s="3" customFormat="1">
      <c r="A45" s="2"/>
      <c r="E45" s="12"/>
      <c r="F45" s="12"/>
      <c r="G45" s="12"/>
      <c r="H45" s="12"/>
      <c r="I45" s="12"/>
      <c r="J45" s="12"/>
      <c r="K45" s="12"/>
      <c r="L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5" s="3" customFormat="1">
      <c r="A46" s="2"/>
      <c r="E46" s="12"/>
      <c r="F46" s="12"/>
      <c r="G46" s="12"/>
      <c r="H46" s="12"/>
      <c r="I46" s="12"/>
      <c r="J46" s="12"/>
      <c r="K46" s="12"/>
      <c r="L46" s="12"/>
      <c r="N46" s="12"/>
      <c r="O46" s="90"/>
      <c r="P46" s="12"/>
      <c r="Q46" s="12"/>
      <c r="R46" s="12"/>
      <c r="S46" s="12"/>
      <c r="T46" s="12"/>
      <c r="U46" s="12"/>
      <c r="V46" s="12"/>
      <c r="W46" s="12"/>
    </row>
    <row r="47" spans="1:25" s="3" customFormat="1">
      <c r="A47" t="s">
        <v>70</v>
      </c>
      <c r="E47" s="70">
        <v>181285</v>
      </c>
      <c r="F47" s="9">
        <v>270292</v>
      </c>
      <c r="G47" s="9">
        <v>395739</v>
      </c>
      <c r="H47" s="9">
        <v>609202</v>
      </c>
      <c r="I47" s="9">
        <v>815074</v>
      </c>
      <c r="J47" s="9"/>
      <c r="K47" s="9">
        <v>600788</v>
      </c>
      <c r="L47" s="9">
        <v>548369</v>
      </c>
      <c r="N47" s="15">
        <f>N48*N$24</f>
        <v>726180</v>
      </c>
      <c r="O47" s="15">
        <f t="shared" ref="O47" si="50">O48*O$24</f>
        <v>816952.5</v>
      </c>
      <c r="P47" s="15">
        <f t="shared" ref="P47" si="51">P48*P$24</f>
        <v>1031694.3000000003</v>
      </c>
      <c r="Q47" s="15">
        <f t="shared" ref="Q47" si="52">Q48*Q$24</f>
        <v>1262308.32</v>
      </c>
      <c r="R47" s="15">
        <f t="shared" ref="R47" si="53">R48*R$24</f>
        <v>1420096.8600000003</v>
      </c>
      <c r="S47" s="15">
        <f t="shared" ref="S47" si="54">S48*S$24</f>
        <v>1721157.3943200002</v>
      </c>
      <c r="T47" s="15">
        <f t="shared" ref="T47" si="55">T48*T$24</f>
        <v>2043960.4636247158</v>
      </c>
      <c r="U47" s="15">
        <f t="shared" ref="U47" si="56">U48*U$24</f>
        <v>2385812.8511659494</v>
      </c>
      <c r="V47" s="15">
        <f t="shared" ref="V47" si="57">V48*V$24</f>
        <v>2628211.4368444104</v>
      </c>
      <c r="W47" s="15">
        <f t="shared" ref="W47" si="58">W48*W$24</f>
        <v>2814814.448860364</v>
      </c>
    </row>
    <row r="48" spans="1:25" s="23" customFormat="1">
      <c r="A48" s="26" t="s">
        <v>27</v>
      </c>
      <c r="E48" s="25">
        <f>E47/E$24</f>
        <v>0.19725452944971988</v>
      </c>
      <c r="F48" s="25">
        <f t="shared" ref="F48:I48" si="59">F47/F$24</f>
        <v>0.16326160804457179</v>
      </c>
      <c r="G48" s="25">
        <f t="shared" si="59"/>
        <v>0.15448169414233634</v>
      </c>
      <c r="H48" s="25">
        <f t="shared" si="59"/>
        <v>0.16681393817334955</v>
      </c>
      <c r="I48" s="25">
        <f t="shared" si="59"/>
        <v>0.1696219480446238</v>
      </c>
      <c r="J48" s="25"/>
      <c r="K48" s="25">
        <f t="shared" ref="K48" si="60">K47/K$24</f>
        <v>0.16244349311318304</v>
      </c>
      <c r="L48" s="25">
        <f t="shared" ref="L48" si="61">L47/L$24</f>
        <v>0.21769874966999941</v>
      </c>
      <c r="M48" s="24"/>
      <c r="N48" s="25">
        <f t="shared" ref="N48:W48" si="62">IF(case="A",N49,IF(case="B",N50,N51))</f>
        <v>0.21</v>
      </c>
      <c r="O48" s="25">
        <f t="shared" si="62"/>
        <v>0.17499999999999999</v>
      </c>
      <c r="P48" s="25">
        <f t="shared" si="62"/>
        <v>0.17</v>
      </c>
      <c r="Q48" s="25">
        <f t="shared" si="62"/>
        <v>0.16</v>
      </c>
      <c r="R48" s="25">
        <f t="shared" si="62"/>
        <v>0.15</v>
      </c>
      <c r="S48" s="25">
        <f t="shared" si="62"/>
        <v>0.15</v>
      </c>
      <c r="T48" s="25">
        <f t="shared" si="62"/>
        <v>0.15</v>
      </c>
      <c r="U48" s="25">
        <f t="shared" si="62"/>
        <v>0.15</v>
      </c>
      <c r="V48" s="25">
        <f t="shared" si="62"/>
        <v>0.15</v>
      </c>
      <c r="W48" s="25">
        <f t="shared" si="62"/>
        <v>0.15</v>
      </c>
    </row>
    <row r="49" spans="1:23">
      <c r="E49" s="9"/>
      <c r="F49" s="9"/>
      <c r="G49" s="9"/>
      <c r="H49" s="9"/>
      <c r="I49" s="9"/>
      <c r="J49" s="9"/>
      <c r="K49" s="9"/>
      <c r="L49" s="9"/>
      <c r="M49" s="21" t="s">
        <v>25</v>
      </c>
      <c r="N49" s="27">
        <v>0.22</v>
      </c>
      <c r="O49" s="27">
        <v>0.17499999999999999</v>
      </c>
      <c r="P49" s="27">
        <v>0.17499999999999999</v>
      </c>
      <c r="Q49" s="27">
        <v>0.17</v>
      </c>
      <c r="R49" s="27">
        <f t="shared" ref="R49:W51" si="63">Q49</f>
        <v>0.17</v>
      </c>
      <c r="S49" s="27">
        <f t="shared" si="63"/>
        <v>0.17</v>
      </c>
      <c r="T49" s="27">
        <f t="shared" si="63"/>
        <v>0.17</v>
      </c>
      <c r="U49" s="27">
        <f t="shared" si="63"/>
        <v>0.17</v>
      </c>
      <c r="V49" s="27">
        <f t="shared" si="63"/>
        <v>0.17</v>
      </c>
      <c r="W49" s="27">
        <f t="shared" si="63"/>
        <v>0.17</v>
      </c>
    </row>
    <row r="50" spans="1:23">
      <c r="E50" s="9"/>
      <c r="F50" s="9"/>
      <c r="G50" s="9"/>
      <c r="H50" s="9"/>
      <c r="I50" s="9"/>
      <c r="J50" s="9"/>
      <c r="K50" s="9"/>
      <c r="L50" s="9"/>
      <c r="M50" s="21" t="s">
        <v>24</v>
      </c>
      <c r="N50" s="27">
        <v>0.21</v>
      </c>
      <c r="O50" s="27">
        <v>0.17499999999999999</v>
      </c>
      <c r="P50" s="27">
        <v>0.17</v>
      </c>
      <c r="Q50" s="27">
        <v>0.16</v>
      </c>
      <c r="R50" s="27">
        <v>0.15</v>
      </c>
      <c r="S50" s="27">
        <f t="shared" si="63"/>
        <v>0.15</v>
      </c>
      <c r="T50" s="27">
        <f t="shared" si="63"/>
        <v>0.15</v>
      </c>
      <c r="U50" s="27">
        <f t="shared" si="63"/>
        <v>0.15</v>
      </c>
      <c r="V50" s="27">
        <f t="shared" si="63"/>
        <v>0.15</v>
      </c>
      <c r="W50" s="27">
        <f t="shared" si="63"/>
        <v>0.15</v>
      </c>
    </row>
    <row r="51" spans="1:23">
      <c r="E51" s="9"/>
      <c r="F51" s="9"/>
      <c r="G51" s="9"/>
      <c r="H51" s="9"/>
      <c r="I51" s="9"/>
      <c r="J51" s="9"/>
      <c r="K51" s="9"/>
      <c r="L51" s="9"/>
      <c r="M51" s="21" t="s">
        <v>81</v>
      </c>
      <c r="N51" s="27">
        <v>0.21</v>
      </c>
      <c r="O51" s="27">
        <v>0.17499999999999999</v>
      </c>
      <c r="P51" s="27">
        <v>0.16</v>
      </c>
      <c r="Q51" s="27">
        <v>0.15</v>
      </c>
      <c r="R51" s="27">
        <v>0.14000000000000001</v>
      </c>
      <c r="S51" s="27">
        <f t="shared" si="63"/>
        <v>0.14000000000000001</v>
      </c>
      <c r="T51" s="27">
        <f t="shared" si="63"/>
        <v>0.14000000000000001</v>
      </c>
      <c r="U51" s="27">
        <f t="shared" si="63"/>
        <v>0.14000000000000001</v>
      </c>
      <c r="V51" s="27">
        <f t="shared" si="63"/>
        <v>0.14000000000000001</v>
      </c>
      <c r="W51" s="27">
        <f t="shared" si="63"/>
        <v>0.14000000000000001</v>
      </c>
    </row>
    <row r="52" spans="1:23" s="3" customFormat="1">
      <c r="A52"/>
      <c r="E52" s="9"/>
      <c r="F52" s="9"/>
      <c r="G52" s="9"/>
      <c r="H52" s="9"/>
      <c r="I52" s="9"/>
      <c r="J52" s="9"/>
      <c r="K52" s="9"/>
      <c r="L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s="3" customFormat="1">
      <c r="A53" t="s">
        <v>71</v>
      </c>
      <c r="E53" s="9">
        <v>99685</v>
      </c>
      <c r="F53" s="9">
        <v>228061</v>
      </c>
      <c r="G53" s="9">
        <v>400749</v>
      </c>
      <c r="H53" s="9">
        <v>579193</v>
      </c>
      <c r="I53" s="9">
        <v>976695</v>
      </c>
      <c r="J53" s="9"/>
      <c r="K53" s="9">
        <v>693796</v>
      </c>
      <c r="L53" s="9">
        <v>690677</v>
      </c>
      <c r="N53" s="15">
        <f>I53*(1+N54)</f>
        <v>976695</v>
      </c>
      <c r="O53" s="15">
        <f>N53*(1+O54)</f>
        <v>1074364.5</v>
      </c>
      <c r="P53" s="15">
        <f t="shared" ref="P53" si="64">O53*(1+P54)</f>
        <v>1181800.9500000002</v>
      </c>
      <c r="Q53" s="15">
        <f t="shared" ref="Q53" si="65">P53*(1+Q54)</f>
        <v>1276345.0260000003</v>
      </c>
      <c r="R53" s="15">
        <f t="shared" ref="R53" si="66">Q53*(1+R54)</f>
        <v>1378452.6280800004</v>
      </c>
      <c r="S53" s="15">
        <f t="shared" ref="S53" si="67">R53*(1+S54)</f>
        <v>1461159.7857648004</v>
      </c>
      <c r="T53" s="15">
        <f t="shared" ref="T53" si="68">S53*(1+T54)</f>
        <v>1534217.7750530404</v>
      </c>
      <c r="U53" s="15">
        <f t="shared" ref="U53" si="69">T53*(1+U54)</f>
        <v>1580244.3083046316</v>
      </c>
      <c r="V53" s="15">
        <f t="shared" ref="V53" si="70">U53*(1+V54)</f>
        <v>1627651.6375537706</v>
      </c>
      <c r="W53" s="15">
        <f t="shared" ref="W53" si="71">V53*(1+W54)</f>
        <v>1676481.1866803837</v>
      </c>
    </row>
    <row r="54" spans="1:23" s="3" customFormat="1">
      <c r="A54" s="26" t="s">
        <v>21</v>
      </c>
      <c r="B54" s="23"/>
      <c r="C54" s="23"/>
      <c r="D54" s="23"/>
      <c r="E54" s="25"/>
      <c r="F54" s="25">
        <f>F53/E53-1</f>
        <v>1.2878166223604355</v>
      </c>
      <c r="G54" s="25">
        <f>G53/F53-1</f>
        <v>0.7572009243141089</v>
      </c>
      <c r="H54" s="25">
        <f>H53/G53-1</f>
        <v>0.44527622027753022</v>
      </c>
      <c r="I54" s="25">
        <f>I53/H53-1</f>
        <v>0.68630318391278911</v>
      </c>
      <c r="J54" s="25"/>
      <c r="K54" s="25"/>
      <c r="L54" s="25">
        <f>L53/K53-1</f>
        <v>-4.4955577720252604E-3</v>
      </c>
      <c r="M54" s="24"/>
      <c r="N54" s="25">
        <f t="shared" ref="N54:W54" si="72">IF(case="A",N55,IF(case="B",N56,N57))</f>
        <v>0</v>
      </c>
      <c r="O54" s="25">
        <f t="shared" si="72"/>
        <v>0.1</v>
      </c>
      <c r="P54" s="25">
        <f t="shared" si="72"/>
        <v>0.1</v>
      </c>
      <c r="Q54" s="25">
        <f t="shared" si="72"/>
        <v>0.08</v>
      </c>
      <c r="R54" s="25">
        <f t="shared" si="72"/>
        <v>0.08</v>
      </c>
      <c r="S54" s="25">
        <f t="shared" si="72"/>
        <v>0.06</v>
      </c>
      <c r="T54" s="25">
        <f t="shared" si="72"/>
        <v>0.05</v>
      </c>
      <c r="U54" s="25">
        <f t="shared" si="72"/>
        <v>0.03</v>
      </c>
      <c r="V54" s="25">
        <f t="shared" si="72"/>
        <v>0.03</v>
      </c>
      <c r="W54" s="25">
        <f t="shared" si="72"/>
        <v>0.03</v>
      </c>
    </row>
    <row r="55" spans="1:23" s="3" customFormat="1">
      <c r="A55"/>
      <c r="E55" s="9"/>
      <c r="F55" s="9"/>
      <c r="G55" s="9"/>
      <c r="H55" s="9"/>
      <c r="I55" s="9"/>
      <c r="J55" s="9"/>
      <c r="K55" s="9"/>
      <c r="L55" s="9"/>
      <c r="M55" s="21" t="s">
        <v>25</v>
      </c>
      <c r="N55" s="27">
        <v>0</v>
      </c>
      <c r="O55" s="27">
        <v>0.2</v>
      </c>
      <c r="P55" s="27">
        <v>0.18</v>
      </c>
      <c r="Q55" s="27">
        <v>0.15</v>
      </c>
      <c r="R55" s="27">
        <v>0.1</v>
      </c>
      <c r="S55" s="27">
        <v>0.1</v>
      </c>
      <c r="T55" s="27">
        <v>0.05</v>
      </c>
      <c r="U55" s="27">
        <v>0.03</v>
      </c>
      <c r="V55" s="27">
        <v>0.03</v>
      </c>
      <c r="W55" s="27">
        <v>0.03</v>
      </c>
    </row>
    <row r="56" spans="1:23" s="3" customFormat="1">
      <c r="A56"/>
      <c r="E56" s="9"/>
      <c r="F56" s="9"/>
      <c r="G56" s="9"/>
      <c r="H56" s="9"/>
      <c r="I56" s="9"/>
      <c r="J56" s="9"/>
      <c r="K56" s="9"/>
      <c r="L56" s="9"/>
      <c r="M56" s="21" t="s">
        <v>24</v>
      </c>
      <c r="N56" s="27">
        <v>0</v>
      </c>
      <c r="O56" s="27">
        <v>0.1</v>
      </c>
      <c r="P56" s="27">
        <v>0.1</v>
      </c>
      <c r="Q56" s="27">
        <v>0.08</v>
      </c>
      <c r="R56" s="27">
        <v>0.08</v>
      </c>
      <c r="S56" s="27">
        <v>0.06</v>
      </c>
      <c r="T56" s="27">
        <v>0.05</v>
      </c>
      <c r="U56" s="27">
        <v>0.03</v>
      </c>
      <c r="V56" s="27">
        <v>0.03</v>
      </c>
      <c r="W56" s="27">
        <v>0.03</v>
      </c>
    </row>
    <row r="57" spans="1:23" s="3" customFormat="1">
      <c r="A57"/>
      <c r="E57" s="9"/>
      <c r="F57" s="9"/>
      <c r="G57" s="9"/>
      <c r="H57" s="9"/>
      <c r="I57" s="9"/>
      <c r="J57" s="9"/>
      <c r="K57" s="9"/>
      <c r="L57" s="9"/>
      <c r="M57" s="21" t="s">
        <v>81</v>
      </c>
      <c r="N57" s="27">
        <v>0</v>
      </c>
      <c r="O57" s="27">
        <v>0.1</v>
      </c>
      <c r="P57" s="27">
        <v>0.08</v>
      </c>
      <c r="Q57" s="27">
        <v>0.08</v>
      </c>
      <c r="R57" s="27">
        <v>0.08</v>
      </c>
      <c r="S57" s="27">
        <v>0.06</v>
      </c>
      <c r="T57" s="27">
        <v>0.05</v>
      </c>
      <c r="U57" s="27">
        <v>0.04</v>
      </c>
      <c r="V57" s="27">
        <v>0.03</v>
      </c>
      <c r="W57" s="27">
        <v>0.02</v>
      </c>
    </row>
    <row r="58" spans="1:23" s="3" customFormat="1">
      <c r="A58"/>
      <c r="E58" s="9"/>
      <c r="F58" s="9"/>
      <c r="G58" s="9"/>
      <c r="H58" s="9"/>
      <c r="I58" s="9"/>
      <c r="J58" s="9"/>
      <c r="K58" s="9"/>
      <c r="L58" s="9"/>
      <c r="N58" s="33"/>
      <c r="O58" s="33"/>
      <c r="P58" s="33"/>
      <c r="Q58" s="33"/>
      <c r="R58" s="33"/>
      <c r="S58" s="33"/>
      <c r="T58" s="33"/>
      <c r="U58" s="33"/>
      <c r="V58" s="33"/>
      <c r="W58" s="33"/>
    </row>
    <row r="59" spans="1:23" s="3" customFormat="1">
      <c r="A59" t="s">
        <v>72</v>
      </c>
      <c r="E59" s="9">
        <v>397238</v>
      </c>
      <c r="F59" s="9">
        <v>663057</v>
      </c>
      <c r="G59" s="9">
        <v>871749</v>
      </c>
      <c r="H59" s="9">
        <v>1101327</v>
      </c>
      <c r="I59" s="9">
        <v>1621519</v>
      </c>
      <c r="J59" s="9"/>
      <c r="K59" s="9">
        <v>1184506</v>
      </c>
      <c r="L59" s="9">
        <v>545510</v>
      </c>
      <c r="N59" s="15">
        <f>N60*N$24</f>
        <v>748877.43431251706</v>
      </c>
      <c r="O59" s="15">
        <f t="shared" ref="O59:W59" si="73">O60*O$24</f>
        <v>1010984.536321898</v>
      </c>
      <c r="P59" s="15">
        <f t="shared" si="73"/>
        <v>1314279.8972184674</v>
      </c>
      <c r="Q59" s="15">
        <f t="shared" si="73"/>
        <v>1577885.4000000004</v>
      </c>
      <c r="R59" s="15">
        <f t="shared" si="73"/>
        <v>1798789.3560000004</v>
      </c>
      <c r="S59" s="15">
        <f t="shared" si="73"/>
        <v>2180132.6994720004</v>
      </c>
      <c r="T59" s="15">
        <f t="shared" si="73"/>
        <v>2589016.5872579738</v>
      </c>
      <c r="U59" s="15">
        <f t="shared" si="73"/>
        <v>3022029.6114768693</v>
      </c>
      <c r="V59" s="15">
        <f t="shared" si="73"/>
        <v>3329067.82000292</v>
      </c>
      <c r="W59" s="15">
        <f t="shared" si="73"/>
        <v>3565431.6352231279</v>
      </c>
    </row>
    <row r="60" spans="1:23" s="3" customFormat="1">
      <c r="A60" s="26" t="s">
        <v>27</v>
      </c>
      <c r="B60" s="23"/>
      <c r="C60" s="23"/>
      <c r="D60" s="23"/>
      <c r="E60" s="25">
        <f>E59/E$24</f>
        <v>0.43223098860660186</v>
      </c>
      <c r="F60" s="25">
        <f t="shared" ref="F60" si="74">F59/F$24</f>
        <v>0.40049928242496874</v>
      </c>
      <c r="G60" s="25">
        <f t="shared" ref="G60" si="75">G59/G$24</f>
        <v>0.3402981823547529</v>
      </c>
      <c r="H60" s="25">
        <f t="shared" ref="H60" si="76">H59/H$24</f>
        <v>0.30156942046585622</v>
      </c>
      <c r="I60" s="25">
        <f t="shared" ref="I60" si="77">I59/I$24</f>
        <v>0.33744814774041415</v>
      </c>
      <c r="J60" s="25"/>
      <c r="K60" s="25">
        <f t="shared" ref="K60" si="78">K59/K$24</f>
        <v>0.32027153047917734</v>
      </c>
      <c r="L60" s="25">
        <f t="shared" ref="L60" si="79">L59/L$24</f>
        <v>0.21656374618638433</v>
      </c>
      <c r="M60" s="24"/>
      <c r="N60" s="25">
        <f t="shared" ref="N60:W60" si="80">IF(case="A",N61,IF(case="B",N62,N63))</f>
        <v>0.21656374618638433</v>
      </c>
      <c r="O60" s="25">
        <f t="shared" si="80"/>
        <v>0.21656374618638433</v>
      </c>
      <c r="P60" s="25">
        <f t="shared" si="80"/>
        <v>0.21656374618638433</v>
      </c>
      <c r="Q60" s="25">
        <f t="shared" si="80"/>
        <v>0.2</v>
      </c>
      <c r="R60" s="25">
        <f t="shared" si="80"/>
        <v>0.19</v>
      </c>
      <c r="S60" s="25">
        <f t="shared" si="80"/>
        <v>0.19</v>
      </c>
      <c r="T60" s="25">
        <f t="shared" si="80"/>
        <v>0.19</v>
      </c>
      <c r="U60" s="25">
        <f t="shared" si="80"/>
        <v>0.19</v>
      </c>
      <c r="V60" s="25">
        <f t="shared" si="80"/>
        <v>0.19</v>
      </c>
      <c r="W60" s="25">
        <f t="shared" si="80"/>
        <v>0.19</v>
      </c>
    </row>
    <row r="61" spans="1:23" s="3" customFormat="1">
      <c r="A61"/>
      <c r="E61" s="9"/>
      <c r="F61" s="9"/>
      <c r="G61" s="9"/>
      <c r="H61" s="9"/>
      <c r="I61" s="9"/>
      <c r="J61" s="9"/>
      <c r="K61" s="9"/>
      <c r="L61" s="9"/>
      <c r="M61" s="21" t="s">
        <v>25</v>
      </c>
      <c r="N61" s="27">
        <f>N62</f>
        <v>0.21656374618638433</v>
      </c>
      <c r="O61" s="27">
        <v>0.33</v>
      </c>
      <c r="P61" s="27">
        <f>O61</f>
        <v>0.33</v>
      </c>
      <c r="Q61" s="27">
        <v>0.25</v>
      </c>
      <c r="R61" s="27">
        <v>0.2</v>
      </c>
      <c r="S61" s="27">
        <v>0.2</v>
      </c>
      <c r="T61" s="27">
        <f t="shared" ref="T61:W61" si="81">S61</f>
        <v>0.2</v>
      </c>
      <c r="U61" s="27">
        <f t="shared" si="81"/>
        <v>0.2</v>
      </c>
      <c r="V61" s="27">
        <f t="shared" si="81"/>
        <v>0.2</v>
      </c>
      <c r="W61" s="27">
        <f t="shared" si="81"/>
        <v>0.2</v>
      </c>
    </row>
    <row r="62" spans="1:23" s="3" customFormat="1">
      <c r="A62"/>
      <c r="E62" s="9"/>
      <c r="F62" s="9"/>
      <c r="G62" s="9"/>
      <c r="H62" s="9"/>
      <c r="I62" s="9"/>
      <c r="J62" s="9"/>
      <c r="K62" s="9"/>
      <c r="L62" s="9"/>
      <c r="M62" s="21" t="s">
        <v>24</v>
      </c>
      <c r="N62" s="27">
        <f>L60</f>
        <v>0.21656374618638433</v>
      </c>
      <c r="O62" s="27">
        <f>N62</f>
        <v>0.21656374618638433</v>
      </c>
      <c r="P62" s="27">
        <f t="shared" ref="P62:S63" si="82">O62</f>
        <v>0.21656374618638433</v>
      </c>
      <c r="Q62" s="27">
        <v>0.2</v>
      </c>
      <c r="R62" s="27">
        <v>0.19</v>
      </c>
      <c r="S62" s="27">
        <f>R62</f>
        <v>0.19</v>
      </c>
      <c r="T62" s="27">
        <f t="shared" ref="T62:W62" si="83">S62</f>
        <v>0.19</v>
      </c>
      <c r="U62" s="27">
        <f t="shared" si="83"/>
        <v>0.19</v>
      </c>
      <c r="V62" s="27">
        <f t="shared" si="83"/>
        <v>0.19</v>
      </c>
      <c r="W62" s="27">
        <f t="shared" si="83"/>
        <v>0.19</v>
      </c>
    </row>
    <row r="63" spans="1:23" s="3" customFormat="1">
      <c r="A63"/>
      <c r="E63" s="9"/>
      <c r="F63" s="9"/>
      <c r="G63" s="9"/>
      <c r="H63" s="9"/>
      <c r="I63" s="9"/>
      <c r="J63" s="9"/>
      <c r="K63" s="9"/>
      <c r="L63" s="9"/>
      <c r="M63" s="21" t="s">
        <v>81</v>
      </c>
      <c r="N63" s="27">
        <f>N62</f>
        <v>0.21656374618638433</v>
      </c>
      <c r="O63" s="27">
        <v>0.2</v>
      </c>
      <c r="P63" s="27">
        <v>0.18</v>
      </c>
      <c r="Q63" s="27">
        <v>0.16</v>
      </c>
      <c r="R63" s="27">
        <v>0.15</v>
      </c>
      <c r="S63" s="27">
        <f t="shared" si="82"/>
        <v>0.15</v>
      </c>
      <c r="T63" s="27">
        <f t="shared" ref="T63:W63" si="84">S63</f>
        <v>0.15</v>
      </c>
      <c r="U63" s="27">
        <f t="shared" si="84"/>
        <v>0.15</v>
      </c>
      <c r="V63" s="27">
        <f t="shared" si="84"/>
        <v>0.15</v>
      </c>
      <c r="W63" s="27">
        <f t="shared" si="84"/>
        <v>0.15</v>
      </c>
    </row>
    <row r="64" spans="1:23" s="3" customFormat="1">
      <c r="A64"/>
      <c r="E64" s="9"/>
      <c r="F64" s="9"/>
      <c r="G64" s="9"/>
      <c r="H64" s="9"/>
      <c r="I64" s="9"/>
      <c r="J64" s="9"/>
      <c r="K64" s="9"/>
      <c r="L64" s="9"/>
      <c r="N64" s="33"/>
      <c r="O64" s="33"/>
      <c r="P64" s="33"/>
      <c r="Q64" s="33"/>
      <c r="R64" s="33"/>
      <c r="S64" s="33"/>
      <c r="T64" s="33"/>
      <c r="U64" s="33"/>
      <c r="V64" s="33"/>
      <c r="W64" s="33"/>
    </row>
    <row r="65" spans="1:25" s="3" customFormat="1">
      <c r="A65" t="s">
        <v>73</v>
      </c>
      <c r="E65" s="9">
        <v>138133</v>
      </c>
      <c r="F65" s="9">
        <v>214411</v>
      </c>
      <c r="G65" s="9">
        <v>327156</v>
      </c>
      <c r="H65" s="9">
        <v>479487</v>
      </c>
      <c r="I65" s="9">
        <v>697181</v>
      </c>
      <c r="J65" s="9"/>
      <c r="K65" s="9">
        <v>490262</v>
      </c>
      <c r="L65" s="9">
        <v>421082</v>
      </c>
      <c r="N65" s="15">
        <f>I65*(1+N66)</f>
        <v>801758.14999999991</v>
      </c>
      <c r="O65" s="15">
        <f>N65*(1+O66)</f>
        <v>881933.96499999997</v>
      </c>
      <c r="P65" s="15">
        <f t="shared" ref="P65" si="85">O65*(1+P66)</f>
        <v>970127.3615</v>
      </c>
      <c r="Q65" s="15">
        <f t="shared" ref="Q65" si="86">P65*(1+Q66)</f>
        <v>1067140.0976500001</v>
      </c>
      <c r="R65" s="15">
        <f t="shared" ref="R65" si="87">Q65*(1+R66)</f>
        <v>1152511.3054620002</v>
      </c>
      <c r="S65" s="15">
        <f t="shared" ref="S65" si="88">R65*(1+S66)</f>
        <v>1221661.9837897203</v>
      </c>
      <c r="T65" s="15">
        <f t="shared" ref="T65" si="89">S65*(1+T66)</f>
        <v>1282745.0829792065</v>
      </c>
      <c r="U65" s="15">
        <f t="shared" ref="U65" si="90">T65*(1+U66)</f>
        <v>1321227.4354685827</v>
      </c>
      <c r="V65" s="15">
        <f t="shared" ref="V65" si="91">U65*(1+V66)</f>
        <v>1360864.2585326403</v>
      </c>
      <c r="W65" s="15">
        <f t="shared" ref="W65" si="92">V65*(1+W66)</f>
        <v>1401690.1862886196</v>
      </c>
    </row>
    <row r="66" spans="1:25" s="3" customFormat="1">
      <c r="A66" s="26" t="s">
        <v>21</v>
      </c>
      <c r="B66" s="23"/>
      <c r="C66" s="23"/>
      <c r="D66" s="23"/>
      <c r="E66" s="25">
        <f>E65/E$24</f>
        <v>0.15030123792083269</v>
      </c>
      <c r="F66" s="25">
        <f t="shared" ref="F66" si="93">F65/F$24</f>
        <v>0.12950840070162892</v>
      </c>
      <c r="G66" s="25">
        <f t="shared" ref="G66" si="94">G65/G$24</f>
        <v>0.12770945782151921</v>
      </c>
      <c r="H66" s="25">
        <f t="shared" ref="H66" si="95">H65/H$24</f>
        <v>0.13129489852778695</v>
      </c>
      <c r="I66" s="25">
        <f t="shared" ref="I66" si="96">I65/I$24</f>
        <v>0.14508768450435036</v>
      </c>
      <c r="J66" s="25"/>
      <c r="K66" s="25">
        <f t="shared" ref="K66" si="97">K65/K$24</f>
        <v>0.13255902551425019</v>
      </c>
      <c r="L66" s="25">
        <f t="shared" ref="L66" si="98">L65/L$24</f>
        <v>0.16716667956894482</v>
      </c>
      <c r="M66" s="24"/>
      <c r="N66" s="25">
        <f t="shared" ref="N66:W66" si="99">IF(case="A",N67,IF(case="B",N68,N69))</f>
        <v>0.15</v>
      </c>
      <c r="O66" s="25">
        <f t="shared" si="99"/>
        <v>0.1</v>
      </c>
      <c r="P66" s="25">
        <f t="shared" si="99"/>
        <v>0.1</v>
      </c>
      <c r="Q66" s="25">
        <f t="shared" si="99"/>
        <v>0.1</v>
      </c>
      <c r="R66" s="25">
        <f t="shared" si="99"/>
        <v>0.08</v>
      </c>
      <c r="S66" s="25">
        <f t="shared" si="99"/>
        <v>0.06</v>
      </c>
      <c r="T66" s="25">
        <f t="shared" si="99"/>
        <v>0.05</v>
      </c>
      <c r="U66" s="25">
        <f t="shared" si="99"/>
        <v>0.03</v>
      </c>
      <c r="V66" s="25">
        <f t="shared" si="99"/>
        <v>0.03</v>
      </c>
      <c r="W66" s="25">
        <f t="shared" si="99"/>
        <v>0.03</v>
      </c>
    </row>
    <row r="67" spans="1:25" s="3" customFormat="1">
      <c r="A67"/>
      <c r="E67" s="9"/>
      <c r="F67" s="9"/>
      <c r="G67" s="9"/>
      <c r="H67" s="9"/>
      <c r="I67" s="9"/>
      <c r="J67" s="9"/>
      <c r="K67" s="9"/>
      <c r="L67" s="9"/>
      <c r="M67" s="21" t="s">
        <v>25</v>
      </c>
      <c r="N67" s="27">
        <v>0.15</v>
      </c>
      <c r="O67" s="27">
        <v>0.1</v>
      </c>
      <c r="P67" s="27">
        <v>0.05</v>
      </c>
      <c r="Q67" s="27">
        <v>0.03</v>
      </c>
      <c r="R67" s="27">
        <v>0.03</v>
      </c>
      <c r="S67" s="27">
        <v>0.03</v>
      </c>
      <c r="T67" s="27">
        <v>0.03</v>
      </c>
      <c r="U67" s="27">
        <v>0.03</v>
      </c>
      <c r="V67" s="27">
        <v>0.03</v>
      </c>
      <c r="W67" s="27">
        <v>0.03</v>
      </c>
    </row>
    <row r="68" spans="1:25" s="3" customFormat="1">
      <c r="A68"/>
      <c r="E68" s="9"/>
      <c r="F68" s="9"/>
      <c r="G68" s="9"/>
      <c r="H68" s="9"/>
      <c r="I68" s="9"/>
      <c r="J68" s="9"/>
      <c r="K68" s="9"/>
      <c r="L68" s="9"/>
      <c r="M68" s="21" t="s">
        <v>24</v>
      </c>
      <c r="N68" s="27">
        <v>0.15</v>
      </c>
      <c r="O68" s="27">
        <v>0.1</v>
      </c>
      <c r="P68" s="27">
        <v>0.1</v>
      </c>
      <c r="Q68" s="27">
        <v>0.1</v>
      </c>
      <c r="R68" s="27">
        <v>0.08</v>
      </c>
      <c r="S68" s="27">
        <v>0.06</v>
      </c>
      <c r="T68" s="27">
        <v>0.05</v>
      </c>
      <c r="U68" s="27">
        <v>0.03</v>
      </c>
      <c r="V68" s="27">
        <v>0.03</v>
      </c>
      <c r="W68" s="27">
        <v>0.03</v>
      </c>
    </row>
    <row r="69" spans="1:25" s="3" customFormat="1">
      <c r="A69"/>
      <c r="E69" s="9"/>
      <c r="F69" s="9"/>
      <c r="G69" s="9"/>
      <c r="H69" s="9"/>
      <c r="I69" s="9"/>
      <c r="J69" s="9"/>
      <c r="K69" s="9"/>
      <c r="L69" s="9"/>
      <c r="M69" s="21" t="s">
        <v>81</v>
      </c>
      <c r="N69" s="27">
        <v>0.15</v>
      </c>
      <c r="O69" s="27">
        <v>0.1</v>
      </c>
      <c r="P69" s="27">
        <v>0.1</v>
      </c>
      <c r="Q69" s="27">
        <v>0.05</v>
      </c>
      <c r="R69" s="27">
        <v>0.05</v>
      </c>
      <c r="S69" s="27">
        <v>0.05</v>
      </c>
      <c r="T69" s="27">
        <v>0.05</v>
      </c>
      <c r="U69" s="27">
        <v>0.03</v>
      </c>
      <c r="V69" s="27">
        <v>0.03</v>
      </c>
      <c r="W69" s="27">
        <v>0.03</v>
      </c>
    </row>
    <row r="70" spans="1:25" s="3" customFormat="1">
      <c r="A70"/>
      <c r="E70" s="9"/>
      <c r="F70" s="9"/>
      <c r="G70" s="9"/>
      <c r="H70" s="9"/>
      <c r="I70" s="9"/>
      <c r="J70" s="9"/>
      <c r="K70" s="9"/>
      <c r="L70" s="9"/>
      <c r="N70" s="33"/>
      <c r="O70" s="33"/>
      <c r="P70" s="33"/>
      <c r="Q70" s="33"/>
      <c r="R70" s="33"/>
      <c r="S70" s="33"/>
      <c r="T70" s="33"/>
      <c r="U70" s="33"/>
      <c r="V70" s="33"/>
      <c r="W70" s="33"/>
    </row>
    <row r="71" spans="1:25" s="3" customFormat="1">
      <c r="A71" t="s">
        <v>6</v>
      </c>
      <c r="E71" s="9"/>
      <c r="F71" s="9"/>
      <c r="G71" s="9"/>
      <c r="H71" s="9"/>
      <c r="I71" s="9"/>
      <c r="J71" s="9"/>
      <c r="K71" s="9"/>
      <c r="L71" s="9">
        <v>136969</v>
      </c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5">
      <c r="E72" s="10" t="s">
        <v>8</v>
      </c>
      <c r="F72" s="10" t="s">
        <v>8</v>
      </c>
      <c r="G72" s="10" t="s">
        <v>8</v>
      </c>
      <c r="H72" s="10" t="s">
        <v>8</v>
      </c>
      <c r="I72" s="10" t="s">
        <v>8</v>
      </c>
      <c r="J72" s="10"/>
      <c r="K72" s="10" t="s">
        <v>8</v>
      </c>
      <c r="L72" s="10" t="s">
        <v>8</v>
      </c>
      <c r="N72" s="10" t="s">
        <v>8</v>
      </c>
      <c r="O72" s="10" t="s">
        <v>8</v>
      </c>
      <c r="P72" s="10" t="s">
        <v>8</v>
      </c>
      <c r="Q72" s="10" t="s">
        <v>8</v>
      </c>
      <c r="R72" s="10" t="s">
        <v>8</v>
      </c>
      <c r="S72" s="10" t="s">
        <v>8</v>
      </c>
      <c r="T72" s="10" t="s">
        <v>8</v>
      </c>
      <c r="U72" s="10" t="s">
        <v>8</v>
      </c>
      <c r="V72" s="10" t="s">
        <v>8</v>
      </c>
      <c r="W72" s="10" t="s">
        <v>8</v>
      </c>
    </row>
    <row r="73" spans="1:25" s="3" customFormat="1">
      <c r="A73" s="2" t="s">
        <v>7</v>
      </c>
      <c r="E73" s="12">
        <f>SUM(E47,E53,E59,E65,E71)</f>
        <v>816341</v>
      </c>
      <c r="F73" s="12">
        <f t="shared" ref="F73:W73" si="100">SUM(F47,F53,F59,F65,F71)</f>
        <v>1375821</v>
      </c>
      <c r="G73" s="12">
        <f t="shared" si="100"/>
        <v>1995393</v>
      </c>
      <c r="H73" s="12">
        <f t="shared" si="100"/>
        <v>2769209</v>
      </c>
      <c r="I73" s="12">
        <f t="shared" si="100"/>
        <v>4110469</v>
      </c>
      <c r="J73" s="12"/>
      <c r="K73" s="12">
        <f t="shared" si="100"/>
        <v>2969352</v>
      </c>
      <c r="L73" s="12">
        <f t="shared" si="100"/>
        <v>2342607</v>
      </c>
      <c r="N73" s="12">
        <f t="shared" si="100"/>
        <v>3253510.5843125167</v>
      </c>
      <c r="O73" s="12">
        <f t="shared" si="100"/>
        <v>3784235.5013218978</v>
      </c>
      <c r="P73" s="12">
        <f t="shared" si="100"/>
        <v>4497902.5087184673</v>
      </c>
      <c r="Q73" s="12">
        <f t="shared" si="100"/>
        <v>5183678.8436500011</v>
      </c>
      <c r="R73" s="12">
        <f t="shared" si="100"/>
        <v>5749850.1495420011</v>
      </c>
      <c r="S73" s="12">
        <f t="shared" si="100"/>
        <v>6584111.8633465217</v>
      </c>
      <c r="T73" s="12">
        <f t="shared" si="100"/>
        <v>7449939.9089149367</v>
      </c>
      <c r="U73" s="12">
        <f t="shared" si="100"/>
        <v>8309314.2064160332</v>
      </c>
      <c r="V73" s="12">
        <f t="shared" si="100"/>
        <v>8945795.152933741</v>
      </c>
      <c r="W73" s="12">
        <f t="shared" si="100"/>
        <v>9458417.4570524953</v>
      </c>
    </row>
    <row r="74" spans="1:25">
      <c r="A74" s="38" t="s">
        <v>27</v>
      </c>
      <c r="B74" s="3"/>
      <c r="C74" s="3"/>
      <c r="D74" s="3"/>
      <c r="E74" s="25">
        <f t="shared" ref="E74:G74" si="101">E73/E$24</f>
        <v>0.88825308120094748</v>
      </c>
      <c r="F74" s="25">
        <f t="shared" ref="F74" si="102">F73/F$24</f>
        <v>0.83102255649997347</v>
      </c>
      <c r="G74" s="25">
        <f t="shared" si="101"/>
        <v>0.77892674494997693</v>
      </c>
      <c r="H74" s="25">
        <f t="shared" ref="H74" si="103">H73/H$24</f>
        <v>0.75827502029718086</v>
      </c>
      <c r="I74" s="25">
        <f>I73/I$24</f>
        <v>0.85541405952960925</v>
      </c>
      <c r="J74" s="25"/>
      <c r="K74" s="25">
        <f>K73/K$24</f>
        <v>0.80286542201677846</v>
      </c>
      <c r="L74" s="25">
        <f>L73/L$24</f>
        <v>0.92999898766740707</v>
      </c>
      <c r="N74" s="25">
        <f t="shared" ref="N74" si="104">N73/N$24</f>
        <v>0.94086483062825821</v>
      </c>
      <c r="O74" s="25">
        <f t="shared" ref="O74" si="105">O73/O$24</f>
        <v>0.8106238890649482</v>
      </c>
      <c r="P74" s="25">
        <f t="shared" ref="P74" si="106">P73/P$24</f>
        <v>0.74115309785286143</v>
      </c>
      <c r="Q74" s="25">
        <f t="shared" ref="Q74" si="107">Q73/Q$24</f>
        <v>0.65704123298814987</v>
      </c>
      <c r="R74" s="25">
        <f t="shared" ref="R74" si="108">R73/R$24</f>
        <v>0.60733710968933485</v>
      </c>
      <c r="S74" s="25">
        <f t="shared" ref="S74" si="109">S73/S$24</f>
        <v>0.57380968339166261</v>
      </c>
      <c r="T74" s="25">
        <f t="shared" ref="T74" si="110">T73/T$24</f>
        <v>0.54672827886088649</v>
      </c>
      <c r="U74" s="25">
        <f t="shared" ref="U74" si="111">U73/U$24</f>
        <v>0.52242032745916733</v>
      </c>
      <c r="V74" s="25">
        <f t="shared" ref="V74" si="112">V73/V$24</f>
        <v>0.51056366855750024</v>
      </c>
      <c r="W74" s="25">
        <f t="shared" ref="W74" si="113">W73/W$24</f>
        <v>0.50403415370142413</v>
      </c>
    </row>
    <row r="75" spans="1:25"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/>
      <c r="K75" s="10" t="s">
        <v>8</v>
      </c>
      <c r="L75" s="10" t="s">
        <v>8</v>
      </c>
      <c r="N75" s="10" t="s">
        <v>8</v>
      </c>
      <c r="O75" s="10" t="s">
        <v>8</v>
      </c>
      <c r="P75" s="10" t="s">
        <v>8</v>
      </c>
      <c r="Q75" s="10" t="s">
        <v>8</v>
      </c>
      <c r="R75" s="10" t="s">
        <v>8</v>
      </c>
      <c r="S75" s="10" t="s">
        <v>8</v>
      </c>
      <c r="T75" s="10" t="s">
        <v>8</v>
      </c>
      <c r="U75" s="10" t="s">
        <v>8</v>
      </c>
      <c r="V75" s="10" t="s">
        <v>8</v>
      </c>
      <c r="W75" s="10" t="s">
        <v>8</v>
      </c>
    </row>
    <row r="76" spans="1:25" s="3" customFormat="1">
      <c r="A76" s="2" t="s">
        <v>39</v>
      </c>
      <c r="E76" s="12">
        <f>E43-E73</f>
        <v>-123697</v>
      </c>
      <c r="F76" s="12">
        <f>F43-F73</f>
        <v>-132993</v>
      </c>
      <c r="G76" s="12">
        <f>G43-G73</f>
        <v>-81362</v>
      </c>
      <c r="H76" s="12">
        <f>H43-H73</f>
        <v>18744</v>
      </c>
      <c r="I76" s="12">
        <f>I43-I73</f>
        <v>-501543</v>
      </c>
      <c r="J76" s="12"/>
      <c r="K76" s="12">
        <f>K43-K73</f>
        <v>-173604</v>
      </c>
      <c r="L76" s="12">
        <f>L43-L73</f>
        <v>-489967</v>
      </c>
      <c r="N76" s="12">
        <f t="shared" ref="N76:W76" si="114">N43-N73</f>
        <v>-710201.95586438291</v>
      </c>
      <c r="O76" s="12">
        <f t="shared" si="114"/>
        <v>-283010.50132189784</v>
      </c>
      <c r="P76" s="12">
        <f t="shared" si="114"/>
        <v>114377.89128153306</v>
      </c>
      <c r="Q76" s="12">
        <f t="shared" si="114"/>
        <v>812285.67634999938</v>
      </c>
      <c r="R76" s="12">
        <f t="shared" si="114"/>
        <v>1445307.2744580014</v>
      </c>
      <c r="S76" s="12">
        <f t="shared" si="114"/>
        <v>2136418.9345414797</v>
      </c>
      <c r="T76" s="12">
        <f t="shared" si="114"/>
        <v>2906126.4401169587</v>
      </c>
      <c r="U76" s="12">
        <f t="shared" si="114"/>
        <v>3778804.2394914441</v>
      </c>
      <c r="V76" s="12">
        <f t="shared" si="114"/>
        <v>4370476.127077939</v>
      </c>
      <c r="W76" s="12">
        <f t="shared" si="114"/>
        <v>4803309.0838400163</v>
      </c>
    </row>
    <row r="77" spans="1:25">
      <c r="A77" s="38" t="s">
        <v>27</v>
      </c>
      <c r="B77" s="3"/>
      <c r="C77" s="3"/>
      <c r="D77" s="3"/>
      <c r="E77" s="25">
        <f t="shared" ref="E77:G77" si="115">E76/E$24</f>
        <v>-0.13459356002615769</v>
      </c>
      <c r="F77" s="25">
        <f t="shared" ref="F77" si="116">F76/F$24</f>
        <v>-8.033035028292268E-2</v>
      </c>
      <c r="G77" s="25">
        <f t="shared" si="115"/>
        <v>-3.1760679636853507E-2</v>
      </c>
      <c r="H77" s="25">
        <f t="shared" ref="H77" si="117">H76/H$24</f>
        <v>5.1325512016067972E-3</v>
      </c>
      <c r="I77" s="25">
        <f>I76/I$24</f>
        <v>-0.1043742049042722</v>
      </c>
      <c r="J77" s="25"/>
      <c r="K77" s="25">
        <f>K76/K$24</f>
        <v>-4.6939752755416266E-2</v>
      </c>
      <c r="L77" s="25">
        <f>L76/L$24</f>
        <v>-0.19451355433943313</v>
      </c>
      <c r="N77" s="25">
        <f t="shared" ref="N77" si="118">N76/N$24</f>
        <v>-0.20537939730028423</v>
      </c>
      <c r="O77" s="25">
        <f t="shared" ref="O77" si="119">O76/O$24</f>
        <v>-6.0623889064948235E-2</v>
      </c>
      <c r="P77" s="25">
        <f t="shared" ref="P77" si="120">P76/P$24</f>
        <v>1.8846902147138564E-2</v>
      </c>
      <c r="Q77" s="25">
        <f t="shared" ref="Q77" si="121">Q76/Q$24</f>
        <v>0.10295876701185007</v>
      </c>
      <c r="R77" s="25">
        <f t="shared" ref="R77" si="122">R76/R$24</f>
        <v>0.15266289031066527</v>
      </c>
      <c r="S77" s="25">
        <f t="shared" ref="S77" si="123">S76/S$24</f>
        <v>0.18619031660833746</v>
      </c>
      <c r="T77" s="25">
        <f t="shared" ref="T77" si="124">T76/T$24</f>
        <v>0.21327172113911361</v>
      </c>
      <c r="U77" s="25">
        <f t="shared" ref="U77" si="125">U76/U$24</f>
        <v>0.23757967254083268</v>
      </c>
      <c r="V77" s="25">
        <f t="shared" ref="V77" si="126">V76/V$24</f>
        <v>0.24943633144249974</v>
      </c>
      <c r="W77" s="25">
        <f t="shared" ref="W77" si="127">W76/W$24</f>
        <v>0.25596584629857583</v>
      </c>
    </row>
    <row r="78" spans="1:25" s="3" customFormat="1">
      <c r="A78" s="2"/>
      <c r="E78" s="12"/>
      <c r="F78" s="12"/>
      <c r="G78" s="12"/>
      <c r="H78" s="12"/>
      <c r="I78" s="12"/>
      <c r="J78" s="12"/>
      <c r="K78" s="12"/>
      <c r="L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5" s="3" customFormat="1">
      <c r="A79" t="s">
        <v>9</v>
      </c>
      <c r="E79" s="9">
        <v>3961</v>
      </c>
      <c r="F79" s="9">
        <v>11530</v>
      </c>
      <c r="G79" s="9">
        <v>32102</v>
      </c>
      <c r="H79" s="9">
        <v>66793</v>
      </c>
      <c r="I79" s="9">
        <v>85902</v>
      </c>
      <c r="J79" s="9"/>
      <c r="K79" s="9">
        <v>68661</v>
      </c>
      <c r="L79" s="9">
        <v>23830</v>
      </c>
      <c r="N79" s="9">
        <f>$L$129*2%</f>
        <v>53287.8</v>
      </c>
      <c r="O79" s="9">
        <f>$L$129*2%</f>
        <v>53287.8</v>
      </c>
      <c r="P79" s="9">
        <f t="shared" ref="P79:W79" si="128">$L$129*2%</f>
        <v>53287.8</v>
      </c>
      <c r="Q79" s="9">
        <f t="shared" si="128"/>
        <v>53287.8</v>
      </c>
      <c r="R79" s="9">
        <f t="shared" si="128"/>
        <v>53287.8</v>
      </c>
      <c r="S79" s="9">
        <f t="shared" si="128"/>
        <v>53287.8</v>
      </c>
      <c r="T79" s="9">
        <f t="shared" si="128"/>
        <v>53287.8</v>
      </c>
      <c r="U79" s="9">
        <f t="shared" si="128"/>
        <v>53287.8</v>
      </c>
      <c r="V79" s="9">
        <f t="shared" si="128"/>
        <v>53287.8</v>
      </c>
      <c r="W79" s="9">
        <f t="shared" si="128"/>
        <v>53287.8</v>
      </c>
    </row>
    <row r="80" spans="1:25" s="3" customFormat="1">
      <c r="A80" t="s">
        <v>10</v>
      </c>
      <c r="E80" s="9">
        <v>-7902</v>
      </c>
      <c r="F80" s="9">
        <v>-12254</v>
      </c>
      <c r="G80" s="9">
        <v>-16403</v>
      </c>
      <c r="H80" s="9">
        <v>-26143</v>
      </c>
      <c r="I80" s="9">
        <v>-9968</v>
      </c>
      <c r="J80" s="9"/>
      <c r="K80" s="9">
        <v>-6801</v>
      </c>
      <c r="L80" s="9">
        <v>-107548</v>
      </c>
      <c r="N80" s="103">
        <f>-$L$130*9%</f>
        <v>-197224.28999999998</v>
      </c>
      <c r="O80" s="103">
        <f>-$L$130*5%</f>
        <v>-109569.05</v>
      </c>
      <c r="P80" s="103">
        <f t="shared" ref="P80:W80" si="129">-$L$130*5%</f>
        <v>-109569.05</v>
      </c>
      <c r="Q80" s="103">
        <f t="shared" si="129"/>
        <v>-109569.05</v>
      </c>
      <c r="R80" s="103">
        <f t="shared" si="129"/>
        <v>-109569.05</v>
      </c>
      <c r="S80" s="103">
        <f t="shared" si="129"/>
        <v>-109569.05</v>
      </c>
      <c r="T80" s="103">
        <f t="shared" si="129"/>
        <v>-109569.05</v>
      </c>
      <c r="U80" s="103">
        <f t="shared" si="129"/>
        <v>-109569.05</v>
      </c>
      <c r="V80" s="103">
        <f t="shared" si="129"/>
        <v>-109569.05</v>
      </c>
      <c r="W80" s="103">
        <f t="shared" si="129"/>
        <v>-109569.05</v>
      </c>
      <c r="Y80" s="3" t="s">
        <v>93</v>
      </c>
    </row>
    <row r="81" spans="1:23" s="3" customFormat="1">
      <c r="A81" s="57" t="s">
        <v>56</v>
      </c>
      <c r="E81" s="56">
        <f>SUM(E79:E80)</f>
        <v>-3941</v>
      </c>
      <c r="F81" s="56">
        <f t="shared" ref="F81:I81" si="130">SUM(F79:F80)</f>
        <v>-724</v>
      </c>
      <c r="G81" s="56">
        <f t="shared" si="130"/>
        <v>15699</v>
      </c>
      <c r="H81" s="56">
        <f t="shared" si="130"/>
        <v>40650</v>
      </c>
      <c r="I81" s="56">
        <f t="shared" si="130"/>
        <v>75934</v>
      </c>
      <c r="J81" s="63"/>
      <c r="K81" s="56">
        <f t="shared" ref="K81" si="131">SUM(K79:K80)</f>
        <v>61860</v>
      </c>
      <c r="L81" s="56">
        <f>SUM(L79:L80)</f>
        <v>-83718</v>
      </c>
      <c r="N81" s="56">
        <f t="shared" ref="N81:W81" si="132">SUM(N79:N80)</f>
        <v>-143936.49</v>
      </c>
      <c r="O81" s="56">
        <f t="shared" si="132"/>
        <v>-56281.25</v>
      </c>
      <c r="P81" s="56">
        <f t="shared" si="132"/>
        <v>-56281.25</v>
      </c>
      <c r="Q81" s="56">
        <f t="shared" si="132"/>
        <v>-56281.25</v>
      </c>
      <c r="R81" s="56">
        <f t="shared" si="132"/>
        <v>-56281.25</v>
      </c>
      <c r="S81" s="56">
        <f t="shared" si="132"/>
        <v>-56281.25</v>
      </c>
      <c r="T81" s="56">
        <f t="shared" si="132"/>
        <v>-56281.25</v>
      </c>
      <c r="U81" s="56">
        <f t="shared" si="132"/>
        <v>-56281.25</v>
      </c>
      <c r="V81" s="56">
        <f t="shared" si="132"/>
        <v>-56281.25</v>
      </c>
      <c r="W81" s="56">
        <f t="shared" si="132"/>
        <v>-56281.25</v>
      </c>
    </row>
    <row r="82" spans="1:23" s="58" customFormat="1">
      <c r="A82" s="38" t="s">
        <v>57</v>
      </c>
      <c r="E82" s="59"/>
      <c r="F82" s="59"/>
      <c r="G82" s="59"/>
      <c r="H82" s="25"/>
      <c r="I82" s="25">
        <f>I81/H132</f>
        <v>-3.5468642056503012E-2</v>
      </c>
      <c r="J82" s="25"/>
      <c r="K82" s="25"/>
      <c r="L82" s="25"/>
      <c r="N82" s="102"/>
      <c r="O82" s="102"/>
      <c r="P82" s="102"/>
      <c r="Q82" s="102"/>
      <c r="R82" s="102"/>
      <c r="S82" s="102"/>
      <c r="T82" s="102"/>
      <c r="U82" s="102"/>
      <c r="V82" s="102"/>
      <c r="W82" s="102"/>
    </row>
    <row r="83" spans="1:23" s="3" customFormat="1">
      <c r="A83"/>
      <c r="E83" s="9"/>
      <c r="F83" s="9"/>
      <c r="G83" s="9"/>
      <c r="H83" s="9"/>
      <c r="I83" s="9"/>
      <c r="J83" s="9"/>
      <c r="K83" s="9"/>
      <c r="L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s="3" customFormat="1">
      <c r="A84" t="s">
        <v>11</v>
      </c>
      <c r="E84" s="9">
        <v>-3160</v>
      </c>
      <c r="F84" s="9">
        <v>-2630</v>
      </c>
      <c r="G84" s="9">
        <v>6564</v>
      </c>
      <c r="H84" s="70">
        <v>-12361</v>
      </c>
      <c r="I84" s="9">
        <v>13906</v>
      </c>
      <c r="J84" s="9"/>
      <c r="K84" s="9">
        <v>42130</v>
      </c>
      <c r="L84" s="70">
        <v>-115751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</row>
    <row r="85" spans="1:23">
      <c r="E85" s="10" t="s">
        <v>8</v>
      </c>
      <c r="F85" s="10" t="s">
        <v>8</v>
      </c>
      <c r="G85" s="10" t="s">
        <v>8</v>
      </c>
      <c r="H85" s="10" t="s">
        <v>8</v>
      </c>
      <c r="I85" s="10" t="s">
        <v>8</v>
      </c>
      <c r="J85" s="10"/>
      <c r="K85" s="10" t="s">
        <v>8</v>
      </c>
      <c r="L85" s="10" t="s">
        <v>8</v>
      </c>
      <c r="N85" s="10" t="s">
        <v>8</v>
      </c>
      <c r="O85" s="10" t="s">
        <v>8</v>
      </c>
      <c r="P85" s="10" t="s">
        <v>8</v>
      </c>
      <c r="Q85" s="10" t="s">
        <v>8</v>
      </c>
      <c r="R85" s="10" t="s">
        <v>8</v>
      </c>
      <c r="S85" s="10" t="s">
        <v>8</v>
      </c>
      <c r="T85" s="10" t="s">
        <v>8</v>
      </c>
      <c r="U85" s="10" t="s">
        <v>8</v>
      </c>
      <c r="V85" s="10" t="s">
        <v>8</v>
      </c>
      <c r="W85" s="10" t="s">
        <v>8</v>
      </c>
    </row>
    <row r="86" spans="1:23">
      <c r="A86" s="2" t="s">
        <v>60</v>
      </c>
      <c r="E86" s="12">
        <f>E76+SUM(E81,E84)</f>
        <v>-130798</v>
      </c>
      <c r="F86" s="12">
        <f>F76+SUM(F81,F84)</f>
        <v>-136347</v>
      </c>
      <c r="G86" s="12">
        <f>G76+SUM(G81,G84)</f>
        <v>-59099</v>
      </c>
      <c r="H86" s="12">
        <f t="shared" ref="H86:W86" si="133">H76+SUM(H81,H84)</f>
        <v>47033</v>
      </c>
      <c r="I86" s="12">
        <f t="shared" si="133"/>
        <v>-411703</v>
      </c>
      <c r="J86" s="12"/>
      <c r="K86" s="12">
        <f t="shared" ref="K86:L86" si="134">K76+SUM(K81,K84)</f>
        <v>-69614</v>
      </c>
      <c r="L86" s="12">
        <f t="shared" si="134"/>
        <v>-689436</v>
      </c>
      <c r="N86" s="12">
        <f t="shared" si="133"/>
        <v>-854138.4458643829</v>
      </c>
      <c r="O86" s="12">
        <f t="shared" si="133"/>
        <v>-339291.75132189784</v>
      </c>
      <c r="P86" s="12">
        <f t="shared" si="133"/>
        <v>58096.641281533055</v>
      </c>
      <c r="Q86" s="12">
        <f t="shared" si="133"/>
        <v>756004.42634999938</v>
      </c>
      <c r="R86" s="12">
        <f t="shared" si="133"/>
        <v>1389026.0244580014</v>
      </c>
      <c r="S86" s="12">
        <f t="shared" si="133"/>
        <v>2080137.6845414797</v>
      </c>
      <c r="T86" s="12">
        <f t="shared" si="133"/>
        <v>2849845.1901169587</v>
      </c>
      <c r="U86" s="12">
        <f t="shared" si="133"/>
        <v>3722522.9894914441</v>
      </c>
      <c r="V86" s="12">
        <f t="shared" si="133"/>
        <v>4314194.877077939</v>
      </c>
      <c r="W86" s="12">
        <f t="shared" si="133"/>
        <v>4747027.8338400163</v>
      </c>
    </row>
    <row r="87" spans="1:23">
      <c r="E87" s="5"/>
      <c r="F87" s="5"/>
      <c r="G87" s="5"/>
      <c r="H87" s="5"/>
      <c r="I87" s="5"/>
      <c r="J87" s="5"/>
      <c r="K87" s="5"/>
      <c r="L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t="s">
        <v>12</v>
      </c>
      <c r="E88" s="9">
        <v>4648</v>
      </c>
      <c r="F88" s="9">
        <v>11003</v>
      </c>
      <c r="G88" s="9">
        <v>10947</v>
      </c>
      <c r="H88" s="9">
        <v>63893</v>
      </c>
      <c r="I88" s="9">
        <v>262636</v>
      </c>
      <c r="J88" s="9"/>
      <c r="K88" s="9">
        <v>253187</v>
      </c>
      <c r="L88" s="9">
        <v>7429</v>
      </c>
      <c r="N88" s="86">
        <f>N89*N86</f>
        <v>0</v>
      </c>
      <c r="O88" s="86">
        <f t="shared" ref="O88:W88" si="135">O89*O86</f>
        <v>-16964.587566094891</v>
      </c>
      <c r="P88" s="86">
        <f t="shared" si="135"/>
        <v>4647.7313025226449</v>
      </c>
      <c r="Q88" s="86">
        <f t="shared" si="135"/>
        <v>75600.442634999941</v>
      </c>
      <c r="R88" s="86">
        <f t="shared" si="135"/>
        <v>208353.90366870019</v>
      </c>
      <c r="S88" s="86">
        <f t="shared" si="135"/>
        <v>416027.53690829594</v>
      </c>
      <c r="T88" s="86">
        <f t="shared" si="135"/>
        <v>712461.29752923967</v>
      </c>
      <c r="U88" s="86">
        <f t="shared" si="135"/>
        <v>930630.74737286102</v>
      </c>
      <c r="V88" s="86">
        <f t="shared" si="135"/>
        <v>1078548.7192694847</v>
      </c>
      <c r="W88" s="86">
        <f t="shared" si="135"/>
        <v>1186756.9584600041</v>
      </c>
    </row>
    <row r="89" spans="1:23" s="20" customFormat="1">
      <c r="A89" s="22" t="s">
        <v>28</v>
      </c>
      <c r="E89" s="25">
        <f>E88/E24</f>
        <v>5.0574457505160268E-3</v>
      </c>
      <c r="F89" s="25">
        <f>F88/F24</f>
        <v>6.6460253108283768E-3</v>
      </c>
      <c r="G89" s="25">
        <f>G88/G24</f>
        <v>4.2732990829212085E-3</v>
      </c>
      <c r="H89" s="25">
        <f>H88/H24</f>
        <v>1.7495416876027695E-2</v>
      </c>
      <c r="I89" s="25">
        <f>I88/I24</f>
        <v>5.4656178391959277E-2</v>
      </c>
      <c r="J89" s="25"/>
      <c r="K89" s="25">
        <f>K88/K24</f>
        <v>6.8457726670385355E-2</v>
      </c>
      <c r="L89" s="25">
        <f>L88/L24</f>
        <v>2.9492622874349676E-3</v>
      </c>
      <c r="N89" s="87">
        <v>0</v>
      </c>
      <c r="O89" s="87">
        <v>0.05</v>
      </c>
      <c r="P89" s="87">
        <v>0.08</v>
      </c>
      <c r="Q89" s="87">
        <v>0.1</v>
      </c>
      <c r="R89" s="87">
        <v>0.15</v>
      </c>
      <c r="S89" s="87">
        <v>0.2</v>
      </c>
      <c r="T89" s="87">
        <v>0.25</v>
      </c>
      <c r="U89" s="87">
        <v>0.25</v>
      </c>
      <c r="V89" s="87">
        <f t="shared" ref="V89:W89" si="136">U89</f>
        <v>0.25</v>
      </c>
      <c r="W89" s="87">
        <f t="shared" si="136"/>
        <v>0.25</v>
      </c>
    </row>
    <row r="90" spans="1:23">
      <c r="E90" s="10" t="s">
        <v>8</v>
      </c>
      <c r="F90" s="10" t="s">
        <v>8</v>
      </c>
      <c r="G90" s="10" t="s">
        <v>8</v>
      </c>
      <c r="H90" s="10" t="s">
        <v>8</v>
      </c>
      <c r="I90" s="10" t="s">
        <v>8</v>
      </c>
      <c r="J90" s="10"/>
      <c r="K90" s="10" t="s">
        <v>8</v>
      </c>
      <c r="L90" s="10" t="s">
        <v>8</v>
      </c>
      <c r="N90" s="10" t="s">
        <v>8</v>
      </c>
      <c r="O90" s="10" t="s">
        <v>8</v>
      </c>
      <c r="P90" s="10" t="s">
        <v>8</v>
      </c>
      <c r="Q90" s="10" t="s">
        <v>8</v>
      </c>
      <c r="R90" s="10" t="s">
        <v>8</v>
      </c>
      <c r="S90" s="10" t="s">
        <v>8</v>
      </c>
      <c r="T90" s="10" t="s">
        <v>8</v>
      </c>
      <c r="U90" s="10" t="s">
        <v>8</v>
      </c>
      <c r="V90" s="10" t="s">
        <v>8</v>
      </c>
      <c r="W90" s="10" t="s">
        <v>8</v>
      </c>
    </row>
    <row r="91" spans="1:23">
      <c r="A91" s="2" t="s">
        <v>61</v>
      </c>
      <c r="E91" s="13">
        <f t="shared" ref="E91:F91" si="137">E86-E88</f>
        <v>-135446</v>
      </c>
      <c r="F91" s="13">
        <f t="shared" si="137"/>
        <v>-147350</v>
      </c>
      <c r="G91" s="13">
        <f t="shared" ref="G91:H91" si="138">G86-G88</f>
        <v>-70046</v>
      </c>
      <c r="H91" s="13">
        <f t="shared" si="138"/>
        <v>-16860</v>
      </c>
      <c r="I91" s="13">
        <f>I86-I88</f>
        <v>-674339</v>
      </c>
      <c r="J91" s="13"/>
      <c r="K91" s="13">
        <f>K86-K88</f>
        <v>-322801</v>
      </c>
      <c r="L91" s="13">
        <f>L86-L88</f>
        <v>-696865</v>
      </c>
      <c r="N91" s="13">
        <f t="shared" ref="N91:W91" si="139">N86-N88</f>
        <v>-854138.4458643829</v>
      </c>
      <c r="O91" s="13">
        <f t="shared" si="139"/>
        <v>-322327.16375580296</v>
      </c>
      <c r="P91" s="13">
        <f t="shared" si="139"/>
        <v>53448.909979010408</v>
      </c>
      <c r="Q91" s="13">
        <f t="shared" si="139"/>
        <v>680403.9837149994</v>
      </c>
      <c r="R91" s="13">
        <f t="shared" si="139"/>
        <v>1180672.1207893011</v>
      </c>
      <c r="S91" s="13">
        <f t="shared" si="139"/>
        <v>1664110.1476331837</v>
      </c>
      <c r="T91" s="13">
        <f t="shared" si="139"/>
        <v>2137383.892587719</v>
      </c>
      <c r="U91" s="13">
        <f t="shared" si="139"/>
        <v>2791892.2421185831</v>
      </c>
      <c r="V91" s="13">
        <f t="shared" si="139"/>
        <v>3235646.1578084542</v>
      </c>
      <c r="W91" s="13">
        <f t="shared" si="139"/>
        <v>3560270.8753800122</v>
      </c>
    </row>
    <row r="92" spans="1:23" s="3" customFormat="1">
      <c r="A92" s="2"/>
    </row>
    <row r="93" spans="1:23" s="3" customFormat="1">
      <c r="A93" s="2"/>
    </row>
    <row r="94" spans="1:23" s="7" customFormat="1">
      <c r="A94" s="7" t="s">
        <v>13</v>
      </c>
      <c r="E94" s="9">
        <v>11481</v>
      </c>
      <c r="F94" s="9">
        <v>23404</v>
      </c>
      <c r="G94" s="9">
        <v>79342</v>
      </c>
      <c r="H94" s="9">
        <v>82401</v>
      </c>
      <c r="I94" s="9">
        <v>114162</v>
      </c>
      <c r="J94" s="9"/>
      <c r="K94" s="9">
        <v>76332</v>
      </c>
      <c r="L94" s="9">
        <v>93438</v>
      </c>
      <c r="N94" s="42">
        <f>N95*I126</f>
        <v>111160.43614256903</v>
      </c>
      <c r="O94" s="42">
        <f>O95*N126</f>
        <v>103455.8956855359</v>
      </c>
      <c r="P94" s="42">
        <f t="shared" ref="P94:W94" si="140">P95*O126</f>
        <v>110252.67286627622</v>
      </c>
      <c r="Q94" s="42">
        <f t="shared" si="140"/>
        <v>128032.29174034545</v>
      </c>
      <c r="R94" s="42">
        <f t="shared" si="140"/>
        <v>156789.61557680374</v>
      </c>
      <c r="S94" s="42">
        <f t="shared" si="140"/>
        <v>190135.83208841167</v>
      </c>
      <c r="T94" s="42">
        <f t="shared" si="140"/>
        <v>230512.03395270975</v>
      </c>
      <c r="U94" s="42">
        <f t="shared" si="140"/>
        <v>276720.65047612891</v>
      </c>
      <c r="V94" s="42">
        <f t="shared" si="140"/>
        <v>327833.02275820798</v>
      </c>
      <c r="W94" s="42">
        <f t="shared" si="140"/>
        <v>375653.02454390877</v>
      </c>
    </row>
    <row r="95" spans="1:23" s="3" customFormat="1">
      <c r="A95" s="22" t="s">
        <v>50</v>
      </c>
      <c r="E95" s="39"/>
      <c r="F95" s="25"/>
      <c r="G95" s="25"/>
      <c r="H95" s="25"/>
      <c r="I95" s="25">
        <f>I94/H126</f>
        <v>0.36896912814148308</v>
      </c>
      <c r="J95" s="25"/>
      <c r="K95" s="25"/>
      <c r="L95" s="25"/>
      <c r="M95" s="24"/>
      <c r="N95" s="25">
        <f t="shared" ref="N95:W95" si="141">IF(case="A",N96,IF(case="B",N97,N98))</f>
        <v>0.36896912814148308</v>
      </c>
      <c r="O95" s="25">
        <f t="shared" si="141"/>
        <v>0.36896912814148308</v>
      </c>
      <c r="P95" s="25">
        <f t="shared" si="141"/>
        <v>0.36896912814148308</v>
      </c>
      <c r="Q95" s="25">
        <f t="shared" si="141"/>
        <v>0.36896912814148308</v>
      </c>
      <c r="R95" s="25">
        <f t="shared" si="141"/>
        <v>0.36896912814148308</v>
      </c>
      <c r="S95" s="25">
        <f t="shared" si="141"/>
        <v>0.36896912814148308</v>
      </c>
      <c r="T95" s="25">
        <f t="shared" si="141"/>
        <v>0.36896912814148308</v>
      </c>
      <c r="U95" s="25">
        <f t="shared" si="141"/>
        <v>0.36896912814148308</v>
      </c>
      <c r="V95" s="25">
        <f t="shared" si="141"/>
        <v>0.36896912814148308</v>
      </c>
      <c r="W95" s="25">
        <f t="shared" si="141"/>
        <v>0.36896912814148308</v>
      </c>
    </row>
    <row r="96" spans="1:23" s="3" customFormat="1">
      <c r="A96" s="22"/>
      <c r="E96" s="34"/>
      <c r="F96" s="34"/>
      <c r="G96" s="34"/>
      <c r="H96" s="23"/>
      <c r="I96" s="23"/>
      <c r="J96" s="23"/>
      <c r="K96" s="23"/>
      <c r="L96" s="23"/>
      <c r="M96" s="21" t="s">
        <v>25</v>
      </c>
      <c r="N96" s="27">
        <f>N97</f>
        <v>0.36896912814148308</v>
      </c>
      <c r="O96" s="27">
        <f>N96</f>
        <v>0.36896912814148308</v>
      </c>
      <c r="P96" s="27">
        <f t="shared" ref="P96:W98" si="142">O96</f>
        <v>0.36896912814148308</v>
      </c>
      <c r="Q96" s="27">
        <f t="shared" si="142"/>
        <v>0.36896912814148308</v>
      </c>
      <c r="R96" s="27">
        <f t="shared" si="142"/>
        <v>0.36896912814148308</v>
      </c>
      <c r="S96" s="27">
        <f t="shared" si="142"/>
        <v>0.36896912814148308</v>
      </c>
      <c r="T96" s="27">
        <f t="shared" si="142"/>
        <v>0.36896912814148308</v>
      </c>
      <c r="U96" s="27">
        <f t="shared" si="142"/>
        <v>0.36896912814148308</v>
      </c>
      <c r="V96" s="27">
        <f t="shared" si="142"/>
        <v>0.36896912814148308</v>
      </c>
      <c r="W96" s="27">
        <f t="shared" si="142"/>
        <v>0.36896912814148308</v>
      </c>
    </row>
    <row r="97" spans="1:23" s="3" customFormat="1">
      <c r="A97" s="22"/>
      <c r="E97" s="34"/>
      <c r="F97" s="34"/>
      <c r="G97" s="34"/>
      <c r="H97" s="23"/>
      <c r="I97" s="23"/>
      <c r="J97" s="23"/>
      <c r="K97" s="23"/>
      <c r="L97" s="23"/>
      <c r="M97" s="21" t="s">
        <v>24</v>
      </c>
      <c r="N97" s="27">
        <f>I95</f>
        <v>0.36896912814148308</v>
      </c>
      <c r="O97" s="27">
        <f>N97</f>
        <v>0.36896912814148308</v>
      </c>
      <c r="P97" s="27">
        <f t="shared" si="142"/>
        <v>0.36896912814148308</v>
      </c>
      <c r="Q97" s="27">
        <f t="shared" si="142"/>
        <v>0.36896912814148308</v>
      </c>
      <c r="R97" s="27">
        <f t="shared" si="142"/>
        <v>0.36896912814148308</v>
      </c>
      <c r="S97" s="27">
        <f t="shared" si="142"/>
        <v>0.36896912814148308</v>
      </c>
      <c r="T97" s="27">
        <f t="shared" si="142"/>
        <v>0.36896912814148308</v>
      </c>
      <c r="U97" s="27">
        <f t="shared" si="142"/>
        <v>0.36896912814148308</v>
      </c>
      <c r="V97" s="27">
        <f t="shared" si="142"/>
        <v>0.36896912814148308</v>
      </c>
      <c r="W97" s="27">
        <f t="shared" si="142"/>
        <v>0.36896912814148308</v>
      </c>
    </row>
    <row r="98" spans="1:23" s="3" customFormat="1">
      <c r="A98" s="22"/>
      <c r="E98" s="34"/>
      <c r="F98" s="34"/>
      <c r="G98" s="34"/>
      <c r="H98" s="23"/>
      <c r="I98" s="23"/>
      <c r="J98" s="23"/>
      <c r="K98" s="23"/>
      <c r="L98" s="23"/>
      <c r="M98" s="21" t="s">
        <v>81</v>
      </c>
      <c r="N98" s="27">
        <f>N97</f>
        <v>0.36896912814148308</v>
      </c>
      <c r="O98" s="27">
        <f>N98</f>
        <v>0.36896912814148308</v>
      </c>
      <c r="P98" s="27">
        <f t="shared" si="142"/>
        <v>0.36896912814148308</v>
      </c>
      <c r="Q98" s="27">
        <f t="shared" si="142"/>
        <v>0.36896912814148308</v>
      </c>
      <c r="R98" s="27">
        <f t="shared" si="142"/>
        <v>0.36896912814148308</v>
      </c>
      <c r="S98" s="27">
        <f t="shared" si="142"/>
        <v>0.36896912814148308</v>
      </c>
      <c r="T98" s="27">
        <f t="shared" si="142"/>
        <v>0.36896912814148308</v>
      </c>
      <c r="U98" s="27">
        <f t="shared" si="142"/>
        <v>0.36896912814148308</v>
      </c>
      <c r="V98" s="27">
        <f t="shared" si="142"/>
        <v>0.36896912814148308</v>
      </c>
      <c r="W98" s="27">
        <f t="shared" si="142"/>
        <v>0.36896912814148308</v>
      </c>
    </row>
    <row r="99" spans="1:23" s="3" customFormat="1">
      <c r="A99"/>
      <c r="E99" s="9"/>
      <c r="F99" s="9"/>
      <c r="G99" s="9"/>
      <c r="H99" s="9"/>
      <c r="I99" s="9"/>
      <c r="J99" s="9"/>
      <c r="K99" s="9"/>
      <c r="L99" s="9"/>
      <c r="M99" s="7"/>
    </row>
    <row r="100" spans="1:23" s="7" customFormat="1">
      <c r="A100" s="7" t="s">
        <v>20</v>
      </c>
      <c r="E100" s="9">
        <v>22791</v>
      </c>
      <c r="F100" s="9">
        <v>33874</v>
      </c>
      <c r="G100" s="9">
        <v>38357</v>
      </c>
      <c r="H100" s="9">
        <v>53893</v>
      </c>
      <c r="I100" s="9">
        <v>97547</v>
      </c>
      <c r="J100" s="9"/>
      <c r="K100" s="9">
        <v>72310</v>
      </c>
      <c r="L100" s="9">
        <v>110625</v>
      </c>
      <c r="N100" s="42">
        <f>N101*N$24</f>
        <v>152152</v>
      </c>
      <c r="O100" s="42">
        <f t="shared" ref="O100" si="143">O101*O$24</f>
        <v>93366</v>
      </c>
      <c r="P100" s="42">
        <f t="shared" ref="P100" si="144">P101*P$24</f>
        <v>91031.85</v>
      </c>
      <c r="Q100" s="42">
        <f t="shared" ref="Q100" si="145">Q101*Q$24</f>
        <v>118341.40500000001</v>
      </c>
      <c r="R100" s="42">
        <f t="shared" ref="R100" si="146">R101*R$24</f>
        <v>142009.68600000002</v>
      </c>
      <c r="S100" s="42">
        <f t="shared" ref="S100" si="147">S101*S$24</f>
        <v>172115.739432</v>
      </c>
      <c r="T100" s="42">
        <f t="shared" ref="T100" si="148">T101*T$24</f>
        <v>204396.04636247159</v>
      </c>
      <c r="U100" s="42">
        <f t="shared" ref="U100" si="149">U101*U$24</f>
        <v>238581.28511659493</v>
      </c>
      <c r="V100" s="42">
        <f t="shared" ref="V100" si="150">V101*V$24</f>
        <v>262821.14368444105</v>
      </c>
      <c r="W100" s="42">
        <f t="shared" ref="W100" si="151">W101*W$24</f>
        <v>281481.44488603639</v>
      </c>
    </row>
    <row r="101" spans="1:23" s="3" customFormat="1">
      <c r="A101" s="38" t="s">
        <v>27</v>
      </c>
      <c r="E101" s="25">
        <f t="shared" ref="E101:F101" si="152">E100/E$24</f>
        <v>2.4798676011189926E-2</v>
      </c>
      <c r="F101" s="25">
        <f t="shared" si="152"/>
        <v>2.0460552701899521E-2</v>
      </c>
      <c r="G101" s="25">
        <f t="shared" ref="G101:H101" si="153">G100/G$24</f>
        <v>1.4973137199562326E-2</v>
      </c>
      <c r="H101" s="25">
        <f t="shared" si="153"/>
        <v>1.4757179999370205E-2</v>
      </c>
      <c r="I101" s="25">
        <f>I100/I$24</f>
        <v>2.030013491524563E-2</v>
      </c>
      <c r="J101" s="25"/>
      <c r="K101" s="25">
        <f>K100/K$24</f>
        <v>1.9551470713486729E-2</v>
      </c>
      <c r="L101" s="25">
        <f>L100/L$24</f>
        <v>4.3917369840825587E-2</v>
      </c>
      <c r="M101" s="24"/>
      <c r="N101" s="25">
        <f t="shared" ref="N101:W101" si="154">IF(case="A",N102,IF(case="B",N103,N104))</f>
        <v>4.3999999999999997E-2</v>
      </c>
      <c r="O101" s="25">
        <f t="shared" si="154"/>
        <v>0.02</v>
      </c>
      <c r="P101" s="25">
        <f t="shared" si="154"/>
        <v>1.4999999999999999E-2</v>
      </c>
      <c r="Q101" s="25">
        <f t="shared" si="154"/>
        <v>1.4999999999999999E-2</v>
      </c>
      <c r="R101" s="25">
        <f t="shared" si="154"/>
        <v>1.4999999999999999E-2</v>
      </c>
      <c r="S101" s="25">
        <f t="shared" si="154"/>
        <v>1.4999999999999999E-2</v>
      </c>
      <c r="T101" s="25">
        <f t="shared" si="154"/>
        <v>1.4999999999999999E-2</v>
      </c>
      <c r="U101" s="25">
        <f t="shared" si="154"/>
        <v>1.4999999999999999E-2</v>
      </c>
      <c r="V101" s="25">
        <f t="shared" si="154"/>
        <v>1.4999999999999999E-2</v>
      </c>
      <c r="W101" s="25">
        <f t="shared" si="154"/>
        <v>1.4999999999999999E-2</v>
      </c>
    </row>
    <row r="102" spans="1:23" s="3" customFormat="1">
      <c r="A102"/>
      <c r="E102" s="9"/>
      <c r="F102" s="9"/>
      <c r="G102" s="9"/>
      <c r="H102" s="9"/>
      <c r="I102" s="9"/>
      <c r="J102" s="9"/>
      <c r="K102" s="9"/>
      <c r="L102" s="9"/>
      <c r="M102" s="21" t="s">
        <v>25</v>
      </c>
      <c r="N102" s="27">
        <v>4.3999999999999997E-2</v>
      </c>
      <c r="O102" s="27">
        <v>0.02</v>
      </c>
      <c r="P102" s="27">
        <v>1.4999999999999999E-2</v>
      </c>
      <c r="Q102" s="27">
        <v>1.4999999999999999E-2</v>
      </c>
      <c r="R102" s="27">
        <v>1.4999999999999999E-2</v>
      </c>
      <c r="S102" s="27">
        <v>1.4999999999999999E-2</v>
      </c>
      <c r="T102" s="27">
        <v>1.4999999999999999E-2</v>
      </c>
      <c r="U102" s="27">
        <v>1.4999999999999999E-2</v>
      </c>
      <c r="V102" s="27">
        <v>1.4999999999999999E-2</v>
      </c>
      <c r="W102" s="27">
        <v>1.4999999999999999E-2</v>
      </c>
    </row>
    <row r="103" spans="1:23" s="3" customFormat="1">
      <c r="A103"/>
      <c r="E103" s="9"/>
      <c r="F103" s="9"/>
      <c r="G103" s="9"/>
      <c r="H103" s="9"/>
      <c r="I103" s="9"/>
      <c r="J103" s="9"/>
      <c r="K103" s="9"/>
      <c r="L103" s="9"/>
      <c r="M103" s="21" t="s">
        <v>24</v>
      </c>
      <c r="N103" s="27">
        <v>4.3999999999999997E-2</v>
      </c>
      <c r="O103" s="27">
        <v>0.02</v>
      </c>
      <c r="P103" s="27">
        <v>1.4999999999999999E-2</v>
      </c>
      <c r="Q103" s="27">
        <v>1.4999999999999999E-2</v>
      </c>
      <c r="R103" s="27">
        <v>1.4999999999999999E-2</v>
      </c>
      <c r="S103" s="27">
        <v>1.4999999999999999E-2</v>
      </c>
      <c r="T103" s="27">
        <v>1.4999999999999999E-2</v>
      </c>
      <c r="U103" s="27">
        <v>1.4999999999999999E-2</v>
      </c>
      <c r="V103" s="27">
        <v>1.4999999999999999E-2</v>
      </c>
      <c r="W103" s="27">
        <v>1.4999999999999999E-2</v>
      </c>
    </row>
    <row r="104" spans="1:23" s="3" customFormat="1">
      <c r="A104"/>
      <c r="E104" s="9"/>
      <c r="F104" s="9"/>
      <c r="G104" s="9"/>
      <c r="H104" s="9"/>
      <c r="I104" s="9"/>
      <c r="J104" s="9"/>
      <c r="K104" s="9"/>
      <c r="L104" s="9"/>
      <c r="M104" s="21" t="s">
        <v>81</v>
      </c>
      <c r="N104" s="27">
        <v>4.3999999999999997E-2</v>
      </c>
      <c r="O104" s="27">
        <v>0.02</v>
      </c>
      <c r="P104" s="27">
        <v>1.4999999999999999E-2</v>
      </c>
      <c r="Q104" s="27">
        <v>1.4999999999999999E-2</v>
      </c>
      <c r="R104" s="27">
        <v>1.4999999999999999E-2</v>
      </c>
      <c r="S104" s="27">
        <v>1.4999999999999999E-2</v>
      </c>
      <c r="T104" s="27">
        <v>1.4999999999999999E-2</v>
      </c>
      <c r="U104" s="27">
        <v>1.4999999999999999E-2</v>
      </c>
      <c r="V104" s="27">
        <v>1.4999999999999999E-2</v>
      </c>
      <c r="W104" s="27">
        <v>1.4999999999999999E-2</v>
      </c>
    </row>
    <row r="105" spans="1:23" s="3" customFormat="1">
      <c r="A105" t="s">
        <v>63</v>
      </c>
      <c r="E105" s="9">
        <v>-4553</v>
      </c>
      <c r="F105" s="9">
        <v>23038</v>
      </c>
      <c r="G105" s="9">
        <v>23682</v>
      </c>
      <c r="H105" s="70">
        <v>15587</v>
      </c>
      <c r="I105" s="70">
        <v>36574</v>
      </c>
      <c r="J105" s="9"/>
      <c r="K105" s="9"/>
      <c r="L105" s="9"/>
      <c r="M105" s="21"/>
      <c r="N105" s="33"/>
      <c r="O105" s="33"/>
      <c r="P105" s="33"/>
      <c r="Q105" s="33"/>
      <c r="R105" s="33"/>
      <c r="S105" s="33"/>
      <c r="T105" s="33"/>
      <c r="U105" s="33"/>
      <c r="V105" s="33"/>
      <c r="W105" s="33"/>
    </row>
    <row r="106" spans="1:23" s="3" customFormat="1">
      <c r="A106"/>
      <c r="E106" s="9"/>
      <c r="F106" s="9"/>
      <c r="G106" s="9"/>
      <c r="H106" s="70"/>
      <c r="I106" s="70"/>
      <c r="J106" s="9"/>
      <c r="K106" s="9"/>
      <c r="L106" s="9"/>
      <c r="M106" s="21"/>
      <c r="N106" s="33"/>
      <c r="O106" s="33"/>
      <c r="P106" s="33"/>
      <c r="Q106" s="33"/>
      <c r="R106" s="33"/>
      <c r="S106" s="33"/>
      <c r="T106" s="33"/>
      <c r="U106" s="33"/>
      <c r="V106" s="33"/>
      <c r="W106" s="33"/>
    </row>
    <row r="107" spans="1:23" s="3" customFormat="1">
      <c r="A107"/>
      <c r="E107" s="9"/>
      <c r="F107" s="9"/>
      <c r="G107" s="9"/>
      <c r="H107" s="9"/>
      <c r="I107" s="9"/>
      <c r="J107" s="9"/>
      <c r="K107" s="9"/>
      <c r="L107" s="9"/>
      <c r="M107" s="21"/>
      <c r="N107" s="33"/>
      <c r="O107" s="33"/>
      <c r="P107" s="33"/>
      <c r="Q107" s="33"/>
      <c r="R107" s="33"/>
      <c r="S107" s="33"/>
      <c r="T107" s="33"/>
      <c r="U107" s="33"/>
      <c r="V107" s="33"/>
      <c r="W107" s="33"/>
    </row>
    <row r="108" spans="1:23">
      <c r="E108" s="10" t="s">
        <v>8</v>
      </c>
      <c r="F108" s="10" t="s">
        <v>8</v>
      </c>
      <c r="G108" s="10" t="s">
        <v>8</v>
      </c>
      <c r="H108" s="10" t="s">
        <v>8</v>
      </c>
      <c r="I108" s="10" t="s">
        <v>8</v>
      </c>
      <c r="J108" s="10"/>
      <c r="K108" s="10" t="s">
        <v>8</v>
      </c>
      <c r="L108" s="10" t="s">
        <v>8</v>
      </c>
      <c r="N108" s="10" t="s">
        <v>8</v>
      </c>
      <c r="O108" s="10" t="s">
        <v>8</v>
      </c>
      <c r="P108" s="10" t="s">
        <v>8</v>
      </c>
      <c r="Q108" s="10" t="s">
        <v>8</v>
      </c>
      <c r="R108" s="10" t="s">
        <v>8</v>
      </c>
      <c r="S108" s="10" t="s">
        <v>8</v>
      </c>
      <c r="T108" s="10" t="s">
        <v>8</v>
      </c>
      <c r="U108" s="10" t="s">
        <v>8</v>
      </c>
      <c r="V108" s="10" t="s">
        <v>8</v>
      </c>
      <c r="W108" s="10" t="s">
        <v>8</v>
      </c>
    </row>
    <row r="109" spans="1:23" s="3" customFormat="1">
      <c r="A109" s="2" t="s">
        <v>14</v>
      </c>
      <c r="E109" s="14">
        <f t="shared" ref="E109:I109" si="155">E76+E94+E100+E105+E106</f>
        <v>-93978</v>
      </c>
      <c r="F109" s="14">
        <f t="shared" si="155"/>
        <v>-52677</v>
      </c>
      <c r="G109" s="14">
        <f t="shared" si="155"/>
        <v>60019</v>
      </c>
      <c r="H109" s="14">
        <f t="shared" si="155"/>
        <v>170625</v>
      </c>
      <c r="I109" s="14">
        <f t="shared" si="155"/>
        <v>-253260</v>
      </c>
      <c r="J109" s="14"/>
      <c r="K109" s="14">
        <f t="shared" ref="K109:L109" si="156">K76+K94+K100+K105+K106</f>
        <v>-24962</v>
      </c>
      <c r="L109" s="14">
        <f t="shared" si="156"/>
        <v>-285904</v>
      </c>
      <c r="N109" s="14">
        <f t="shared" ref="N109:W109" si="157">N76+N94+N100</f>
        <v>-446889.51972181385</v>
      </c>
      <c r="O109" s="14">
        <f t="shared" si="157"/>
        <v>-86188.605636361928</v>
      </c>
      <c r="P109" s="14">
        <f t="shared" si="157"/>
        <v>315662.41414780926</v>
      </c>
      <c r="Q109" s="14">
        <f t="shared" si="157"/>
        <v>1058659.3730903447</v>
      </c>
      <c r="R109" s="14">
        <f t="shared" si="157"/>
        <v>1744106.576034805</v>
      </c>
      <c r="S109" s="14">
        <f t="shared" si="157"/>
        <v>2498670.5060618916</v>
      </c>
      <c r="T109" s="14">
        <f t="shared" si="157"/>
        <v>3341034.5204321402</v>
      </c>
      <c r="U109" s="14">
        <f t="shared" si="157"/>
        <v>4294106.1750841681</v>
      </c>
      <c r="V109" s="14">
        <f t="shared" si="157"/>
        <v>4961130.2935205884</v>
      </c>
      <c r="W109" s="14">
        <f t="shared" si="157"/>
        <v>5460443.5532699609</v>
      </c>
    </row>
    <row r="110" spans="1:23">
      <c r="A110" s="38" t="s">
        <v>27</v>
      </c>
      <c r="B110" s="3"/>
      <c r="C110" s="3"/>
      <c r="D110" s="3"/>
      <c r="E110" s="25">
        <f t="shared" ref="E110:G110" si="158">E109/E$24</f>
        <v>-0.1022565913816685</v>
      </c>
      <c r="F110" s="25">
        <f t="shared" ref="F110" si="159">F109/F$24</f>
        <v>-3.1817929228256513E-2</v>
      </c>
      <c r="G110" s="25">
        <f t="shared" si="158"/>
        <v>2.3429171248547362E-2</v>
      </c>
      <c r="H110" s="25">
        <f t="shared" ref="H110" si="160">H109/H$24</f>
        <v>4.6721166707968408E-2</v>
      </c>
      <c r="I110" s="25">
        <f>I109/I$24</f>
        <v>-5.2704974716137949E-2</v>
      </c>
      <c r="J110" s="25"/>
      <c r="K110" s="25">
        <f>K109/K$24</f>
        <v>-6.7493266761174909E-3</v>
      </c>
      <c r="L110" s="25">
        <f>L109/L$24</f>
        <v>-0.11350193633420473</v>
      </c>
      <c r="N110" s="25">
        <f t="shared" ref="N110:W110" si="161">N109/N$24</f>
        <v>-0.12923352218675935</v>
      </c>
      <c r="O110" s="25">
        <f t="shared" si="161"/>
        <v>-1.8462525038314147E-2</v>
      </c>
      <c r="P110" s="25">
        <f t="shared" si="161"/>
        <v>5.2014061146918776E-2</v>
      </c>
      <c r="Q110" s="25">
        <f t="shared" si="161"/>
        <v>0.13418710548818621</v>
      </c>
      <c r="R110" s="25">
        <f t="shared" si="161"/>
        <v>0.1842240439889577</v>
      </c>
      <c r="S110" s="25">
        <f t="shared" si="161"/>
        <v>0.21776077954646386</v>
      </c>
      <c r="T110" s="25">
        <f t="shared" si="161"/>
        <v>0.24518829350352653</v>
      </c>
      <c r="U110" s="25">
        <f t="shared" si="161"/>
        <v>0.26997755752210201</v>
      </c>
      <c r="V110" s="25">
        <f t="shared" si="161"/>
        <v>0.28314675661010869</v>
      </c>
      <c r="W110" s="25">
        <f t="shared" si="161"/>
        <v>0.2909842008669915</v>
      </c>
    </row>
    <row r="111" spans="1:23" s="3" customFormat="1">
      <c r="A111" s="26" t="s">
        <v>21</v>
      </c>
      <c r="E111" s="12"/>
      <c r="F111" s="12"/>
      <c r="G111" s="12"/>
      <c r="H111" s="25">
        <f>H109/G109-1</f>
        <v>1.8428497642413237</v>
      </c>
      <c r="I111" s="25">
        <f>I109/H109-1</f>
        <v>-2.4843076923076923</v>
      </c>
      <c r="J111" s="25"/>
      <c r="K111" s="25"/>
      <c r="L111" s="25"/>
      <c r="N111" s="25">
        <f>N109/I109-1</f>
        <v>0.76454836816636607</v>
      </c>
      <c r="O111" s="25">
        <f>O109/N109-1</f>
        <v>-0.80713665943651169</v>
      </c>
      <c r="P111" s="25">
        <f t="shared" ref="P111:W111" si="162">P109/O109-1</f>
        <v>-4.6624610853970605</v>
      </c>
      <c r="Q111" s="25">
        <f t="shared" si="162"/>
        <v>2.3537707552177127</v>
      </c>
      <c r="R111" s="25">
        <f t="shared" si="162"/>
        <v>0.64746718384362256</v>
      </c>
      <c r="S111" s="25">
        <f t="shared" si="162"/>
        <v>0.43263636545799522</v>
      </c>
      <c r="T111" s="25">
        <f t="shared" si="162"/>
        <v>0.33712488794606332</v>
      </c>
      <c r="U111" s="25">
        <f t="shared" si="162"/>
        <v>0.28526243857209677</v>
      </c>
      <c r="V111" s="25">
        <f t="shared" si="162"/>
        <v>0.15533479873104117</v>
      </c>
      <c r="W111" s="25">
        <f t="shared" si="162"/>
        <v>0.1006450607438174</v>
      </c>
    </row>
    <row r="113" spans="1:23" s="1" customFormat="1">
      <c r="A113" s="1" t="s">
        <v>29</v>
      </c>
    </row>
    <row r="115" spans="1:23">
      <c r="A115" t="s">
        <v>15</v>
      </c>
      <c r="H115" s="9">
        <v>5874532</v>
      </c>
      <c r="I115" s="9">
        <v>6561443</v>
      </c>
      <c r="J115" s="9"/>
      <c r="K115" s="9"/>
      <c r="L115" s="9">
        <v>7212208</v>
      </c>
    </row>
    <row r="116" spans="1:23">
      <c r="A116" t="s">
        <v>19</v>
      </c>
      <c r="H116" s="9">
        <v>2140877</v>
      </c>
      <c r="I116" s="9">
        <v>2013547</v>
      </c>
      <c r="J116" s="9"/>
      <c r="K116" s="9"/>
      <c r="L116" s="9">
        <v>2664390</v>
      </c>
    </row>
    <row r="117" spans="1:23">
      <c r="A117" t="s">
        <v>16</v>
      </c>
      <c r="H117" s="9">
        <v>3736010</v>
      </c>
      <c r="I117" s="9">
        <v>5233764</v>
      </c>
      <c r="J117" s="9"/>
      <c r="K117" s="9"/>
      <c r="L117" s="9">
        <v>4384056</v>
      </c>
    </row>
    <row r="118" spans="1:23">
      <c r="A118" t="s">
        <v>17</v>
      </c>
      <c r="H118" s="9">
        <v>0</v>
      </c>
      <c r="I118" s="9">
        <v>0</v>
      </c>
      <c r="J118" s="9"/>
      <c r="K118" s="9"/>
      <c r="L118" s="9">
        <v>0</v>
      </c>
    </row>
    <row r="119" spans="1:23">
      <c r="E119" s="10"/>
      <c r="F119" s="10"/>
      <c r="G119" s="10"/>
      <c r="H119" s="10" t="s">
        <v>8</v>
      </c>
      <c r="I119" s="10" t="s">
        <v>8</v>
      </c>
      <c r="J119" s="10"/>
      <c r="K119" s="10"/>
      <c r="L119" s="10" t="s">
        <v>8</v>
      </c>
      <c r="N119" s="10" t="s">
        <v>8</v>
      </c>
      <c r="O119" s="10" t="s">
        <v>8</v>
      </c>
      <c r="P119" s="10" t="s">
        <v>8</v>
      </c>
      <c r="Q119" s="10" t="s">
        <v>8</v>
      </c>
      <c r="R119" s="10" t="s">
        <v>8</v>
      </c>
      <c r="S119" s="10" t="s">
        <v>8</v>
      </c>
      <c r="T119" s="10" t="s">
        <v>8</v>
      </c>
      <c r="U119" s="10" t="s">
        <v>8</v>
      </c>
      <c r="V119" s="10" t="s">
        <v>8</v>
      </c>
      <c r="W119" s="10" t="s">
        <v>8</v>
      </c>
    </row>
    <row r="120" spans="1:23" s="16" customFormat="1">
      <c r="A120" s="18" t="s">
        <v>18</v>
      </c>
      <c r="E120" s="17"/>
      <c r="F120" s="17"/>
      <c r="G120" s="17"/>
      <c r="H120" s="17">
        <f>H115-H116-H117+H118</f>
        <v>-2355</v>
      </c>
      <c r="I120" s="17">
        <f>I115-I116-I117+I118</f>
        <v>-685868</v>
      </c>
      <c r="J120" s="17"/>
      <c r="K120" s="17"/>
      <c r="L120" s="17">
        <f>L115-L116-L117+L118</f>
        <v>163762</v>
      </c>
      <c r="N120" s="17">
        <f t="shared" ref="N120:W120" si="163">N121*N24</f>
        <v>0</v>
      </c>
      <c r="O120" s="17">
        <f t="shared" si="163"/>
        <v>-326781.00000000006</v>
      </c>
      <c r="P120" s="17">
        <f t="shared" si="163"/>
        <v>-667566.90000000014</v>
      </c>
      <c r="Q120" s="17">
        <f t="shared" si="163"/>
        <v>-867836.97000000009</v>
      </c>
      <c r="R120" s="17">
        <f t="shared" si="163"/>
        <v>-1041404.3640000003</v>
      </c>
      <c r="S120" s="17">
        <f t="shared" si="163"/>
        <v>-1262182.089168</v>
      </c>
      <c r="T120" s="17">
        <f t="shared" si="163"/>
        <v>-1498904.3399914585</v>
      </c>
      <c r="U120" s="17">
        <f t="shared" si="163"/>
        <v>-1749596.0908550294</v>
      </c>
      <c r="V120" s="17">
        <f t="shared" si="163"/>
        <v>-1927355.053685901</v>
      </c>
      <c r="W120" s="17">
        <f t="shared" si="163"/>
        <v>-2064197.2624976004</v>
      </c>
    </row>
    <row r="121" spans="1:23" s="3" customFormat="1">
      <c r="A121" s="38" t="s">
        <v>27</v>
      </c>
      <c r="E121" s="25"/>
      <c r="F121" s="25"/>
      <c r="G121" s="25"/>
      <c r="H121" s="25">
        <f t="shared" ref="H121" si="164">H120/H$24</f>
        <v>-6.4485478445283867E-4</v>
      </c>
      <c r="I121" s="25">
        <f>I120/I$24</f>
        <v>-0.14273337913056977</v>
      </c>
      <c r="J121" s="25"/>
      <c r="K121" s="25"/>
      <c r="L121" s="25">
        <f>L120/L$24</f>
        <v>6.5012396111848864E-2</v>
      </c>
      <c r="M121" s="24"/>
      <c r="N121" s="25">
        <f t="shared" ref="N121:W121" si="165">IF(case="A",N122,IF(case="B",N123,N124))</f>
        <v>0</v>
      </c>
      <c r="O121" s="25">
        <f t="shared" si="165"/>
        <v>-7.0000000000000007E-2</v>
      </c>
      <c r="P121" s="25">
        <f t="shared" si="165"/>
        <v>-0.11</v>
      </c>
      <c r="Q121" s="25">
        <f t="shared" si="165"/>
        <v>-0.11</v>
      </c>
      <c r="R121" s="25">
        <f t="shared" si="165"/>
        <v>-0.11</v>
      </c>
      <c r="S121" s="25">
        <f t="shared" si="165"/>
        <v>-0.11</v>
      </c>
      <c r="T121" s="25">
        <f t="shared" si="165"/>
        <v>-0.11</v>
      </c>
      <c r="U121" s="25">
        <f t="shared" si="165"/>
        <v>-0.11</v>
      </c>
      <c r="V121" s="25">
        <f t="shared" si="165"/>
        <v>-0.11</v>
      </c>
      <c r="W121" s="25">
        <f t="shared" si="165"/>
        <v>-0.11</v>
      </c>
    </row>
    <row r="122" spans="1:23" s="3" customFormat="1">
      <c r="A122"/>
      <c r="E122" s="9"/>
      <c r="F122" s="9"/>
      <c r="G122" s="9"/>
      <c r="H122" s="9"/>
      <c r="I122" s="9"/>
      <c r="J122" s="9"/>
      <c r="K122" s="9"/>
      <c r="L122" s="9"/>
      <c r="M122" s="21" t="s">
        <v>25</v>
      </c>
      <c r="N122" s="27">
        <v>0</v>
      </c>
      <c r="O122" s="27">
        <v>-0.05</v>
      </c>
      <c r="P122" s="27">
        <v>-0.08</v>
      </c>
      <c r="Q122" s="27">
        <f t="shared" ref="Q122:W124" si="166">P122</f>
        <v>-0.08</v>
      </c>
      <c r="R122" s="27">
        <f t="shared" si="166"/>
        <v>-0.08</v>
      </c>
      <c r="S122" s="27">
        <f t="shared" si="166"/>
        <v>-0.08</v>
      </c>
      <c r="T122" s="27">
        <f t="shared" si="166"/>
        <v>-0.08</v>
      </c>
      <c r="U122" s="27">
        <f t="shared" si="166"/>
        <v>-0.08</v>
      </c>
      <c r="V122" s="27">
        <f t="shared" si="166"/>
        <v>-0.08</v>
      </c>
      <c r="W122" s="27">
        <f t="shared" si="166"/>
        <v>-0.08</v>
      </c>
    </row>
    <row r="123" spans="1:23" s="3" customFormat="1">
      <c r="A123"/>
      <c r="E123" s="9"/>
      <c r="F123" s="9"/>
      <c r="G123" s="9"/>
      <c r="H123" s="9"/>
      <c r="I123" s="9"/>
      <c r="J123" s="9"/>
      <c r="K123" s="9"/>
      <c r="L123" s="9"/>
      <c r="M123" s="21" t="s">
        <v>24</v>
      </c>
      <c r="N123" s="27">
        <v>0</v>
      </c>
      <c r="O123" s="27">
        <v>-7.0000000000000007E-2</v>
      </c>
      <c r="P123" s="27">
        <v>-0.11</v>
      </c>
      <c r="Q123" s="27">
        <f t="shared" si="166"/>
        <v>-0.11</v>
      </c>
      <c r="R123" s="27">
        <f t="shared" si="166"/>
        <v>-0.11</v>
      </c>
      <c r="S123" s="27">
        <f t="shared" si="166"/>
        <v>-0.11</v>
      </c>
      <c r="T123" s="27">
        <f t="shared" si="166"/>
        <v>-0.11</v>
      </c>
      <c r="U123" s="27">
        <f t="shared" si="166"/>
        <v>-0.11</v>
      </c>
      <c r="V123" s="27">
        <f t="shared" si="166"/>
        <v>-0.11</v>
      </c>
      <c r="W123" s="27">
        <f t="shared" si="166"/>
        <v>-0.11</v>
      </c>
    </row>
    <row r="124" spans="1:23" s="3" customFormat="1">
      <c r="A124"/>
      <c r="E124" s="9"/>
      <c r="F124" s="9"/>
      <c r="G124" s="9"/>
      <c r="H124" s="9"/>
      <c r="I124" s="9"/>
      <c r="J124" s="9"/>
      <c r="K124" s="9"/>
      <c r="L124" s="9"/>
      <c r="M124" s="21" t="s">
        <v>81</v>
      </c>
      <c r="N124" s="27">
        <v>0</v>
      </c>
      <c r="O124" s="27">
        <v>-0.1</v>
      </c>
      <c r="P124" s="27">
        <v>-0.14000000000000001</v>
      </c>
      <c r="Q124" s="27">
        <f t="shared" si="166"/>
        <v>-0.14000000000000001</v>
      </c>
      <c r="R124" s="27">
        <f t="shared" si="166"/>
        <v>-0.14000000000000001</v>
      </c>
      <c r="S124" s="27">
        <f t="shared" si="166"/>
        <v>-0.14000000000000001</v>
      </c>
      <c r="T124" s="27">
        <f t="shared" si="166"/>
        <v>-0.14000000000000001</v>
      </c>
      <c r="U124" s="27">
        <f t="shared" si="166"/>
        <v>-0.14000000000000001</v>
      </c>
      <c r="V124" s="27">
        <f t="shared" si="166"/>
        <v>-0.14000000000000001</v>
      </c>
      <c r="W124" s="27">
        <f t="shared" si="166"/>
        <v>-0.14000000000000001</v>
      </c>
    </row>
    <row r="125" spans="1:23">
      <c r="H125" s="9"/>
      <c r="I125" s="9"/>
      <c r="J125" s="9"/>
      <c r="K125" s="9"/>
      <c r="L125" s="9"/>
    </row>
    <row r="126" spans="1:23" s="3" customFormat="1">
      <c r="A126" s="18" t="s">
        <v>30</v>
      </c>
      <c r="H126" s="46">
        <v>309408</v>
      </c>
      <c r="I126" s="46">
        <v>301273</v>
      </c>
      <c r="J126" s="46"/>
      <c r="K126" s="46"/>
      <c r="L126" s="46">
        <v>261232</v>
      </c>
      <c r="N126" s="14">
        <f>I126-N141-N94</f>
        <v>280391.73956544464</v>
      </c>
      <c r="O126" s="14">
        <f>N126-O141-O94</f>
        <v>298812.73108572722</v>
      </c>
      <c r="P126" s="14">
        <f t="shared" ref="P126:W126" si="167">O126-P141-P94</f>
        <v>347000.011587015</v>
      </c>
      <c r="Q126" s="14">
        <f t="shared" si="167"/>
        <v>424939.65922450286</v>
      </c>
      <c r="R126" s="14">
        <f t="shared" si="167"/>
        <v>515316.37090109912</v>
      </c>
      <c r="S126" s="14">
        <f t="shared" si="167"/>
        <v>624746.12744380813</v>
      </c>
      <c r="T126" s="14">
        <f t="shared" si="167"/>
        <v>749983.20826998563</v>
      </c>
      <c r="U126" s="14">
        <f t="shared" si="167"/>
        <v>888510.71201951278</v>
      </c>
      <c r="V126" s="14">
        <f t="shared" si="167"/>
        <v>1018115.0559562878</v>
      </c>
      <c r="W126" s="14">
        <f t="shared" si="167"/>
        <v>1132377.451142706</v>
      </c>
    </row>
    <row r="128" spans="1:23">
      <c r="E128" s="10"/>
      <c r="F128" s="10"/>
      <c r="G128" s="10"/>
      <c r="H128" s="10"/>
      <c r="I128" s="10"/>
      <c r="J128" s="10"/>
      <c r="K128" s="10"/>
      <c r="L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>
      <c r="A129" t="s">
        <v>65</v>
      </c>
      <c r="E129" s="10"/>
      <c r="F129" s="10"/>
      <c r="G129" s="10"/>
      <c r="H129" s="9">
        <v>2140877</v>
      </c>
      <c r="I129" s="9">
        <v>2013547</v>
      </c>
      <c r="J129" s="9"/>
      <c r="K129" s="9"/>
      <c r="L129" s="9">
        <v>2664390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s="71" customFormat="1">
      <c r="A130" s="7" t="s">
        <v>74</v>
      </c>
      <c r="E130" s="15"/>
      <c r="F130" s="15"/>
      <c r="G130" s="15"/>
      <c r="H130" s="9"/>
      <c r="I130" s="9">
        <v>381374</v>
      </c>
      <c r="J130" s="9"/>
      <c r="K130" s="9"/>
      <c r="L130" s="9">
        <f>1811302+380079</f>
        <v>2191381</v>
      </c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>
      <c r="E131" s="10" t="s">
        <v>8</v>
      </c>
      <c r="F131" s="10" t="s">
        <v>8</v>
      </c>
      <c r="G131" s="10" t="s">
        <v>8</v>
      </c>
      <c r="H131" s="10" t="s">
        <v>8</v>
      </c>
      <c r="I131" s="10" t="s">
        <v>8</v>
      </c>
      <c r="J131" s="10"/>
      <c r="K131" s="10"/>
      <c r="L131" s="10" t="s">
        <v>8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s="16" customFormat="1">
      <c r="A132" s="18" t="s">
        <v>66</v>
      </c>
      <c r="E132" s="17">
        <f>E130-E129</f>
        <v>0</v>
      </c>
      <c r="F132" s="17">
        <f t="shared" ref="F132:I132" si="168">F130-F129</f>
        <v>0</v>
      </c>
      <c r="G132" s="17">
        <f t="shared" si="168"/>
        <v>0</v>
      </c>
      <c r="H132" s="17">
        <f>H130-H129</f>
        <v>-2140877</v>
      </c>
      <c r="I132" s="17">
        <f t="shared" si="168"/>
        <v>-1632173</v>
      </c>
      <c r="J132" s="17"/>
      <c r="K132" s="17"/>
      <c r="L132" s="17">
        <f t="shared" ref="L132" si="169">L130-L129</f>
        <v>-473009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 spans="1:23">
      <c r="E133" s="19"/>
    </row>
    <row r="136" spans="1:23" s="1" customFormat="1">
      <c r="A136" s="1" t="s">
        <v>0</v>
      </c>
    </row>
    <row r="138" spans="1:23">
      <c r="E138" s="9"/>
      <c r="F138" s="9"/>
      <c r="G138" s="9"/>
      <c r="H138" s="9"/>
      <c r="I138" s="9"/>
      <c r="J138" s="9"/>
      <c r="K138" s="9"/>
      <c r="L138" s="9"/>
    </row>
    <row r="139" spans="1:23">
      <c r="A139" t="s">
        <v>94</v>
      </c>
      <c r="E139" s="9"/>
      <c r="F139" s="9"/>
      <c r="G139" s="9">
        <v>-100204</v>
      </c>
      <c r="H139" s="9">
        <v>-90624</v>
      </c>
      <c r="I139" s="9">
        <v>-125452</v>
      </c>
      <c r="J139" s="9"/>
      <c r="K139" s="9"/>
      <c r="L139" s="9"/>
    </row>
    <row r="140" spans="1:23">
      <c r="E140" s="10" t="s">
        <v>8</v>
      </c>
      <c r="F140" s="10" t="s">
        <v>8</v>
      </c>
      <c r="G140" s="10" t="s">
        <v>8</v>
      </c>
      <c r="H140" s="10" t="s">
        <v>8</v>
      </c>
      <c r="I140" s="10" t="s">
        <v>8</v>
      </c>
      <c r="J140" s="10"/>
      <c r="K140" s="10"/>
      <c r="L140" s="10"/>
      <c r="N140" s="10" t="s">
        <v>8</v>
      </c>
      <c r="O140" s="10" t="s">
        <v>8</v>
      </c>
      <c r="P140" s="10" t="s">
        <v>8</v>
      </c>
      <c r="Q140" s="10" t="s">
        <v>8</v>
      </c>
      <c r="R140" s="10" t="s">
        <v>8</v>
      </c>
      <c r="S140" s="10" t="s">
        <v>8</v>
      </c>
      <c r="T140" s="10" t="s">
        <v>8</v>
      </c>
      <c r="U140" s="10" t="s">
        <v>8</v>
      </c>
      <c r="V140" s="10" t="s">
        <v>8</v>
      </c>
      <c r="W140" s="10" t="s">
        <v>8</v>
      </c>
    </row>
    <row r="141" spans="1:23" s="3" customFormat="1">
      <c r="A141" s="18" t="s">
        <v>40</v>
      </c>
      <c r="E141" s="14">
        <f>SUM(E138:E140)</f>
        <v>0</v>
      </c>
      <c r="F141" s="14">
        <f>SUM(F138:F140)</f>
        <v>0</v>
      </c>
      <c r="G141" s="14">
        <f>SUM(G138:G140)</f>
        <v>-100204</v>
      </c>
      <c r="H141" s="14">
        <f>SUM(H138:H140)</f>
        <v>-90624</v>
      </c>
      <c r="I141" s="14">
        <f>SUM(I138:I140)</f>
        <v>-125452</v>
      </c>
      <c r="J141" s="14"/>
      <c r="K141" s="14"/>
      <c r="L141" s="14"/>
      <c r="N141" s="14">
        <f t="shared" ref="N141:W141" si="170">N142*N24</f>
        <v>-90279.175708013689</v>
      </c>
      <c r="O141" s="14">
        <f t="shared" si="170"/>
        <v>-121876.88720581848</v>
      </c>
      <c r="P141" s="14">
        <f t="shared" si="170"/>
        <v>-158439.95336756404</v>
      </c>
      <c r="Q141" s="14">
        <f t="shared" si="170"/>
        <v>-205971.93937783325</v>
      </c>
      <c r="R141" s="14">
        <f t="shared" si="170"/>
        <v>-247166.32725339994</v>
      </c>
      <c r="S141" s="14">
        <f t="shared" si="170"/>
        <v>-299565.58863112069</v>
      </c>
      <c r="T141" s="14">
        <f t="shared" si="170"/>
        <v>-355749.11477888731</v>
      </c>
      <c r="U141" s="14">
        <f t="shared" si="170"/>
        <v>-415248.15422565612</v>
      </c>
      <c r="V141" s="14">
        <f t="shared" si="170"/>
        <v>-457437.36669498292</v>
      </c>
      <c r="W141" s="14">
        <f t="shared" si="170"/>
        <v>-489915.4197303268</v>
      </c>
    </row>
    <row r="142" spans="1:23">
      <c r="A142" s="38" t="s">
        <v>27</v>
      </c>
      <c r="E142" s="25">
        <f>E141/E24</f>
        <v>0</v>
      </c>
      <c r="F142" s="25">
        <f>F141/F24</f>
        <v>0</v>
      </c>
      <c r="G142" s="25">
        <f>G141/G24</f>
        <v>-3.9115891230934202E-2</v>
      </c>
      <c r="H142" s="25">
        <f>H141/H24</f>
        <v>-2.4814997871020827E-2</v>
      </c>
      <c r="I142" s="25">
        <f>I141/I24</f>
        <v>-2.6107338261426746E-2</v>
      </c>
      <c r="J142" s="25"/>
      <c r="K142" s="25"/>
      <c r="L142" s="25"/>
      <c r="M142" s="24"/>
      <c r="N142" s="25">
        <f t="shared" ref="N142:W142" si="171">IF(case="A",N143,IF(case="B",N144,N145))</f>
        <v>-2.6107338261426746E-2</v>
      </c>
      <c r="O142" s="25">
        <f t="shared" si="171"/>
        <v>-2.6107338261426746E-2</v>
      </c>
      <c r="P142" s="25">
        <f t="shared" si="171"/>
        <v>-2.6107338261426746E-2</v>
      </c>
      <c r="Q142" s="25">
        <f t="shared" si="171"/>
        <v>-2.6107338261426746E-2</v>
      </c>
      <c r="R142" s="25">
        <f t="shared" si="171"/>
        <v>-2.6107338261426746E-2</v>
      </c>
      <c r="S142" s="25">
        <f t="shared" si="171"/>
        <v>-2.6107338261426746E-2</v>
      </c>
      <c r="T142" s="25">
        <f t="shared" si="171"/>
        <v>-2.6107338261426746E-2</v>
      </c>
      <c r="U142" s="25">
        <f t="shared" si="171"/>
        <v>-2.6107338261426746E-2</v>
      </c>
      <c r="V142" s="25">
        <f t="shared" si="171"/>
        <v>-2.6107338261426746E-2</v>
      </c>
      <c r="W142" s="25">
        <f t="shared" si="171"/>
        <v>-2.6107338261426746E-2</v>
      </c>
    </row>
    <row r="143" spans="1:23">
      <c r="E143" s="25"/>
      <c r="F143" s="25"/>
      <c r="G143" s="25"/>
      <c r="H143" s="25"/>
      <c r="I143" s="25"/>
      <c r="J143" s="25"/>
      <c r="K143" s="25"/>
      <c r="L143" s="25"/>
      <c r="M143" s="21" t="s">
        <v>25</v>
      </c>
      <c r="N143" s="27">
        <f>N144</f>
        <v>-2.6107338261426746E-2</v>
      </c>
      <c r="O143" s="27">
        <f>N143</f>
        <v>-2.6107338261426746E-2</v>
      </c>
      <c r="P143" s="27">
        <f t="shared" ref="P143:W145" si="172">O143</f>
        <v>-2.6107338261426746E-2</v>
      </c>
      <c r="Q143" s="27">
        <f t="shared" si="172"/>
        <v>-2.6107338261426746E-2</v>
      </c>
      <c r="R143" s="27">
        <f t="shared" si="172"/>
        <v>-2.6107338261426746E-2</v>
      </c>
      <c r="S143" s="27">
        <f t="shared" si="172"/>
        <v>-2.6107338261426746E-2</v>
      </c>
      <c r="T143" s="27">
        <f t="shared" si="172"/>
        <v>-2.6107338261426746E-2</v>
      </c>
      <c r="U143" s="27">
        <f t="shared" si="172"/>
        <v>-2.6107338261426746E-2</v>
      </c>
      <c r="V143" s="27">
        <f t="shared" si="172"/>
        <v>-2.6107338261426746E-2</v>
      </c>
      <c r="W143" s="27">
        <f t="shared" si="172"/>
        <v>-2.6107338261426746E-2</v>
      </c>
    </row>
    <row r="144" spans="1:23">
      <c r="E144" s="25"/>
      <c r="F144" s="25"/>
      <c r="G144" s="25"/>
      <c r="H144" s="25"/>
      <c r="I144" s="25"/>
      <c r="J144" s="25"/>
      <c r="K144" s="25"/>
      <c r="L144" s="25"/>
      <c r="M144" s="21" t="s">
        <v>24</v>
      </c>
      <c r="N144" s="27">
        <f>I142</f>
        <v>-2.6107338261426746E-2</v>
      </c>
      <c r="O144" s="27">
        <f>N144</f>
        <v>-2.6107338261426746E-2</v>
      </c>
      <c r="P144" s="27">
        <f t="shared" si="172"/>
        <v>-2.6107338261426746E-2</v>
      </c>
      <c r="Q144" s="27">
        <f t="shared" si="172"/>
        <v>-2.6107338261426746E-2</v>
      </c>
      <c r="R144" s="27">
        <f t="shared" si="172"/>
        <v>-2.6107338261426746E-2</v>
      </c>
      <c r="S144" s="27">
        <f t="shared" si="172"/>
        <v>-2.6107338261426746E-2</v>
      </c>
      <c r="T144" s="27">
        <f t="shared" si="172"/>
        <v>-2.6107338261426746E-2</v>
      </c>
      <c r="U144" s="27">
        <f t="shared" si="172"/>
        <v>-2.6107338261426746E-2</v>
      </c>
      <c r="V144" s="27">
        <f t="shared" si="172"/>
        <v>-2.6107338261426746E-2</v>
      </c>
      <c r="W144" s="27">
        <f t="shared" si="172"/>
        <v>-2.6107338261426746E-2</v>
      </c>
    </row>
    <row r="145" spans="1:23">
      <c r="E145" s="25"/>
      <c r="F145" s="25"/>
      <c r="G145" s="25"/>
      <c r="H145" s="25"/>
      <c r="I145" s="25"/>
      <c r="J145" s="25"/>
      <c r="K145" s="25"/>
      <c r="L145" s="25"/>
      <c r="M145" s="21" t="s">
        <v>81</v>
      </c>
      <c r="N145" s="27">
        <f>N144</f>
        <v>-2.6107338261426746E-2</v>
      </c>
      <c r="O145" s="27">
        <f>N145</f>
        <v>-2.6107338261426746E-2</v>
      </c>
      <c r="P145" s="27">
        <f t="shared" si="172"/>
        <v>-2.6107338261426746E-2</v>
      </c>
      <c r="Q145" s="27">
        <f t="shared" si="172"/>
        <v>-2.6107338261426746E-2</v>
      </c>
      <c r="R145" s="27">
        <f t="shared" si="172"/>
        <v>-2.6107338261426746E-2</v>
      </c>
      <c r="S145" s="27">
        <f t="shared" si="172"/>
        <v>-2.6107338261426746E-2</v>
      </c>
      <c r="T145" s="27">
        <f t="shared" si="172"/>
        <v>-2.6107338261426746E-2</v>
      </c>
      <c r="U145" s="27">
        <f t="shared" si="172"/>
        <v>-2.6107338261426746E-2</v>
      </c>
      <c r="V145" s="27">
        <f t="shared" si="172"/>
        <v>-2.6107338261426746E-2</v>
      </c>
      <c r="W145" s="27">
        <f t="shared" si="172"/>
        <v>-2.6107338261426746E-2</v>
      </c>
    </row>
    <row r="148" spans="1:23" s="1" customFormat="1">
      <c r="A148" s="1" t="s">
        <v>1</v>
      </c>
    </row>
    <row r="150" spans="1:23" s="3" customFormat="1">
      <c r="A150" s="3" t="s">
        <v>33</v>
      </c>
      <c r="E150" s="14"/>
      <c r="F150" s="14"/>
      <c r="G150" s="14"/>
      <c r="H150" s="14">
        <f>H109</f>
        <v>170625</v>
      </c>
      <c r="I150" s="14">
        <f>I109</f>
        <v>-253260</v>
      </c>
      <c r="J150" s="14"/>
      <c r="K150" s="14"/>
      <c r="L150" s="14"/>
      <c r="N150" s="14">
        <f t="shared" ref="N150:W150" si="173">N109</f>
        <v>-446889.51972181385</v>
      </c>
      <c r="O150" s="14">
        <f t="shared" si="173"/>
        <v>-86188.605636361928</v>
      </c>
      <c r="P150" s="14">
        <f t="shared" si="173"/>
        <v>315662.41414780926</v>
      </c>
      <c r="Q150" s="14">
        <f t="shared" si="173"/>
        <v>1058659.3730903447</v>
      </c>
      <c r="R150" s="14">
        <f t="shared" si="173"/>
        <v>1744106.576034805</v>
      </c>
      <c r="S150" s="14">
        <f t="shared" si="173"/>
        <v>2498670.5060618916</v>
      </c>
      <c r="T150" s="14">
        <f t="shared" si="173"/>
        <v>3341034.5204321402</v>
      </c>
      <c r="U150" s="14">
        <f t="shared" si="173"/>
        <v>4294106.1750841681</v>
      </c>
      <c r="V150" s="14">
        <f t="shared" si="173"/>
        <v>4961130.2935205884</v>
      </c>
      <c r="W150" s="14">
        <f t="shared" si="173"/>
        <v>5460443.5532699609</v>
      </c>
    </row>
    <row r="151" spans="1:23">
      <c r="A151" t="s">
        <v>34</v>
      </c>
      <c r="H151" s="19">
        <f>-H88</f>
        <v>-63893</v>
      </c>
      <c r="I151" s="19">
        <f>-I88</f>
        <v>-262636</v>
      </c>
      <c r="J151" s="19"/>
      <c r="K151" s="19"/>
      <c r="L151" s="19"/>
      <c r="N151" s="19">
        <f t="shared" ref="N151:W151" si="174">-N88</f>
        <v>0</v>
      </c>
      <c r="O151" s="19">
        <f t="shared" si="174"/>
        <v>16964.587566094891</v>
      </c>
      <c r="P151" s="19">
        <f t="shared" si="174"/>
        <v>-4647.7313025226449</v>
      </c>
      <c r="Q151" s="19">
        <f t="shared" si="174"/>
        <v>-75600.442634999941</v>
      </c>
      <c r="R151" s="19">
        <f t="shared" si="174"/>
        <v>-208353.90366870019</v>
      </c>
      <c r="S151" s="19">
        <f t="shared" si="174"/>
        <v>-416027.53690829594</v>
      </c>
      <c r="T151" s="19">
        <f t="shared" si="174"/>
        <v>-712461.29752923967</v>
      </c>
      <c r="U151" s="19">
        <f t="shared" si="174"/>
        <v>-930630.74737286102</v>
      </c>
      <c r="V151" s="19">
        <f t="shared" si="174"/>
        <v>-1078548.7192694847</v>
      </c>
      <c r="W151" s="19">
        <f t="shared" si="174"/>
        <v>-1186756.9584600041</v>
      </c>
    </row>
    <row r="152" spans="1:23">
      <c r="A152" t="s">
        <v>35</v>
      </c>
      <c r="H152" s="19">
        <f>H141</f>
        <v>-90624</v>
      </c>
      <c r="I152" s="19">
        <f>I141</f>
        <v>-125452</v>
      </c>
      <c r="J152" s="19"/>
      <c r="K152" s="19"/>
      <c r="L152" s="19"/>
      <c r="N152" s="19">
        <f t="shared" ref="N152:W152" si="175">N141</f>
        <v>-90279.175708013689</v>
      </c>
      <c r="O152" s="19">
        <f t="shared" si="175"/>
        <v>-121876.88720581848</v>
      </c>
      <c r="P152" s="19">
        <f t="shared" si="175"/>
        <v>-158439.95336756404</v>
      </c>
      <c r="Q152" s="19">
        <f t="shared" si="175"/>
        <v>-205971.93937783325</v>
      </c>
      <c r="R152" s="19">
        <f t="shared" si="175"/>
        <v>-247166.32725339994</v>
      </c>
      <c r="S152" s="19">
        <f t="shared" si="175"/>
        <v>-299565.58863112069</v>
      </c>
      <c r="T152" s="19">
        <f t="shared" si="175"/>
        <v>-355749.11477888731</v>
      </c>
      <c r="U152" s="19">
        <f t="shared" si="175"/>
        <v>-415248.15422565612</v>
      </c>
      <c r="V152" s="19">
        <f t="shared" si="175"/>
        <v>-457437.36669498292</v>
      </c>
      <c r="W152" s="19">
        <f t="shared" si="175"/>
        <v>-489915.4197303268</v>
      </c>
    </row>
    <row r="153" spans="1:23">
      <c r="A153" t="s">
        <v>36</v>
      </c>
      <c r="H153" s="19">
        <f>-(H120-G120)</f>
        <v>2355</v>
      </c>
      <c r="I153" s="19">
        <f>-(I120-H120)</f>
        <v>683513</v>
      </c>
      <c r="J153" s="19"/>
      <c r="K153" s="19"/>
      <c r="L153" s="19"/>
      <c r="N153" s="19">
        <f>-(N120-I120)</f>
        <v>-685868</v>
      </c>
      <c r="O153" s="19">
        <f t="shared" ref="O153:W153" si="176">-(O120-N120)</f>
        <v>326781.00000000006</v>
      </c>
      <c r="P153" s="19">
        <f t="shared" si="176"/>
        <v>340785.90000000008</v>
      </c>
      <c r="Q153" s="19">
        <f t="shared" si="176"/>
        <v>200270.06999999995</v>
      </c>
      <c r="R153" s="19">
        <f t="shared" si="176"/>
        <v>173567.3940000002</v>
      </c>
      <c r="S153" s="19">
        <f t="shared" si="176"/>
        <v>220777.72516799974</v>
      </c>
      <c r="T153" s="19">
        <f t="shared" si="176"/>
        <v>236722.25082345842</v>
      </c>
      <c r="U153" s="19">
        <f t="shared" si="176"/>
        <v>250691.75086357095</v>
      </c>
      <c r="V153" s="19">
        <f t="shared" si="176"/>
        <v>177758.96283087158</v>
      </c>
      <c r="W153" s="19">
        <f t="shared" si="176"/>
        <v>136842.20881169941</v>
      </c>
    </row>
    <row r="154" spans="1:23">
      <c r="A154" t="s">
        <v>37</v>
      </c>
    </row>
    <row r="155" spans="1:23">
      <c r="E155" s="10"/>
      <c r="F155" s="10"/>
      <c r="G155" s="10"/>
      <c r="H155" s="10" t="s">
        <v>8</v>
      </c>
      <c r="I155" s="10" t="s">
        <v>8</v>
      </c>
      <c r="J155" s="10"/>
      <c r="K155" s="10"/>
      <c r="L155" s="10"/>
      <c r="N155" s="10" t="s">
        <v>8</v>
      </c>
      <c r="O155" s="10" t="s">
        <v>8</v>
      </c>
      <c r="P155" s="10" t="s">
        <v>8</v>
      </c>
      <c r="Q155" s="10" t="s">
        <v>8</v>
      </c>
      <c r="R155" s="10" t="s">
        <v>8</v>
      </c>
      <c r="S155" s="10" t="s">
        <v>8</v>
      </c>
      <c r="T155" s="10" t="s">
        <v>8</v>
      </c>
      <c r="U155" s="10" t="s">
        <v>8</v>
      </c>
      <c r="V155" s="10" t="s">
        <v>8</v>
      </c>
      <c r="W155" s="10" t="s">
        <v>8</v>
      </c>
    </row>
    <row r="156" spans="1:23" s="3" customFormat="1">
      <c r="A156" s="3" t="s">
        <v>38</v>
      </c>
      <c r="H156" s="14">
        <f>SUM(H150:H155)</f>
        <v>18463</v>
      </c>
      <c r="I156" s="14">
        <f>SUM(I150:I155)</f>
        <v>42165</v>
      </c>
      <c r="J156" s="14"/>
      <c r="K156" s="14"/>
      <c r="L156" s="14"/>
      <c r="N156" s="14">
        <f>SUM(N150:N155)</f>
        <v>-1223036.6954298276</v>
      </c>
      <c r="O156" s="14">
        <f t="shared" ref="O156:W156" si="177">SUM(O150:O155)</f>
        <v>135680.09472391455</v>
      </c>
      <c r="P156" s="14">
        <f t="shared" si="177"/>
        <v>493360.62947772269</v>
      </c>
      <c r="Q156" s="14">
        <f t="shared" si="177"/>
        <v>977357.0610775114</v>
      </c>
      <c r="R156" s="14">
        <f t="shared" si="177"/>
        <v>1462153.739112705</v>
      </c>
      <c r="S156" s="14">
        <f t="shared" si="177"/>
        <v>2003855.1056904746</v>
      </c>
      <c r="T156" s="14">
        <f t="shared" si="177"/>
        <v>2509546.3589474717</v>
      </c>
      <c r="U156" s="14">
        <f t="shared" si="177"/>
        <v>3198919.024349222</v>
      </c>
      <c r="V156" s="14">
        <f t="shared" si="177"/>
        <v>3602903.1703869924</v>
      </c>
      <c r="W156" s="14">
        <f t="shared" si="177"/>
        <v>3920613.3838913296</v>
      </c>
    </row>
    <row r="157" spans="1:23">
      <c r="A157" s="3" t="s">
        <v>42</v>
      </c>
      <c r="W157" s="14">
        <f>W156*(1+B165)/(B164-B165)</f>
        <v>80764635.708161399</v>
      </c>
    </row>
    <row r="158" spans="1:23">
      <c r="E158" s="10"/>
      <c r="F158" s="10"/>
      <c r="G158" s="10"/>
      <c r="H158" s="10" t="s">
        <v>8</v>
      </c>
      <c r="I158" s="10" t="s">
        <v>8</v>
      </c>
      <c r="J158" s="10"/>
      <c r="K158" s="10"/>
      <c r="L158" s="10"/>
      <c r="N158" s="10" t="s">
        <v>8</v>
      </c>
      <c r="O158" s="10" t="s">
        <v>8</v>
      </c>
      <c r="P158" s="10" t="s">
        <v>8</v>
      </c>
      <c r="Q158" s="10" t="s">
        <v>8</v>
      </c>
      <c r="R158" s="10" t="s">
        <v>8</v>
      </c>
      <c r="S158" s="10" t="s">
        <v>8</v>
      </c>
      <c r="T158" s="10" t="s">
        <v>8</v>
      </c>
      <c r="U158" s="10" t="s">
        <v>8</v>
      </c>
      <c r="V158" s="10" t="s">
        <v>8</v>
      </c>
      <c r="W158" s="10" t="s">
        <v>8</v>
      </c>
    </row>
    <row r="159" spans="1:23" s="3" customFormat="1">
      <c r="A159" s="3" t="s">
        <v>44</v>
      </c>
      <c r="H159" s="14">
        <f>SUM(H155:H158)</f>
        <v>18463</v>
      </c>
      <c r="I159" s="14">
        <f>SUM(I155:I158)</f>
        <v>42165</v>
      </c>
      <c r="J159" s="14"/>
      <c r="K159" s="14"/>
      <c r="L159" s="14"/>
      <c r="N159" s="14">
        <f ca="1">SUM(N155:N158)*((N3-B162)/365)</f>
        <v>-97172.778541000007</v>
      </c>
      <c r="O159" s="14">
        <f t="shared" ref="O159:W159" si="178">SUM(O155:O158)</f>
        <v>135680.09472391455</v>
      </c>
      <c r="P159" s="14">
        <f t="shared" si="178"/>
        <v>493360.62947772269</v>
      </c>
      <c r="Q159" s="14">
        <f t="shared" si="178"/>
        <v>977357.0610775114</v>
      </c>
      <c r="R159" s="14">
        <f t="shared" si="178"/>
        <v>1462153.739112705</v>
      </c>
      <c r="S159" s="14">
        <f t="shared" si="178"/>
        <v>2003855.1056904746</v>
      </c>
      <c r="T159" s="14">
        <f t="shared" si="178"/>
        <v>2509546.3589474717</v>
      </c>
      <c r="U159" s="14">
        <f t="shared" si="178"/>
        <v>3198919.024349222</v>
      </c>
      <c r="V159" s="14">
        <f t="shared" si="178"/>
        <v>3602903.1703869924</v>
      </c>
      <c r="W159" s="14">
        <f t="shared" si="178"/>
        <v>84685249.092052728</v>
      </c>
    </row>
    <row r="160" spans="1:23">
      <c r="A160" s="3" t="s">
        <v>58</v>
      </c>
      <c r="N160" s="14">
        <f ca="1">N159</f>
        <v>-97172.778541000007</v>
      </c>
      <c r="O160" s="14">
        <f t="shared" ref="O160:W160" si="179">O159/(1+$B$164)^(O4-$B$163-0.5)</f>
        <v>120887.25187118207</v>
      </c>
      <c r="P160" s="14">
        <f t="shared" si="179"/>
        <v>407010.01977098529</v>
      </c>
      <c r="Q160" s="14">
        <f t="shared" si="179"/>
        <v>746569.27179583185</v>
      </c>
      <c r="R160" s="14">
        <f t="shared" si="179"/>
        <v>1034156.1988533615</v>
      </c>
      <c r="S160" s="14">
        <f t="shared" si="179"/>
        <v>1312307.6492748891</v>
      </c>
      <c r="T160" s="14">
        <f t="shared" si="179"/>
        <v>1521741.2462277454</v>
      </c>
      <c r="U160" s="14">
        <f t="shared" si="179"/>
        <v>1796077.533996609</v>
      </c>
      <c r="V160" s="14">
        <f t="shared" si="179"/>
        <v>1873055.5981455194</v>
      </c>
      <c r="W160" s="14">
        <f t="shared" si="179"/>
        <v>40764497.404314786</v>
      </c>
    </row>
    <row r="161" spans="1:23">
      <c r="A161" s="3"/>
      <c r="W161" s="14"/>
    </row>
    <row r="162" spans="1:23">
      <c r="A162" s="7" t="s">
        <v>84</v>
      </c>
      <c r="B162" s="89">
        <f ca="1">TODAY()</f>
        <v>44167</v>
      </c>
      <c r="C162" s="92"/>
      <c r="W162" s="14"/>
    </row>
    <row r="163" spans="1:23">
      <c r="A163" t="s">
        <v>59</v>
      </c>
      <c r="B163" s="62">
        <v>2019</v>
      </c>
      <c r="C163" s="93"/>
    </row>
    <row r="164" spans="1:23">
      <c r="A164" t="s">
        <v>43</v>
      </c>
      <c r="B164" s="61">
        <v>0.08</v>
      </c>
      <c r="C164" s="48"/>
      <c r="D164" s="48"/>
    </row>
    <row r="165" spans="1:23">
      <c r="A165" t="s">
        <v>41</v>
      </c>
      <c r="B165" s="43">
        <v>0.03</v>
      </c>
      <c r="C165" s="48"/>
      <c r="D165" s="48"/>
    </row>
    <row r="167" spans="1:23">
      <c r="A167" t="s">
        <v>92</v>
      </c>
      <c r="B167" s="101">
        <v>47</v>
      </c>
    </row>
    <row r="168" spans="1:23">
      <c r="A168" s="98" t="s">
        <v>91</v>
      </c>
    </row>
    <row r="169" spans="1:23">
      <c r="A169" t="s">
        <v>88</v>
      </c>
      <c r="B169" s="53">
        <v>24460.092000000001</v>
      </c>
      <c r="C169" s="97">
        <v>5.96</v>
      </c>
      <c r="D169" s="42">
        <f t="shared" ref="D169:D179" si="180">MAX($B169-($B169*$C169/$B$167),0)</f>
        <v>21358.344163404254</v>
      </c>
    </row>
    <row r="170" spans="1:23">
      <c r="A170" t="s">
        <v>89</v>
      </c>
      <c r="B170" s="53">
        <v>13788.876</v>
      </c>
      <c r="C170" s="97">
        <v>3.18</v>
      </c>
      <c r="D170" s="42">
        <f t="shared" si="180"/>
        <v>12855.926517446809</v>
      </c>
    </row>
    <row r="171" spans="1:23">
      <c r="A171" t="s">
        <v>88</v>
      </c>
      <c r="B171" s="53">
        <v>6408.7139999999999</v>
      </c>
      <c r="C171" s="97">
        <v>49.77</v>
      </c>
      <c r="D171" s="42">
        <f t="shared" si="180"/>
        <v>0</v>
      </c>
    </row>
    <row r="172" spans="1:23">
      <c r="A172" t="s">
        <v>88</v>
      </c>
      <c r="B172" s="53">
        <v>181.78200000000001</v>
      </c>
      <c r="C172" s="97">
        <v>22.65</v>
      </c>
      <c r="D172" s="42">
        <f t="shared" si="180"/>
        <v>94.17854680851066</v>
      </c>
    </row>
    <row r="173" spans="1:23">
      <c r="A173" t="s">
        <v>88</v>
      </c>
      <c r="B173" s="53">
        <v>2145.7399999999998</v>
      </c>
      <c r="C173" s="97">
        <v>39.04</v>
      </c>
      <c r="D173" s="42">
        <f t="shared" si="180"/>
        <v>363.40617872340431</v>
      </c>
    </row>
    <row r="174" spans="1:23">
      <c r="A174" t="s">
        <v>90</v>
      </c>
      <c r="B174" s="53">
        <v>38221.076000000001</v>
      </c>
      <c r="D174" s="42">
        <f t="shared" si="180"/>
        <v>38221.076000000001</v>
      </c>
    </row>
    <row r="175" spans="1:23">
      <c r="A175" t="s">
        <v>90</v>
      </c>
      <c r="B175" s="53">
        <v>51916.175999999999</v>
      </c>
      <c r="D175" s="42">
        <f t="shared" si="180"/>
        <v>51916.175999999999</v>
      </c>
    </row>
    <row r="176" spans="1:23">
      <c r="A176" t="s">
        <v>90</v>
      </c>
      <c r="B176" s="53">
        <v>42.58</v>
      </c>
      <c r="D176" s="42">
        <f t="shared" si="180"/>
        <v>42.58</v>
      </c>
    </row>
    <row r="177" spans="1:27">
      <c r="A177" t="s">
        <v>90</v>
      </c>
      <c r="B177" s="53">
        <v>12000</v>
      </c>
      <c r="D177" s="42">
        <f t="shared" si="180"/>
        <v>12000</v>
      </c>
    </row>
    <row r="178" spans="1:27">
      <c r="A178" t="s">
        <v>90</v>
      </c>
      <c r="B178" s="53">
        <v>3621.5880000000002</v>
      </c>
      <c r="D178" s="42">
        <f t="shared" si="180"/>
        <v>3621.5880000000002</v>
      </c>
    </row>
    <row r="179" spans="1:27">
      <c r="A179" t="s">
        <v>86</v>
      </c>
      <c r="B179" s="53">
        <v>7934.7939999999999</v>
      </c>
      <c r="C179" s="97">
        <v>28.355</v>
      </c>
      <c r="D179" s="42">
        <f t="shared" si="180"/>
        <v>3147.7496623404249</v>
      </c>
    </row>
    <row r="180" spans="1:27" s="3" customFormat="1">
      <c r="A180" s="2" t="s">
        <v>87</v>
      </c>
      <c r="D180" s="100">
        <f>SUM(D169:D179)</f>
        <v>143621.02506872339</v>
      </c>
    </row>
    <row r="182" spans="1:27">
      <c r="A182" s="3" t="s">
        <v>45</v>
      </c>
      <c r="B182" s="44">
        <f ca="1">SUM(N160:W160)</f>
        <v>49479129.395709909</v>
      </c>
      <c r="C182" s="14"/>
      <c r="D182" s="44"/>
    </row>
    <row r="183" spans="1:27">
      <c r="A183" t="s">
        <v>46</v>
      </c>
      <c r="B183" s="45"/>
      <c r="C183" s="45"/>
      <c r="D183" s="45"/>
    </row>
    <row r="184" spans="1:27">
      <c r="A184" t="s">
        <v>47</v>
      </c>
      <c r="B184" s="42"/>
      <c r="C184" s="42"/>
      <c r="D184" s="42"/>
    </row>
    <row r="185" spans="1:27">
      <c r="A185" s="3" t="s">
        <v>48</v>
      </c>
      <c r="B185" s="44">
        <f ca="1">B182+B183+B184</f>
        <v>49479129.395709909</v>
      </c>
      <c r="C185" s="44"/>
      <c r="D185" s="44"/>
    </row>
    <row r="186" spans="1:27">
      <c r="A186" t="s">
        <v>62</v>
      </c>
      <c r="B186" s="53">
        <f>98624.667+488974.34+9200+D180</f>
        <v>740420.03206872335</v>
      </c>
      <c r="C186" s="53"/>
      <c r="D186" s="42"/>
      <c r="G186" s="64"/>
    </row>
    <row r="187" spans="1:27">
      <c r="A187" s="50" t="s">
        <v>49</v>
      </c>
      <c r="B187" s="91">
        <f ca="1">B185/B186</f>
        <v>66.825757344065778</v>
      </c>
      <c r="C187" s="94"/>
      <c r="D187" s="42"/>
    </row>
    <row r="188" spans="1:27">
      <c r="AA188" s="11"/>
    </row>
    <row r="189" spans="1:27">
      <c r="B189" s="49" t="s">
        <v>55</v>
      </c>
      <c r="C189" s="49" t="s">
        <v>55</v>
      </c>
      <c r="D189" s="49" t="s">
        <v>54</v>
      </c>
    </row>
    <row r="190" spans="1:27">
      <c r="A190" t="s">
        <v>51</v>
      </c>
      <c r="B190" s="44">
        <f ca="1">IF(case="A",$B$185,B190)</f>
        <v>5435341.125699033</v>
      </c>
      <c r="C190" s="95">
        <f ca="1">IF(case="A",$B$187,C190)</f>
        <v>7.3408888067395539</v>
      </c>
      <c r="D190" s="51">
        <v>0.15</v>
      </c>
    </row>
    <row r="191" spans="1:27">
      <c r="A191" t="s">
        <v>52</v>
      </c>
      <c r="B191" s="44">
        <f ca="1">IF(case="B",$B$185,B191)</f>
        <v>49479129.395709909</v>
      </c>
      <c r="C191" s="95">
        <f ca="1">IF(case="B",$B$187,C191)</f>
        <v>66.825757344065778</v>
      </c>
      <c r="D191" s="51">
        <v>0.5</v>
      </c>
    </row>
    <row r="192" spans="1:27">
      <c r="A192" t="s">
        <v>53</v>
      </c>
      <c r="B192" s="44">
        <f ca="1">IF(case="C",$B$185,B192)</f>
        <v>101305773.70338796</v>
      </c>
      <c r="C192" s="95">
        <f ca="1">IF(case="C",$B$187,C192)</f>
        <v>136.82203251624762</v>
      </c>
      <c r="D192" s="52">
        <v>0.35</v>
      </c>
    </row>
    <row r="193" spans="1:3">
      <c r="A193" s="54" t="s">
        <v>85</v>
      </c>
      <c r="B193" s="55">
        <f ca="1">SUMPRODUCT(B190:B192,$D$190:$D$192)</f>
        <v>61011886.66289559</v>
      </c>
      <c r="C193" s="96">
        <f ca="1">SUMPRODUCT(C190:C192,$D$190:$D$192)</f>
        <v>82.401723373730476</v>
      </c>
    </row>
    <row r="195" spans="1:3">
      <c r="A195" s="3" t="s">
        <v>83</v>
      </c>
      <c r="B195" s="88">
        <f ca="1">B193/O43</f>
        <v>17.425868563972777</v>
      </c>
      <c r="C195" s="3"/>
    </row>
    <row r="196" spans="1:3">
      <c r="A196" s="3" t="s">
        <v>82</v>
      </c>
      <c r="B196" s="88">
        <f ca="1">B193/P43</f>
        <v>13.228139092084598</v>
      </c>
      <c r="C196" s="3"/>
    </row>
    <row r="202" spans="1:3">
      <c r="C202" s="9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ECD9-252E-4E7F-8667-D8FDEDFA716D}">
  <dimension ref="A1:P8"/>
  <sheetViews>
    <sheetView showGridLines="0" workbookViewId="0">
      <selection activeCell="V20" sqref="V20"/>
    </sheetView>
  </sheetViews>
  <sheetFormatPr defaultRowHeight="14.4"/>
  <cols>
    <col min="1" max="1" width="29.44140625" bestFit="1" customWidth="1"/>
  </cols>
  <sheetData>
    <row r="1" spans="1:16">
      <c r="B1" s="6">
        <f>C1-1</f>
        <v>2015</v>
      </c>
      <c r="C1" s="6">
        <f>D1-1</f>
        <v>2016</v>
      </c>
      <c r="D1" s="6">
        <f>E1-1</f>
        <v>2017</v>
      </c>
      <c r="E1" s="6">
        <f>F1-1</f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</row>
    <row r="2" spans="1:16">
      <c r="A2" t="s">
        <v>78</v>
      </c>
      <c r="B2" s="106">
        <v>72.400000000000006</v>
      </c>
      <c r="C2" s="106">
        <v>125.7</v>
      </c>
      <c r="D2" s="106">
        <v>185.8</v>
      </c>
      <c r="E2" s="106">
        <v>250.3</v>
      </c>
      <c r="F2" s="106">
        <v>326.89999999999998</v>
      </c>
      <c r="G2" s="106">
        <v>212.48499999999999</v>
      </c>
      <c r="H2" s="106">
        <v>329.35174999999998</v>
      </c>
      <c r="I2" s="106">
        <v>428.15727499999997</v>
      </c>
      <c r="J2" s="106">
        <v>535.19659374999992</v>
      </c>
      <c r="K2" s="106">
        <v>642.23591249999993</v>
      </c>
      <c r="L2" s="106">
        <v>770.68309499999987</v>
      </c>
      <c r="M2" s="106">
        <v>901.69922114999974</v>
      </c>
      <c r="N2" s="106">
        <v>1036.9541043224997</v>
      </c>
      <c r="O2" s="106">
        <v>1119.9104326682998</v>
      </c>
      <c r="P2" s="106">
        <v>1175.9059543017149</v>
      </c>
    </row>
    <row r="3" spans="1:16">
      <c r="A3" t="s">
        <v>79</v>
      </c>
      <c r="B3" s="104">
        <v>111.87845303867402</v>
      </c>
      <c r="C3" s="104">
        <v>110.58074781225139</v>
      </c>
      <c r="D3" s="104">
        <v>113.02475780409041</v>
      </c>
      <c r="E3" s="104">
        <v>117.45904914103076</v>
      </c>
      <c r="F3" s="104">
        <v>116.24349954114409</v>
      </c>
      <c r="G3" s="104">
        <v>116.24349954114409</v>
      </c>
      <c r="H3" s="104">
        <v>116.24349954114409</v>
      </c>
      <c r="I3" s="104">
        <v>116.24349954114409</v>
      </c>
      <c r="J3" s="104">
        <v>116.24349954114409</v>
      </c>
      <c r="K3" s="104">
        <v>116.24349954114409</v>
      </c>
      <c r="L3" s="104">
        <v>117.40593453655553</v>
      </c>
      <c r="M3" s="104">
        <v>119.16702355460386</v>
      </c>
      <c r="N3" s="104">
        <v>120.95452890792291</v>
      </c>
      <c r="O3" s="104">
        <v>123.37361948608137</v>
      </c>
      <c r="P3" s="104">
        <v>125.841091875803</v>
      </c>
    </row>
    <row r="5" spans="1:16">
      <c r="B5" s="6">
        <f>C5-1</f>
        <v>2015</v>
      </c>
      <c r="C5" s="6">
        <f>D5-1</f>
        <v>2016</v>
      </c>
      <c r="D5" s="6">
        <f>E5-1</f>
        <v>2017</v>
      </c>
      <c r="E5" s="6">
        <f>F5-1</f>
        <v>2018</v>
      </c>
      <c r="F5" s="6">
        <v>2019</v>
      </c>
      <c r="G5" s="6">
        <v>2020</v>
      </c>
      <c r="H5" s="6">
        <v>2021</v>
      </c>
      <c r="I5" s="6">
        <v>2022</v>
      </c>
      <c r="J5" s="6">
        <v>2023</v>
      </c>
      <c r="K5" s="6">
        <v>2024</v>
      </c>
      <c r="L5" s="6">
        <v>2025</v>
      </c>
      <c r="M5" s="6">
        <v>2026</v>
      </c>
      <c r="N5" s="6">
        <v>2027</v>
      </c>
      <c r="O5" s="6">
        <v>2028</v>
      </c>
      <c r="P5" s="6">
        <v>2029</v>
      </c>
    </row>
    <row r="6" spans="1:16">
      <c r="A6" t="s">
        <v>95</v>
      </c>
      <c r="B6" s="105">
        <v>8.1</v>
      </c>
      <c r="C6" s="105">
        <v>13.9</v>
      </c>
      <c r="D6" s="105">
        <v>21</v>
      </c>
      <c r="E6" s="105">
        <v>29.4</v>
      </c>
      <c r="F6" s="105">
        <v>38</v>
      </c>
      <c r="G6" s="105">
        <v>24.7</v>
      </c>
      <c r="H6" s="105">
        <v>38.284999999999997</v>
      </c>
      <c r="I6" s="105">
        <v>49.770499999999998</v>
      </c>
      <c r="J6" s="105">
        <v>62.213124999999991</v>
      </c>
      <c r="K6" s="105">
        <v>74.655749999999998</v>
      </c>
      <c r="L6" s="105">
        <v>90.482769000000005</v>
      </c>
      <c r="M6" s="105">
        <v>107.45281232594996</v>
      </c>
      <c r="N6" s="105">
        <v>125.42429518746509</v>
      </c>
      <c r="O6" s="105">
        <v>138.16740357851157</v>
      </c>
      <c r="P6" s="105">
        <v>147.97728923258592</v>
      </c>
    </row>
    <row r="7" spans="1:16">
      <c r="A7" t="s">
        <v>96</v>
      </c>
      <c r="B7" s="105">
        <v>527.05999999999995</v>
      </c>
      <c r="C7" s="105">
        <v>562.99</v>
      </c>
      <c r="D7" s="105">
        <v>570.17999999999995</v>
      </c>
      <c r="E7" s="105">
        <v>600.49</v>
      </c>
      <c r="F7" s="108">
        <f>E7*(1+F8)</f>
        <v>618.50470000000007</v>
      </c>
      <c r="G7" s="109">
        <f>F7</f>
        <v>618.50470000000007</v>
      </c>
      <c r="H7" s="109">
        <f>G7</f>
        <v>618.50470000000007</v>
      </c>
      <c r="I7" s="108">
        <f>F7*(1+I8)</f>
        <v>637.05984100000012</v>
      </c>
      <c r="J7" s="108">
        <f>I7*(1+J8)</f>
        <v>656.1716362300001</v>
      </c>
      <c r="K7" s="108">
        <f t="shared" ref="K7:P7" si="0">J7*(1+K8)</f>
        <v>675.85678531690007</v>
      </c>
      <c r="L7" s="108">
        <f t="shared" si="0"/>
        <v>696.13248887640714</v>
      </c>
      <c r="M7" s="108">
        <f t="shared" si="0"/>
        <v>717.0164635426994</v>
      </c>
      <c r="N7" s="108">
        <f t="shared" si="0"/>
        <v>738.5269574489804</v>
      </c>
      <c r="O7" s="108">
        <f t="shared" si="0"/>
        <v>760.68276617244987</v>
      </c>
      <c r="P7" s="108">
        <f t="shared" si="0"/>
        <v>783.50324915762337</v>
      </c>
    </row>
    <row r="8" spans="1:16">
      <c r="C8" s="107">
        <f>C7/B7-1</f>
        <v>6.8170606762038677E-2</v>
      </c>
      <c r="D8" s="107">
        <f t="shared" ref="D8:E8" si="1">D7/C7-1</f>
        <v>1.2771097177569635E-2</v>
      </c>
      <c r="E8" s="107">
        <f t="shared" si="1"/>
        <v>5.3158651653863798E-2</v>
      </c>
      <c r="F8" s="39">
        <v>0.03</v>
      </c>
      <c r="I8" s="39">
        <v>0.03</v>
      </c>
      <c r="J8" s="39">
        <v>0.03</v>
      </c>
      <c r="K8" s="39">
        <v>0.03</v>
      </c>
      <c r="L8" s="39">
        <v>0.03</v>
      </c>
      <c r="M8" s="39">
        <v>0.03</v>
      </c>
      <c r="N8" s="39">
        <v>0.03</v>
      </c>
      <c r="O8" s="39">
        <v>0.03</v>
      </c>
      <c r="P8" s="39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Oh</dc:creator>
  <cp:lastModifiedBy>J K</cp:lastModifiedBy>
  <dcterms:created xsi:type="dcterms:W3CDTF">2020-04-29T18:59:16Z</dcterms:created>
  <dcterms:modified xsi:type="dcterms:W3CDTF">2020-12-02T22:33:05Z</dcterms:modified>
</cp:coreProperties>
</file>