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ortfolio\Programação - Portfólio\Projetos ABR\Planilhas (ABR Indicadores) - LinkedIN\"/>
    </mc:Choice>
  </mc:AlternateContent>
  <xr:revisionPtr revIDLastSave="0" documentId="13_ncr:1_{EBA98C74-4FC4-42D4-8EC4-9A2B701ED8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dos" sheetId="1" r:id="rId1"/>
    <sheet name="Metas Mensais" sheetId="10" r:id="rId2"/>
    <sheet name="Cadastros" sheetId="2" r:id="rId3"/>
    <sheet name="BDT's" sheetId="4" state="hidden" r:id="rId4"/>
    <sheet name="Controle Mensal" sheetId="11" state="hidden" r:id="rId5"/>
    <sheet name="Disponibilidade" sheetId="6" state="hidden" r:id="rId6"/>
    <sheet name="Metas DM &amp; DO" sheetId="7" state="hidden" r:id="rId7"/>
    <sheet name="Diesel" sheetId="8" state="hidden" r:id="rId8"/>
    <sheet name="Metas Diesel" sheetId="9" state="hidden" r:id="rId9"/>
  </sheets>
  <definedNames>
    <definedName name="DadosExternos_1" localSheetId="3" hidden="1">'BDT''s'!$A$1:$AJ$25</definedName>
    <definedName name="DadosExternos_2" localSheetId="5" hidden="1">Disponibilidade!$A$1:$AL$73</definedName>
    <definedName name="DadosExternos_3" localSheetId="4" hidden="1">'Controle Mensal'!$A$1:$AF$7</definedName>
    <definedName name="DadosExternos_3" localSheetId="6" hidden="1">'Metas DM &amp; DO'!$A$1:$Z$9</definedName>
    <definedName name="DadosExternos_4" localSheetId="7" hidden="1">Diesel!$A$1:$AC$18</definedName>
    <definedName name="DadosExternos_5" localSheetId="8" hidden="1">'Metas Diesel'!$A$1:$P$7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sponibilidade_fc0d8da5-b5cf-4dde-bc78-6d7032b9f2ef" name="Disponibilidade" connection="Consulta - Disponibilidade"/>
          <x15:modelTable id="Metas DM   DO_3a947221-1790-4bc9-bc35-d7295c38da89" name="Metas DM   DO" connection="Consulta - Metas DM &amp; DO"/>
          <x15:modelTable id="Diesel_d40bcfc5-bb88-4107-a3a2-53b205255fff" name="Diesel" connection="Consulta - Diesel"/>
          <x15:modelTable id="Metas Diesel_52d06d9a-b129-4169-a0d1-64ae631a545b" name="Metas Diesel" connection="Consulta - Metas Dies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8" l="1" a="1"/>
  <c r="D2" i="8" s="1"/>
  <c r="D3" i="8" a="1"/>
  <c r="D3" i="8" s="1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C4" i="1" l="1" a="1"/>
  <c r="C4" i="1" s="1"/>
  <c r="AO2" i="1"/>
  <c r="C3" i="1" a="1"/>
  <c r="C3" i="1" s="1"/>
  <c r="G7" i="10"/>
  <c r="F3" i="10"/>
  <c r="E3" i="10" a="1"/>
  <c r="E3" i="10" s="1"/>
  <c r="E5" i="10" a="1"/>
  <c r="E5" i="10" s="1"/>
  <c r="E7" i="10" a="1"/>
  <c r="E7" i="10" s="1"/>
  <c r="D7" i="10" a="1"/>
  <c r="D7" i="10" s="1"/>
  <c r="D2" i="10" a="1"/>
  <c r="D2" i="10" s="1"/>
  <c r="C3" i="10"/>
  <c r="C7" i="10"/>
  <c r="B3" i="10"/>
  <c r="G3" i="10" s="1"/>
  <c r="B4" i="10"/>
  <c r="E4" i="10" s="1" a="1"/>
  <c r="E4" i="10" s="1"/>
  <c r="B5" i="10"/>
  <c r="F5" i="10" s="1"/>
  <c r="B6" i="10"/>
  <c r="E6" i="10" s="1" a="1"/>
  <c r="E6" i="10" s="1"/>
  <c r="B7" i="10"/>
  <c r="F7" i="10" s="1"/>
  <c r="B2" i="10"/>
  <c r="G2" i="10" s="1"/>
  <c r="D6" i="10" l="1" a="1"/>
  <c r="D6" i="10" s="1"/>
  <c r="I6" i="10" s="1"/>
  <c r="D4" i="10" a="1"/>
  <c r="D4" i="10" s="1"/>
  <c r="I4" i="10" s="1"/>
  <c r="F2" i="10"/>
  <c r="G6" i="10"/>
  <c r="D5" i="10" a="1"/>
  <c r="D5" i="10" s="1"/>
  <c r="I5" i="10" s="1"/>
  <c r="D3" i="10" a="1"/>
  <c r="D3" i="10" s="1"/>
  <c r="H3" i="10" s="1"/>
  <c r="G5" i="10"/>
  <c r="C6" i="10"/>
  <c r="H6" i="10" s="1"/>
  <c r="C5" i="10"/>
  <c r="C4" i="10"/>
  <c r="H4" i="10" s="1"/>
  <c r="E2" i="10" a="1"/>
  <c r="E2" i="10" s="1"/>
  <c r="I2" i="10" s="1"/>
  <c r="F6" i="10"/>
  <c r="G4" i="10"/>
  <c r="F4" i="10"/>
  <c r="C2" i="10"/>
  <c r="H7" i="10"/>
  <c r="I7" i="10"/>
  <c r="H2" i="10"/>
  <c r="AU8" i="1"/>
  <c r="AU9" i="1"/>
  <c r="AU10" i="1"/>
  <c r="AU11" i="1"/>
  <c r="AU12" i="1"/>
  <c r="AU13" i="1"/>
  <c r="AU14" i="1"/>
  <c r="AU15" i="1"/>
  <c r="AU16" i="1"/>
  <c r="AT8" i="1"/>
  <c r="AT9" i="1"/>
  <c r="AT10" i="1"/>
  <c r="AT11" i="1"/>
  <c r="AT12" i="1"/>
  <c r="AT13" i="1"/>
  <c r="AT14" i="1"/>
  <c r="AT15" i="1"/>
  <c r="AT16" i="1"/>
  <c r="H5" i="10" l="1"/>
  <c r="I3" i="10"/>
  <c r="AV8" i="1"/>
  <c r="AV16" i="1"/>
  <c r="AV15" i="1"/>
  <c r="AV12" i="1"/>
  <c r="AV11" i="1"/>
  <c r="AV10" i="1"/>
  <c r="AV9" i="1"/>
  <c r="AV14" i="1"/>
  <c r="AV13" i="1"/>
  <c r="AO3" i="1" l="1"/>
  <c r="AO4" i="1"/>
  <c r="AO5" i="1"/>
  <c r="AO6" i="1"/>
  <c r="AO7" i="1"/>
  <c r="AL3" i="1"/>
  <c r="AL4" i="1"/>
  <c r="AL5" i="1"/>
  <c r="AL6" i="1"/>
  <c r="AL7" i="1"/>
  <c r="AL2" i="1"/>
  <c r="W2" i="1" l="1"/>
  <c r="W3" i="1"/>
  <c r="W4" i="1"/>
  <c r="W5" i="1"/>
  <c r="W6" i="1"/>
  <c r="W7" i="1"/>
  <c r="C2" i="1" l="1" a="1"/>
  <c r="C2" i="1" s="1"/>
  <c r="C5" i="1" a="1"/>
  <c r="C5" i="1" s="1"/>
  <c r="C6" i="1" a="1"/>
  <c r="C6" i="1" s="1"/>
  <c r="C7" i="1" a="1"/>
  <c r="C7" i="1" s="1"/>
  <c r="G10" i="1"/>
  <c r="J10" i="1"/>
  <c r="G11" i="1"/>
  <c r="J11" i="1"/>
  <c r="G12" i="1"/>
  <c r="J12" i="1"/>
  <c r="G13" i="1"/>
  <c r="J13" i="1"/>
  <c r="G14" i="1"/>
  <c r="J14" i="1"/>
  <c r="G15" i="1"/>
  <c r="J15" i="1"/>
  <c r="G16" i="1"/>
  <c r="J16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G8" i="1"/>
  <c r="J8" i="1"/>
  <c r="G9" i="1"/>
  <c r="J9" i="1"/>
  <c r="A8" i="1"/>
  <c r="B8" i="1"/>
  <c r="J2" i="1"/>
  <c r="J3" i="1"/>
  <c r="J4" i="1"/>
  <c r="J5" i="1"/>
  <c r="J6" i="1"/>
  <c r="J7" i="1"/>
  <c r="G2" i="1"/>
  <c r="G3" i="1"/>
  <c r="G4" i="1"/>
  <c r="G5" i="1"/>
  <c r="G6" i="1"/>
  <c r="G7" i="1"/>
  <c r="AP8" i="1" l="1"/>
  <c r="AM8" i="1"/>
  <c r="AP16" i="1"/>
  <c r="AM16" i="1"/>
  <c r="AP15" i="1"/>
  <c r="AM15" i="1"/>
  <c r="AM14" i="1"/>
  <c r="AP14" i="1"/>
  <c r="AM13" i="1"/>
  <c r="AP13" i="1"/>
  <c r="AM12" i="1"/>
  <c r="AP12" i="1"/>
  <c r="AP11" i="1"/>
  <c r="AM11" i="1"/>
  <c r="AM10" i="1"/>
  <c r="AP10" i="1"/>
  <c r="AP9" i="1"/>
  <c r="AM9" i="1"/>
  <c r="X7" i="1"/>
  <c r="X6" i="1"/>
  <c r="X5" i="1"/>
  <c r="X4" i="1"/>
  <c r="X3" i="1"/>
  <c r="X2" i="1"/>
  <c r="AG8" i="1"/>
  <c r="Y8" i="1" a="1"/>
  <c r="Y8" i="1" s="1"/>
  <c r="AF8" i="1"/>
  <c r="S8" i="1"/>
  <c r="V8" i="1"/>
  <c r="U8" i="1"/>
  <c r="M8" i="1"/>
  <c r="Q8" i="1" s="1"/>
  <c r="Y16" i="1" a="1"/>
  <c r="Y16" i="1" s="1"/>
  <c r="AG16" i="1"/>
  <c r="AF16" i="1"/>
  <c r="AR16" i="1" s="1"/>
  <c r="S16" i="1"/>
  <c r="V16" i="1"/>
  <c r="U16" i="1"/>
  <c r="M16" i="1"/>
  <c r="Q16" i="1" s="1"/>
  <c r="AG15" i="1"/>
  <c r="Y15" i="1" a="1"/>
  <c r="Y15" i="1" s="1"/>
  <c r="AF15" i="1"/>
  <c r="V15" i="1"/>
  <c r="U15" i="1"/>
  <c r="S15" i="1"/>
  <c r="M15" i="1"/>
  <c r="Q15" i="1" s="1"/>
  <c r="AG14" i="1"/>
  <c r="Y14" i="1" a="1"/>
  <c r="Y14" i="1" s="1"/>
  <c r="AF14" i="1"/>
  <c r="AR14" i="1" s="1"/>
  <c r="S14" i="1"/>
  <c r="U14" i="1"/>
  <c r="V14" i="1"/>
  <c r="M14" i="1"/>
  <c r="Q14" i="1" s="1"/>
  <c r="Y13" i="1" a="1"/>
  <c r="Y13" i="1" s="1"/>
  <c r="AF13" i="1"/>
  <c r="AG13" i="1"/>
  <c r="V13" i="1"/>
  <c r="U13" i="1"/>
  <c r="S13" i="1"/>
  <c r="M13" i="1"/>
  <c r="Q13" i="1" s="1"/>
  <c r="AF12" i="1"/>
  <c r="AG12" i="1"/>
  <c r="Y12" i="1" a="1"/>
  <c r="Y12" i="1" s="1"/>
  <c r="V12" i="1"/>
  <c r="U12" i="1"/>
  <c r="S12" i="1"/>
  <c r="M12" i="1"/>
  <c r="Q12" i="1" s="1"/>
  <c r="AF11" i="1"/>
  <c r="AG11" i="1"/>
  <c r="Y11" i="1" a="1"/>
  <c r="Y11" i="1" s="1"/>
  <c r="S11" i="1"/>
  <c r="U11" i="1"/>
  <c r="V11" i="1"/>
  <c r="M11" i="1"/>
  <c r="Q11" i="1" s="1"/>
  <c r="AG10" i="1"/>
  <c r="Y10" i="1" a="1"/>
  <c r="Y10" i="1" s="1"/>
  <c r="AF10" i="1"/>
  <c r="S10" i="1"/>
  <c r="U10" i="1"/>
  <c r="V10" i="1"/>
  <c r="M10" i="1"/>
  <c r="Q10" i="1" s="1"/>
  <c r="AG9" i="1"/>
  <c r="Y9" i="1" a="1"/>
  <c r="Y9" i="1" s="1"/>
  <c r="AF9" i="1"/>
  <c r="U9" i="1"/>
  <c r="S9" i="1"/>
  <c r="V9" i="1"/>
  <c r="M9" i="1"/>
  <c r="Q9" i="1" s="1"/>
  <c r="B2" i="1"/>
  <c r="AH2" i="1" s="1"/>
  <c r="B3" i="1"/>
  <c r="AH3" i="1" s="1"/>
  <c r="B4" i="1"/>
  <c r="AH4" i="1" s="1"/>
  <c r="AH10" i="1" s="1"/>
  <c r="B5" i="1"/>
  <c r="AH5" i="1" s="1"/>
  <c r="B6" i="1"/>
  <c r="B7" i="1"/>
  <c r="A5" i="1"/>
  <c r="A6" i="1"/>
  <c r="A7" i="1"/>
  <c r="A2" i="1"/>
  <c r="A3" i="1"/>
  <c r="A4" i="1"/>
  <c r="AH13" i="1" l="1"/>
  <c r="AH8" i="1"/>
  <c r="AI8" i="1" s="1"/>
  <c r="AH9" i="1"/>
  <c r="AH16" i="1"/>
  <c r="AI16" i="1" s="1"/>
  <c r="AH11" i="1"/>
  <c r="AI11" i="1" s="1"/>
  <c r="Y7" i="1" a="1"/>
  <c r="Y7" i="1" s="1"/>
  <c r="AH7" i="1"/>
  <c r="Y6" i="1" a="1"/>
  <c r="Y6" i="1" s="1"/>
  <c r="AH6" i="1"/>
  <c r="AH14" i="1" s="1"/>
  <c r="AI14" i="1" s="1"/>
  <c r="O2" i="10" a="1"/>
  <c r="O2" i="10" s="1"/>
  <c r="P2" i="10" s="1"/>
  <c r="Q2" i="10" s="1"/>
  <c r="Y2" i="1" a="1"/>
  <c r="Y2" i="1" s="1"/>
  <c r="M7" i="1"/>
  <c r="Q7" i="1" s="1"/>
  <c r="AS9" i="1"/>
  <c r="AS13" i="1"/>
  <c r="AS8" i="1"/>
  <c r="AS16" i="1"/>
  <c r="AF7" i="1"/>
  <c r="S4" i="1"/>
  <c r="M5" i="1"/>
  <c r="Q5" i="1" s="1"/>
  <c r="AR13" i="1"/>
  <c r="AS15" i="1"/>
  <c r="AR10" i="1"/>
  <c r="AU6" i="10" a="1"/>
  <c r="AU6" i="10" s="1"/>
  <c r="AV6" i="10" s="1"/>
  <c r="AW6" i="10" s="1"/>
  <c r="AI6" i="10" a="1"/>
  <c r="AI6" i="10" s="1"/>
  <c r="AJ6" i="10" s="1"/>
  <c r="AK6" i="10" s="1"/>
  <c r="AE4" i="10" a="1"/>
  <c r="AE4" i="10" s="1"/>
  <c r="AF4" i="10" s="1"/>
  <c r="AG4" i="10" s="1"/>
  <c r="AE2" i="10" a="1"/>
  <c r="AE2" i="10" s="1"/>
  <c r="AF2" i="10" s="1"/>
  <c r="AG2" i="10" s="1"/>
  <c r="S6" i="10" a="1"/>
  <c r="S6" i="10" s="1"/>
  <c r="T6" i="10" s="1"/>
  <c r="U6" i="10" s="1"/>
  <c r="O4" i="10" a="1"/>
  <c r="O4" i="10" s="1"/>
  <c r="P4" i="10" s="1"/>
  <c r="Q4" i="10" s="1"/>
  <c r="AA2" i="10" a="1"/>
  <c r="AA2" i="10" s="1"/>
  <c r="AB2" i="10" s="1"/>
  <c r="AC2" i="10" s="1"/>
  <c r="K2" i="10" a="1"/>
  <c r="K2" i="10" s="1"/>
  <c r="L2" i="10" s="1"/>
  <c r="M2" i="10" s="1"/>
  <c r="BC3" i="10" a="1"/>
  <c r="BC3" i="10" s="1"/>
  <c r="BD3" i="10" s="1"/>
  <c r="BE3" i="10" s="1"/>
  <c r="AU7" i="10" a="1"/>
  <c r="AU7" i="10" s="1"/>
  <c r="AV7" i="10" s="1"/>
  <c r="AW7" i="10" s="1"/>
  <c r="AI7" i="10" a="1"/>
  <c r="AI7" i="10" s="1"/>
  <c r="AJ7" i="10" s="1"/>
  <c r="AK7" i="10" s="1"/>
  <c r="AE5" i="10" a="1"/>
  <c r="AE5" i="10" s="1"/>
  <c r="AF5" i="10" s="1"/>
  <c r="AG5" i="10" s="1"/>
  <c r="AA3" i="10" a="1"/>
  <c r="AA3" i="10" s="1"/>
  <c r="AB3" i="10" s="1"/>
  <c r="AC3" i="10" s="1"/>
  <c r="S7" i="10" a="1"/>
  <c r="S7" i="10" s="1"/>
  <c r="T7" i="10" s="1"/>
  <c r="U7" i="10" s="1"/>
  <c r="O5" i="10" a="1"/>
  <c r="O5" i="10" s="1"/>
  <c r="P5" i="10" s="1"/>
  <c r="Q5" i="10" s="1"/>
  <c r="K3" i="10" a="1"/>
  <c r="K3" i="10" s="1"/>
  <c r="L3" i="10" s="1"/>
  <c r="M3" i="10" s="1"/>
  <c r="BC4" i="10" a="1"/>
  <c r="BC4" i="10" s="1"/>
  <c r="BD4" i="10" s="1"/>
  <c r="BE4" i="10" s="1"/>
  <c r="BC2" i="10" a="1"/>
  <c r="BC2" i="10" s="1"/>
  <c r="BD2" i="10" s="1"/>
  <c r="BE2" i="10" s="1"/>
  <c r="AQ4" i="10" a="1"/>
  <c r="AQ4" i="10" s="1"/>
  <c r="AR4" i="10" s="1"/>
  <c r="AS4" i="10" s="1"/>
  <c r="AQ6" i="10" a="1"/>
  <c r="AQ6" i="10" s="1"/>
  <c r="AR6" i="10" s="1"/>
  <c r="AS6" i="10" s="1"/>
  <c r="AQ2" i="10" a="1"/>
  <c r="AQ2" i="10" s="1"/>
  <c r="AR2" i="10" s="1"/>
  <c r="AS2" i="10" s="1"/>
  <c r="AE6" i="10" a="1"/>
  <c r="AE6" i="10" s="1"/>
  <c r="AF6" i="10" s="1"/>
  <c r="AG6" i="10" s="1"/>
  <c r="AA4" i="10" a="1"/>
  <c r="AA4" i="10" s="1"/>
  <c r="AB4" i="10" s="1"/>
  <c r="AC4" i="10" s="1"/>
  <c r="BC5" i="10" a="1"/>
  <c r="BC5" i="10" s="1"/>
  <c r="BD5" i="10" s="1"/>
  <c r="BE5" i="10" s="1"/>
  <c r="AY3" i="10" a="1"/>
  <c r="AY3" i="10" s="1"/>
  <c r="AZ3" i="10" s="1"/>
  <c r="BA3" i="10" s="1"/>
  <c r="AM3" i="10" a="1"/>
  <c r="AM3" i="10" s="1"/>
  <c r="AN3" i="10" s="1"/>
  <c r="AO3" i="10" s="1"/>
  <c r="AE7" i="10" a="1"/>
  <c r="AE7" i="10" s="1"/>
  <c r="AF7" i="10" s="1"/>
  <c r="AG7" i="10" s="1"/>
  <c r="AA5" i="10" a="1"/>
  <c r="AA5" i="10" s="1"/>
  <c r="AB5" i="10" s="1"/>
  <c r="AC5" i="10" s="1"/>
  <c r="W3" i="10" a="1"/>
  <c r="W3" i="10" s="1"/>
  <c r="X3" i="10" s="1"/>
  <c r="Y3" i="10" s="1"/>
  <c r="O7" i="10" a="1"/>
  <c r="O7" i="10" s="1"/>
  <c r="P7" i="10" s="1"/>
  <c r="Q7" i="10" s="1"/>
  <c r="K5" i="10" a="1"/>
  <c r="K5" i="10" s="1"/>
  <c r="L5" i="10" s="1"/>
  <c r="M5" i="10" s="1"/>
  <c r="BC6" i="10" a="1"/>
  <c r="BC6" i="10" s="1"/>
  <c r="BD6" i="10" s="1"/>
  <c r="BE6" i="10" s="1"/>
  <c r="AY4" i="10" a="1"/>
  <c r="AY4" i="10" s="1"/>
  <c r="AZ4" i="10" s="1"/>
  <c r="BA4" i="10" s="1"/>
  <c r="AY2" i="10" a="1"/>
  <c r="AY2" i="10" s="1"/>
  <c r="AZ2" i="10" s="1"/>
  <c r="BA2" i="10" s="1"/>
  <c r="AM4" i="10" a="1"/>
  <c r="AM4" i="10" s="1"/>
  <c r="AN4" i="10" s="1"/>
  <c r="AO4" i="10" s="1"/>
  <c r="AM2" i="10" a="1"/>
  <c r="AM2" i="10" s="1"/>
  <c r="AN2" i="10" s="1"/>
  <c r="AO2" i="10" s="1"/>
  <c r="AA6" i="10" a="1"/>
  <c r="AA6" i="10" s="1"/>
  <c r="AB6" i="10" s="1"/>
  <c r="AC6" i="10" s="1"/>
  <c r="W4" i="10" a="1"/>
  <c r="W4" i="10" s="1"/>
  <c r="X4" i="10" s="1"/>
  <c r="Y4" i="10" s="1"/>
  <c r="W2" i="10" a="1"/>
  <c r="W2" i="10" s="1"/>
  <c r="X2" i="10" s="1"/>
  <c r="Y2" i="10" s="1"/>
  <c r="K6" i="10" a="1"/>
  <c r="K6" i="10" s="1"/>
  <c r="L6" i="10" s="1"/>
  <c r="M6" i="10" s="1"/>
  <c r="W6" i="10" a="1"/>
  <c r="W6" i="10" s="1"/>
  <c r="X6" i="10" s="1"/>
  <c r="Y6" i="10" s="1"/>
  <c r="S2" i="10" a="1"/>
  <c r="S2" i="10" s="1"/>
  <c r="T2" i="10" s="1"/>
  <c r="U2" i="10" s="1"/>
  <c r="BC7" i="10" a="1"/>
  <c r="BC7" i="10" s="1"/>
  <c r="BD7" i="10" s="1"/>
  <c r="BE7" i="10" s="1"/>
  <c r="AY5" i="10" a="1"/>
  <c r="AY5" i="10" s="1"/>
  <c r="AZ5" i="10" s="1"/>
  <c r="BA5" i="10" s="1"/>
  <c r="AU3" i="10" a="1"/>
  <c r="AU3" i="10" s="1"/>
  <c r="AV3" i="10" s="1"/>
  <c r="AW3" i="10" s="1"/>
  <c r="AM5" i="10" a="1"/>
  <c r="AM5" i="10" s="1"/>
  <c r="AN5" i="10" s="1"/>
  <c r="AO5" i="10" s="1"/>
  <c r="AI3" i="10" a="1"/>
  <c r="AI3" i="10" s="1"/>
  <c r="AJ3" i="10" s="1"/>
  <c r="AK3" i="10" s="1"/>
  <c r="AA7" i="10" a="1"/>
  <c r="AA7" i="10" s="1"/>
  <c r="AB7" i="10" s="1"/>
  <c r="AC7" i="10" s="1"/>
  <c r="W5" i="10" a="1"/>
  <c r="W5" i="10" s="1"/>
  <c r="X5" i="10" s="1"/>
  <c r="Y5" i="10" s="1"/>
  <c r="S3" i="10" a="1"/>
  <c r="S3" i="10" s="1"/>
  <c r="T3" i="10" s="1"/>
  <c r="U3" i="10" s="1"/>
  <c r="K7" i="10" a="1"/>
  <c r="K7" i="10" s="1"/>
  <c r="S4" i="10" a="1"/>
  <c r="S4" i="10" s="1"/>
  <c r="T4" i="10" s="1"/>
  <c r="U4" i="10" s="1"/>
  <c r="O6" i="10" a="1"/>
  <c r="O6" i="10" s="1"/>
  <c r="P6" i="10" s="1"/>
  <c r="Q6" i="10" s="1"/>
  <c r="AY6" i="10" a="1"/>
  <c r="AY6" i="10" s="1"/>
  <c r="AZ6" i="10" s="1"/>
  <c r="BA6" i="10" s="1"/>
  <c r="AU4" i="10" a="1"/>
  <c r="AU4" i="10" s="1"/>
  <c r="AV4" i="10" s="1"/>
  <c r="AW4" i="10" s="1"/>
  <c r="AU2" i="10" a="1"/>
  <c r="AU2" i="10" s="1"/>
  <c r="AV2" i="10" s="1"/>
  <c r="AW2" i="10" s="1"/>
  <c r="AQ5" i="10" a="1"/>
  <c r="AQ5" i="10" s="1"/>
  <c r="AR5" i="10" s="1"/>
  <c r="AS5" i="10" s="1"/>
  <c r="AQ7" i="10" a="1"/>
  <c r="AQ7" i="10" s="1"/>
  <c r="AR7" i="10" s="1"/>
  <c r="AS7" i="10" s="1"/>
  <c r="AM6" i="10" a="1"/>
  <c r="AM6" i="10" s="1"/>
  <c r="AN6" i="10" s="1"/>
  <c r="AO6" i="10" s="1"/>
  <c r="AI4" i="10" a="1"/>
  <c r="AI4" i="10" s="1"/>
  <c r="AJ4" i="10" s="1"/>
  <c r="AK4" i="10" s="1"/>
  <c r="AI2" i="10" a="1"/>
  <c r="AI2" i="10" s="1"/>
  <c r="AJ2" i="10" s="1"/>
  <c r="AK2" i="10" s="1"/>
  <c r="AY7" i="10" a="1"/>
  <c r="AY7" i="10" s="1"/>
  <c r="AZ7" i="10" s="1"/>
  <c r="BA7" i="10" s="1"/>
  <c r="AU5" i="10" a="1"/>
  <c r="AU5" i="10" s="1"/>
  <c r="AV5" i="10" s="1"/>
  <c r="AW5" i="10" s="1"/>
  <c r="AQ3" i="10" a="1"/>
  <c r="AQ3" i="10" s="1"/>
  <c r="AR3" i="10" s="1"/>
  <c r="AS3" i="10" s="1"/>
  <c r="AM7" i="10" a="1"/>
  <c r="AM7" i="10" s="1"/>
  <c r="AN7" i="10" s="1"/>
  <c r="AO7" i="10" s="1"/>
  <c r="AI5" i="10" a="1"/>
  <c r="AI5" i="10" s="1"/>
  <c r="AJ5" i="10" s="1"/>
  <c r="AK5" i="10" s="1"/>
  <c r="AE3" i="10" a="1"/>
  <c r="AE3" i="10" s="1"/>
  <c r="AF3" i="10" s="1"/>
  <c r="AG3" i="10" s="1"/>
  <c r="W7" i="10" a="1"/>
  <c r="W7" i="10" s="1"/>
  <c r="X7" i="10" s="1"/>
  <c r="Y7" i="10" s="1"/>
  <c r="S5" i="10" a="1"/>
  <c r="S5" i="10" s="1"/>
  <c r="T5" i="10" s="1"/>
  <c r="U5" i="10" s="1"/>
  <c r="O3" i="10" a="1"/>
  <c r="O3" i="10" s="1"/>
  <c r="P3" i="10" s="1"/>
  <c r="Q3" i="10" s="1"/>
  <c r="K4" i="10" a="1"/>
  <c r="K4" i="10" s="1"/>
  <c r="L4" i="10" s="1"/>
  <c r="M4" i="10" s="1"/>
  <c r="K3" i="1" a="1"/>
  <c r="K3" i="1" s="1"/>
  <c r="P3" i="1" s="1"/>
  <c r="AU3" i="1"/>
  <c r="AT3" i="1"/>
  <c r="AO11" i="1"/>
  <c r="AQ11" i="1" s="1"/>
  <c r="AG7" i="1"/>
  <c r="AR9" i="1"/>
  <c r="AR11" i="1"/>
  <c r="AR12" i="1"/>
  <c r="AS14" i="1"/>
  <c r="AL11" i="1"/>
  <c r="AN11" i="1" s="1"/>
  <c r="AL10" i="1"/>
  <c r="AN10" i="1" s="1"/>
  <c r="AU4" i="1"/>
  <c r="AT4" i="1"/>
  <c r="AR8" i="1"/>
  <c r="K5" i="1" a="1"/>
  <c r="K5" i="1" s="1"/>
  <c r="Y4" i="1" a="1"/>
  <c r="Y4" i="1" s="1"/>
  <c r="AO15" i="1"/>
  <c r="AQ15" i="1" s="1"/>
  <c r="AI13" i="1"/>
  <c r="W10" i="1"/>
  <c r="X10" i="1" s="1"/>
  <c r="AD10" i="1" s="1"/>
  <c r="AE10" i="1" s="1"/>
  <c r="AS11" i="1"/>
  <c r="AS12" i="1"/>
  <c r="AT6" i="1"/>
  <c r="AU6" i="1"/>
  <c r="Y5" i="1" a="1"/>
  <c r="Y5" i="1" s="1"/>
  <c r="AD5" i="1" s="1"/>
  <c r="AU5" i="1"/>
  <c r="AT5" i="1"/>
  <c r="W11" i="1"/>
  <c r="X11" i="1" s="1"/>
  <c r="AD11" i="1" s="1"/>
  <c r="AE11" i="1" s="1"/>
  <c r="K7" i="1" a="1"/>
  <c r="K7" i="1" s="1"/>
  <c r="AU7" i="1"/>
  <c r="AT7" i="1"/>
  <c r="Y3" i="1" a="1"/>
  <c r="Y3" i="1" s="1"/>
  <c r="AD3" i="1" s="1"/>
  <c r="AE3" i="1" s="1"/>
  <c r="S7" i="1"/>
  <c r="AS10" i="1"/>
  <c r="AR15" i="1"/>
  <c r="K6" i="1" a="1"/>
  <c r="K6" i="1" s="1"/>
  <c r="AI9" i="1"/>
  <c r="K2" i="1" a="1"/>
  <c r="K2" i="1" s="1"/>
  <c r="AT2" i="1"/>
  <c r="AU2" i="1"/>
  <c r="M2" i="1"/>
  <c r="W14" i="1"/>
  <c r="X14" i="1" s="1"/>
  <c r="AD14" i="1" s="1"/>
  <c r="AE14" i="1" s="1"/>
  <c r="AF4" i="1"/>
  <c r="AL9" i="1"/>
  <c r="AN9" i="1" s="1"/>
  <c r="AO14" i="1"/>
  <c r="AQ14" i="1" s="1"/>
  <c r="S6" i="1"/>
  <c r="AG4" i="1"/>
  <c r="AI4" i="1" s="1"/>
  <c r="AL12" i="1"/>
  <c r="AN12" i="1" s="1"/>
  <c r="AL16" i="1"/>
  <c r="AN16" i="1" s="1"/>
  <c r="W8" i="1"/>
  <c r="X8" i="1" s="1"/>
  <c r="AD8" i="1" s="1"/>
  <c r="AE8" i="1" s="1"/>
  <c r="AF5" i="1"/>
  <c r="AR5" i="1" s="1"/>
  <c r="AL8" i="1"/>
  <c r="AN8" i="1" s="1"/>
  <c r="AO13" i="1"/>
  <c r="AQ13" i="1" s="1"/>
  <c r="S3" i="1"/>
  <c r="M4" i="1"/>
  <c r="W9" i="1"/>
  <c r="X9" i="1" s="1"/>
  <c r="AD9" i="1" s="1"/>
  <c r="AE9" i="1" s="1"/>
  <c r="M6" i="1"/>
  <c r="Q6" i="1" s="1"/>
  <c r="AG5" i="1"/>
  <c r="AI5" i="1" s="1"/>
  <c r="AO12" i="1"/>
  <c r="AQ12" i="1" s="1"/>
  <c r="AO16" i="1"/>
  <c r="AQ16" i="1" s="1"/>
  <c r="W12" i="1"/>
  <c r="X12" i="1" s="1"/>
  <c r="AD12" i="1" s="1"/>
  <c r="AE12" i="1" s="1"/>
  <c r="W13" i="1"/>
  <c r="X13" i="1" s="1"/>
  <c r="AD13" i="1" s="1"/>
  <c r="AE13" i="1" s="1"/>
  <c r="AF2" i="1"/>
  <c r="AF6" i="1"/>
  <c r="AL15" i="1"/>
  <c r="AN15" i="1" s="1"/>
  <c r="AO8" i="1"/>
  <c r="AQ8" i="1" s="1"/>
  <c r="AL13" i="1"/>
  <c r="AN13" i="1" s="1"/>
  <c r="S2" i="1"/>
  <c r="M3" i="1"/>
  <c r="W16" i="1"/>
  <c r="X16" i="1" s="1"/>
  <c r="AD16" i="1" s="1"/>
  <c r="AE16" i="1" s="1"/>
  <c r="S5" i="1"/>
  <c r="AG2" i="1"/>
  <c r="AI2" i="1" s="1"/>
  <c r="AG6" i="1"/>
  <c r="AI6" i="1" s="1"/>
  <c r="AO9" i="1"/>
  <c r="AQ9" i="1" s="1"/>
  <c r="AO10" i="1"/>
  <c r="AQ10" i="1" s="1"/>
  <c r="W15" i="1"/>
  <c r="X15" i="1" s="1"/>
  <c r="AD15" i="1" s="1"/>
  <c r="AE15" i="1" s="1"/>
  <c r="AF3" i="1"/>
  <c r="AL14" i="1"/>
  <c r="AN14" i="1" s="1"/>
  <c r="AG3" i="1"/>
  <c r="AI3" i="1" s="1"/>
  <c r="AI10" i="1"/>
  <c r="AP7" i="1"/>
  <c r="AQ7" i="1" s="1"/>
  <c r="AM7" i="1"/>
  <c r="AN7" i="1" s="1"/>
  <c r="AM6" i="1"/>
  <c r="AN6" i="1" s="1"/>
  <c r="AP6" i="1"/>
  <c r="AQ6" i="1" s="1"/>
  <c r="AP5" i="1"/>
  <c r="AQ5" i="1" s="1"/>
  <c r="AM5" i="1"/>
  <c r="AN5" i="1" s="1"/>
  <c r="AP4" i="1"/>
  <c r="AQ4" i="1" s="1"/>
  <c r="AM4" i="1"/>
  <c r="AN4" i="1" s="1"/>
  <c r="AP3" i="1"/>
  <c r="AQ3" i="1" s="1"/>
  <c r="AM3" i="1"/>
  <c r="AN3" i="1" s="1"/>
  <c r="AP2" i="1"/>
  <c r="AQ2" i="1" s="1"/>
  <c r="AM2" i="1"/>
  <c r="AN2" i="1" s="1"/>
  <c r="AJ8" i="1"/>
  <c r="AJ9" i="1"/>
  <c r="AJ10" i="1"/>
  <c r="AJ14" i="1"/>
  <c r="AJ15" i="1"/>
  <c r="AJ13" i="1"/>
  <c r="AJ16" i="1"/>
  <c r="AJ12" i="1"/>
  <c r="AJ11" i="1"/>
  <c r="T9" i="1"/>
  <c r="N9" i="1"/>
  <c r="N10" i="1"/>
  <c r="T10" i="1"/>
  <c r="N11" i="1"/>
  <c r="T11" i="1"/>
  <c r="N12" i="1"/>
  <c r="T12" i="1"/>
  <c r="N13" i="1"/>
  <c r="T13" i="1"/>
  <c r="N14" i="1"/>
  <c r="T14" i="1"/>
  <c r="N15" i="1"/>
  <c r="T15" i="1"/>
  <c r="N16" i="1"/>
  <c r="T16" i="1"/>
  <c r="T8" i="1"/>
  <c r="N8" i="1"/>
  <c r="U7" i="1"/>
  <c r="AS7" i="1" s="1"/>
  <c r="V7" i="1"/>
  <c r="T7" i="1" s="1"/>
  <c r="U6" i="1"/>
  <c r="V6" i="1"/>
  <c r="U5" i="1"/>
  <c r="AS5" i="1" s="1"/>
  <c r="V5" i="1"/>
  <c r="T5" i="1" s="1"/>
  <c r="V4" i="1"/>
  <c r="U4" i="1"/>
  <c r="V3" i="1"/>
  <c r="U3" i="1"/>
  <c r="V2" i="1"/>
  <c r="U2" i="1"/>
  <c r="AD7" i="1"/>
  <c r="AD2" i="1"/>
  <c r="N7" i="1"/>
  <c r="O7" i="1" s="1"/>
  <c r="N5" i="1"/>
  <c r="O5" i="1" s="1"/>
  <c r="AD6" i="1"/>
  <c r="P5" i="1" l="1"/>
  <c r="Z5" i="1" s="1"/>
  <c r="AA5" i="1" s="1"/>
  <c r="AB2" i="1"/>
  <c r="P2" i="1"/>
  <c r="O8" i="1"/>
  <c r="P7" i="1"/>
  <c r="Z7" i="1" s="1"/>
  <c r="AA7" i="1" s="1"/>
  <c r="AH15" i="1"/>
  <c r="AI15" i="1" s="1"/>
  <c r="AK15" i="1" s="1"/>
  <c r="L7" i="10"/>
  <c r="M7" i="10" s="1"/>
  <c r="AE2" i="1"/>
  <c r="AK8" i="1"/>
  <c r="AK13" i="1"/>
  <c r="AE5" i="1"/>
  <c r="P6" i="1"/>
  <c r="Z6" i="1" s="1"/>
  <c r="AA6" i="1" s="1"/>
  <c r="T6" i="1"/>
  <c r="AK10" i="1"/>
  <c r="AR7" i="1"/>
  <c r="AE6" i="1"/>
  <c r="AK14" i="1"/>
  <c r="AK11" i="1"/>
  <c r="AK16" i="1"/>
  <c r="AE7" i="1"/>
  <c r="AV6" i="1"/>
  <c r="AK9" i="1"/>
  <c r="AH12" i="1"/>
  <c r="AI12" i="1" s="1"/>
  <c r="AK12" i="1" s="1"/>
  <c r="AJ7" i="1"/>
  <c r="AI7" i="1"/>
  <c r="R7" i="1"/>
  <c r="AV5" i="1"/>
  <c r="R5" i="1"/>
  <c r="N6" i="1"/>
  <c r="O6" i="1" s="1"/>
  <c r="N3" i="1"/>
  <c r="O3" i="1" s="1"/>
  <c r="Q3" i="1"/>
  <c r="N4" i="1"/>
  <c r="Q4" i="1"/>
  <c r="N2" i="1"/>
  <c r="O2" i="1" s="1"/>
  <c r="Q2" i="1"/>
  <c r="AR2" i="1"/>
  <c r="AV4" i="1"/>
  <c r="T4" i="1"/>
  <c r="K4" i="1" a="1"/>
  <c r="K4" i="1" s="1"/>
  <c r="AJ4" i="1"/>
  <c r="AK4" i="1" s="1"/>
  <c r="AJ6" i="1"/>
  <c r="AK6" i="1" s="1"/>
  <c r="AV2" i="1"/>
  <c r="AJ3" i="1"/>
  <c r="AK3" i="1" s="1"/>
  <c r="K16" i="1" a="1"/>
  <c r="K16" i="1" s="1"/>
  <c r="P16" i="1" s="1"/>
  <c r="K12" i="1" a="1"/>
  <c r="K12" i="1" s="1"/>
  <c r="P12" i="1" s="1"/>
  <c r="AB5" i="1"/>
  <c r="AB6" i="1"/>
  <c r="AB3" i="1"/>
  <c r="AD4" i="1"/>
  <c r="AE4" i="1" s="1"/>
  <c r="AS6" i="1"/>
  <c r="AV7" i="1"/>
  <c r="AB7" i="1"/>
  <c r="AS3" i="1"/>
  <c r="AV3" i="1"/>
  <c r="K8" i="1" a="1"/>
  <c r="K8" i="1" s="1"/>
  <c r="P8" i="1" s="1"/>
  <c r="Z3" i="1"/>
  <c r="AA3" i="1" s="1"/>
  <c r="AS2" i="1"/>
  <c r="AJ2" i="1"/>
  <c r="AK2" i="1" s="1"/>
  <c r="K9" i="1" a="1"/>
  <c r="K9" i="1" s="1"/>
  <c r="P9" i="1" s="1"/>
  <c r="Z2" i="1"/>
  <c r="AA2" i="1" s="1"/>
  <c r="AC2" i="1" s="1"/>
  <c r="T2" i="1"/>
  <c r="AR3" i="1"/>
  <c r="AS4" i="1"/>
  <c r="T3" i="1"/>
  <c r="AJ5" i="1"/>
  <c r="AK5" i="1" s="1"/>
  <c r="AR4" i="1"/>
  <c r="AR6" i="1"/>
  <c r="O12" i="1" l="1"/>
  <c r="O16" i="1"/>
  <c r="O4" i="1"/>
  <c r="AC7" i="1"/>
  <c r="K10" i="1" a="1"/>
  <c r="K10" i="1" s="1"/>
  <c r="P4" i="1"/>
  <c r="Z4" i="1" s="1"/>
  <c r="AA4" i="1" s="1"/>
  <c r="AC5" i="1"/>
  <c r="O9" i="1"/>
  <c r="R6" i="1"/>
  <c r="AC6" i="1"/>
  <c r="K15" i="1" a="1"/>
  <c r="K15" i="1" s="1"/>
  <c r="K11" i="1" a="1"/>
  <c r="K11" i="1" s="1"/>
  <c r="AK7" i="1"/>
  <c r="AC3" i="1"/>
  <c r="Z12" i="1"/>
  <c r="AA12" i="1" s="1"/>
  <c r="R12" i="1"/>
  <c r="R3" i="1"/>
  <c r="R2" i="1"/>
  <c r="AB4" i="1"/>
  <c r="K14" i="1" a="1"/>
  <c r="K14" i="1" s="1"/>
  <c r="K13" i="1" a="1"/>
  <c r="K13" i="1" s="1"/>
  <c r="AB12" i="1"/>
  <c r="AB8" i="1"/>
  <c r="AB16" i="1"/>
  <c r="AB9" i="1"/>
  <c r="P13" i="1" l="1"/>
  <c r="O13" i="1"/>
  <c r="P10" i="1"/>
  <c r="O10" i="1"/>
  <c r="P14" i="1"/>
  <c r="O14" i="1"/>
  <c r="P11" i="1"/>
  <c r="R11" i="1" s="1"/>
  <c r="O11" i="1"/>
  <c r="AB10" i="1"/>
  <c r="AB15" i="1"/>
  <c r="P15" i="1"/>
  <c r="O15" i="1"/>
  <c r="AB11" i="1"/>
  <c r="AC4" i="1"/>
  <c r="AC12" i="1"/>
  <c r="Z9" i="1"/>
  <c r="AA9" i="1" s="1"/>
  <c r="AC9" i="1" s="1"/>
  <c r="R9" i="1"/>
  <c r="Z8" i="1"/>
  <c r="AA8" i="1" s="1"/>
  <c r="AC8" i="1" s="1"/>
  <c r="R8" i="1"/>
  <c r="Z15" i="1"/>
  <c r="AA15" i="1" s="1"/>
  <c r="R15" i="1"/>
  <c r="Z10" i="1"/>
  <c r="AA10" i="1" s="1"/>
  <c r="AC10" i="1" s="1"/>
  <c r="R10" i="1"/>
  <c r="Z16" i="1"/>
  <c r="AA16" i="1" s="1"/>
  <c r="AC16" i="1" s="1"/>
  <c r="R16" i="1"/>
  <c r="R4" i="1"/>
  <c r="AB13" i="1"/>
  <c r="AB14" i="1"/>
  <c r="Z11" i="1" l="1"/>
  <c r="AA11" i="1" s="1"/>
  <c r="AC11" i="1" s="1"/>
  <c r="AC15" i="1"/>
  <c r="Z14" i="1"/>
  <c r="AA14" i="1" s="1"/>
  <c r="AC14" i="1" s="1"/>
  <c r="R14" i="1"/>
  <c r="Z13" i="1"/>
  <c r="AA13" i="1" s="1"/>
  <c r="AC13" i="1" s="1"/>
  <c r="R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Henrique</author>
  </authors>
  <commentList>
    <comment ref="D1" authorId="0" shapeId="0" xr:uid="{83F8EBDA-8FC4-4A8D-BC45-5FEF57CFC36D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produção ficou igual ou abaixo disso</t>
        </r>
      </text>
    </comment>
    <comment ref="E1" authorId="0" shapeId="0" xr:uid="{53BA269F-992D-4F2F-B2EC-B64CFFE496E0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produção ficou igual ou abaixo disso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3E374-B032-42AD-AC4C-C1BE2C91DA38}" keepAlive="1" name="Consulta - BDT's(1)" description="Conexão com a consulta 'BDT's' na pasta de trabalho." type="5" refreshedVersion="8" background="1" saveData="1">
    <dbPr connection="Provider=Microsoft.Mashup.OleDb.1;Data Source=$Workbook$;Location=&quot;BDT's&quot;;Extended Properties=&quot;&quot;" command="SELECT * FROM [BDT's]"/>
  </connection>
  <connection id="2" xr16:uid="{C96D9696-A485-49B6-89DE-B90E8AFF156A}" keepAlive="1" name="Consulta - Controle Mensal" description="Conexão com a consulta 'Controle Mensal' na pasta de trabalho." type="5" refreshedVersion="8" background="1" saveData="1">
    <dbPr connection="Provider=Microsoft.Mashup.OleDb.1;Data Source=$Workbook$;Location=&quot;Controle Mensal&quot;;Extended Properties=&quot;&quot;" command="SELECT * FROM [Controle Mensal]"/>
  </connection>
  <connection id="3" xr16:uid="{6C11574A-5C9D-4CF4-8C38-1FA18CA1CF4A}" name="Consulta - Diesel" description="Conexão com a consulta 'Diesel' na pasta de trabalho." type="100" refreshedVersion="8" minRefreshableVersion="5">
    <extLst>
      <ext xmlns:x15="http://schemas.microsoft.com/office/spreadsheetml/2010/11/main" uri="{DE250136-89BD-433C-8126-D09CA5730AF9}">
        <x15:connection id="2d2d0295-4c19-472e-adba-de2208167ac5"/>
      </ext>
    </extLst>
  </connection>
  <connection id="4" xr16:uid="{F08F8F6B-F111-49E2-8A3A-F86C77BE8DBC}" name="Consulta - Disponibilidade" description="Conexão com a consulta 'Disponibilidade' na pasta de trabalho." type="100" refreshedVersion="8" minRefreshableVersion="5">
    <extLst>
      <ext xmlns:x15="http://schemas.microsoft.com/office/spreadsheetml/2010/11/main" uri="{DE250136-89BD-433C-8126-D09CA5730AF9}">
        <x15:connection id="f6eb328e-7fb0-4ca4-89d1-b7270de910a4"/>
      </ext>
    </extLst>
  </connection>
  <connection id="5" xr16:uid="{7CE27E5E-BD32-490A-BC02-CE46D65FF055}" name="Consulta - Metas Diesel" description="Conexão com a consulta 'Metas Diesel' na pasta de trabalho." type="100" refreshedVersion="8" minRefreshableVersion="5">
    <extLst>
      <ext xmlns:x15="http://schemas.microsoft.com/office/spreadsheetml/2010/11/main" uri="{DE250136-89BD-433C-8126-D09CA5730AF9}">
        <x15:connection id="ac889c06-6874-46a1-a6fb-af44d75a4856"/>
      </ext>
    </extLst>
  </connection>
  <connection id="6" xr16:uid="{1CC25750-660D-4CFD-A4A8-3DCB9CDC6AF9}" name="Consulta - Metas DM &amp; DO" description="Conexão com a consulta 'Metas DM &amp; DO' na pasta de trabalho." type="100" refreshedVersion="8" minRefreshableVersion="5">
    <extLst>
      <ext xmlns:x15="http://schemas.microsoft.com/office/spreadsheetml/2010/11/main" uri="{DE250136-89BD-433C-8126-D09CA5730AF9}">
        <x15:connection id="3ffc6ad2-4df9-47ae-9e73-0a9c093195b8"/>
      </ext>
    </extLst>
  </connection>
  <connection id="7" xr16:uid="{D3A39C12-EDA9-4B99-BE15-01F201295153}" keepAlive="1" name="ModelConnection_DadosExternos_2" description="Modelo de Dados" type="5" refreshedVersion="8" minRefreshableVersion="5" saveData="1">
    <dbPr connection="Data Model Connection" command="Disponibilidade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0F9659CE-0CCD-4CA8-8C5D-54D7D0EFC08A}" keepAlive="1" name="ModelConnection_DadosExternos_3" description="Modelo de Dados" type="5" refreshedVersion="8" minRefreshableVersion="5" saveData="1">
    <dbPr connection="Data Model Connection" command="Metas DM   DO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BC8C1F4F-4191-4C93-8FC3-0CDF18DF1FE8}" keepAlive="1" name="ModelConnection_DadosExternos_4" description="Modelo de Dados" type="5" refreshedVersion="8" minRefreshableVersion="5" saveData="1">
    <dbPr connection="Data Model Connection" command="Diesel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6EBBB9C4-44B0-4C0B-AC0E-BDB3E7602DEB}" keepAlive="1" name="ModelConnection_DadosExternos_5" description="Modelo de Dados" type="5" refreshedVersion="8" minRefreshableVersion="5" saveData="1">
    <dbPr connection="Data Model Connection" command="Metas Diesel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A46CF1F9-1B97-4EC6-B7EE-0E698023A1B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<sst xmlns="http://schemas.openxmlformats.org/spreadsheetml/2006/main" count="2680" uniqueCount="352">
  <si>
    <t>EQUIPAMENTO DIGITADO</t>
  </si>
  <si>
    <t>EQUIPAMENTO</t>
  </si>
  <si>
    <t>CONTRATO</t>
  </si>
  <si>
    <t>TIPO</t>
  </si>
  <si>
    <t>-</t>
  </si>
  <si>
    <t>CORTE</t>
  </si>
  <si>
    <t>ARRASTE</t>
  </si>
  <si>
    <t>TRAÇAMENTO</t>
  </si>
  <si>
    <t>ANO</t>
  </si>
  <si>
    <t>MÊS</t>
  </si>
  <si>
    <t>EQUIPAMENTO / OPERAÇÃO</t>
  </si>
  <si>
    <t>DATA INICIO MÊS</t>
  </si>
  <si>
    <t>DATA FINAL MÊS</t>
  </si>
  <si>
    <t>DIAS PROGRAMADOS</t>
  </si>
  <si>
    <t>DATA ATUAL</t>
  </si>
  <si>
    <t>DIAS DESCONSIDERADOS</t>
  </si>
  <si>
    <t>DIAS CONTADOS</t>
  </si>
  <si>
    <t>META MENSAL</t>
  </si>
  <si>
    <t>REALIZADO</t>
  </si>
  <si>
    <t>RITMO DO MÊS</t>
  </si>
  <si>
    <t>DIFERENÇA %</t>
  </si>
  <si>
    <t>META DIÁRIA</t>
  </si>
  <si>
    <t>MÉDIA VMI</t>
  </si>
  <si>
    <t>RENDIMENTO</t>
  </si>
  <si>
    <t>HORAS RODADAS</t>
  </si>
  <si>
    <t>HORAS TRABALHADAS</t>
  </si>
  <si>
    <t>QUANTIDADE DE OPERADORES</t>
  </si>
  <si>
    <t>META DIARIA OPERADOR</t>
  </si>
  <si>
    <t>VOLUME MÉDIO POR OPERADOR</t>
  </si>
  <si>
    <t>META DE HORAS TRABALHADAS POR OPERADOR</t>
  </si>
  <si>
    <t>CONSUMO</t>
  </si>
  <si>
    <t>HORAS ABASTECIMENTO</t>
  </si>
  <si>
    <t>META MÉDIA CONSUMO</t>
  </si>
  <si>
    <t>MÉDIA CONSUMO MÁQUINA</t>
  </si>
  <si>
    <t>META D.M</t>
  </si>
  <si>
    <t>MÉDIA D.M</t>
  </si>
  <si>
    <t>STATUS D.M</t>
  </si>
  <si>
    <t>META D.O</t>
  </si>
  <si>
    <t>MÉDIA D.O</t>
  </si>
  <si>
    <t>STATUS D.O</t>
  </si>
  <si>
    <t>LTS / M³</t>
  </si>
  <si>
    <t>M³ / HORA</t>
  </si>
  <si>
    <t>HORÍMETRO INICIAL</t>
  </si>
  <si>
    <t>HORÍMETRO FINAL</t>
  </si>
  <si>
    <t>BITOLA</t>
  </si>
  <si>
    <t>VMI</t>
  </si>
  <si>
    <t>FAIXA VMI</t>
  </si>
  <si>
    <t>FAZENDA</t>
  </si>
  <si>
    <t>TALHÃO</t>
  </si>
  <si>
    <t>DATA APONTAMENTO</t>
  </si>
  <si>
    <t>TIPO DE EQUIPAMENTO</t>
  </si>
  <si>
    <t>META BASE M³/H POR OPERAÇÃO</t>
  </si>
  <si>
    <t>OPERADOR</t>
  </si>
  <si>
    <t>TURNO</t>
  </si>
  <si>
    <t>MOVIMENTO ENTRE TALHÕES</t>
  </si>
  <si>
    <t>HORÍMETRO ANTERIOR</t>
  </si>
  <si>
    <t>HORÍMETRO ATUAL</t>
  </si>
  <si>
    <t>QUANTIDADE DE ÁRVORES</t>
  </si>
  <si>
    <t>VOLUME PRODUZIDO</t>
  </si>
  <si>
    <t>VOLUME AJUSTADO</t>
  </si>
  <si>
    <t>M³ / HORA RODADA</t>
  </si>
  <si>
    <t>HEC PRODUZIDO NO DIA</t>
  </si>
  <si>
    <t>HEC PRODUZIDO NO DIA AJUSTADO</t>
  </si>
  <si>
    <t>META BASE M³ POR TURNO</t>
  </si>
  <si>
    <t>META BASE M³ POR HORA</t>
  </si>
  <si>
    <t>META DESAFIO M³ POR TURNO</t>
  </si>
  <si>
    <t>META DESAFIO M³ POR HORA</t>
  </si>
  <si>
    <t>TETO META M³ POR TURNO</t>
  </si>
  <si>
    <t>TETO META M³ POR HORA</t>
  </si>
  <si>
    <t>STATUS META</t>
  </si>
  <si>
    <t>FATOR</t>
  </si>
  <si>
    <t>% COBERTURA</t>
  </si>
  <si>
    <t>VOLUME TALHÃO</t>
  </si>
  <si>
    <t>STATUS DO TALHÃO</t>
  </si>
  <si>
    <t>0,16 a 0,20</t>
  </si>
  <si>
    <t>ALTO</t>
  </si>
  <si>
    <t>EM ANDAMENTO</t>
  </si>
  <si>
    <t>BAIXO</t>
  </si>
  <si>
    <t>0,11 a 0,15</t>
  </si>
  <si>
    <t>MEDIO</t>
  </si>
  <si>
    <t>DATA</t>
  </si>
  <si>
    <t>DISPONIBILIDADE MECÂNICA</t>
  </si>
  <si>
    <t>D.M</t>
  </si>
  <si>
    <t>META D.M BASE</t>
  </si>
  <si>
    <t>META D.M DESAFIO</t>
  </si>
  <si>
    <t>TETO META D.M</t>
  </si>
  <si>
    <t>DISPONIBILIDADE OPERACIONAL</t>
  </si>
  <si>
    <t>D.O</t>
  </si>
  <si>
    <t>META D.O BASE</t>
  </si>
  <si>
    <t>META D.O DESAFIO</t>
  </si>
  <si>
    <t>TETO META D.O</t>
  </si>
  <si>
    <t>HORAS</t>
  </si>
  <si>
    <t>HORAS D.M</t>
  </si>
  <si>
    <t>HORAS D.O</t>
  </si>
  <si>
    <t>MÉDIA HORAS PARADAS</t>
  </si>
  <si>
    <t>TOTAL HORAS</t>
  </si>
  <si>
    <t>TOTAL HORAS PARADAS</t>
  </si>
  <si>
    <t>TEMPO REFEIÇÃO</t>
  </si>
  <si>
    <t>HORAS DESCONSIDERADAS</t>
  </si>
  <si>
    <t>HORAS TRABALHADAS REAL</t>
  </si>
  <si>
    <t>META HORAS BASE</t>
  </si>
  <si>
    <t>META HORAS DESAFIO</t>
  </si>
  <si>
    <t>TETO META HORAS</t>
  </si>
  <si>
    <t>STATUS META HORAS</t>
  </si>
  <si>
    <t>RUIM</t>
  </si>
  <si>
    <t>EXCELENTE</t>
  </si>
  <si>
    <t>MÁQUINAS</t>
  </si>
  <si>
    <t>MÉDIA HORAS REAL</t>
  </si>
  <si>
    <t>PERCENTIL 50</t>
  </si>
  <si>
    <t>PERCENTIL 75</t>
  </si>
  <si>
    <t>PERCENTIL 90</t>
  </si>
  <si>
    <t>TETO DE HORAS</t>
  </si>
  <si>
    <t>QUANTIDADE DE REGISTROS</t>
  </si>
  <si>
    <t>STATUS</t>
  </si>
  <si>
    <t>FATOR DESAFIO</t>
  </si>
  <si>
    <t>FATOR REDUÇÃO</t>
  </si>
  <si>
    <t>FATOR REDUÇÃO DESAFIO</t>
  </si>
  <si>
    <t>META BASE</t>
  </si>
  <si>
    <t>META DESAFIO</t>
  </si>
  <si>
    <t>TETO META</t>
  </si>
  <si>
    <t>META BASE_1</t>
  </si>
  <si>
    <t>META DESAFIO_2</t>
  </si>
  <si>
    <t>TETO META_3</t>
  </si>
  <si>
    <t>META BASE_4</t>
  </si>
  <si>
    <t>META DESAFIO_5</t>
  </si>
  <si>
    <t>TETO META_6</t>
  </si>
  <si>
    <t>HORÍMETRO ABASTECIMENTO</t>
  </si>
  <si>
    <t>MÉDIA</t>
  </si>
  <si>
    <t>STATUS MÉDIA</t>
  </si>
  <si>
    <t>LITROS POR HORA</t>
  </si>
  <si>
    <t>META BASE POR HORA</t>
  </si>
  <si>
    <t>META DESAFIO POR HORA</t>
  </si>
  <si>
    <t>TETO META POR HORA</t>
  </si>
  <si>
    <t>COMBOIO</t>
  </si>
  <si>
    <t>ENTRADA</t>
  </si>
  <si>
    <t>VALOR ENTRADA</t>
  </si>
  <si>
    <t>SALDO ANTERIOR</t>
  </si>
  <si>
    <t>ENCERRANTE ANTERIOR</t>
  </si>
  <si>
    <t>ENCERRANTE ABASTECIMENTO</t>
  </si>
  <si>
    <t>SALDO</t>
  </si>
  <si>
    <t>OBS</t>
  </si>
  <si>
    <t>BOM</t>
  </si>
  <si>
    <t>CRÍTICO</t>
  </si>
  <si>
    <t>ATENÇÃO</t>
  </si>
  <si>
    <t>0,5</t>
  </si>
  <si>
    <t>2,4</t>
  </si>
  <si>
    <t>10</t>
  </si>
  <si>
    <t>22,5</t>
  </si>
  <si>
    <t>100</t>
  </si>
  <si>
    <t>40</t>
  </si>
  <si>
    <t>MÉDIA CONSUMO REAL</t>
  </si>
  <si>
    <t>TETO DE CONSUMO</t>
  </si>
  <si>
    <t>META HORAS BASE MENSAL</t>
  </si>
  <si>
    <t>20</t>
  </si>
  <si>
    <t>HORAS RODADAS HORÍMETRO</t>
  </si>
  <si>
    <t>MÉDIA REAL</t>
  </si>
  <si>
    <t>TETO OPERACIONAL</t>
  </si>
  <si>
    <t>0,51 A 0,99</t>
  </si>
  <si>
    <t>META SECUNDÁRIA</t>
  </si>
  <si>
    <t>12</t>
  </si>
  <si>
    <t>12,5</t>
  </si>
  <si>
    <t>25</t>
  </si>
  <si>
    <t>14,28571429</t>
  </si>
  <si>
    <t>8,333333333</t>
  </si>
  <si>
    <t>5</t>
  </si>
  <si>
    <t>1</t>
  </si>
  <si>
    <t>55</t>
  </si>
  <si>
    <t>MEDIA</t>
  </si>
  <si>
    <t>REALIZADO DIÁRIO</t>
  </si>
  <si>
    <t>STATUS PRODUÇÃO</t>
  </si>
  <si>
    <t>META MENSAL OPERADOR</t>
  </si>
  <si>
    <t>STATUS VOLUME MÉDIO POR OPERADOR</t>
  </si>
  <si>
    <t>META BASE CONSUMO</t>
  </si>
  <si>
    <t>STATUS MÉDIA CONSUMO</t>
  </si>
  <si>
    <t>STATUS HORAS TRABALHADAS POR OPERADOR</t>
  </si>
  <si>
    <t>BOA</t>
  </si>
  <si>
    <t>HORAS PARADAS</t>
  </si>
  <si>
    <t>0</t>
  </si>
  <si>
    <t>4</t>
  </si>
  <si>
    <t>9</t>
  </si>
  <si>
    <t>3,5</t>
  </si>
  <si>
    <t>18,75</t>
  </si>
  <si>
    <t>342</t>
  </si>
  <si>
    <t>340</t>
  </si>
  <si>
    <t>CHECK TOTAL HORAS</t>
  </si>
  <si>
    <t>CHECK HORAS RODADAS</t>
  </si>
  <si>
    <t>CHECK HORAS TRABALHADAS</t>
  </si>
  <si>
    <t>OK</t>
  </si>
  <si>
    <t>VERIFICAR</t>
  </si>
  <si>
    <t>FELLER1</t>
  </si>
  <si>
    <t>FELLER BUNCHER 1</t>
  </si>
  <si>
    <t>FELLER2</t>
  </si>
  <si>
    <t>FELLER BUNCHER 2</t>
  </si>
  <si>
    <t>SKIDDER1</t>
  </si>
  <si>
    <t>SKIDDER 1</t>
  </si>
  <si>
    <t>SKIDDER2</t>
  </si>
  <si>
    <t>SKIDDER 2</t>
  </si>
  <si>
    <t>GARRA1</t>
  </si>
  <si>
    <t>GARRA TRAÇADORA 1</t>
  </si>
  <si>
    <t>GARRA2</t>
  </si>
  <si>
    <t>GARRA TRAÇADORA 2</t>
  </si>
  <si>
    <t>CONTRATO 1</t>
  </si>
  <si>
    <t>CONTRATO 2</t>
  </si>
  <si>
    <t>CONTRATO 3</t>
  </si>
  <si>
    <t>TURNO 2</t>
  </si>
  <si>
    <t>OPERADOR 2</t>
  </si>
  <si>
    <t>0,45882352941176474</t>
  </si>
  <si>
    <t>0,66341463414634161</t>
  </si>
  <si>
    <t>0,74117647058823533</t>
  </si>
  <si>
    <t>0,83902439024390252</t>
  </si>
  <si>
    <t>4,8</t>
  </si>
  <si>
    <t>2,9853658536585361</t>
  </si>
  <si>
    <t>TURNO 1</t>
  </si>
  <si>
    <t>0,11999999999999977</t>
  </si>
  <si>
    <t>0,2584269662921348</t>
  </si>
  <si>
    <t>5,2800000000000011</t>
  </si>
  <si>
    <t>4,4494382022471912</t>
  </si>
  <si>
    <t>0,91724137931034488</t>
  </si>
  <si>
    <t>0,92489568845618919</t>
  </si>
  <si>
    <t>0,43601532567049806</t>
  </si>
  <si>
    <t>0,48817802503477059</t>
  </si>
  <si>
    <t>2,2174055829228245</t>
  </si>
  <si>
    <t>2,0123186966024238</t>
  </si>
  <si>
    <t>3,9999999999999991</t>
  </si>
  <si>
    <t>OPERADOR 3</t>
  </si>
  <si>
    <t>OPERADOR 4</t>
  </si>
  <si>
    <t>OPERADOR 8</t>
  </si>
  <si>
    <t>OPERADOR 1</t>
  </si>
  <si>
    <t>OPERADOR 5</t>
  </si>
  <si>
    <t>8,583333333</t>
  </si>
  <si>
    <t>OPERADOR 6</t>
  </si>
  <si>
    <t>OPERADOR 7</t>
  </si>
  <si>
    <t>0,88541666666666674</t>
  </si>
  <si>
    <t>1,4236111111111114</t>
  </si>
  <si>
    <t>1,1294117647058823</t>
  </si>
  <si>
    <t>0,70243902439024375</t>
  </si>
  <si>
    <t>4,25</t>
  </si>
  <si>
    <t>5,9999999999999982</t>
  </si>
  <si>
    <t>7,799999999999998</t>
  </si>
  <si>
    <t>1,0416666666666665</t>
  </si>
  <si>
    <t>1,2361111111111109</t>
  </si>
  <si>
    <t>0,96000000000000019</t>
  </si>
  <si>
    <t>0,80898876404494391</t>
  </si>
  <si>
    <t>5,5</t>
  </si>
  <si>
    <t>2,5000000000000004</t>
  </si>
  <si>
    <t>2,9375</t>
  </si>
  <si>
    <t>3,5499999999999994</t>
  </si>
  <si>
    <t>1,1328125000000002</t>
  </si>
  <si>
    <t>1,2482638888888891</t>
  </si>
  <si>
    <t>0,88275862068965505</t>
  </si>
  <si>
    <t>0,80111265646731555</t>
  </si>
  <si>
    <t>2,5119047619047623</t>
  </si>
  <si>
    <t>235,6666667</t>
  </si>
  <si>
    <t>19,63888889</t>
  </si>
  <si>
    <t>226,5449011</t>
  </si>
  <si>
    <t>18,87874176</t>
  </si>
  <si>
    <t>C01</t>
  </si>
  <si>
    <t>215,1666667</t>
  </si>
  <si>
    <t>26,89583333</t>
  </si>
  <si>
    <t>198,7579618</t>
  </si>
  <si>
    <t>24,84474522</t>
  </si>
  <si>
    <t>150</t>
  </si>
  <si>
    <t>24,66666667</t>
  </si>
  <si>
    <t>426,3333333</t>
  </si>
  <si>
    <t>28,42222222</t>
  </si>
  <si>
    <t>377,8881988</t>
  </si>
  <si>
    <t>25,19254658</t>
  </si>
  <si>
    <t>300</t>
  </si>
  <si>
    <t>237,8333333</t>
  </si>
  <si>
    <t>39,63888889</t>
  </si>
  <si>
    <t>194,112426</t>
  </si>
  <si>
    <t>32,35207101</t>
  </si>
  <si>
    <t>16,66666667</t>
  </si>
  <si>
    <t>42,5</t>
  </si>
  <si>
    <t>53,79166667</t>
  </si>
  <si>
    <t>49,68949045</t>
  </si>
  <si>
    <t>37,5</t>
  </si>
  <si>
    <t>34,54545455</t>
  </si>
  <si>
    <t>368,6666667</t>
  </si>
  <si>
    <t>33,51515152</t>
  </si>
  <si>
    <t>355,0684932</t>
  </si>
  <si>
    <t>32,27895392</t>
  </si>
  <si>
    <t>30,90909091</t>
  </si>
  <si>
    <t>14,61538462</t>
  </si>
  <si>
    <t>16,55128205</t>
  </si>
  <si>
    <t>15,28907398</t>
  </si>
  <si>
    <t>11,53846154</t>
  </si>
  <si>
    <t>18,33333333</t>
  </si>
  <si>
    <t>39,27777778</t>
  </si>
  <si>
    <t>37,75748351</t>
  </si>
  <si>
    <t>50</t>
  </si>
  <si>
    <t>59,45833333</t>
  </si>
  <si>
    <t>48,52810651</t>
  </si>
  <si>
    <t>47,56666667</t>
  </si>
  <si>
    <t>38,82248521</t>
  </si>
  <si>
    <t>57,14285714</t>
  </si>
  <si>
    <t>33,66666667</t>
  </si>
  <si>
    <t>32,3635573</t>
  </si>
  <si>
    <t>400</t>
  </si>
  <si>
    <t>75</t>
  </si>
  <si>
    <t>106,5833333</t>
  </si>
  <si>
    <t>94,47204969</t>
  </si>
  <si>
    <t>29,72916667</t>
  </si>
  <si>
    <t>24,26405325</t>
  </si>
  <si>
    <t>31,11111111</t>
  </si>
  <si>
    <t>23,90740741</t>
  </si>
  <si>
    <t>22,08421798</t>
  </si>
  <si>
    <t>250</t>
  </si>
  <si>
    <t>213,1666667</t>
  </si>
  <si>
    <t>188,9440994</t>
  </si>
  <si>
    <t>203,3333333</t>
  </si>
  <si>
    <t>110</t>
  </si>
  <si>
    <t>255</t>
  </si>
  <si>
    <t>0,897540984</t>
  </si>
  <si>
    <t>1,159016393</t>
  </si>
  <si>
    <t>1,114155251</t>
  </si>
  <si>
    <t>0,862800566</t>
  </si>
  <si>
    <t>197,5</t>
  </si>
  <si>
    <t>180</t>
  </si>
  <si>
    <t>212,5</t>
  </si>
  <si>
    <t>253</t>
  </si>
  <si>
    <t>0,993670886</t>
  </si>
  <si>
    <t>1,089451477</t>
  </si>
  <si>
    <t>1,006369427</t>
  </si>
  <si>
    <t>0,917893106</t>
  </si>
  <si>
    <t>390</t>
  </si>
  <si>
    <t>370</t>
  </si>
  <si>
    <t>435</t>
  </si>
  <si>
    <t>474</t>
  </si>
  <si>
    <t>1,032051282</t>
  </si>
  <si>
    <t>1,093162393</t>
  </si>
  <si>
    <t>0,968944099</t>
  </si>
  <si>
    <t>0,91477717</t>
  </si>
  <si>
    <t>202,5</t>
  </si>
  <si>
    <t>190</t>
  </si>
  <si>
    <t>232,5</t>
  </si>
  <si>
    <t>291</t>
  </si>
  <si>
    <t>1,043209877</t>
  </si>
  <si>
    <t>1,174485597</t>
  </si>
  <si>
    <t>0,958579882</t>
  </si>
  <si>
    <t>0,85143658</t>
  </si>
  <si>
    <t>360</t>
  </si>
  <si>
    <t>376</t>
  </si>
  <si>
    <t>1,013888889</t>
  </si>
  <si>
    <t>1,024074074</t>
  </si>
  <si>
    <t>0,98630137</t>
  </si>
  <si>
    <t>0,976491863</t>
  </si>
  <si>
    <t>FAZENDA 1</t>
  </si>
  <si>
    <t>OPERADOR 9</t>
  </si>
  <si>
    <t>OPERADOR 10</t>
  </si>
  <si>
    <t>OPERADOR 11</t>
  </si>
  <si>
    <t>OPERADOR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</si>
</sst>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m\-yy;@"/>
    <numFmt numFmtId="165" formatCode="0.00\ &quot;m³&quot;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14" fontId="0" fillId="0" borderId="0" xfId="0" applyNumberFormat="1"/>
    <xf numFmtId="0" fontId="0" fillId="4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14" fontId="0" fillId="4" borderId="0" xfId="0" applyNumberFormat="1" applyFill="1"/>
    <xf numFmtId="0" fontId="0" fillId="2" borderId="0" xfId="0" applyFill="1"/>
    <xf numFmtId="1" fontId="0" fillId="0" borderId="0" xfId="0" applyNumberFormat="1"/>
    <xf numFmtId="2" fontId="1" fillId="2" borderId="4" xfId="0" applyNumberFormat="1" applyFon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2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1" formatCode="0"/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3D1C6BB-6BB4-4088-95E7-D2788E172192}" autoFormatId="16" applyNumberFormats="0" applyBorderFormats="0" applyFontFormats="0" applyPatternFormats="0" applyAlignmentFormats="0" applyWidthHeightFormats="0">
  <queryTableRefresh nextId="37">
    <queryTableFields count="36">
      <queryTableField id="1" name="ANO" tableColumnId="1"/>
      <queryTableField id="2" name="MÊS" tableColumnId="2"/>
      <queryTableField id="3" name="CONTRATO" tableColumnId="3"/>
      <queryTableField id="4" name="BITOLA" tableColumnId="4"/>
      <queryTableField id="5" name="VMI" tableColumnId="5"/>
      <queryTableField id="6" name="FAIXA VMI" tableColumnId="6"/>
      <queryTableField id="7" name="FAZENDA" tableColumnId="7"/>
      <queryTableField id="8" name="TALHÃO" tableColumnId="8"/>
      <queryTableField id="9" name="DATA APONTAMENTO" tableColumnId="9"/>
      <queryTableField id="10" name="EQUIPAMENTO DIGITADO" tableColumnId="10"/>
      <queryTableField id="11" name="EQUIPAMENTO" tableColumnId="11"/>
      <queryTableField id="12" name="TIPO DE EQUIPAMENTO" tableColumnId="12"/>
      <queryTableField id="13" name="META BASE M³/H POR OPERAÇÃO" tableColumnId="13"/>
      <queryTableField id="14" name="OPERADOR" tableColumnId="14"/>
      <queryTableField id="15" name="TURNO" tableColumnId="15"/>
      <queryTableField id="16" name="MOVIMENTO ENTRE TALHÕES" tableColumnId="16"/>
      <queryTableField id="17" name="HORÍMETRO ANTERIOR" tableColumnId="17"/>
      <queryTableField id="18" name="HORÍMETRO ATUAL" tableColumnId="18"/>
      <queryTableField id="19" name="HORAS RODADAS" tableColumnId="19"/>
      <queryTableField id="20" name="QUANTIDADE DE ÁRVORES" tableColumnId="20"/>
      <queryTableField id="21" name="VOLUME PRODUZIDO" tableColumnId="21"/>
      <queryTableField id="22" name="VOLUME AJUSTADO" tableColumnId="22"/>
      <queryTableField id="23" name="M³ / HORA RODADA" tableColumnId="23"/>
      <queryTableField id="24" name="HEC PRODUZIDO NO DIA" tableColumnId="24"/>
      <queryTableField id="25" name="HEC PRODUZIDO NO DIA AJUSTADO" tableColumnId="25"/>
      <queryTableField id="26" name="META BASE M³ POR TURNO" tableColumnId="26"/>
      <queryTableField id="27" name="META BASE M³ POR HORA" tableColumnId="27"/>
      <queryTableField id="28" name="META DESAFIO M³ POR TURNO" tableColumnId="28"/>
      <queryTableField id="29" name="META DESAFIO M³ POR HORA" tableColumnId="29"/>
      <queryTableField id="30" name="TETO META M³ POR TURNO" tableColumnId="30"/>
      <queryTableField id="31" name="TETO META M³ POR HORA" tableColumnId="31"/>
      <queryTableField id="32" name="STATUS META" tableColumnId="32"/>
      <queryTableField id="33" name="FATOR" tableColumnId="33"/>
      <queryTableField id="34" name="% COBERTURA" tableColumnId="34"/>
      <queryTableField id="35" name="VOLUME TALHÃO" tableColumnId="35"/>
      <queryTableField id="36" name="STATUS DO TALHÃO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ED78E22A-CBB0-42C0-AEAF-63C2541660FC}" autoFormatId="16" applyNumberFormats="0" applyBorderFormats="0" applyFontFormats="0" applyPatternFormats="0" applyAlignmentFormats="0" applyWidthHeightFormats="0">
  <queryTableRefresh nextId="33">
    <queryTableFields count="32">
      <queryTableField id="1" name="ANO" tableColumnId="1"/>
      <queryTableField id="2" name="MÊS" tableColumnId="2"/>
      <queryTableField id="3" name="DATA" tableColumnId="3"/>
      <queryTableField id="4" name="EQUIPAMENTO DIGITADO" tableColumnId="4"/>
      <queryTableField id="5" name="EQUIPAMENTO" tableColumnId="5"/>
      <queryTableField id="6" name="TIPO DE EQUIPAMENTO" tableColumnId="6"/>
      <queryTableField id="7" name="DISPONIBILIDADE MECÂNICA" tableColumnId="7"/>
      <queryTableField id="8" name="D.M" tableColumnId="8"/>
      <queryTableField id="9" name="META D.M BASE" tableColumnId="9"/>
      <queryTableField id="10" name="META D.M DESAFIO" tableColumnId="10"/>
      <queryTableField id="11" name="TETO META D.M" tableColumnId="11"/>
      <queryTableField id="12" name="STATUS D.M" tableColumnId="12"/>
      <queryTableField id="13" name="DISPONIBILIDADE OPERACIONAL" tableColumnId="13"/>
      <queryTableField id="14" name="D.O" tableColumnId="14"/>
      <queryTableField id="15" name="META D.O BASE" tableColumnId="15"/>
      <queryTableField id="16" name="META D.O DESAFIO" tableColumnId="16"/>
      <queryTableField id="17" name="TETO META D.O" tableColumnId="17"/>
      <queryTableField id="18" name="STATUS D.O" tableColumnId="18"/>
      <queryTableField id="19" name="HORAS" tableColumnId="19"/>
      <queryTableField id="20" name="HORAS D.M" tableColumnId="20"/>
      <queryTableField id="21" name="HORAS D.O" tableColumnId="21"/>
      <queryTableField id="22" name="MÉDIA HORAS PARADAS" tableColumnId="22"/>
      <queryTableField id="23" name="TOTAL HORAS" tableColumnId="23"/>
      <queryTableField id="24" name="TOTAL HORAS PARADAS" tableColumnId="24"/>
      <queryTableField id="25" name="TEMPO REFEIÇÃO" tableColumnId="25"/>
      <queryTableField id="26" name="HORAS RODADAS" tableColumnId="26"/>
      <queryTableField id="27" name="HORAS DESCONSIDERADAS" tableColumnId="27"/>
      <queryTableField id="28" name="HORAS TRABALHADAS REAL" tableColumnId="28"/>
      <queryTableField id="29" name="META HORAS BASE" tableColumnId="29"/>
      <queryTableField id="30" name="META HORAS DESAFIO" tableColumnId="30"/>
      <queryTableField id="31" name="TETO META HORAS" tableColumnId="31"/>
      <queryTableField id="32" name="STATUS META HORAS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7" xr16:uid="{E4B3905D-17FB-425B-8B3D-157AD40C3351}" autoFormatId="16" applyNumberFormats="0" applyBorderFormats="0" applyFontFormats="0" applyPatternFormats="0" applyAlignmentFormats="0" applyWidthHeightFormats="0">
  <queryTableRefresh nextId="45">
    <queryTableFields count="38">
      <queryTableField id="1" name="ANO" tableColumnId="1"/>
      <queryTableField id="2" name="MÊS" tableColumnId="2"/>
      <queryTableField id="3" name="DATA" tableColumnId="3"/>
      <queryTableField id="4" name="EQUIPAMENTO DIGITADO" tableColumnId="4"/>
      <queryTableField id="33" name="TURNO" tableColumnId="33"/>
      <queryTableField id="34" name="OPERADOR" tableColumnId="34"/>
      <queryTableField id="5" name="EQUIPAMENTO" tableColumnId="5"/>
      <queryTableField id="6" name="TIPO DE EQUIPAMENTO" tableColumnId="6"/>
      <queryTableField id="7" name="DISPONIBILIDADE MECÂNICA" tableColumnId="7"/>
      <queryTableField id="8" name="D.M" tableColumnId="8"/>
      <queryTableField id="9" name="META D.M BASE" tableColumnId="9"/>
      <queryTableField id="10" name="META D.M DESAFIO" tableColumnId="10"/>
      <queryTableField id="11" name="TETO META D.M" tableColumnId="11"/>
      <queryTableField id="12" name="STATUS D.M" tableColumnId="12"/>
      <queryTableField id="13" name="DISPONIBILIDADE OPERACIONAL" tableColumnId="13"/>
      <queryTableField id="14" name="D.O" tableColumnId="14"/>
      <queryTableField id="15" name="META D.O BASE" tableColumnId="15"/>
      <queryTableField id="16" name="META D.O DESAFIO" tableColumnId="16"/>
      <queryTableField id="17" name="TETO META D.O" tableColumnId="17"/>
      <queryTableField id="18" name="STATUS D.O" tableColumnId="18"/>
      <queryTableField id="19" name="HORAS" tableColumnId="19"/>
      <queryTableField id="20" name="HORAS D.M" tableColumnId="20"/>
      <queryTableField id="21" name="HORAS D.O" tableColumnId="21"/>
      <queryTableField id="22" name="MÉDIA HORAS PARADAS" tableColumnId="22"/>
      <queryTableField id="23" name="TOTAL HORAS" tableColumnId="23"/>
      <queryTableField id="39" name="CHECK TOTAL HORAS" tableColumnId="36"/>
      <queryTableField id="24" name="TOTAL HORAS PARADAS" tableColumnId="24"/>
      <queryTableField id="25" name="TEMPO REFEIÇÃO" tableColumnId="25"/>
      <queryTableField id="26" name="HORAS RODADAS" tableColumnId="26"/>
      <queryTableField id="40" name="CHECK HORAS RODADAS" tableColumnId="37"/>
      <queryTableField id="35" name="HORAS PARADAS" tableColumnId="35"/>
      <queryTableField id="27" name="HORAS DESCONSIDERADAS" tableColumnId="27"/>
      <queryTableField id="28" name="HORAS TRABALHADAS REAL" tableColumnId="28"/>
      <queryTableField id="41" name="CHECK HORAS TRABALHADAS" tableColumnId="38"/>
      <queryTableField id="29" name="META HORAS BASE" tableColumnId="29"/>
      <queryTableField id="30" name="META HORAS DESAFIO" tableColumnId="30"/>
      <queryTableField id="31" name="TETO META HORAS" tableColumnId="31"/>
      <queryTableField id="32" name="STATUS META HORAS" tableColumnId="32"/>
    </queryTableFields>
  </queryTableRefresh>
  <extLst>
    <ext xmlns:x15="http://schemas.microsoft.com/office/spreadsheetml/2010/11/main" uri="{883FBD77-0823-4a55-B5E3-86C4891E6966}">
      <x15:queryTable sourceDataName="Consulta - Disponibilidad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connectionId="8" xr16:uid="{1324D80F-5879-402E-A9D0-9D6B3A156A8E}" autoFormatId="16" applyNumberFormats="0" applyBorderFormats="0" applyFontFormats="0" applyPatternFormats="0" applyAlignmentFormats="0" applyWidthHeightFormats="0">
  <queryTableRefresh nextId="27">
    <queryTableFields count="26">
      <queryTableField id="1" name="MÁQUINAS" tableColumnId="1"/>
      <queryTableField id="2" name="TIPO DE EQUIPAMENTO" tableColumnId="2"/>
      <queryTableField id="3" name="MÉDIA HORAS REAL" tableColumnId="3"/>
      <queryTableField id="4" name="PERCENTIL 50" tableColumnId="4"/>
      <queryTableField id="5" name="PERCENTIL 75" tableColumnId="5"/>
      <queryTableField id="6" name="PERCENTIL 90" tableColumnId="6"/>
      <queryTableField id="7" name="TETO DE HORAS" tableColumnId="7"/>
      <queryTableField id="8" name="QUANTIDADE DE REGISTROS" tableColumnId="8"/>
      <queryTableField id="9" name="STATUS" tableColumnId="9"/>
      <queryTableField id="10" name="FATOR" tableColumnId="10"/>
      <queryTableField id="11" name="FATOR DESAFIO" tableColumnId="11"/>
      <queryTableField id="12" name="FATOR REDUÇÃO" tableColumnId="12"/>
      <queryTableField id="13" name="FATOR REDUÇÃO DESAFIO" tableColumnId="13"/>
      <queryTableField id="14" name="DISPONIBILIDADE MECÂNICA" tableColumnId="14"/>
      <queryTableField id="15" name="META BASE" tableColumnId="15"/>
      <queryTableField id="16" name="META DESAFIO" tableColumnId="16"/>
      <queryTableField id="17" name="TETO META" tableColumnId="17"/>
      <queryTableField id="18" name="DISPONIBILIDADE OPERACIONAL" tableColumnId="18"/>
      <queryTableField id="19" name="META BASE_1" tableColumnId="19"/>
      <queryTableField id="20" name="META DESAFIO_2" tableColumnId="20"/>
      <queryTableField id="21" name="TETO META_3" tableColumnId="21"/>
      <queryTableField id="22" name="HORAS" tableColumnId="22"/>
      <queryTableField id="23" name="MÉDIA HORAS PARADAS" tableColumnId="23"/>
      <queryTableField id="24" name="META BASE_4" tableColumnId="24"/>
      <queryTableField id="25" name="META DESAFIO_5" tableColumnId="25"/>
      <queryTableField id="26" name="TETO META_6" tableColumnId="26"/>
    </queryTableFields>
  </queryTableRefresh>
  <extLst>
    <ext xmlns:x15="http://schemas.microsoft.com/office/spreadsheetml/2010/11/main" uri="{883FBD77-0823-4a55-B5E3-86C4891E6966}">
      <x15:queryTable sourceDataName="Consulta - Metas DM &amp; DO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connectionId="9" xr16:uid="{F4C2DB90-7864-4E73-8F13-2A6A0D4DFD17}" autoFormatId="16" applyNumberFormats="0" applyBorderFormats="0" applyFontFormats="0" applyPatternFormats="0" applyAlignmentFormats="0" applyWidthHeightFormats="0">
  <queryTableRefresh nextId="30">
    <queryTableFields count="29">
      <queryTableField id="1" name="ANO" tableColumnId="1"/>
      <queryTableField id="2" name="MÊS" tableColumnId="2"/>
      <queryTableField id="3" name="DATA" tableColumnId="3"/>
      <queryTableField id="29" dataBound="0" tableColumnId="29"/>
      <queryTableField id="4" name="EQUIPAMENTO DIGITADO" tableColumnId="4"/>
      <queryTableField id="5" name="EQUIPAMENTO" tableColumnId="5"/>
      <queryTableField id="6" name="TIPO DE EQUIPAMENTO" tableColumnId="6"/>
      <queryTableField id="7" name="HORÍMETRO ANTERIOR" tableColumnId="7"/>
      <queryTableField id="8" name="HORÍMETRO ABASTECIMENTO" tableColumnId="8"/>
      <queryTableField id="9" name="CONSUMO" tableColumnId="9"/>
      <queryTableField id="10" name="HORAS RODADAS" tableColumnId="10"/>
      <queryTableField id="11" name="MÉDIA" tableColumnId="11"/>
      <queryTableField id="12" name="STATUS MÉDIA" tableColumnId="12"/>
      <queryTableField id="13" name="LITROS POR HORA" tableColumnId="13"/>
      <queryTableField id="14" name="META BASE" tableColumnId="14"/>
      <queryTableField id="15" name="META BASE POR HORA" tableColumnId="15"/>
      <queryTableField id="16" name="META DESAFIO" tableColumnId="16"/>
      <queryTableField id="17" name="META DESAFIO POR HORA" tableColumnId="17"/>
      <queryTableField id="18" name="TETO META" tableColumnId="18"/>
      <queryTableField id="19" name="TETO META POR HORA" tableColumnId="19"/>
      <queryTableField id="20" name="STATUS META" tableColumnId="20"/>
      <queryTableField id="21" name="COMBOIO" tableColumnId="21"/>
      <queryTableField id="22" name="ENTRADA" tableColumnId="22"/>
      <queryTableField id="23" name="VALOR ENTRADA" tableColumnId="23"/>
      <queryTableField id="24" name="SALDO ANTERIOR" tableColumnId="24"/>
      <queryTableField id="25" name="ENCERRANTE ANTERIOR" tableColumnId="25"/>
      <queryTableField id="26" name="ENCERRANTE ABASTECIMENTO" tableColumnId="26"/>
      <queryTableField id="27" name="SALDO" tableColumnId="27"/>
      <queryTableField id="28" name="OBS" tableColumnId="28"/>
    </queryTableFields>
  </queryTableRefresh>
  <extLst>
    <ext xmlns:x15="http://schemas.microsoft.com/office/spreadsheetml/2010/11/main" uri="{883FBD77-0823-4a55-B5E3-86C4891E6966}">
      <x15:queryTable sourceDataName="Consulta - Diesel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backgroundRefresh="0" connectionId="10" xr16:uid="{8EC6D567-3326-435A-ADEF-76AEE8EE0D75}" autoFormatId="16" applyNumberFormats="0" applyBorderFormats="0" applyFontFormats="0" applyPatternFormats="0" applyAlignmentFormats="0" applyWidthHeightFormats="0">
  <queryTableRefresh nextId="17">
    <queryTableFields count="16">
      <queryTableField id="1" name="MÁQUINAS" tableColumnId="1"/>
      <queryTableField id="2" name="TIPO DE EQUIPAMENTO" tableColumnId="2"/>
      <queryTableField id="3" name="MÉDIA CONSUMO REAL" tableColumnId="3"/>
      <queryTableField id="4" name="PERCENTIL 50" tableColumnId="4"/>
      <queryTableField id="5" name="PERCENTIL 75" tableColumnId="5"/>
      <queryTableField id="6" name="PERCENTIL 90" tableColumnId="6"/>
      <queryTableField id="7" name="TETO DE CONSUMO" tableColumnId="7"/>
      <queryTableField id="8" name="QUANTIDADE DE REGISTROS" tableColumnId="8"/>
      <queryTableField id="9" name="STATUS" tableColumnId="9"/>
      <queryTableField id="10" name="FATOR" tableColumnId="10"/>
      <queryTableField id="11" name="FATOR DESAFIO" tableColumnId="11"/>
      <queryTableField id="12" name="FATOR REDUÇÃO" tableColumnId="12"/>
      <queryTableField id="13" name="FATOR REDUÇÃO DESAFIO" tableColumnId="13"/>
      <queryTableField id="14" name="META BASE" tableColumnId="14"/>
      <queryTableField id="15" name="META DESAFIO" tableColumnId="15"/>
      <queryTableField id="16" name="TETO META" tableColumnId="16"/>
    </queryTableFields>
  </queryTableRefresh>
  <extLst>
    <ext xmlns:x15="http://schemas.microsoft.com/office/spreadsheetml/2010/11/main" uri="{883FBD77-0823-4a55-B5E3-86C4891E6966}">
      <x15:queryTable sourceDataName="Consulta - Metas Diese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6CB10-559A-4525-83EE-950ACA4644CD}" name="BDT_s" displayName="BDT_s" ref="A1:AJ25" tableType="queryTable" totalsRowShown="0">
  <autoFilter ref="A1:AJ25" xr:uid="{1376CB10-559A-4525-83EE-950ACA4644CD}"/>
  <tableColumns count="36">
    <tableColumn id="1" xr3:uid="{FA7B698C-2E5B-4802-A3D3-44B108FF0906}" uniqueName="1" name="ANO" queryTableFieldId="1"/>
    <tableColumn id="2" xr3:uid="{AFDA9F38-424C-4DFD-B8F7-E1BD26D24DF6}" uniqueName="2" name="MÊS" queryTableFieldId="2" dataDxfId="50"/>
    <tableColumn id="3" xr3:uid="{FFFE3FAF-48E7-4B28-A9CC-376A60E7B528}" uniqueName="3" name="CONTRATO" queryTableFieldId="3" dataDxfId="125"/>
    <tableColumn id="4" xr3:uid="{881D50E1-4284-4D57-87A3-DAE1C4B736DB}" uniqueName="4" name="BITOLA" queryTableFieldId="4"/>
    <tableColumn id="5" xr3:uid="{671500A6-486D-49F0-826F-A59EE6ECD0F5}" uniqueName="5" name="VMI" queryTableFieldId="5"/>
    <tableColumn id="6" xr3:uid="{E9B11355-64D4-4C99-9B16-DC4C95E9EBF0}" uniqueName="6" name="FAIXA VMI" queryTableFieldId="6" dataDxfId="124"/>
    <tableColumn id="7" xr3:uid="{16611F42-8DE9-48B3-8D9D-207A92798A0C}" uniqueName="7" name="FAZENDA" queryTableFieldId="7" dataDxfId="123"/>
    <tableColumn id="8" xr3:uid="{2A420446-D4B1-4D1A-8BAD-4DACE9B6A531}" uniqueName="8" name="TALHÃO" queryTableFieldId="8"/>
    <tableColumn id="9" xr3:uid="{876D2B2D-C4BF-45CF-B4A1-99BFD1A7F922}" uniqueName="9" name="DATA APONTAMENTO" queryTableFieldId="9" dataDxfId="49"/>
    <tableColumn id="10" xr3:uid="{4DBBD224-646D-42B6-A1CF-C0D9814F2F9B}" uniqueName="10" name="EQUIPAMENTO DIGITADO" queryTableFieldId="10" dataDxfId="122"/>
    <tableColumn id="11" xr3:uid="{3F26D406-D47D-4963-95DE-AFA3A6BE322A}" uniqueName="11" name="EQUIPAMENTO" queryTableFieldId="11" dataDxfId="121"/>
    <tableColumn id="12" xr3:uid="{70ADA139-66CC-4C6E-9960-1F7BBAC7D017}" uniqueName="12" name="TIPO DE EQUIPAMENTO" queryTableFieldId="12" dataDxfId="120"/>
    <tableColumn id="13" xr3:uid="{7197BBE9-F8C1-4548-AB87-33BF7FDFE92C}" uniqueName="13" name="META BASE M³/H POR OPERAÇÃO" queryTableFieldId="13" dataDxfId="48"/>
    <tableColumn id="14" xr3:uid="{43954F87-3AF6-44E6-A751-D92CC63ACA8D}" uniqueName="14" name="OPERADOR" queryTableFieldId="14" dataDxfId="119"/>
    <tableColumn id="15" xr3:uid="{F355915A-0694-4973-94F6-7AF4E1294760}" uniqueName="15" name="TURNO" queryTableFieldId="15" dataDxfId="118"/>
    <tableColumn id="16" xr3:uid="{26CA5B67-0252-43F2-9A6F-EF3D860B0E5C}" uniqueName="16" name="MOVIMENTO ENTRE TALHÕES" queryTableFieldId="16"/>
    <tableColumn id="17" xr3:uid="{868906FB-99BB-405E-9B52-D6BE449D2D9B}" uniqueName="17" name="HORÍMETRO ANTERIOR" queryTableFieldId="17" dataDxfId="47"/>
    <tableColumn id="18" xr3:uid="{0CE2B749-7BE1-4A0F-BEB9-119B9A2610F4}" uniqueName="18" name="HORÍMETRO ATUAL" queryTableFieldId="18" dataDxfId="46"/>
    <tableColumn id="19" xr3:uid="{9C2F00E8-8AD6-47A1-845E-7943EDCAEDE5}" uniqueName="19" name="HORAS RODADAS" queryTableFieldId="19" dataDxfId="45"/>
    <tableColumn id="20" xr3:uid="{CAB8C37F-CD3E-41FA-AC4F-3AA25E646715}" uniqueName="20" name="QUANTIDADE DE ÁRVORES" queryTableFieldId="20" dataDxfId="44"/>
    <tableColumn id="21" xr3:uid="{5328E507-7C36-4F92-92AB-19F598E2BA33}" uniqueName="21" name="VOLUME PRODUZIDO" queryTableFieldId="21" dataDxfId="43"/>
    <tableColumn id="22" xr3:uid="{84E9C0F0-A1D5-4342-AA15-CCC0AF41B165}" uniqueName="22" name="VOLUME AJUSTADO" queryTableFieldId="22" dataDxfId="42"/>
    <tableColumn id="23" xr3:uid="{FA3EE0E4-76AE-4997-967C-486C305DD2AA}" uniqueName="23" name="M³ / HORA RODADA" queryTableFieldId="23" dataDxfId="41"/>
    <tableColumn id="24" xr3:uid="{4CAB3A25-E4C9-4873-A6A0-D52D0F16EC08}" uniqueName="24" name="HEC PRODUZIDO NO DIA" queryTableFieldId="24" dataDxfId="40"/>
    <tableColumn id="25" xr3:uid="{7FFD602F-1ECE-485D-BC22-38B8086A99F4}" uniqueName="25" name="HEC PRODUZIDO NO DIA AJUSTADO" queryTableFieldId="25" dataDxfId="39"/>
    <tableColumn id="26" xr3:uid="{B28FCADD-8CB5-49D6-B3A8-F1E4A73CBF55}" uniqueName="26" name="META BASE M³ POR TURNO" queryTableFieldId="26" dataDxfId="38"/>
    <tableColumn id="27" xr3:uid="{DDAB7E74-FE2B-4D1B-A3EB-42E14EFCB2FA}" uniqueName="27" name="META BASE M³ POR HORA" queryTableFieldId="27" dataDxfId="37"/>
    <tableColumn id="28" xr3:uid="{5F4D8FA1-F8ED-499D-B32D-B1B6D3E38226}" uniqueName="28" name="META DESAFIO M³ POR TURNO" queryTableFieldId="28" dataDxfId="36"/>
    <tableColumn id="29" xr3:uid="{78E01DE6-5E98-41D4-B059-13DF883C84E4}" uniqueName="29" name="META DESAFIO M³ POR HORA" queryTableFieldId="29" dataDxfId="35"/>
    <tableColumn id="30" xr3:uid="{0ABC527A-4E57-490E-9FBA-4EA6F3FE9F1D}" uniqueName="30" name="TETO META M³ POR TURNO" queryTableFieldId="30" dataDxfId="34"/>
    <tableColumn id="31" xr3:uid="{0FC639DE-A355-42DA-B12B-FD7A5AB5A2F9}" uniqueName="31" name="TETO META M³ POR HORA" queryTableFieldId="31" dataDxfId="33"/>
    <tableColumn id="32" xr3:uid="{2072ACAB-533C-473C-BBB9-3856BF21F3F2}" uniqueName="32" name="STATUS META" queryTableFieldId="32" dataDxfId="32"/>
    <tableColumn id="33" xr3:uid="{74F41318-B2AB-4379-BE4F-EA0601A6F4D8}" uniqueName="33" name="FATOR" queryTableFieldId="33" dataDxfId="31"/>
    <tableColumn id="34" xr3:uid="{F5372020-E25F-4D95-80F6-AA31F5B82D8E}" uniqueName="34" name="% COBERTURA" queryTableFieldId="34" dataDxfId="30"/>
    <tableColumn id="35" xr3:uid="{E5659A3F-53AF-4FB4-BCF6-3C76944E0FF1}" uniqueName="35" name="VOLUME TALHÃO" queryTableFieldId="35" dataDxfId="29"/>
    <tableColumn id="36" xr3:uid="{1CEA3FFC-DA67-456D-8C37-25AF03717E84}" uniqueName="36" name="STATUS DO TALHÃO" queryTableFieldId="36" dataDxfId="1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C06E2-220C-4ADB-A6F8-7BF1675FCB0B}" name="Controle_Mensal" displayName="Controle_Mensal" ref="A1:AF7" tableType="queryTable" totalsRowShown="0">
  <autoFilter ref="A1:AF7" xr:uid="{E39C06E2-220C-4ADB-A6F8-7BF1675FCB0B}"/>
  <tableColumns count="32">
    <tableColumn id="1" xr3:uid="{97855BC4-5C05-4F1E-9663-D910D72CFF72}" uniqueName="1" name="ANO" queryTableFieldId="1"/>
    <tableColumn id="2" xr3:uid="{76515B2A-83E4-41AC-A0A9-23CD50777EE3}" uniqueName="2" name="MÊS" queryTableFieldId="2" dataDxfId="28"/>
    <tableColumn id="3" xr3:uid="{79F96EDD-3C38-4EF4-A028-EBB986143171}" uniqueName="3" name="DATA" queryTableFieldId="3" dataDxfId="27"/>
    <tableColumn id="4" xr3:uid="{16E3A151-1571-4A91-B954-463AD900C07F}" uniqueName="4" name="EQUIPAMENTO DIGITADO" queryTableFieldId="4" dataDxfId="116"/>
    <tableColumn id="5" xr3:uid="{A12EA23F-DBA0-4A84-BA21-107B40CC1C9A}" uniqueName="5" name="EQUIPAMENTO" queryTableFieldId="5" dataDxfId="115"/>
    <tableColumn id="6" xr3:uid="{6862BE07-7044-40F2-8502-0780C9BBC809}" uniqueName="6" name="TIPO DE EQUIPAMENTO" queryTableFieldId="6" dataDxfId="114"/>
    <tableColumn id="7" xr3:uid="{7DB9041A-7F3B-422B-AFB9-1765FC24EC8C}" uniqueName="7" name="DISPONIBILIDADE MECÂNICA" queryTableFieldId="7" dataDxfId="113"/>
    <tableColumn id="8" xr3:uid="{4CBE662B-6A28-4BED-86B3-366AE0752364}" uniqueName="8" name="D.M" queryTableFieldId="8" dataDxfId="26"/>
    <tableColumn id="9" xr3:uid="{C8F8C02B-3459-4D47-9116-E72BF0056E0E}" uniqueName="9" name="META D.M BASE" queryTableFieldId="9" dataDxfId="25"/>
    <tableColumn id="10" xr3:uid="{BDC5ABAF-3906-4B9C-A556-BC85223FEFA2}" uniqueName="10" name="META D.M DESAFIO" queryTableFieldId="10" dataDxfId="24"/>
    <tableColumn id="11" xr3:uid="{37E57F3F-64D7-40AC-B70F-9CFE6C25F50A}" uniqueName="11" name="TETO META D.M" queryTableFieldId="11" dataDxfId="23"/>
    <tableColumn id="12" xr3:uid="{57D9BCD5-7F2E-4C8F-8A94-F4B87F6C67CD}" uniqueName="12" name="STATUS D.M" queryTableFieldId="12" dataDxfId="112"/>
    <tableColumn id="13" xr3:uid="{CBF0B87B-9B67-4586-B501-48287DC2F0A1}" uniqueName="13" name="DISPONIBILIDADE OPERACIONAL" queryTableFieldId="13" dataDxfId="111"/>
    <tableColumn id="14" xr3:uid="{0FC796C3-6E67-4175-9146-E44CDDFEA217}" uniqueName="14" name="D.O" queryTableFieldId="14" dataDxfId="22"/>
    <tableColumn id="15" xr3:uid="{46EFB552-733E-4ED0-B0A0-189E6EE0B10F}" uniqueName="15" name="META D.O BASE" queryTableFieldId="15" dataDxfId="21"/>
    <tableColumn id="16" xr3:uid="{9880AA62-BE5C-4825-A9B3-61B0636C07F7}" uniqueName="16" name="META D.O DESAFIO" queryTableFieldId="16" dataDxfId="20"/>
    <tableColumn id="17" xr3:uid="{842D0A63-42D5-4988-8999-BBA630729302}" uniqueName="17" name="TETO META D.O" queryTableFieldId="17" dataDxfId="19"/>
    <tableColumn id="18" xr3:uid="{BCEA0CBC-FED9-4313-B051-D7CF716BE857}" uniqueName="18" name="STATUS D.O" queryTableFieldId="18" dataDxfId="110"/>
    <tableColumn id="19" xr3:uid="{8DB5FBD7-44A0-4E33-970C-B1880D806622}" uniqueName="19" name="HORAS" queryTableFieldId="19" dataDxfId="109"/>
    <tableColumn id="20" xr3:uid="{B2AEA1BD-BF96-4678-A664-B64BFBC7F36D}" uniqueName="20" name="HORAS D.M" queryTableFieldId="20" dataDxfId="18"/>
    <tableColumn id="21" xr3:uid="{0ACE5CA0-528F-44F9-BC81-3397DCC9BF18}" uniqueName="21" name="HORAS D.O" queryTableFieldId="21" dataDxfId="17"/>
    <tableColumn id="22" xr3:uid="{3CA21280-4A45-43F6-9829-AD1771647464}" uniqueName="22" name="MÉDIA HORAS PARADAS" queryTableFieldId="22" dataDxfId="16"/>
    <tableColumn id="23" xr3:uid="{DDF72791-717B-421B-BD4E-41E904D0FED0}" uniqueName="23" name="TOTAL HORAS" queryTableFieldId="23" dataDxfId="15"/>
    <tableColumn id="24" xr3:uid="{759A7B50-5EAD-4B64-B280-09514839F7BA}" uniqueName="24" name="TOTAL HORAS PARADAS" queryTableFieldId="24" dataDxfId="14"/>
    <tableColumn id="25" xr3:uid="{12434DDE-F5A6-43E0-8956-066774E92969}" uniqueName="25" name="TEMPO REFEIÇÃO" queryTableFieldId="25" dataDxfId="13"/>
    <tableColumn id="26" xr3:uid="{47CF3AF4-6C85-40AE-9F90-17CD4C632E07}" uniqueName="26" name="HORAS RODADAS" queryTableFieldId="26" dataDxfId="12"/>
    <tableColumn id="27" xr3:uid="{F1719C63-95D5-47C3-8636-F294081888D2}" uniqueName="27" name="HORAS DESCONSIDERADAS" queryTableFieldId="27" dataDxfId="11"/>
    <tableColumn id="28" xr3:uid="{6947C14B-5ECD-4E98-A3BF-D5901844C695}" uniqueName="28" name="HORAS TRABALHADAS REAL" queryTableFieldId="28" dataDxfId="10"/>
    <tableColumn id="29" xr3:uid="{11137B1B-D81B-44D1-90E0-53CB96E1C761}" uniqueName="29" name="META HORAS BASE" queryTableFieldId="29" dataDxfId="9"/>
    <tableColumn id="30" xr3:uid="{0B5A7FF8-4758-4685-96F7-D8BC308D9B10}" uniqueName="30" name="META HORAS DESAFIO" queryTableFieldId="30" dataDxfId="8"/>
    <tableColumn id="31" xr3:uid="{D2F10966-1203-4ADB-A958-77849CF026D8}" uniqueName="31" name="TETO META HORAS" queryTableFieldId="31" dataDxfId="7"/>
    <tableColumn id="32" xr3:uid="{8471B47F-DDD7-495F-BA05-54E61613DD21}" uniqueName="32" name="STATUS META HORAS" queryTableFieldId="32" dataDxfId="10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2F1ED6-5F26-4F0C-A006-22E1EDE41121}" name="Disponibilidade" displayName="Disponibilidade" ref="A1:AL73" tableType="queryTable" totalsRowShown="0">
  <autoFilter ref="A1:AL73" xr:uid="{CE2F1ED6-5F26-4F0C-A006-22E1EDE41121}"/>
  <tableColumns count="38">
    <tableColumn id="1" xr3:uid="{9C9069F6-7F6A-47F6-B75E-58B58F984F9F}" uniqueName="1" name="ANO" queryTableFieldId="1"/>
    <tableColumn id="2" xr3:uid="{91B31AD5-BBAC-4E04-882C-6A457946BB55}" uniqueName="2" name="MÊS" queryTableFieldId="2" dataDxfId="66"/>
    <tableColumn id="3" xr3:uid="{2BC39652-F743-40EC-820F-D739DF94E21C}" uniqueName="3" name="DATA" queryTableFieldId="3" dataDxfId="65"/>
    <tableColumn id="4" xr3:uid="{0DDBBFF2-C0C3-45A1-B465-3FB30B791684}" uniqueName="4" name="EQUIPAMENTO DIGITADO" queryTableFieldId="4" dataDxfId="107"/>
    <tableColumn id="33" xr3:uid="{621ECA84-0F40-46CD-A921-1DC84B555688}" uniqueName="33" name="TURNO" queryTableFieldId="33"/>
    <tableColumn id="34" xr3:uid="{9810957B-D865-481A-88C1-7B3641ADB87C}" uniqueName="34" name="OPERADOR" queryTableFieldId="34"/>
    <tableColumn id="5" xr3:uid="{2BBF69B1-BD28-4E89-8EE5-BCFCDD92B429}" uniqueName="5" name="EQUIPAMENTO" queryTableFieldId="5" dataDxfId="106"/>
    <tableColumn id="6" xr3:uid="{F98C1C11-31D8-4849-BE41-42802104503F}" uniqueName="6" name="TIPO DE EQUIPAMENTO" queryTableFieldId="6" dataDxfId="105"/>
    <tableColumn id="7" xr3:uid="{925BD871-5E68-44A9-ACCA-7AFE5BD10951}" uniqueName="7" name="DISPONIBILIDADE MECÂNICA" queryTableFieldId="7" dataDxfId="104"/>
    <tableColumn id="8" xr3:uid="{8D8E46D4-96DB-425B-8CE5-605E76EA31B6}" uniqueName="8" name="D.M" queryTableFieldId="8"/>
    <tableColumn id="9" xr3:uid="{3564DD75-44EA-438A-B459-35446EA73142}" uniqueName="9" name="META D.M BASE" queryTableFieldId="9" dataDxfId="103"/>
    <tableColumn id="10" xr3:uid="{4231FF3F-2C5F-4BA0-B8C4-163466B2EF7B}" uniqueName="10" name="META D.M DESAFIO" queryTableFieldId="10" dataDxfId="102"/>
    <tableColumn id="11" xr3:uid="{E088A25C-AB0B-41FA-8114-08E68AA67423}" uniqueName="11" name="TETO META D.M" queryTableFieldId="11"/>
    <tableColumn id="12" xr3:uid="{AB70C4AB-F9F8-4881-A0EE-C6FCF5A66765}" uniqueName="12" name="STATUS D.M" queryTableFieldId="12" dataDxfId="101"/>
    <tableColumn id="13" xr3:uid="{A2768C9C-F1E2-4E44-95FE-E66B41515D2C}" uniqueName="13" name="DISPONIBILIDADE OPERACIONAL" queryTableFieldId="13" dataDxfId="100"/>
    <tableColumn id="14" xr3:uid="{4B32A9E5-B49D-4FB6-9FFD-B53B5D0E6B33}" uniqueName="14" name="D.O" queryTableFieldId="14"/>
    <tableColumn id="15" xr3:uid="{9186C68B-63A2-4F22-95FE-54D643358E33}" uniqueName="15" name="META D.O BASE" queryTableFieldId="15" dataDxfId="99"/>
    <tableColumn id="16" xr3:uid="{3E72E51A-B68B-40A4-A3F0-66DA243FEDF7}" uniqueName="16" name="META D.O DESAFIO" queryTableFieldId="16" dataDxfId="98"/>
    <tableColumn id="17" xr3:uid="{16033103-3138-40EF-AE17-429BEF1E2363}" uniqueName="17" name="TETO META D.O" queryTableFieldId="17"/>
    <tableColumn id="18" xr3:uid="{CB409647-F45B-4CB9-8268-A01749748191}" uniqueName="18" name="STATUS D.O" queryTableFieldId="18" dataDxfId="97"/>
    <tableColumn id="19" xr3:uid="{123F7CEA-CCA0-4BB8-B66C-21E2ECE05700}" uniqueName="19" name="HORAS" queryTableFieldId="19" dataDxfId="96"/>
    <tableColumn id="20" xr3:uid="{4F2785AF-C54F-4EC9-96EC-096561856CBD}" uniqueName="20" name="HORAS D.M" queryTableFieldId="20"/>
    <tableColumn id="21" xr3:uid="{2C4AFFC5-B8D9-46E8-A019-0E32C2FC88F8}" uniqueName="21" name="HORAS D.O" queryTableFieldId="21"/>
    <tableColumn id="22" xr3:uid="{39244FC9-1D6F-4BB6-8824-4F1F2798DC1E}" uniqueName="22" name="MÉDIA HORAS PARADAS" queryTableFieldId="22"/>
    <tableColumn id="23" xr3:uid="{F18DD212-F5A3-4A1B-BE5D-8428DA25E07B}" uniqueName="23" name="TOTAL HORAS" queryTableFieldId="23"/>
    <tableColumn id="36" xr3:uid="{BA822962-FE07-4AF3-A4F5-B1901493E69E}" uniqueName="36" name="CHECK TOTAL HORAS" queryTableFieldId="39"/>
    <tableColumn id="24" xr3:uid="{6A2163D4-78EC-48B1-994C-BD73D8FB47D7}" uniqueName="24" name="TOTAL HORAS PARADAS" queryTableFieldId="24"/>
    <tableColumn id="25" xr3:uid="{B710999B-DD9E-4301-AD2A-A3422836A3C4}" uniqueName="25" name="TEMPO REFEIÇÃO" queryTableFieldId="25"/>
    <tableColumn id="26" xr3:uid="{54DEAAE1-D180-469E-BB14-B0CECE04E6CA}" uniqueName="26" name="HORAS RODADAS" queryTableFieldId="26"/>
    <tableColumn id="37" xr3:uid="{4586D9BD-7A3F-4B22-9A63-1CEA437ACA03}" uniqueName="37" name="CHECK HORAS RODADAS" queryTableFieldId="40"/>
    <tableColumn id="35" xr3:uid="{0BBA00C2-2375-4C6C-B43F-148FDDAC9B3A}" uniqueName="35" name="HORAS PARADAS" queryTableFieldId="35"/>
    <tableColumn id="27" xr3:uid="{99C632F7-2E3A-4FF4-B2EC-182E25D5922A}" uniqueName="27" name="HORAS DESCONSIDERADAS" queryTableFieldId="27"/>
    <tableColumn id="28" xr3:uid="{B2DA3866-8A6C-42C1-8BD7-2C6E1AF52E3E}" uniqueName="28" name="HORAS TRABALHADAS REAL" queryTableFieldId="28"/>
    <tableColumn id="38" xr3:uid="{3981A2B1-D00C-484F-A33A-300A259321D5}" uniqueName="38" name="CHECK HORAS TRABALHADAS" queryTableFieldId="41"/>
    <tableColumn id="29" xr3:uid="{E031822B-E850-4475-835B-D34AB1ACB612}" uniqueName="29" name="META HORAS BASE" queryTableFieldId="29" dataDxfId="95"/>
    <tableColumn id="30" xr3:uid="{CC90489C-21AB-47DE-AE55-A4B150554028}" uniqueName="30" name="META HORAS DESAFIO" queryTableFieldId="30" dataDxfId="94"/>
    <tableColumn id="31" xr3:uid="{AA708CBD-5EB6-48DD-81AE-17F19390E6D2}" uniqueName="31" name="TETO META HORAS" queryTableFieldId="31" dataDxfId="93"/>
    <tableColumn id="32" xr3:uid="{4E3E9246-BC32-4DDD-B155-376F44826BD8}" uniqueName="32" name="STATUS META HORAS" queryTableFieldId="32" dataDxfId="9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C4E5A3-BCB3-466D-A3E4-0E9AE37CC0B3}" name="Metas_DM___DO" displayName="Metas_DM___DO" ref="A1:Z9" tableType="queryTable" totalsRowShown="0">
  <autoFilter ref="A1:Z9" xr:uid="{35C4E5A3-BCB3-466D-A3E4-0E9AE37CC0B3}"/>
  <tableColumns count="26">
    <tableColumn id="1" xr3:uid="{1FFBF3F5-B415-49F7-A941-FB46C5F41512}" uniqueName="1" name="MÁQUINAS" queryTableFieldId="1" dataDxfId="91"/>
    <tableColumn id="2" xr3:uid="{3BD66C16-4B10-454D-8559-7AD2A3B5EE39}" uniqueName="2" name="TIPO DE EQUIPAMENTO" queryTableFieldId="2" dataDxfId="90"/>
    <tableColumn id="3" xr3:uid="{3974EA83-0BF5-42AE-A9DD-6FC2B79FE1F6}" uniqueName="3" name="MÉDIA HORAS REAL" queryTableFieldId="3" dataDxfId="89"/>
    <tableColumn id="4" xr3:uid="{5A370D58-AD79-4292-857E-957944EB3B1A}" uniqueName="4" name="PERCENTIL 50" queryTableFieldId="4" dataDxfId="88"/>
    <tableColumn id="5" xr3:uid="{E88C9BA4-43D5-47F9-B930-E950B614BAE1}" uniqueName="5" name="PERCENTIL 75" queryTableFieldId="5" dataDxfId="87"/>
    <tableColumn id="6" xr3:uid="{49D4DE77-FCAC-44EB-A173-4FA5F6628B6E}" uniqueName="6" name="PERCENTIL 90" queryTableFieldId="6" dataDxfId="86"/>
    <tableColumn id="7" xr3:uid="{591A2EB6-C3A8-48A5-8400-22EEA7FBCA57}" uniqueName="7" name="TETO DE HORAS" queryTableFieldId="7"/>
    <tableColumn id="8" xr3:uid="{AC4E6BD7-90CD-447D-885F-215F768C7789}" uniqueName="8" name="QUANTIDADE DE REGISTROS" queryTableFieldId="8"/>
    <tableColumn id="9" xr3:uid="{CDDE025F-ACAC-4799-B2D5-09B988496787}" uniqueName="9" name="STATUS" queryTableFieldId="9" dataDxfId="85"/>
    <tableColumn id="10" xr3:uid="{B3D668D8-D9CF-4352-9A0E-799262F4DA1A}" uniqueName="10" name="FATOR" queryTableFieldId="10" dataDxfId="84"/>
    <tableColumn id="11" xr3:uid="{D26A3F74-6432-4589-8804-7D7B21FC78AD}" uniqueName="11" name="FATOR DESAFIO" queryTableFieldId="11" dataDxfId="83"/>
    <tableColumn id="12" xr3:uid="{8042C7E8-C3DE-4B27-97AD-37AF460A73C4}" uniqueName="12" name="FATOR REDUÇÃO" queryTableFieldId="12" dataDxfId="82"/>
    <tableColumn id="13" xr3:uid="{43262350-8AA9-4829-8A8D-64B4C898E6A7}" uniqueName="13" name="FATOR REDUÇÃO DESAFIO" queryTableFieldId="13" dataDxfId="81"/>
    <tableColumn id="14" xr3:uid="{C26DFCBD-BDE2-49F7-93A4-63CCD7EDF00B}" uniqueName="14" name="DISPONIBILIDADE MECÂNICA" queryTableFieldId="14" dataDxfId="80"/>
    <tableColumn id="15" xr3:uid="{E1FB704A-9200-4485-B40F-280131E94AF4}" uniqueName="15" name="META BASE" queryTableFieldId="15" dataDxfId="64"/>
    <tableColumn id="16" xr3:uid="{52FBCABA-2AA6-4E14-9729-7B229AC037F2}" uniqueName="16" name="META DESAFIO" queryTableFieldId="16" dataDxfId="63"/>
    <tableColumn id="17" xr3:uid="{7E8FF90D-B667-4C53-AC22-663279B4ED24}" uniqueName="17" name="TETO META" queryTableFieldId="17" dataDxfId="62"/>
    <tableColumn id="18" xr3:uid="{A5844ADB-7CF2-4E62-8258-BAE712379CB2}" uniqueName="18" name="DISPONIBILIDADE OPERACIONAL" queryTableFieldId="18" dataDxfId="79"/>
    <tableColumn id="19" xr3:uid="{A39F0EF7-FCC7-48A2-A978-B8AA550900AE}" uniqueName="19" name="META BASE_1" queryTableFieldId="19" dataDxfId="61"/>
    <tableColumn id="20" xr3:uid="{DEB06E82-A1C2-4AD7-A2B3-68F2629C2FA8}" uniqueName="20" name="META DESAFIO_2" queryTableFieldId="20" dataDxfId="60"/>
    <tableColumn id="21" xr3:uid="{599A22A8-8537-4355-A447-209D3DDBC149}" uniqueName="21" name="TETO META_3" queryTableFieldId="21" dataDxfId="59"/>
    <tableColumn id="22" xr3:uid="{6486B856-D80B-4F7E-8B5D-2D0E89DA604E}" uniqueName="22" name="HORAS" queryTableFieldId="22" dataDxfId="78"/>
    <tableColumn id="23" xr3:uid="{2087CC23-BFA1-472D-ACD5-1D3D062859DC}" uniqueName="23" name="MÉDIA HORAS PARADAS" queryTableFieldId="23" dataDxfId="58"/>
    <tableColumn id="24" xr3:uid="{355174EF-F0C5-4E5A-8D03-BBED90FDC7E6}" uniqueName="24" name="META BASE_4" queryTableFieldId="24" dataDxfId="57"/>
    <tableColumn id="25" xr3:uid="{FA160797-CAF9-489F-B71D-49A0D87915E6}" uniqueName="25" name="META DESAFIO_5" queryTableFieldId="25" dataDxfId="56"/>
    <tableColumn id="26" xr3:uid="{44F83AD1-E73B-4C98-91EE-2E6E3EC58F26}" uniqueName="26" name="TETO META_6" queryTableFieldId="26" dataDxfId="5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EAB473-BF6B-45B6-9815-45F08EB5A615}" name="Diesel" displayName="Diesel" ref="A1:AC18" tableType="queryTable" totalsRowShown="0">
  <autoFilter ref="A1:AC18" xr:uid="{9BEAB473-BF6B-45B6-9815-45F08EB5A615}"/>
  <tableColumns count="29">
    <tableColumn id="1" xr3:uid="{E0C1C5B6-8287-4E13-B40A-E27D259C0263}" uniqueName="1" name="ANO" queryTableFieldId="1"/>
    <tableColumn id="2" xr3:uid="{15531427-9517-41CE-A12C-BD2DF0FF60A6}" uniqueName="2" name="MÊS" queryTableFieldId="2" dataDxfId="54"/>
    <tableColumn id="3" xr3:uid="{57D10D74-1518-43DD-A220-29E7730819D4}" uniqueName="3" name="DATA" queryTableFieldId="3" dataDxfId="53"/>
    <tableColumn id="29" xr3:uid="{213B4703-87FC-4A84-B83C-F83BB83B47DD}" uniqueName="29" name="CONTRATO" queryTableFieldId="29" dataDxfId="52">
      <calculatedColumnFormula array="1">IFERROR(INDEX('BDT''s'!C:C,MATCH(1,('BDT''s'!K:K=Diesel!F2)*('BDT''s'!I:I=Diesel!C2),0)),"-")</calculatedColumnFormula>
    </tableColumn>
    <tableColumn id="4" xr3:uid="{2AB9095A-D196-4D53-A112-6478334DD609}" uniqueName="4" name="EQUIPAMENTO DIGITADO" queryTableFieldId="4" dataDxfId="77"/>
    <tableColumn id="5" xr3:uid="{5021F266-7CD2-497D-9C57-1C3BB8AA161E}" uniqueName="5" name="EQUIPAMENTO" queryTableFieldId="5" dataDxfId="76"/>
    <tableColumn id="6" xr3:uid="{B9D7F27C-72DB-465E-897C-E2D14780FD51}" uniqueName="6" name="TIPO DE EQUIPAMENTO" queryTableFieldId="6" dataDxfId="75"/>
    <tableColumn id="7" xr3:uid="{9603E837-5003-4C64-9E51-5074BE075496}" uniqueName="7" name="HORÍMETRO ANTERIOR" queryTableFieldId="7"/>
    <tableColumn id="8" xr3:uid="{F69DD37D-0E20-4CE7-89F8-35DD26B6A86A}" uniqueName="8" name="HORÍMETRO ABASTECIMENTO" queryTableFieldId="8"/>
    <tableColumn id="9" xr3:uid="{6241B8B9-64CD-404E-BFCB-83BEF5F9E31A}" uniqueName="9" name="CONSUMO" queryTableFieldId="9"/>
    <tableColumn id="10" xr3:uid="{4BBA20FA-6833-4C24-B715-45347F91C5FF}" uniqueName="10" name="HORAS RODADAS" queryTableFieldId="10"/>
    <tableColumn id="11" xr3:uid="{E04BF9D6-A92D-4FFC-BACF-660CBCFEB6CA}" uniqueName="11" name="MÉDIA" queryTableFieldId="11"/>
    <tableColumn id="12" xr3:uid="{BFDF9115-60BC-42B6-A8F4-C990064F435A}" uniqueName="12" name="STATUS MÉDIA" queryTableFieldId="12" dataDxfId="74"/>
    <tableColumn id="13" xr3:uid="{3AC3AB38-BC64-49BE-8282-4D521A7226AA}" uniqueName="13" name="LITROS POR HORA" queryTableFieldId="13"/>
    <tableColumn id="14" xr3:uid="{C494E11E-9155-4D66-9800-6EAA6A809670}" uniqueName="14" name="META BASE" queryTableFieldId="14"/>
    <tableColumn id="15" xr3:uid="{53CD880F-9157-4263-991E-9BF09252E27A}" uniqueName="15" name="META BASE POR HORA" queryTableFieldId="15"/>
    <tableColumn id="16" xr3:uid="{D2B53361-DA79-4AF1-8CEA-92886A83972C}" uniqueName="16" name="META DESAFIO" queryTableFieldId="16"/>
    <tableColumn id="17" xr3:uid="{B65AAEB0-AE58-4D31-AF8D-53677AEBC195}" uniqueName="17" name="META DESAFIO POR HORA" queryTableFieldId="17"/>
    <tableColumn id="18" xr3:uid="{8CD89DDC-6269-4629-8389-2CFA3F39066A}" uniqueName="18" name="TETO META" queryTableFieldId="18"/>
    <tableColumn id="19" xr3:uid="{82B49DCF-63CE-4554-A78B-DFB66FF5C2EB}" uniqueName="19" name="TETO META POR HORA" queryTableFieldId="19"/>
    <tableColumn id="20" xr3:uid="{A47BDF30-021D-4942-9E05-44012F69940F}" uniqueName="20" name="STATUS META" queryTableFieldId="20" dataDxfId="73"/>
    <tableColumn id="21" xr3:uid="{10B1FA97-8AE7-45B2-8BD3-8BE4E52869E5}" uniqueName="21" name="COMBOIO" queryTableFieldId="21" dataDxfId="72"/>
    <tableColumn id="22" xr3:uid="{6E91BE70-31D3-4A95-B5FF-BB8D8ED3556B}" uniqueName="22" name="ENTRADA" queryTableFieldId="22" dataDxfId="71"/>
    <tableColumn id="23" xr3:uid="{CEC92C2B-3D2B-441F-9F4F-DBC2AE1AC3E6}" uniqueName="23" name="VALOR ENTRADA" queryTableFieldId="23"/>
    <tableColumn id="24" xr3:uid="{C0F35BBD-5182-41B1-BA81-5901DC2CD471}" uniqueName="24" name="SALDO ANTERIOR" queryTableFieldId="24"/>
    <tableColumn id="25" xr3:uid="{5E33C1D3-7E76-46B5-8DF7-EE38574D1135}" uniqueName="25" name="ENCERRANTE ANTERIOR" queryTableFieldId="25"/>
    <tableColumn id="26" xr3:uid="{0F6E981F-4931-4990-9D25-B84453C17A51}" uniqueName="26" name="ENCERRANTE ABASTECIMENTO" queryTableFieldId="26"/>
    <tableColumn id="27" xr3:uid="{8B26355E-9C5C-43A1-BCE2-AEF2B6873B48}" uniqueName="27" name="SALDO" queryTableFieldId="27"/>
    <tableColumn id="28" xr3:uid="{8D211D74-6142-4523-AF4E-9D6FA7D7C597}" uniqueName="28" name="OBS" queryTableFieldId="28" dataDxfId="7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163D24-B06B-4C01-8D75-9C384C82761E}" name="Metas_Diesel" displayName="Metas_Diesel" ref="A1:P7" tableType="queryTable" totalsRowShown="0">
  <autoFilter ref="A1:P7" xr:uid="{B3163D24-B06B-4C01-8D75-9C384C82761E}"/>
  <tableColumns count="16">
    <tableColumn id="1" xr3:uid="{5D37A4E0-04C1-4BEC-93BD-49FA32C985B3}" uniqueName="1" name="MÁQUINAS" queryTableFieldId="1" dataDxfId="69"/>
    <tableColumn id="2" xr3:uid="{33DB6707-C1D2-42ED-AB87-985DF2A3E623}" uniqueName="2" name="TIPO DE EQUIPAMENTO" queryTableFieldId="2" dataDxfId="68"/>
    <tableColumn id="3" xr3:uid="{463FA09E-C601-4C70-9557-ED958693AF4E}" uniqueName="3" name="MÉDIA CONSUMO REAL" queryTableFieldId="3"/>
    <tableColumn id="4" xr3:uid="{F88FE3F4-0FA4-466E-BDA0-4E1FBF069E55}" uniqueName="4" name="PERCENTIL 50" queryTableFieldId="4"/>
    <tableColumn id="5" xr3:uid="{15E24A43-DF2A-43C2-881B-917A9E3BF5B1}" uniqueName="5" name="PERCENTIL 75" queryTableFieldId="5"/>
    <tableColumn id="6" xr3:uid="{E387235D-C31C-4A0A-A90A-D1594FFC8124}" uniqueName="6" name="PERCENTIL 90" queryTableFieldId="6"/>
    <tableColumn id="7" xr3:uid="{EC068797-A371-47F7-8338-0C2909FDC60B}" uniqueName="7" name="TETO DE CONSUMO" queryTableFieldId="7"/>
    <tableColumn id="8" xr3:uid="{13392839-C4EE-4DEE-9E77-15C2FB6C637D}" uniqueName="8" name="QUANTIDADE DE REGISTROS" queryTableFieldId="8"/>
    <tableColumn id="9" xr3:uid="{CCABA0F7-E855-4DCD-AD20-ABA1BDF051CF}" uniqueName="9" name="STATUS" queryTableFieldId="9" dataDxfId="67"/>
    <tableColumn id="10" xr3:uid="{3242D7A4-24FE-4809-A3C5-ABF4A5EA16B5}" uniqueName="10" name="FATOR" queryTableFieldId="10"/>
    <tableColumn id="11" xr3:uid="{D37D24F0-68F6-4122-8CC6-B5E7926F12FD}" uniqueName="11" name="FATOR DESAFIO" queryTableFieldId="11"/>
    <tableColumn id="12" xr3:uid="{940AE566-C042-4420-8A34-04CA8657363A}" uniqueName="12" name="FATOR REDUÇÃO" queryTableFieldId="12"/>
    <tableColumn id="13" xr3:uid="{7B15943E-C03D-4FF1-80AE-161DA7822A7C}" uniqueName="13" name="FATOR REDUÇÃO DESAFIO" queryTableFieldId="13"/>
    <tableColumn id="14" xr3:uid="{1BA2073A-CDBA-463D-BB23-5095C57FB63B}" uniqueName="14" name="META BASE" queryTableFieldId="14" dataDxfId="51"/>
    <tableColumn id="15" xr3:uid="{38225890-27B9-4F0D-A995-C1A31DA8DE32}" uniqueName="15" name="META DESAFIO" queryTableFieldId="15"/>
    <tableColumn id="16" xr3:uid="{4CECC8D0-1199-42CE-A4E8-B97238E12325}" uniqueName="16" name="TETO META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"/>
  <sheetViews>
    <sheetView tabSelected="1" zoomScale="85" zoomScaleNormal="85" workbookViewId="0">
      <selection activeCell="I21" sqref="I21"/>
    </sheetView>
  </sheetViews>
  <sheetFormatPr defaultColWidth="9.109375" defaultRowHeight="14.4" x14ac:dyDescent="0.3"/>
  <cols>
    <col min="1" max="1" width="9.109375" style="10"/>
    <col min="2" max="2" width="15.33203125" style="12" customWidth="1"/>
    <col min="3" max="3" width="15.33203125" style="17" customWidth="1"/>
    <col min="4" max="4" width="23.33203125" style="4" customWidth="1"/>
    <col min="5" max="6" width="12.6640625" style="13" customWidth="1"/>
    <col min="7" max="7" width="17.44140625" style="16" customWidth="1"/>
    <col min="8" max="8" width="12.6640625" style="13" customWidth="1"/>
    <col min="9" max="9" width="20.44140625" style="4" customWidth="1"/>
    <col min="10" max="10" width="19" style="16" customWidth="1"/>
    <col min="11" max="11" width="16.33203125" style="21" customWidth="1"/>
    <col min="12" max="12" width="16.33203125" style="31" customWidth="1"/>
    <col min="13" max="14" width="16.33203125" style="21" customWidth="1"/>
    <col min="15" max="15" width="14.88671875" style="23" customWidth="1"/>
    <col min="16" max="18" width="16.33203125" style="21" customWidth="1"/>
    <col min="19" max="19" width="14.33203125" style="25" customWidth="1"/>
    <col min="20" max="20" width="16.33203125" style="21" customWidth="1"/>
    <col min="21" max="22" width="15.88671875" style="25" customWidth="1"/>
    <col min="23" max="23" width="16" style="25" customWidth="1"/>
    <col min="24" max="24" width="15.44140625" style="25" customWidth="1"/>
    <col min="25" max="25" width="18.5546875" style="25" customWidth="1"/>
    <col min="26" max="27" width="16.33203125" style="21" customWidth="1"/>
    <col min="28" max="28" width="17.33203125" style="21" customWidth="1"/>
    <col min="29" max="29" width="23.109375" style="21" customWidth="1"/>
    <col min="30" max="30" width="31.5546875" style="25" customWidth="1"/>
    <col min="31" max="31" width="29" style="25" customWidth="1"/>
    <col min="32" max="32" width="15.5546875" style="25" customWidth="1"/>
    <col min="33" max="36" width="19" style="25" customWidth="1"/>
    <col min="37" max="37" width="16.33203125" style="25" customWidth="1"/>
    <col min="38" max="39" width="9.109375" style="23"/>
    <col min="40" max="40" width="9.109375" style="10"/>
    <col min="41" max="42" width="9.109375" style="23"/>
    <col min="43" max="43" width="9.109375" style="10"/>
    <col min="44" max="44" width="9.109375" style="25"/>
    <col min="45" max="45" width="9.109375" style="10"/>
    <col min="46" max="47" width="14.109375" style="25" customWidth="1"/>
    <col min="48" max="48" width="18.33203125" style="25" customWidth="1"/>
    <col min="49" max="16384" width="9.109375" style="4"/>
  </cols>
  <sheetData>
    <row r="1" spans="1:48" s="1" customFormat="1" ht="36" customHeight="1" x14ac:dyDescent="0.3">
      <c r="A1" s="1" t="s">
        <v>8</v>
      </c>
      <c r="B1" s="11" t="s">
        <v>9</v>
      </c>
      <c r="C1" s="11" t="s">
        <v>2</v>
      </c>
      <c r="D1" s="1" t="s">
        <v>10</v>
      </c>
      <c r="E1" s="14" t="s">
        <v>11</v>
      </c>
      <c r="F1" s="14" t="s">
        <v>12</v>
      </c>
      <c r="G1" s="15" t="s">
        <v>13</v>
      </c>
      <c r="H1" s="14" t="s">
        <v>14</v>
      </c>
      <c r="I1" s="1" t="s">
        <v>15</v>
      </c>
      <c r="J1" s="15" t="s">
        <v>16</v>
      </c>
      <c r="K1" s="20" t="s">
        <v>17</v>
      </c>
      <c r="L1" s="20" t="s">
        <v>158</v>
      </c>
      <c r="M1" s="20" t="s">
        <v>18</v>
      </c>
      <c r="N1" s="20" t="s">
        <v>19</v>
      </c>
      <c r="O1" s="22" t="s">
        <v>20</v>
      </c>
      <c r="P1" s="20" t="s">
        <v>21</v>
      </c>
      <c r="Q1" s="20" t="s">
        <v>168</v>
      </c>
      <c r="R1" s="20" t="s">
        <v>169</v>
      </c>
      <c r="S1" s="24" t="s">
        <v>22</v>
      </c>
      <c r="T1" s="20" t="s">
        <v>23</v>
      </c>
      <c r="U1" s="24" t="s">
        <v>24</v>
      </c>
      <c r="V1" s="24" t="s">
        <v>25</v>
      </c>
      <c r="W1" s="24" t="s">
        <v>100</v>
      </c>
      <c r="X1" s="24" t="s">
        <v>152</v>
      </c>
      <c r="Y1" s="24" t="s">
        <v>26</v>
      </c>
      <c r="Z1" s="20" t="s">
        <v>27</v>
      </c>
      <c r="AA1" s="20" t="s">
        <v>170</v>
      </c>
      <c r="AB1" s="20" t="s">
        <v>28</v>
      </c>
      <c r="AC1" s="20" t="s">
        <v>171</v>
      </c>
      <c r="AD1" s="24" t="s">
        <v>29</v>
      </c>
      <c r="AE1" s="24" t="s">
        <v>174</v>
      </c>
      <c r="AF1" s="24" t="s">
        <v>30</v>
      </c>
      <c r="AG1" s="24" t="s">
        <v>31</v>
      </c>
      <c r="AH1" s="24" t="s">
        <v>172</v>
      </c>
      <c r="AI1" s="24" t="s">
        <v>32</v>
      </c>
      <c r="AJ1" s="24" t="s">
        <v>33</v>
      </c>
      <c r="AK1" s="24" t="s">
        <v>173</v>
      </c>
      <c r="AL1" s="22" t="s">
        <v>34</v>
      </c>
      <c r="AM1" s="22" t="s">
        <v>35</v>
      </c>
      <c r="AN1" s="1" t="s">
        <v>36</v>
      </c>
      <c r="AO1" s="22" t="s">
        <v>37</v>
      </c>
      <c r="AP1" s="22" t="s">
        <v>38</v>
      </c>
      <c r="AQ1" s="1" t="s">
        <v>39</v>
      </c>
      <c r="AR1" s="24" t="s">
        <v>40</v>
      </c>
      <c r="AS1" s="1" t="s">
        <v>41</v>
      </c>
      <c r="AT1" s="24" t="s">
        <v>42</v>
      </c>
      <c r="AU1" s="24" t="s">
        <v>43</v>
      </c>
      <c r="AV1" s="24" t="s">
        <v>154</v>
      </c>
    </row>
    <row r="2" spans="1:48" x14ac:dyDescent="0.3">
      <c r="A2" s="10">
        <f t="shared" ref="A2:A7" si="0">IFERROR(YEAR(H2),"-")</f>
        <v>2026</v>
      </c>
      <c r="B2" s="12">
        <f t="shared" ref="B2:B7" si="1">IFERROR(DATE(YEAR(H2),MONTH(H2),MONTH(H2)),"-")</f>
        <v>46023</v>
      </c>
      <c r="C2" s="12" t="str" cm="1">
        <f t="array" ref="C2">IFERROR(IF(COUNTA(_xlfn.UNIQUE(_xlfn._xlws.FILTER('BDT''s'!C:C,('BDT''s'!K:K=Dados!D2)*('BDT''s'!I:I&gt;=Dados!E2)*('BDT''s'!I:I&lt;=Dados!F2))))=1,INDEX(_xlfn.UNIQUE(_xlfn._xlws.FILTER('BDT''s'!C:C,('BDT''s'!K:K=Dados!D2)*('BDT''s'!I:I&gt;=Dados!E2)*('BDT''s'!I:I&lt;=Dados!F2))),1),#N/A),"-")</f>
        <v>CONTRATO 1</v>
      </c>
      <c r="D2" s="4" t="s">
        <v>190</v>
      </c>
      <c r="E2" s="13">
        <v>46023</v>
      </c>
      <c r="F2" s="13">
        <v>46053</v>
      </c>
      <c r="G2" s="16">
        <f t="shared" ref="G2:G7" si="2">IFERROR(F2-E2-I2+1,"-")</f>
        <v>31</v>
      </c>
      <c r="H2" s="13">
        <v>46047</v>
      </c>
      <c r="J2" s="16">
        <f t="shared" ref="J2:J7" si="3">IFERROR(H2-E2-I2+1,"-")</f>
        <v>25</v>
      </c>
      <c r="K2" s="21" cm="1">
        <f t="array" ref="K2">IFERROR(IF(COUNTIF(Cadastros!B:B,D2)&gt;0,INDEX('Metas Mensais'!A:ZZ,MATCH(Dados!D2,'Metas Mensais'!A:A,0),MATCH(Dados!B2,'Metas Mensais'!1:1,0)+1),SUMIFS(K:K,C:C,C2,D:D,IF(D2="CORTE","FEL*",IF(D2="ARRASTE","SKD*",IF(D2="TRAÇAMENTO","GAR*",""))),B:B,B2,A:A,A2)),"-")</f>
        <v>8803.4266764922413</v>
      </c>
      <c r="L2" s="31">
        <v>0</v>
      </c>
      <c r="M2" s="21">
        <f>IFERROR(IF(COUNTIF(Cadastros!B:B,D2)&gt;0,SUMIFS('BDT''s'!V:V,'BDT''s'!K:K,Dados!D2,'BDT''s'!C:C,Dados!C2,'BDT''s'!B:B,Dados!B2,'BDT''s'!A:A,Dados!A2),SUMIFS('BDT''s'!V:V,'BDT''s'!L:L,Dados!D2,'BDT''s'!C:C,Dados!C2,'BDT''s'!B:B,Dados!B2,'BDT''s'!A:A,Dados!A2)),"-")</f>
        <v>2930</v>
      </c>
      <c r="N2" s="21">
        <f t="shared" ref="N2:N16" si="4">IFERROR(M2/J2*G2,0)</f>
        <v>3633.2000000000003</v>
      </c>
      <c r="O2" s="23">
        <f>IFERROR(IF(L2&gt;0,N2/L2-1,N2/K2-1),0)</f>
        <v>-0.58729706811760907</v>
      </c>
      <c r="P2" s="21">
        <f>IFERROR(IF(L2&gt;0,L2/G2,K2/G2),"-")</f>
        <v>283.98150569329812</v>
      </c>
      <c r="Q2" s="21">
        <f>IFERROR(M2/J2,"-")</f>
        <v>117.2</v>
      </c>
      <c r="R2" s="21" t="str">
        <f>IFERROR(IF(Q2&gt;P2,"ALTO","BAIXO"),"-")</f>
        <v>BAIXO</v>
      </c>
      <c r="S2" s="25">
        <f>IFERROR(IF(COUNTIF(Cadastros!B:B,D2)&gt;0,ROUND(AVERAGEIFS('BDT''s'!E:E,'BDT''s'!K:K,Dados!D2,'BDT''s'!C:C,Dados!C2,'BDT''s'!B:B,Dados!B2,'BDT''s'!A:A,Dados!A2),2),ROUND(AVERAGEIFS('BDT''s'!E:E,'BDT''s'!L:L,Dados!D2,'BDT''s'!C:C,Dados!C2,'BDT''s'!B:B,Dados!B2,'BDT''s'!A:A,Dados!A2),2)),"-")</f>
        <v>0.15</v>
      </c>
      <c r="T2" s="21" t="str">
        <f t="shared" ref="T2:T16" si="5">IFERROR(M2/V2,"-")</f>
        <v>-</v>
      </c>
      <c r="U2" s="25">
        <f>IFERROR(IF(COUNTIF(Cadastros!B:B,D2)&gt;0,SUMIFS(Disponibilidade!Z:Z,Disponibilidade!E:E,Dados!D2,Disponibilidade!B:B,Dados!B2,Disponibilidade!A:A,Dados!A2),SUMIFS(Disponibilidade!Z:Z,Disponibilidade!F:F,Dados!D2,Disponibilidade!B:B,Dados!B2,Disponibilidade!A:A,Dados!A2)),"-")</f>
        <v>0</v>
      </c>
      <c r="V2" s="25">
        <f>IFERROR(IF(COUNTIF(Cadastros!B:B,D2)&gt;0,SUMIFS(Disponibilidade!AB:AB,Disponibilidade!E:E,Dados!D2,Disponibilidade!B:B,Dados!B2,Disponibilidade!A:A,Dados!A2),SUMIFS(Disponibilidade!AB:AB,Disponibilidade!F:F,Dados!D2,Disponibilidade!B:B,Dados!B2,Disponibilidade!A:A,Dados!A2)),"-")</f>
        <v>0</v>
      </c>
      <c r="W2" s="25" t="str">
        <f>IFERROR(IF(COUNTIF(Cadastros!B:B,D2)&gt;0,INDEX('Metas DM &amp; DO'!X:X,MATCH(Dados!D2,'Metas DM &amp; DO'!A:A,0)),SUMIFS(W:W,C:C,C2,D:D,IF(D2="CORTE","FEL*",IF(D2="ARRASTE","SKD*",IF(D2="TRAÇAMENTO","GAR*",""))),B:B,B2,A:A,A2)),"-")</f>
        <v>4,8</v>
      </c>
      <c r="X2" s="25">
        <f t="shared" ref="X2:X16" si="6">IFERROR(W2*G2,"-")</f>
        <v>148.79999999999998</v>
      </c>
      <c r="Y2" s="25" cm="1">
        <f t="array" ref="Y2">IFERROR(IF(COUNTIF(Cadastros!B:B,D2)&gt;0,COUNTA(_xlfn.UNIQUE(_xlfn._xlws.FILTER('BDT''s'!N:N,('BDT''s'!C:C=Dados!C2)*('BDT''s'!K:K=Dados!D2)*('BDT''s'!B:B=Dados!B2)*('BDT''s'!N:N&lt;&gt;"SEM OPERADOR")))),COUNTA(_xlfn.UNIQUE(_xlfn._xlws.FILTER('BDT''s'!N:N,('BDT''s'!C:C=Dados!C2)*('BDT''s'!L:L=Dados!D2)*('BDT''s'!B:B=Dados!B2)*('BDT''s'!N:N&lt;&gt;"SEM OPERADOR"))))),"-")</f>
        <v>2</v>
      </c>
      <c r="Z2" s="21">
        <f t="shared" ref="Z2:Z16" si="7">IFERROR(P2/2,"-")</f>
        <v>141.99075284664906</v>
      </c>
      <c r="AA2" s="21">
        <f>IFERROR(Z2*J2,"-")</f>
        <v>3549.7688211662266</v>
      </c>
      <c r="AB2" s="21">
        <f t="shared" ref="AB2:AB16" si="8">IFERROR(K2/Y2,"-")</f>
        <v>4401.7133382461207</v>
      </c>
      <c r="AC2" s="21" t="str">
        <f>IFERROR(IF(AB2&gt;AA2,"ALTO","BAIXO"),"-")</f>
        <v>ALTO</v>
      </c>
      <c r="AD2" s="25">
        <f t="shared" ref="AD2:AD16" si="9">IFERROR(X2/Y2,0)</f>
        <v>74.399999999999991</v>
      </c>
      <c r="AE2" s="21" t="str">
        <f>IFERROR(IF(AD2&gt;V2,"ALTO","BAIXO"),"-")</f>
        <v>ALTO</v>
      </c>
      <c r="AF2" s="25">
        <f>IFERROR(IF(COUNTIF(Cadastros!B:B,D2)&gt;0,SUMIFS(Diesel!J:J,Diesel!F:F,Dados!D2,Diesel!D:D,Dados!C2,Diesel!B:B,Dados!B2,Diesel!A:A,Dados!A2),SUMIFS(Diesel!J:J,Diesel!G:G,Dados!D2,Diesel!D:D,Dados!C2,Diesel!B:B,Dados!B2,Diesel!A:A,Dados!A2)),"-")</f>
        <v>210</v>
      </c>
      <c r="AG2" s="25">
        <f>IFERROR(IF(COUNTIF(Cadastros!B:B,D2)&gt;0,SUMIFS(Diesel!K:K,Diesel!F:F,Dados!D2,Diesel!D:D,Dados!C2,Diesel!B:B,Dados!B2,Diesel!A:A,Dados!A2),SUMIFS(Diesel!K:K,Diesel!G:G,Dados!D2,Diesel!D:D,Dados!C2,Diesel!B:B,Dados!B2,Diesel!A:A,Dados!A2)),"-")</f>
        <v>18</v>
      </c>
      <c r="AH2" s="25">
        <f>IFERROR(IF(COUNTIF(Cadastros!B:B,D2)&gt;0,ROUND(INDEX('Metas Diesel'!N:N,MATCH(Dados!D2,'Metas Diesel'!A:A))*COUNTIFS(Diesel!F:F,Dados!D2,Diesel!B:B,Dados!B2,Diesel!D:D,Dados!C2),3),SUMIFS(AH:AH,C:C,C2,D:D,IF(D2="CORTE","FEL*",IF(D2="ARRASTE","SKD*",IF(D2="TRAÇAMENTO","GAR*",""))),B:B,B2,A:A,A2)),"-")</f>
        <v>471.33300000000003</v>
      </c>
      <c r="AI2" s="25">
        <f>IFERROR(AH2/AG2,"-")</f>
        <v>26.185166666666667</v>
      </c>
      <c r="AJ2" s="25">
        <f t="shared" ref="AJ2:AJ16" si="10">IFERROR(AF2/AG2,0)</f>
        <v>11.666666666666666</v>
      </c>
      <c r="AK2" s="10" t="str">
        <f>IF(AJ2&lt;0,"-",IF(AJ2&lt;AI2,"BOA","RUIM"))</f>
        <v>BOA</v>
      </c>
      <c r="AL2" s="23" t="str">
        <f>IFERROR(IF(COUNTIF(Cadastros!B:B,D2)&gt;0,INDEX('Metas DM &amp; DO'!O:O,MATCH(Dados!D2,'Metas DM &amp; DO'!A:A,0)),AVERAGEIFS(W:W,C:C,C2,D:D,IF(D2="CORTE","FEL*",IF(D2="ARRASTE","SKD*",IF(D2="TRAÇAMENTO","GAR*",""))),B:B,B2,A:A,A2)),"-")</f>
        <v>0,45882352941176474</v>
      </c>
      <c r="AM2" s="23">
        <f>IFERROR(IF(COUNTIF(Cadastros!B:B,D2)&gt;0,AVERAGEIFS('Controle Mensal'!H:H,'Controle Mensal'!E:E,Dados!D2,'Controle Mensal'!B:B,Dados!B2,'Controle Mensal'!A:A,Dados!A2),AVERAGEIFS('Controle Mensal'!H:H,'Controle Mensal'!F:F,Dados!D2,'Controle Mensal'!B:B,Dados!B2,'Controle Mensal'!A:A,Dados!A2)),"-")</f>
        <v>1</v>
      </c>
      <c r="AN2" s="10" t="str">
        <f>IF(AM2&lt;0,"-",IF(AM2&lt;AL2,"BOA","RUIM"))</f>
        <v>BOA</v>
      </c>
      <c r="AO2" s="23" t="str">
        <f>IFERROR(IF(COUNTIF(Cadastros!B:B,D2)&gt;0,INDEX('Metas DM &amp; DO'!S:S,MATCH(Dados!D2,'Metas DM &amp; DO'!A:A,0)),AVERAGEIFS(W:W,C:C,C2,D:D,IF(D2="CORTE","FEL*",IF(D2="ARRASTE","SKD*",IF(D2="TRAÇAMENTO","GAR*",""))),B:B,B2,A:A,A2)),"-")</f>
        <v>0,74117647058823533</v>
      </c>
      <c r="AP2" s="23">
        <f>IFERROR(IF(COUNTIF(Cadastros!B:B,D2)&gt;0,AVERAGEIFS('Controle Mensal'!N:N,'Controle Mensal'!E:E,Dados!D2,'Controle Mensal'!B:B,Dados!B2,'Controle Mensal'!A:A,Dados!A2),AVERAGEIFS('Controle Mensal'!N:N,'Controle Mensal'!F:F,Dados!D2,'Controle Mensal'!B:B,Dados!B2,'Controle Mensal'!A:A,Dados!A2)),"-")</f>
        <v>1</v>
      </c>
      <c r="AQ2" s="10" t="str">
        <f>IF(AP2&lt;0,"-",IF(AP2&lt;AO2,"BOA","RUIM"))</f>
        <v>BOA</v>
      </c>
      <c r="AR2" s="25">
        <f>IFERROR(AF2/M2,0)</f>
        <v>7.1672354948805458E-2</v>
      </c>
      <c r="AS2" s="10" t="str">
        <f>IFERROR(M2/U2,"-")</f>
        <v>-</v>
      </c>
      <c r="AT2" s="25">
        <f>IFERROR(IF(COUNTIF(Cadastros!B:B,D2)&gt;0,_xlfn.MINIFS('BDT''s'!Q:Q,'BDT''s'!K:K,Dados!D2,'BDT''s'!B:B,Dados!B2,'BDT''s'!C:C,Dados!C2,'BDT''s'!A:A,Dados!A2),"-"),"-")</f>
        <v>1000</v>
      </c>
      <c r="AU2" s="25">
        <f>IFERROR(IF(COUNTIF(Cadastros!B:B,D2)&gt;0,_xlfn.MAXIFS('BDT''s'!Q:Q,'BDT''s'!K:K,Dados!D2,'BDT''s'!B:B,Dados!B2,'BDT''s'!C:C,Dados!C2,'BDT''s'!A:A,Dados!A2),"-"),"-")</f>
        <v>1026</v>
      </c>
      <c r="AV2" s="25">
        <f>IFERROR(AU2-AT2,"-")</f>
        <v>26</v>
      </c>
    </row>
    <row r="3" spans="1:48" x14ac:dyDescent="0.3">
      <c r="A3" s="10">
        <f t="shared" si="0"/>
        <v>2026</v>
      </c>
      <c r="B3" s="12">
        <f t="shared" si="1"/>
        <v>46023</v>
      </c>
      <c r="C3" s="12" t="str" cm="1">
        <f t="array" ref="C3">IFERROR(IF(COUNTA(_xlfn.UNIQUE(_xlfn._xlws.FILTER('BDT''s'!C:C,('BDT''s'!K:K=Dados!D3)*('BDT''s'!I:I&gt;=Dados!E3)*('BDT''s'!I:I&lt;=Dados!F3))))=1,INDEX(_xlfn.UNIQUE(_xlfn._xlws.FILTER('BDT''s'!C:C,('BDT''s'!K:K=Dados!D3)*('BDT''s'!I:I&gt;=Dados!E3)*('BDT''s'!I:I&lt;=Dados!F3))),1),#N/A),"-")</f>
        <v>CONTRATO 1</v>
      </c>
      <c r="D3" s="4" t="s">
        <v>192</v>
      </c>
      <c r="E3" s="13">
        <v>46023</v>
      </c>
      <c r="F3" s="13">
        <v>46053</v>
      </c>
      <c r="G3" s="16">
        <f t="shared" si="2"/>
        <v>31</v>
      </c>
      <c r="H3" s="13">
        <v>46047</v>
      </c>
      <c r="J3" s="16">
        <f t="shared" si="3"/>
        <v>25</v>
      </c>
      <c r="K3" s="21" cm="1">
        <f t="array" ref="K3">IFERROR(IF(COUNTIF(Cadastros!B:B,D3)&gt;0,INDEX('Metas Mensais'!A:ZZ,MATCH(Dados!D3,'Metas Mensais'!A:A,0),MATCH(Dados!B3,'Metas Mensais'!2:2,0)+1),SUMIFS(K:K,C:C,C3,D:D,IF(D3="CORTE","FEL*",IF(D3="ARRASTE","SKD*",IF(D3="TRAÇAMENTO","GAR*",""))),B:B,B3,A:A,A3)),"-")</f>
        <v>12309.44427573641</v>
      </c>
      <c r="L3" s="31">
        <v>0</v>
      </c>
      <c r="M3" s="21">
        <f>IFERROR(IF(COUNTIF(Cadastros!B:B,D3)&gt;0,SUMIFS('BDT''s'!V:V,'BDT''s'!K:K,Dados!D3,'BDT''s'!C:C,Dados!C3,'BDT''s'!B:B,Dados!B3,'BDT''s'!A:A,Dados!A3),SUMIFS('BDT''s'!V:V,'BDT''s'!L:L,Dados!D3,'BDT''s'!C:C,Dados!C3,'BDT''s'!B:B,Dados!B3,'BDT''s'!A:A,Dados!A3)),"-")</f>
        <v>4900</v>
      </c>
      <c r="N3" s="21">
        <f t="shared" si="4"/>
        <v>6076</v>
      </c>
      <c r="O3" s="23">
        <f t="shared" ref="O3:O16" si="11">IFERROR(IF(L3&gt;0,N3/L3-1,N3/K3-1),0)</f>
        <v>-0.50639526335265816</v>
      </c>
      <c r="P3" s="21">
        <f t="shared" ref="P3:P16" si="12">IFERROR(IF(L3&gt;0,L3/G3,K3/G3),"-")</f>
        <v>397.07884760440032</v>
      </c>
      <c r="Q3" s="21">
        <f t="shared" ref="Q3:Q16" si="13">IFERROR(M3/J3,"-")</f>
        <v>196</v>
      </c>
      <c r="R3" s="21" t="str">
        <f t="shared" ref="R3:R16" si="14">IFERROR(IF(Q3&gt;P3,"ALTO","BAIXO"),"-")</f>
        <v>BAIXO</v>
      </c>
      <c r="S3" s="25">
        <f>IFERROR(IF(COUNTIF(Cadastros!B:B,D3)&gt;0,ROUND(AVERAGEIFS('BDT''s'!E:E,'BDT''s'!K:K,Dados!D3,'BDT''s'!C:C,Dados!C3,'BDT''s'!B:B,Dados!B3,'BDT''s'!A:A,Dados!A3),2),ROUND(AVERAGEIFS('BDT''s'!E:E,'BDT''s'!L:L,Dados!D3,'BDT''s'!C:C,Dados!C3,'BDT''s'!B:B,Dados!B3,'BDT''s'!A:A,Dados!A3),2)),"-")</f>
        <v>0.16</v>
      </c>
      <c r="T3" s="21" t="str">
        <f t="shared" si="5"/>
        <v>-</v>
      </c>
      <c r="U3" s="25">
        <f>IFERROR(IF(COUNTIF(Cadastros!B:B,D3)&gt;0,SUMIFS(Disponibilidade!Z:Z,Disponibilidade!E:E,Dados!D3,Disponibilidade!B:B,Dados!B3,Disponibilidade!A:A,Dados!A3),SUMIFS(Disponibilidade!Z:Z,Disponibilidade!F:F,Dados!D3,Disponibilidade!B:B,Dados!B3,Disponibilidade!A:A,Dados!A3)),"-")</f>
        <v>0</v>
      </c>
      <c r="V3" s="25">
        <f>IFERROR(IF(COUNTIF(Cadastros!B:B,D3)&gt;0,SUMIFS(Disponibilidade!AB:AB,Disponibilidade!E:E,Dados!D3,Disponibilidade!B:B,Dados!B3,Disponibilidade!A:A,Dados!A3),SUMIFS(Disponibilidade!AB:AB,Disponibilidade!F:F,Dados!D3,Disponibilidade!B:B,Dados!B3,Disponibilidade!A:A,Dados!A3)),"-")</f>
        <v>0</v>
      </c>
      <c r="W3" s="25" t="str">
        <f>IFERROR(IF(COUNTIF(Cadastros!B:B,D3)&gt;0,INDEX('Metas DM &amp; DO'!X:X,MATCH(Dados!D3,'Metas DM &amp; DO'!A:A,0)),SUMIFS(W:W,C:C,C3,D:D,IF(D3="CORTE","FEL*",IF(D3="ARRASTE","SKD*",IF(D3="TRAÇAMENTO","GAR*",""))),B:B,B3,A:A,A3)),"-")</f>
        <v>5,2800000000000011</v>
      </c>
      <c r="X3" s="25">
        <f t="shared" si="6"/>
        <v>163.68</v>
      </c>
      <c r="Y3" s="25" cm="1">
        <f t="array" ref="Y3">IFERROR(IF(COUNTIF(Cadastros!B:B,D3)&gt;0,COUNTA(_xlfn.UNIQUE(_xlfn._xlws.FILTER('BDT''s'!N:N,('BDT''s'!C:C=Dados!C3)*('BDT''s'!K:K=Dados!D3)*('BDT''s'!B:B=Dados!B3)*('BDT''s'!N:N&lt;&gt;"SEM OPERADOR")))),COUNTA(_xlfn.UNIQUE(_xlfn._xlws.FILTER('BDT''s'!N:N,('BDT''s'!C:C=Dados!C3)*('BDT''s'!L:L=Dados!D3)*('BDT''s'!B:B=Dados!B3)*('BDT''s'!N:N&lt;&gt;"SEM OPERADOR"))))),"-")</f>
        <v>2</v>
      </c>
      <c r="Z3" s="21">
        <f t="shared" si="7"/>
        <v>198.53942380220016</v>
      </c>
      <c r="AA3" s="21">
        <f t="shared" ref="AA3:AA16" si="15">IFERROR(Z3*J3,"-")</f>
        <v>4963.4855950550036</v>
      </c>
      <c r="AB3" s="21">
        <f t="shared" si="8"/>
        <v>6154.7221378682052</v>
      </c>
      <c r="AC3" s="21" t="str">
        <f t="shared" ref="AC3:AC16" si="16">IFERROR(IF(AB3&gt;AA3,"ALTO","BAIXO"),"-")</f>
        <v>ALTO</v>
      </c>
      <c r="AD3" s="25">
        <f t="shared" si="9"/>
        <v>81.84</v>
      </c>
      <c r="AE3" s="21" t="str">
        <f t="shared" ref="AE3:AE16" si="17">IFERROR(IF(AD3&gt;V3,"ALTO","BAIXO"),"-")</f>
        <v>ALTO</v>
      </c>
      <c r="AF3" s="25">
        <f>IFERROR(IF(COUNTIF(Cadastros!B:B,D3)&gt;0,SUMIFS(Diesel!J:J,Diesel!F:F,Dados!D3,Diesel!D:D,Dados!C3,Diesel!B:B,Dados!B3,Diesel!A:A,Dados!A3),SUMIFS(Diesel!J:J,Diesel!G:G,Dados!D3,Diesel!D:D,Dados!C3,Diesel!B:B,Dados!B3,Diesel!A:A,Dados!A3)),"-")</f>
        <v>510</v>
      </c>
      <c r="AG3" s="25">
        <f>IFERROR(IF(COUNTIF(Cadastros!B:B,D3)&gt;0,SUMIFS(Diesel!K:K,Diesel!F:F,Dados!D3,Diesel!D:D,Dados!C3,Diesel!B:B,Dados!B3,Diesel!A:A,Dados!A3),SUMIFS(Diesel!K:K,Diesel!G:G,Dados!D3,Diesel!D:D,Dados!C3,Diesel!B:B,Dados!B3,Diesel!A:A,Dados!A3)),"-")</f>
        <v>25</v>
      </c>
      <c r="AH3" s="25">
        <f>IFERROR(IF(COUNTIF(Cadastros!B:B,D3)&gt;0,ROUND(INDEX('Metas Diesel'!N:N,MATCH(Dados!D3,'Metas Diesel'!A:A))*COUNTIFS(Diesel!F:F,Dados!D3,Diesel!B:B,Dados!B3,Diesel!D:D,Dados!C3),3),SUMIFS(AH:AH,C:C,C3,D:D,IF(D3="CORTE","FEL*",IF(D3="ARRASTE","SKD*",IF(D3="TRAÇAMENTO","GAR*",""))),B:B,B3,A:A,A3)),"-")</f>
        <v>645.5</v>
      </c>
      <c r="AI3" s="25">
        <f t="shared" ref="AI3:AI16" si="18">IFERROR(AH3/AG3,"-")</f>
        <v>25.82</v>
      </c>
      <c r="AJ3" s="25">
        <f t="shared" si="10"/>
        <v>20.399999999999999</v>
      </c>
      <c r="AK3" s="10" t="str">
        <f t="shared" ref="AK3:AK16" si="19">IF(AJ3&lt;0,"-",IF(AJ3&lt;AI3,"BOA","RUIM"))</f>
        <v>BOA</v>
      </c>
      <c r="AL3" s="23" t="str">
        <f>IFERROR(IF(COUNTIF(Cadastros!B:B,D3)&gt;0,INDEX('Metas DM &amp; DO'!O:O,MATCH(Dados!D3,'Metas DM &amp; DO'!A:A,0)),AVERAGEIFS(W:W,C:C,C3,D:D,IF(D3="CORTE","FEL*",IF(D3="ARRASTE","SKD*",IF(D3="TRAÇAMENTO","GAR*",""))),B:B,B3,A:A,A3)),"-")</f>
        <v>1</v>
      </c>
      <c r="AM3" s="23">
        <f>IFERROR(IF(COUNTIF(Cadastros!B:B,D3)&gt;0,AVERAGEIFS('Controle Mensal'!H:H,'Controle Mensal'!E:E,Dados!D3,'Controle Mensal'!B:B,Dados!B3,'Controle Mensal'!A:A,Dados!A3),AVERAGEIFS('Controle Mensal'!H:H,'Controle Mensal'!F:F,Dados!D3,'Controle Mensal'!B:B,Dados!B3,'Controle Mensal'!A:A,Dados!A3)),"-")</f>
        <v>1</v>
      </c>
      <c r="AN3" s="10" t="str">
        <f t="shared" ref="AN3:AN16" si="20">IF(AM3&lt;0,"-",IF(AM3&lt;AL3,"BOA","RUIM"))</f>
        <v>BOA</v>
      </c>
      <c r="AO3" s="23" t="str">
        <f>IFERROR(IF(COUNTIF(Cadastros!B:B,D3)&gt;0,INDEX('Metas DM &amp; DO'!S:S,MATCH(Dados!D3,'Metas DM &amp; DO'!A:A,0)),AVERAGEIFS(W:W,C:C,C3,D:D,IF(D3="CORTE","FEL*",IF(D3="ARRASTE","SKD*",IF(D3="TRAÇAMENTO","GAR*",""))),B:B,B3,A:A,A3)),"-")</f>
        <v>0,11999999999999977</v>
      </c>
      <c r="AP3" s="23">
        <f>IFERROR(IF(COUNTIF(Cadastros!B:B,D3)&gt;0,AVERAGEIFS('Controle Mensal'!N:N,'Controle Mensal'!E:E,Dados!D3,'Controle Mensal'!B:B,Dados!B3,'Controle Mensal'!A:A,Dados!A3),AVERAGEIFS('Controle Mensal'!N:N,'Controle Mensal'!F:F,Dados!D3,'Controle Mensal'!B:B,Dados!B3,'Controle Mensal'!A:A,Dados!A3)),"-")</f>
        <v>1</v>
      </c>
      <c r="AQ3" s="10" t="str">
        <f t="shared" ref="AQ3:AQ16" si="21">IF(AP3&lt;0,"-",IF(AP3&lt;AO3,"BOA","RUIM"))</f>
        <v>BOA</v>
      </c>
      <c r="AR3" s="25">
        <f t="shared" ref="AR3:AR16" si="22">IFERROR(AF3/M3,0)</f>
        <v>0.10408163265306122</v>
      </c>
      <c r="AS3" s="10" t="str">
        <f t="shared" ref="AS3:AS16" si="23">IFERROR(M3/U3,"-")</f>
        <v>-</v>
      </c>
      <c r="AT3" s="25">
        <f>IFERROR(IF(COUNTIF(Cadastros!B:B,D3)&gt;0,_xlfn.MINIFS('BDT''s'!Q:Q,'BDT''s'!K:K,Dados!D3,'BDT''s'!B:B,Dados!B3,'BDT''s'!C:C,Dados!C3,'BDT''s'!A:A,Dados!A3),"-"),"-")</f>
        <v>2000</v>
      </c>
      <c r="AU3" s="25">
        <f>IFERROR(IF(COUNTIF(Cadastros!B:B,D3)&gt;0,_xlfn.MAXIFS('BDT''s'!Q:Q,'BDT''s'!K:K,Dados!D3,'BDT''s'!B:B,Dados!B3,'BDT''s'!C:C,Dados!C3,'BDT''s'!A:A,Dados!A3),"-"),"-")</f>
        <v>2030</v>
      </c>
      <c r="AV3" s="25">
        <f t="shared" ref="AV3:AV16" si="24">IFERROR(AU3-AT3,"-")</f>
        <v>30</v>
      </c>
    </row>
    <row r="4" spans="1:48" x14ac:dyDescent="0.3">
      <c r="A4" s="10">
        <f t="shared" si="0"/>
        <v>2026</v>
      </c>
      <c r="B4" s="12">
        <f t="shared" si="1"/>
        <v>46023</v>
      </c>
      <c r="C4" s="12" t="str" cm="1">
        <f t="array" ref="C4">IFERROR(IF(COUNTA(_xlfn.UNIQUE(_xlfn._xlws.FILTER('BDT''s'!C:C,('BDT''s'!K:K=Dados!D4)*('BDT''s'!I:I&gt;=Dados!E4)*('BDT''s'!I:I&lt;=Dados!F4))))=1,INDEX(_xlfn.UNIQUE(_xlfn._xlws.FILTER('BDT''s'!C:C,('BDT''s'!K:K=Dados!D4)*('BDT''s'!I:I&gt;=Dados!E4)*('BDT''s'!I:I&lt;=Dados!F4))),1),#N/A),"-")</f>
        <v>CONTRATO 1</v>
      </c>
      <c r="D4" s="4" t="s">
        <v>194</v>
      </c>
      <c r="E4" s="13">
        <v>46023</v>
      </c>
      <c r="F4" s="13">
        <v>46053</v>
      </c>
      <c r="G4" s="16">
        <f t="shared" si="2"/>
        <v>31</v>
      </c>
      <c r="H4" s="13">
        <v>46047</v>
      </c>
      <c r="J4" s="16">
        <f t="shared" si="3"/>
        <v>25</v>
      </c>
      <c r="K4" s="21" cm="1">
        <f t="array" ref="K4">IFERROR(IF(COUNTIF(Cadastros!B:B,D4)&gt;0,INDEX('Metas Mensais'!A:ZZ,MATCH(Dados!D4,'Metas Mensais'!A:A,0),MATCH(Dados!B4,'Metas Mensais'!3:3,0)+1),SUMIFS(K:K,C:C,C4,D:D,IF(D4="CORTE","FEL*",IF(D4="ARRASTE","SKD*",IF(D4="TRAÇAMENTO","GAR*",""))),B:B,B4,A:A,A4)),"-")</f>
        <v>14071.428571428572</v>
      </c>
      <c r="L4" s="31">
        <v>0</v>
      </c>
      <c r="M4" s="21">
        <f>IFERROR(IF(COUNTIF(Cadastros!B:B,D4)&gt;0,SUMIFS('BDT''s'!V:V,'BDT''s'!K:K,Dados!D4,'BDT''s'!C:C,Dados!C4,'BDT''s'!B:B,Dados!B4,'BDT''s'!A:A,Dados!A4),SUMIFS('BDT''s'!V:V,'BDT''s'!L:L,Dados!D4,'BDT''s'!C:C,Dados!C4,'BDT''s'!B:B,Dados!B4,'BDT''s'!A:A,Dados!A4)),"-")</f>
        <v>2510</v>
      </c>
      <c r="N4" s="21">
        <f t="shared" si="4"/>
        <v>3112.4</v>
      </c>
      <c r="O4" s="23">
        <f t="shared" si="11"/>
        <v>-0.77881421319796962</v>
      </c>
      <c r="P4" s="21">
        <f t="shared" si="12"/>
        <v>453.9170506912443</v>
      </c>
      <c r="Q4" s="21">
        <f t="shared" si="13"/>
        <v>100.4</v>
      </c>
      <c r="R4" s="21" t="str">
        <f t="shared" si="14"/>
        <v>BAIXO</v>
      </c>
      <c r="S4" s="25">
        <f>IFERROR(IF(COUNTIF(Cadastros!B:B,D4)&gt;0,ROUND(AVERAGEIFS('BDT''s'!E:E,'BDT''s'!K:K,Dados!D4,'BDT''s'!C:C,Dados!C4,'BDT''s'!B:B,Dados!B4,'BDT''s'!A:A,Dados!A4),2),ROUND(AVERAGEIFS('BDT''s'!E:E,'BDT''s'!L:L,Dados!D4,'BDT''s'!C:C,Dados!C4,'BDT''s'!B:B,Dados!B4,'BDT''s'!A:A,Dados!A4),2)),"-")</f>
        <v>0.15</v>
      </c>
      <c r="T4" s="21" t="str">
        <f t="shared" si="5"/>
        <v>-</v>
      </c>
      <c r="U4" s="25">
        <f>IFERROR(IF(COUNTIF(Cadastros!B:B,D4)&gt;0,SUMIFS(Disponibilidade!Z:Z,Disponibilidade!E:E,Dados!D4,Disponibilidade!B:B,Dados!B4,Disponibilidade!A:A,Dados!A4),SUMIFS(Disponibilidade!Z:Z,Disponibilidade!F:F,Dados!D4,Disponibilidade!B:B,Dados!B4,Disponibilidade!A:A,Dados!A4)),"-")</f>
        <v>0</v>
      </c>
      <c r="V4" s="25">
        <f>IFERROR(IF(COUNTIF(Cadastros!B:B,D4)&gt;0,SUMIFS(Disponibilidade!AB:AB,Disponibilidade!E:E,Dados!D4,Disponibilidade!B:B,Dados!B4,Disponibilidade!A:A,Dados!A4),SUMIFS(Disponibilidade!AB:AB,Disponibilidade!F:F,Dados!D4,Disponibilidade!B:B,Dados!B4,Disponibilidade!A:A,Dados!A4)),"-")</f>
        <v>0</v>
      </c>
      <c r="W4" s="25" t="str">
        <f>IFERROR(IF(COUNTIF(Cadastros!B:B,D4)&gt;0,INDEX('Metas DM &amp; DO'!X:X,MATCH(Dados!D4,'Metas DM &amp; DO'!A:A,0)),SUMIFS(W:W,C:C,C4,D:D,IF(D4="CORTE","FEL*",IF(D4="ARRASTE","SKD*",IF(D4="TRAÇAMENTO","GAR*",""))),B:B,B4,A:A,A4)),"-")</f>
        <v>-</v>
      </c>
      <c r="X4" s="25" t="str">
        <f t="shared" si="6"/>
        <v>-</v>
      </c>
      <c r="Y4" s="25" cm="1">
        <f t="array" ref="Y4">IFERROR(IF(COUNTIF(Cadastros!B:B,D4)&gt;0,COUNTA(_xlfn.UNIQUE(_xlfn._xlws.FILTER('BDT''s'!N:N,('BDT''s'!C:C=Dados!C4)*('BDT''s'!K:K=Dados!D4)*('BDT''s'!B:B=Dados!B4)*('BDT''s'!N:N&lt;&gt;"SEM OPERADOR")))),COUNTA(_xlfn.UNIQUE(_xlfn._xlws.FILTER('BDT''s'!N:N,('BDT''s'!C:C=Dados!C4)*('BDT''s'!L:L=Dados!D4)*('BDT''s'!B:B=Dados!B4)*('BDT''s'!N:N&lt;&gt;"SEM OPERADOR"))))),"-")</f>
        <v>2</v>
      </c>
      <c r="Z4" s="21">
        <f t="shared" si="7"/>
        <v>226.95852534562215</v>
      </c>
      <c r="AA4" s="21">
        <f t="shared" si="15"/>
        <v>5673.9631336405537</v>
      </c>
      <c r="AB4" s="21">
        <f t="shared" si="8"/>
        <v>7035.7142857142862</v>
      </c>
      <c r="AC4" s="21" t="str">
        <f t="shared" si="16"/>
        <v>ALTO</v>
      </c>
      <c r="AD4" s="25">
        <f t="shared" si="9"/>
        <v>0</v>
      </c>
      <c r="AE4" s="21" t="str">
        <f t="shared" si="17"/>
        <v>BAIXO</v>
      </c>
      <c r="AF4" s="25">
        <f>IFERROR(IF(COUNTIF(Cadastros!B:B,D4)&gt;0,SUMIFS(Diesel!J:J,Diesel!F:F,Dados!D4,Diesel!D:D,Dados!C4,Diesel!B:B,Dados!B4,Diesel!A:A,Dados!A4),SUMIFS(Diesel!J:J,Diesel!G:G,Dados!D4,Diesel!D:D,Dados!C4,Diesel!B:B,Dados!B4,Diesel!A:A,Dados!A4)),"-")</f>
        <v>370</v>
      </c>
      <c r="AG4" s="25">
        <f>IFERROR(IF(COUNTIF(Cadastros!B:B,D4)&gt;0,SUMIFS(Diesel!K:K,Diesel!F:F,Dados!D4,Diesel!D:D,Dados!C4,Diesel!B:B,Dados!B4,Diesel!A:A,Dados!A4),SUMIFS(Diesel!K:K,Diesel!G:G,Dados!D4,Diesel!D:D,Dados!C4,Diesel!B:B,Dados!B4,Diesel!A:A,Dados!A4)),"-")</f>
        <v>15</v>
      </c>
      <c r="AH4" s="25">
        <f>IFERROR(IF(COUNTIF(Cadastros!B:B,D4)&gt;0,ROUND(INDEX('Metas Diesel'!N:N,MATCH(Dados!D4,'Metas Diesel'!A:A))*COUNTIFS(Diesel!F:F,Dados!D4,Diesel!B:B,Dados!B4,Diesel!D:D,Dados!C4),3),SUMIFS(AH:AH,C:C,C4,D:D,IF(D4="CORTE","FEL*",IF(D4="ARRASTE","SKD*",IF(D4="TRAÇAMENTO","GAR*",""))),B:B,B4,A:A,A4)),"-")</f>
        <v>426.33300000000003</v>
      </c>
      <c r="AI4" s="25">
        <f t="shared" si="18"/>
        <v>28.4222</v>
      </c>
      <c r="AJ4" s="25">
        <f t="shared" si="10"/>
        <v>24.666666666666668</v>
      </c>
      <c r="AK4" s="10" t="str">
        <f t="shared" si="19"/>
        <v>BOA</v>
      </c>
      <c r="AL4" s="23" t="str">
        <f>IFERROR(IF(COUNTIF(Cadastros!B:B,D4)&gt;0,INDEX('Metas DM &amp; DO'!O:O,MATCH(Dados!D4,'Metas DM &amp; DO'!A:A,0)),AVERAGEIFS(W:W,C:C,C4,D:D,IF(D4="CORTE","FEL*",IF(D4="ARRASTE","SKD*",IF(D4="TRAÇAMENTO","GAR*",""))),B:B,B4,A:A,A4)),"-")</f>
        <v>-</v>
      </c>
      <c r="AM4" s="23">
        <f>IFERROR(IF(COUNTIF(Cadastros!B:B,D4)&gt;0,AVERAGEIFS('Controle Mensal'!H:H,'Controle Mensal'!E:E,Dados!D4,'Controle Mensal'!B:B,Dados!B4,'Controle Mensal'!A:A,Dados!A4),AVERAGEIFS('Controle Mensal'!H:H,'Controle Mensal'!F:F,Dados!D4,'Controle Mensal'!B:B,Dados!B4,'Controle Mensal'!A:A,Dados!A4)),"-")</f>
        <v>1</v>
      </c>
      <c r="AN4" s="10" t="str">
        <f t="shared" si="20"/>
        <v>BOA</v>
      </c>
      <c r="AO4" s="23" t="str">
        <f>IFERROR(IF(COUNTIF(Cadastros!B:B,D4)&gt;0,INDEX('Metas DM &amp; DO'!S:S,MATCH(Dados!D4,'Metas DM &amp; DO'!A:A,0)),AVERAGEIFS(W:W,C:C,C4,D:D,IF(D4="CORTE","FEL*",IF(D4="ARRASTE","SKD*",IF(D4="TRAÇAMENTO","GAR*",""))),B:B,B4,A:A,A4)),"-")</f>
        <v>-</v>
      </c>
      <c r="AP4" s="23">
        <f>IFERROR(IF(COUNTIF(Cadastros!B:B,D4)&gt;0,AVERAGEIFS('Controle Mensal'!N:N,'Controle Mensal'!E:E,Dados!D4,'Controle Mensal'!B:B,Dados!B4,'Controle Mensal'!A:A,Dados!A4),AVERAGEIFS('Controle Mensal'!N:N,'Controle Mensal'!F:F,Dados!D4,'Controle Mensal'!B:B,Dados!B4,'Controle Mensal'!A:A,Dados!A4)),"-")</f>
        <v>1</v>
      </c>
      <c r="AQ4" s="10" t="str">
        <f t="shared" si="21"/>
        <v>BOA</v>
      </c>
      <c r="AR4" s="25">
        <f t="shared" si="22"/>
        <v>0.14741035856573706</v>
      </c>
      <c r="AS4" s="10" t="str">
        <f t="shared" si="23"/>
        <v>-</v>
      </c>
      <c r="AT4" s="25">
        <f>IFERROR(IF(COUNTIF(Cadastros!B:B,D4)&gt;0,_xlfn.MINIFS('BDT''s'!Q:Q,'BDT''s'!K:K,Dados!D4,'BDT''s'!B:B,Dados!B4,'BDT''s'!C:C,Dados!C4,'BDT''s'!A:A,Dados!A4),"-"),"-")</f>
        <v>1200</v>
      </c>
      <c r="AU4" s="25">
        <f>IFERROR(IF(COUNTIF(Cadastros!B:B,D4)&gt;0,_xlfn.MAXIFS('BDT''s'!Q:Q,'BDT''s'!K:K,Dados!D4,'BDT''s'!B:B,Dados!B4,'BDT''s'!C:C,Dados!C4,'BDT''s'!A:A,Dados!A4),"-"),"-")</f>
        <v>1219</v>
      </c>
      <c r="AV4" s="25">
        <f t="shared" si="24"/>
        <v>19</v>
      </c>
    </row>
    <row r="5" spans="1:48" x14ac:dyDescent="0.3">
      <c r="A5" s="10">
        <f t="shared" si="0"/>
        <v>2026</v>
      </c>
      <c r="B5" s="12">
        <f t="shared" si="1"/>
        <v>46023</v>
      </c>
      <c r="C5" s="12" t="str" cm="1">
        <f t="array" ref="C5">IFERROR(IF(COUNTA(_xlfn.UNIQUE(_xlfn._xlws.FILTER('BDT''s'!C:C,('BDT''s'!K:K=Dados!D5)*('BDT''s'!I:I&gt;=Dados!E5)*('BDT''s'!I:I&lt;=Dados!F5))))=1,INDEX(_xlfn.UNIQUE(_xlfn._xlws.FILTER('BDT''s'!C:C,('BDT''s'!K:K=Dados!D5)*('BDT''s'!I:I&gt;=Dados!E5)*('BDT''s'!I:I&lt;=Dados!F5))),1),#N/A),"-")</f>
        <v>CONTRATO 1</v>
      </c>
      <c r="D5" s="4" t="s">
        <v>196</v>
      </c>
      <c r="E5" s="13">
        <v>46023</v>
      </c>
      <c r="F5" s="13">
        <v>46053</v>
      </c>
      <c r="G5" s="16">
        <f t="shared" si="2"/>
        <v>31</v>
      </c>
      <c r="H5" s="13">
        <v>46047</v>
      </c>
      <c r="J5" s="16">
        <f t="shared" si="3"/>
        <v>25</v>
      </c>
      <c r="K5" s="21" cm="1">
        <f t="array" ref="K5">IFERROR(IF(COUNTIF(Cadastros!B:B,D5)&gt;0,INDEX('Metas Mensais'!A:ZZ,MATCH(Dados!D5,'Metas Mensais'!A:A,0),MATCH(Dados!B5,'Metas Mensais'!4:4,0)+1),SUMIFS(K:K,C:C,C5,D:D,IF(D5="CORTE","FEL*",IF(D5="ARRASTE","SKD*",IF(D5="TRAÇAMENTO","GAR*",""))),B:B,B5,A:A,A5)),"-")</f>
        <v>9069.4444444444434</v>
      </c>
      <c r="L5" s="31">
        <v>0</v>
      </c>
      <c r="M5" s="21">
        <f>IFERROR(IF(COUNTIF(Cadastros!B:B,D5)&gt;0,SUMIFS('BDT''s'!V:V,'BDT''s'!K:K,Dados!D5,'BDT''s'!C:C,Dados!C5,'BDT''s'!B:B,Dados!B5,'BDT''s'!A:A,Dados!A5),SUMIFS('BDT''s'!V:V,'BDT''s'!L:L,Dados!D5,'BDT''s'!C:C,Dados!C5,'BDT''s'!B:B,Dados!B5,'BDT''s'!A:A,Dados!A5)),"-")</f>
        <v>3020</v>
      </c>
      <c r="N5" s="21">
        <f t="shared" si="4"/>
        <v>3744.7999999999997</v>
      </c>
      <c r="O5" s="23">
        <f t="shared" si="11"/>
        <v>-0.58709709035222057</v>
      </c>
      <c r="P5" s="21">
        <f t="shared" si="12"/>
        <v>292.56272401433688</v>
      </c>
      <c r="Q5" s="21">
        <f t="shared" si="13"/>
        <v>120.8</v>
      </c>
      <c r="R5" s="21" t="str">
        <f t="shared" si="14"/>
        <v>BAIXO</v>
      </c>
      <c r="S5" s="25">
        <f>IFERROR(IF(COUNTIF(Cadastros!B:B,D5)&gt;0,ROUND(AVERAGEIFS('BDT''s'!E:E,'BDT''s'!K:K,Dados!D5,'BDT''s'!C:C,Dados!C5,'BDT''s'!B:B,Dados!B5,'BDT''s'!A:A,Dados!A5),2),ROUND(AVERAGEIFS('BDT''s'!E:E,'BDT''s'!L:L,Dados!D5,'BDT''s'!C:C,Dados!C5,'BDT''s'!B:B,Dados!B5,'BDT''s'!A:A,Dados!A5),2)),"-")</f>
        <v>0.16</v>
      </c>
      <c r="T5" s="21" t="str">
        <f t="shared" si="5"/>
        <v>-</v>
      </c>
      <c r="U5" s="25">
        <f>IFERROR(IF(COUNTIF(Cadastros!B:B,D5)&gt;0,SUMIFS(Disponibilidade!Z:Z,Disponibilidade!E:E,Dados!D5,Disponibilidade!B:B,Dados!B5,Disponibilidade!A:A,Dados!A5),SUMIFS(Disponibilidade!Z:Z,Disponibilidade!F:F,Dados!D5,Disponibilidade!B:B,Dados!B5,Disponibilidade!A:A,Dados!A5)),"-")</f>
        <v>0</v>
      </c>
      <c r="V5" s="25">
        <f>IFERROR(IF(COUNTIF(Cadastros!B:B,D5)&gt;0,SUMIFS(Disponibilidade!AB:AB,Disponibilidade!E:E,Dados!D5,Disponibilidade!B:B,Dados!B5,Disponibilidade!A:A,Dados!A5),SUMIFS(Disponibilidade!AB:AB,Disponibilidade!F:F,Dados!D5,Disponibilidade!B:B,Dados!B5,Disponibilidade!A:A,Dados!A5)),"-")</f>
        <v>0</v>
      </c>
      <c r="W5" s="25" t="str">
        <f>IFERROR(IF(COUNTIF(Cadastros!B:B,D5)&gt;0,INDEX('Metas DM &amp; DO'!X:X,MATCH(Dados!D5,'Metas DM &amp; DO'!A:A,0)),SUMIFS(W:W,C:C,C5,D:D,IF(D5="CORTE","FEL*",IF(D5="ARRASTE","SKD*",IF(D5="TRAÇAMENTO","GAR*",""))),B:B,B5,A:A,A5)),"-")</f>
        <v>12</v>
      </c>
      <c r="X5" s="25">
        <f t="shared" si="6"/>
        <v>372</v>
      </c>
      <c r="Y5" s="25" cm="1">
        <f t="array" ref="Y5">IFERROR(IF(COUNTIF(Cadastros!B:B,D5)&gt;0,COUNTA(_xlfn.UNIQUE(_xlfn._xlws.FILTER('BDT''s'!N:N,('BDT''s'!C:C=Dados!C5)*('BDT''s'!K:K=Dados!D5)*('BDT''s'!B:B=Dados!B5)*('BDT''s'!N:N&lt;&gt;"SEM OPERADOR")))),COUNTA(_xlfn.UNIQUE(_xlfn._xlws.FILTER('BDT''s'!N:N,('BDT''s'!C:C=Dados!C5)*('BDT''s'!L:L=Dados!D5)*('BDT''s'!B:B=Dados!B5)*('BDT''s'!N:N&lt;&gt;"SEM OPERADOR"))))),"-")</f>
        <v>2</v>
      </c>
      <c r="Z5" s="21">
        <f t="shared" si="7"/>
        <v>146.28136200716844</v>
      </c>
      <c r="AA5" s="21">
        <f t="shared" si="15"/>
        <v>3657.0340501792111</v>
      </c>
      <c r="AB5" s="21">
        <f t="shared" si="8"/>
        <v>4534.7222222222217</v>
      </c>
      <c r="AC5" s="21" t="str">
        <f t="shared" si="16"/>
        <v>ALTO</v>
      </c>
      <c r="AD5" s="25">
        <f t="shared" si="9"/>
        <v>186</v>
      </c>
      <c r="AE5" s="21" t="str">
        <f t="shared" si="17"/>
        <v>ALTO</v>
      </c>
      <c r="AF5" s="25">
        <f>IFERROR(IF(COUNTIF(Cadastros!B:B,D5)&gt;0,SUMIFS(Diesel!J:J,Diesel!F:F,Dados!D5,Diesel!D:D,Dados!C5,Diesel!B:B,Dados!B5,Diesel!A:A,Dados!A5),SUMIFS(Diesel!J:J,Diesel!G:G,Dados!D5,Diesel!D:D,Dados!C5,Diesel!B:B,Dados!B5,Diesel!A:A,Dados!A5)),"-")</f>
        <v>630</v>
      </c>
      <c r="AG5" s="25">
        <f>IFERROR(IF(COUNTIF(Cadastros!B:B,D5)&gt;0,SUMIFS(Diesel!K:K,Diesel!F:F,Dados!D5,Diesel!D:D,Dados!C5,Diesel!B:B,Dados!B5,Diesel!A:A,Dados!A5),SUMIFS(Diesel!K:K,Diesel!G:G,Dados!D5,Diesel!D:D,Dados!C5,Diesel!B:B,Dados!B5,Diesel!A:A,Dados!A5)),"-")</f>
        <v>15</v>
      </c>
      <c r="AH5" s="25">
        <f>IFERROR(IF(COUNTIF(Cadastros!B:B,D5)&gt;0,ROUND(INDEX('Metas Diesel'!N:N,MATCH(Dados!D5,'Metas Diesel'!A:A))*COUNTIFS(Diesel!F:F,Dados!D5,Diesel!B:B,Dados!B5,Diesel!D:D,Dados!C5),3),SUMIFS(AH:AH,C:C,C5,D:D,IF(D5="CORTE","FEL*",IF(D5="ARRASTE","SKD*",IF(D5="TRAÇAMENTO","GAR*",""))),B:B,B5,A:A,A5)),"-")</f>
        <v>1106</v>
      </c>
      <c r="AI5" s="25">
        <f t="shared" si="18"/>
        <v>73.733333333333334</v>
      </c>
      <c r="AJ5" s="25">
        <f t="shared" si="10"/>
        <v>42</v>
      </c>
      <c r="AK5" s="10" t="str">
        <f t="shared" si="19"/>
        <v>BOA</v>
      </c>
      <c r="AL5" s="23" t="str">
        <f>IFERROR(IF(COUNTIF(Cadastros!B:B,D5)&gt;0,INDEX('Metas DM &amp; DO'!O:O,MATCH(Dados!D5,'Metas DM &amp; DO'!A:A,0)),AVERAGEIFS(W:W,C:C,C5,D:D,IF(D5="CORTE","FEL*",IF(D5="ARRASTE","SKD*",IF(D5="TRAÇAMENTO","GAR*",""))),B:B,B5,A:A,A5)),"-")</f>
        <v>0,5</v>
      </c>
      <c r="AM5" s="23">
        <f>IFERROR(IF(COUNTIF(Cadastros!B:B,D5)&gt;0,AVERAGEIFS('Controle Mensal'!H:H,'Controle Mensal'!E:E,Dados!D5,'Controle Mensal'!B:B,Dados!B5,'Controle Mensal'!A:A,Dados!A5),AVERAGEIFS('Controle Mensal'!H:H,'Controle Mensal'!F:F,Dados!D5,'Controle Mensal'!B:B,Dados!B5,'Controle Mensal'!A:A,Dados!A5)),"-")</f>
        <v>1</v>
      </c>
      <c r="AN5" s="10" t="str">
        <f t="shared" si="20"/>
        <v>BOA</v>
      </c>
      <c r="AO5" s="23" t="str">
        <f>IFERROR(IF(COUNTIF(Cadastros!B:B,D5)&gt;0,INDEX('Metas DM &amp; DO'!S:S,MATCH(Dados!D5,'Metas DM &amp; DO'!A:A,0)),AVERAGEIFS(W:W,C:C,C5,D:D,IF(D5="CORTE","FEL*",IF(D5="ARRASTE","SKD*",IF(D5="TRAÇAMENTO","GAR*",""))),B:B,B5,A:A,A5)),"-")</f>
        <v>0,5</v>
      </c>
      <c r="AP5" s="23">
        <f>IFERROR(IF(COUNTIF(Cadastros!B:B,D5)&gt;0,AVERAGEIFS('Controle Mensal'!N:N,'Controle Mensal'!E:E,Dados!D5,'Controle Mensal'!B:B,Dados!B5,'Controle Mensal'!A:A,Dados!A5),AVERAGEIFS('Controle Mensal'!N:N,'Controle Mensal'!F:F,Dados!D5,'Controle Mensal'!B:B,Dados!B5,'Controle Mensal'!A:A,Dados!A5)),"-")</f>
        <v>1</v>
      </c>
      <c r="AQ5" s="10" t="str">
        <f t="shared" si="21"/>
        <v>BOA</v>
      </c>
      <c r="AR5" s="25">
        <f t="shared" si="22"/>
        <v>0.20860927152317882</v>
      </c>
      <c r="AS5" s="10" t="str">
        <f t="shared" si="23"/>
        <v>-</v>
      </c>
      <c r="AT5" s="25">
        <f>IFERROR(IF(COUNTIF(Cadastros!B:B,D5)&gt;0,_xlfn.MINIFS('BDT''s'!Q:Q,'BDT''s'!K:K,Dados!D5,'BDT''s'!B:B,Dados!B5,'BDT''s'!C:C,Dados!C5,'BDT''s'!A:A,Dados!A5),"-"),"-")</f>
        <v>2100</v>
      </c>
      <c r="AU5" s="25">
        <f>IFERROR(IF(COUNTIF(Cadastros!B:B,D5)&gt;0,_xlfn.MAXIFS('BDT''s'!Q:Q,'BDT''s'!K:K,Dados!D5,'BDT''s'!B:B,Dados!B5,'BDT''s'!C:C,Dados!C5,'BDT''s'!A:A,Dados!A5),"-"),"-")</f>
        <v>2130</v>
      </c>
      <c r="AV5" s="25">
        <f t="shared" si="24"/>
        <v>30</v>
      </c>
    </row>
    <row r="6" spans="1:48" x14ac:dyDescent="0.3">
      <c r="A6" s="10">
        <f t="shared" si="0"/>
        <v>2026</v>
      </c>
      <c r="B6" s="12">
        <f t="shared" si="1"/>
        <v>46023</v>
      </c>
      <c r="C6" s="12" t="str" cm="1">
        <f t="array" ref="C6">IFERROR(IF(COUNTA(_xlfn.UNIQUE(_xlfn._xlws.FILTER('BDT''s'!C:C,('BDT''s'!K:K=Dados!D6)*('BDT''s'!I:I&gt;=Dados!E6)*('BDT''s'!I:I&lt;=Dados!F6))))=1,INDEX(_xlfn.UNIQUE(_xlfn._xlws.FILTER('BDT''s'!C:C,('BDT''s'!K:K=Dados!D6)*('BDT''s'!I:I&gt;=Dados!E6)*('BDT''s'!I:I&lt;=Dados!F6))),1),#N/A),"-")</f>
        <v>CONTRATO 1</v>
      </c>
      <c r="D6" s="4" t="s">
        <v>198</v>
      </c>
      <c r="E6" s="13">
        <v>46023</v>
      </c>
      <c r="F6" s="13">
        <v>46053</v>
      </c>
      <c r="G6" s="16">
        <f t="shared" si="2"/>
        <v>31</v>
      </c>
      <c r="H6" s="13">
        <v>46047</v>
      </c>
      <c r="J6" s="16">
        <f t="shared" si="3"/>
        <v>25</v>
      </c>
      <c r="K6" s="21" cm="1">
        <f t="array" ref="K6">IFERROR(IF(COUNTIF(Cadastros!B:B,D6)&gt;0,INDEX('Metas Mensais'!A:ZZ,MATCH(Dados!D6,'Metas Mensais'!A:A,0),MATCH(Dados!B6,'Metas Mensais'!5:5,0)+1),SUMIFS(K:K,C:C,C6,D:D,IF(D6="CORTE","FEL*",IF(D6="ARRASTE","SKD*",IF(D6="TRAÇAMENTO","GAR*",""))),B:B,B6,A:A,A6)),"-")</f>
        <v>6743.0555555555557</v>
      </c>
      <c r="L6" s="31">
        <v>0</v>
      </c>
      <c r="M6" s="21">
        <f>IFERROR(IF(COUNTIF(Cadastros!B:B,D6)&gt;0,SUMIFS('BDT''s'!V:V,'BDT''s'!K:K,Dados!D6,'BDT''s'!C:C,Dados!C6,'BDT''s'!B:B,Dados!B6,'BDT''s'!A:A,Dados!A6),SUMIFS('BDT''s'!V:V,'BDT''s'!L:L,Dados!D6,'BDT''s'!C:C,Dados!C6,'BDT''s'!B:B,Dados!B6,'BDT''s'!A:A,Dados!A6)),"-")</f>
        <v>2020</v>
      </c>
      <c r="N6" s="21">
        <f t="shared" si="4"/>
        <v>2504.7999999999997</v>
      </c>
      <c r="O6" s="23">
        <f t="shared" si="11"/>
        <v>-0.62853635427394439</v>
      </c>
      <c r="P6" s="21">
        <f t="shared" si="12"/>
        <v>217.5179211469534</v>
      </c>
      <c r="Q6" s="21">
        <f t="shared" si="13"/>
        <v>80.8</v>
      </c>
      <c r="R6" s="21" t="str">
        <f t="shared" si="14"/>
        <v>BAIXO</v>
      </c>
      <c r="S6" s="25">
        <f>IFERROR(IF(COUNTIF(Cadastros!B:B,D6)&gt;0,ROUND(AVERAGEIFS('BDT''s'!E:E,'BDT''s'!K:K,Dados!D6,'BDT''s'!C:C,Dados!C6,'BDT''s'!B:B,Dados!B6,'BDT''s'!A:A,Dados!A6),2),ROUND(AVERAGEIFS('BDT''s'!E:E,'BDT''s'!L:L,Dados!D6,'BDT''s'!C:C,Dados!C6,'BDT''s'!B:B,Dados!B6,'BDT''s'!A:A,Dados!A6),2)),"-")</f>
        <v>0.15</v>
      </c>
      <c r="T6" s="21" t="str">
        <f t="shared" si="5"/>
        <v>-</v>
      </c>
      <c r="U6" s="25">
        <f>IFERROR(IF(COUNTIF(Cadastros!B:B,D6)&gt;0,SUMIFS(Disponibilidade!Z:Z,Disponibilidade!E:E,Dados!D6,Disponibilidade!B:B,Dados!B6,Disponibilidade!A:A,Dados!A6),SUMIFS(Disponibilidade!Z:Z,Disponibilidade!F:F,Dados!D6,Disponibilidade!B:B,Dados!B6,Disponibilidade!A:A,Dados!A6)),"-")</f>
        <v>0</v>
      </c>
      <c r="V6" s="25">
        <f>IFERROR(IF(COUNTIF(Cadastros!B:B,D6)&gt;0,SUMIFS(Disponibilidade!AB:AB,Disponibilidade!E:E,Dados!D6,Disponibilidade!B:B,Dados!B6,Disponibilidade!A:A,Dados!A6),SUMIFS(Disponibilidade!AB:AB,Disponibilidade!F:F,Dados!D6,Disponibilidade!B:B,Dados!B6,Disponibilidade!A:A,Dados!A6)),"-")</f>
        <v>0</v>
      </c>
      <c r="W6" s="25" t="str">
        <f>IFERROR(IF(COUNTIF(Cadastros!B:B,D6)&gt;0,INDEX('Metas DM &amp; DO'!X:X,MATCH(Dados!D6,'Metas DM &amp; DO'!A:A,0)),SUMIFS(W:W,C:C,C6,D:D,IF(D6="CORTE","FEL*",IF(D6="ARRASTE","SKD*",IF(D6="TRAÇAMENTO","GAR*",""))),B:B,B6,A:A,A6)),"-")</f>
        <v>2,2174055829228245</v>
      </c>
      <c r="X6" s="25">
        <f t="shared" si="6"/>
        <v>68.73957307060742</v>
      </c>
      <c r="Y6" s="25" cm="1">
        <f t="array" ref="Y6">IFERROR(IF(COUNTIF(Cadastros!B:B,D6)&gt;0,COUNTA(_xlfn.UNIQUE(_xlfn._xlws.FILTER('BDT''s'!N:N,('BDT''s'!C:C=Dados!C6)*('BDT''s'!K:K=Dados!D6)*('BDT''s'!B:B=Dados!B6)*('BDT''s'!N:N&lt;&gt;"SEM OPERADOR")))),COUNTA(_xlfn.UNIQUE(_xlfn._xlws.FILTER('BDT''s'!N:N,('BDT''s'!C:C=Dados!C6)*('BDT''s'!L:L=Dados!D6)*('BDT''s'!B:B=Dados!B6)*('BDT''s'!N:N&lt;&gt;"SEM OPERADOR"))))),"-")</f>
        <v>2</v>
      </c>
      <c r="Z6" s="21">
        <f t="shared" si="7"/>
        <v>108.7589605734767</v>
      </c>
      <c r="AA6" s="21">
        <f t="shared" si="15"/>
        <v>2718.9740143369177</v>
      </c>
      <c r="AB6" s="21">
        <f t="shared" si="8"/>
        <v>3371.5277777777778</v>
      </c>
      <c r="AC6" s="21" t="str">
        <f t="shared" si="16"/>
        <v>ALTO</v>
      </c>
      <c r="AD6" s="25">
        <f t="shared" si="9"/>
        <v>34.36978653530371</v>
      </c>
      <c r="AE6" s="21" t="str">
        <f t="shared" si="17"/>
        <v>ALTO</v>
      </c>
      <c r="AF6" s="25">
        <f>IFERROR(IF(COUNTIF(Cadastros!B:B,D6)&gt;0,SUMIFS(Diesel!J:J,Diesel!F:F,Dados!D6,Diesel!D:D,Dados!C6,Diesel!B:B,Dados!B6,Diesel!A:A,Dados!A6),SUMIFS(Diesel!J:J,Diesel!G:G,Dados!D6,Diesel!D:D,Dados!C6,Diesel!B:B,Dados!B6,Diesel!A:A,Dados!A6)),"-")</f>
        <v>0</v>
      </c>
      <c r="AG6" s="25">
        <f>IFERROR(IF(COUNTIF(Cadastros!B:B,D6)&gt;0,SUMIFS(Diesel!K:K,Diesel!F:F,Dados!D6,Diesel!D:D,Dados!C6,Diesel!B:B,Dados!B6,Diesel!A:A,Dados!A6),SUMIFS(Diesel!K:K,Diesel!G:G,Dados!D6,Diesel!D:D,Dados!C6,Diesel!B:B,Dados!B6,Diesel!A:A,Dados!A6)),"-")</f>
        <v>0</v>
      </c>
      <c r="AH6" s="25">
        <f>IFERROR(IF(COUNTIF(Cadastros!B:B,D6)&gt;0,ROUND(INDEX('Metas Diesel'!N:N,MATCH(Dados!D6,'Metas Diesel'!A:A))*COUNTIFS(Diesel!F:F,Dados!D6,Diesel!B:B,Dados!B6,Diesel!D:D,Dados!C6),3),SUMIFS(AH:AH,C:C,C6,D:D,IF(D6="CORTE","FEL*",IF(D6="ARRASTE","SKD*",IF(D6="TRAÇAMENTO","GAR*",""))),B:B,B6,A:A,A6)),"-")</f>
        <v>0</v>
      </c>
      <c r="AI6" s="25" t="str">
        <f t="shared" si="18"/>
        <v>-</v>
      </c>
      <c r="AJ6" s="25">
        <f t="shared" si="10"/>
        <v>0</v>
      </c>
      <c r="AK6" s="10" t="str">
        <f t="shared" si="19"/>
        <v>BOA</v>
      </c>
      <c r="AL6" s="23" t="str">
        <f>IFERROR(IF(COUNTIF(Cadastros!B:B,D6)&gt;0,INDEX('Metas DM &amp; DO'!O:O,MATCH(Dados!D6,'Metas DM &amp; DO'!A:A,0)),AVERAGEIFS(W:W,C:C,C6,D:D,IF(D6="CORTE","FEL*",IF(D6="ARRASTE","SKD*",IF(D6="TRAÇAMENTO","GAR*",""))),B:B,B6,A:A,A6)),"-")</f>
        <v>0,91724137931034488</v>
      </c>
      <c r="AM6" s="23">
        <f>IFERROR(IF(COUNTIF(Cadastros!B:B,D6)&gt;0,AVERAGEIFS('Controle Mensal'!H:H,'Controle Mensal'!E:E,Dados!D6,'Controle Mensal'!B:B,Dados!B6,'Controle Mensal'!A:A,Dados!A6),AVERAGEIFS('Controle Mensal'!H:H,'Controle Mensal'!F:F,Dados!D6,'Controle Mensal'!B:B,Dados!B6,'Controle Mensal'!A:A,Dados!A6)),"-")</f>
        <v>1</v>
      </c>
      <c r="AN6" s="10" t="str">
        <f t="shared" si="20"/>
        <v>BOA</v>
      </c>
      <c r="AO6" s="23" t="str">
        <f>IFERROR(IF(COUNTIF(Cadastros!B:B,D6)&gt;0,INDEX('Metas DM &amp; DO'!S:S,MATCH(Dados!D6,'Metas DM &amp; DO'!A:A,0)),AVERAGEIFS(W:W,C:C,C6,D:D,IF(D6="CORTE","FEL*",IF(D6="ARRASTE","SKD*",IF(D6="TRAÇAMENTO","GAR*",""))),B:B,B6,A:A,A6)),"-")</f>
        <v>0,43601532567049806</v>
      </c>
      <c r="AP6" s="23">
        <f>IFERROR(IF(COUNTIF(Cadastros!B:B,D6)&gt;0,AVERAGEIFS('Controle Mensal'!N:N,'Controle Mensal'!E:E,Dados!D6,'Controle Mensal'!B:B,Dados!B6,'Controle Mensal'!A:A,Dados!A6),AVERAGEIFS('Controle Mensal'!N:N,'Controle Mensal'!F:F,Dados!D6,'Controle Mensal'!B:B,Dados!B6,'Controle Mensal'!A:A,Dados!A6)),"-")</f>
        <v>1</v>
      </c>
      <c r="AQ6" s="10" t="str">
        <f t="shared" si="21"/>
        <v>BOA</v>
      </c>
      <c r="AR6" s="25">
        <f t="shared" si="22"/>
        <v>0</v>
      </c>
      <c r="AS6" s="10" t="str">
        <f t="shared" si="23"/>
        <v>-</v>
      </c>
      <c r="AT6" s="25">
        <f>IFERROR(IF(COUNTIF(Cadastros!B:B,D6)&gt;0,_xlfn.MINIFS('BDT''s'!Q:Q,'BDT''s'!K:K,Dados!D6,'BDT''s'!B:B,Dados!B6,'BDT''s'!C:C,Dados!C6,'BDT''s'!A:A,Dados!A6),"-"),"-")</f>
        <v>500</v>
      </c>
      <c r="AU6" s="25">
        <f>IFERROR(IF(COUNTIF(Cadastros!B:B,D6)&gt;0,_xlfn.MAXIFS('BDT''s'!Q:Q,'BDT''s'!K:K,Dados!D6,'BDT''s'!B:B,Dados!B6,'BDT''s'!C:C,Dados!C6,'BDT''s'!A:A,Dados!A6),"-"),"-")</f>
        <v>529</v>
      </c>
      <c r="AV6" s="25">
        <f t="shared" si="24"/>
        <v>29</v>
      </c>
    </row>
    <row r="7" spans="1:48" x14ac:dyDescent="0.3">
      <c r="A7" s="10">
        <f t="shared" si="0"/>
        <v>2026</v>
      </c>
      <c r="B7" s="12">
        <f t="shared" si="1"/>
        <v>46023</v>
      </c>
      <c r="C7" s="12" t="str" cm="1">
        <f t="array" ref="C7">IFERROR(IF(COUNTA(_xlfn.UNIQUE(_xlfn._xlws.FILTER('BDT''s'!C:C,('BDT''s'!K:K=Dados!D7)*('BDT''s'!I:I&gt;=Dados!E7)*('BDT''s'!I:I&lt;=Dados!F7))))=1,INDEX(_xlfn.UNIQUE(_xlfn._xlws.FILTER('BDT''s'!C:C,('BDT''s'!K:K=Dados!D7)*('BDT''s'!I:I&gt;=Dados!E7)*('BDT''s'!I:I&lt;=Dados!F7))),1),#N/A),"-")</f>
        <v>CONTRATO 1</v>
      </c>
      <c r="D7" s="4" t="s">
        <v>200</v>
      </c>
      <c r="E7" s="13">
        <v>46023</v>
      </c>
      <c r="F7" s="13">
        <v>46043</v>
      </c>
      <c r="G7" s="16">
        <f t="shared" si="2"/>
        <v>21</v>
      </c>
      <c r="H7" s="13">
        <v>46047</v>
      </c>
      <c r="J7" s="16">
        <f t="shared" si="3"/>
        <v>25</v>
      </c>
      <c r="K7" s="21" cm="1">
        <f t="array" ref="K7">IFERROR(IF(COUNTIF(Cadastros!B:B,D7)&gt;0,INDEX('Metas Mensais'!A:ZZ,MATCH(Dados!D7,'Metas Mensais'!A:A,0),MATCH(Dados!B7,'Metas Mensais'!6:6,0)+1),SUMIFS(K:K,C:C,C7,D:D,IF(D7="CORTE","FEL*",IF(D7="ARRASTE","SKD*",IF(D7="TRAÇAMENTO","GAR*",""))),B:B,B7,A:A,A7)),"-")</f>
        <v>7950</v>
      </c>
      <c r="L7" s="31">
        <v>0</v>
      </c>
      <c r="M7" s="21">
        <f>IFERROR(IF(COUNTIF(Cadastros!B:B,D7)&gt;0,SUMIFS('BDT''s'!V:V,'BDT''s'!K:K,Dados!D7,'BDT''s'!C:C,Dados!C7,'BDT''s'!B:B,Dados!B7,'BDT''s'!A:A,Dados!A7),SUMIFS('BDT''s'!V:V,'BDT''s'!L:L,Dados!D7,'BDT''s'!C:C,Dados!C7,'BDT''s'!B:B,Dados!B7,'BDT''s'!A:A,Dados!A7)),"-")</f>
        <v>1950</v>
      </c>
      <c r="N7" s="21">
        <f t="shared" si="4"/>
        <v>1638</v>
      </c>
      <c r="O7" s="23">
        <f t="shared" si="11"/>
        <v>-0.7939622641509434</v>
      </c>
      <c r="P7" s="21">
        <f t="shared" si="12"/>
        <v>378.57142857142856</v>
      </c>
      <c r="Q7" s="21">
        <f t="shared" si="13"/>
        <v>78</v>
      </c>
      <c r="R7" s="21" t="str">
        <f t="shared" si="14"/>
        <v>BAIXO</v>
      </c>
      <c r="S7" s="25">
        <f>IFERROR(IF(COUNTIF(Cadastros!B:B,D7)&gt;0,ROUND(AVERAGEIFS('BDT''s'!E:E,'BDT''s'!K:K,Dados!D7,'BDT''s'!C:C,Dados!C7,'BDT''s'!B:B,Dados!B7,'BDT''s'!A:A,Dados!A7),2),ROUND(AVERAGEIFS('BDT''s'!E:E,'BDT''s'!L:L,Dados!D7,'BDT''s'!C:C,Dados!C7,'BDT''s'!B:B,Dados!B7,'BDT''s'!A:A,Dados!A7),2)),"-")</f>
        <v>0.16</v>
      </c>
      <c r="T7" s="21" t="str">
        <f t="shared" si="5"/>
        <v>-</v>
      </c>
      <c r="U7" s="25">
        <f>IFERROR(IF(COUNTIF(Cadastros!B:B,D7)&gt;0,SUMIFS(Disponibilidade!Z:Z,Disponibilidade!E:E,Dados!D7,Disponibilidade!B:B,Dados!B7,Disponibilidade!A:A,Dados!A7),SUMIFS(Disponibilidade!Z:Z,Disponibilidade!F:F,Dados!D7,Disponibilidade!B:B,Dados!B7,Disponibilidade!A:A,Dados!A7)),"-")</f>
        <v>0</v>
      </c>
      <c r="V7" s="25">
        <f>IFERROR(IF(COUNTIF(Cadastros!B:B,D7)&gt;0,SUMIFS(Disponibilidade!AB:AB,Disponibilidade!E:E,Dados!D7,Disponibilidade!B:B,Dados!B7,Disponibilidade!A:A,Dados!A7),SUMIFS(Disponibilidade!AB:AB,Disponibilidade!F:F,Dados!D7,Disponibilidade!B:B,Dados!B7,Disponibilidade!A:A,Dados!A7)),"-")</f>
        <v>0</v>
      </c>
      <c r="W7" s="25" t="str">
        <f>IFERROR(IF(COUNTIF(Cadastros!B:B,D7)&gt;0,INDEX('Metas DM &amp; DO'!X:X,MATCH(Dados!D7,'Metas DM &amp; DO'!A:A,0)),SUMIFS(W:W,C:C,C7,D:D,IF(D7="CORTE","FEL*",IF(D7="ARRASTE","SKD*",IF(D7="TRAÇAMENTO","GAR*",""))),B:B,B7,A:A,A7)),"-")</f>
        <v>-</v>
      </c>
      <c r="X7" s="25" t="str">
        <f t="shared" si="6"/>
        <v>-</v>
      </c>
      <c r="Y7" s="25" cm="1">
        <f t="array" ref="Y7">IFERROR(IF(COUNTIF(Cadastros!B:B,D7)&gt;0,COUNTA(_xlfn.UNIQUE(_xlfn._xlws.FILTER('BDT''s'!N:N,('BDT''s'!C:C=Dados!C7)*('BDT''s'!K:K=Dados!D7)*('BDT''s'!B:B=Dados!B7)*('BDT''s'!N:N&lt;&gt;"SEM OPERADOR")))),COUNTA(_xlfn.UNIQUE(_xlfn._xlws.FILTER('BDT''s'!N:N,('BDT''s'!C:C=Dados!C7)*('BDT''s'!L:L=Dados!D7)*('BDT''s'!B:B=Dados!B7)*('BDT''s'!N:N&lt;&gt;"SEM OPERADOR"))))),"-")</f>
        <v>2</v>
      </c>
      <c r="Z7" s="21">
        <f t="shared" si="7"/>
        <v>189.28571428571428</v>
      </c>
      <c r="AA7" s="21">
        <f t="shared" si="15"/>
        <v>4732.1428571428569</v>
      </c>
      <c r="AB7" s="21">
        <f t="shared" si="8"/>
        <v>3975</v>
      </c>
      <c r="AC7" s="21" t="str">
        <f t="shared" si="16"/>
        <v>BAIXO</v>
      </c>
      <c r="AD7" s="25">
        <f t="shared" si="9"/>
        <v>0</v>
      </c>
      <c r="AE7" s="21" t="str">
        <f t="shared" si="17"/>
        <v>BAIXO</v>
      </c>
      <c r="AF7" s="25">
        <f>IFERROR(IF(COUNTIF(Cadastros!B:B,D7)&gt;0,SUMIFS(Diesel!J:J,Diesel!F:F,Dados!D7,Diesel!D:D,Dados!C7,Diesel!B:B,Dados!B7,Diesel!A:A,Dados!A7),SUMIFS(Diesel!J:J,Diesel!G:G,Dados!D7,Diesel!D:D,Dados!C7,Diesel!B:B,Dados!B7,Diesel!A:A,Dados!A7)),"-")</f>
        <v>380</v>
      </c>
      <c r="AG7" s="25">
        <f>IFERROR(IF(COUNTIF(Cadastros!B:B,D7)&gt;0,SUMIFS(Diesel!K:K,Diesel!F:F,Dados!D7,Diesel!D:D,Dados!C7,Diesel!B:B,Dados!B7,Diesel!A:A,Dados!A7),SUMIFS(Diesel!K:K,Diesel!G:G,Dados!D7,Diesel!D:D,Dados!C7,Diesel!B:B,Dados!B7,Diesel!A:A,Dados!A7)),"-")</f>
        <v>11</v>
      </c>
      <c r="AH7" s="25">
        <f>IFERROR(IF(COUNTIF(Cadastros!B:B,D7)&gt;0,ROUND(INDEX('Metas Diesel'!N:N,MATCH(Dados!D7,'Metas Diesel'!A:A))*COUNTIFS(Diesel!F:F,Dados!D7,Diesel!B:B,Dados!B7,Diesel!D:D,Dados!C7),3),SUMIFS(AH:AH,C:C,C7,D:D,IF(D7="CORTE","FEL*",IF(D7="ARRASTE","SKD*",IF(D7="TRAÇAMENTO","GAR*",""))),B:B,B7,A:A,A7)),"-")</f>
        <v>215.167</v>
      </c>
      <c r="AI7" s="25">
        <f t="shared" si="18"/>
        <v>19.560636363636362</v>
      </c>
      <c r="AJ7" s="25">
        <f t="shared" si="10"/>
        <v>34.545454545454547</v>
      </c>
      <c r="AK7" s="10" t="str">
        <f t="shared" si="19"/>
        <v>RUIM</v>
      </c>
      <c r="AL7" s="23" t="str">
        <f>IFERROR(IF(COUNTIF(Cadastros!B:B,D7)&gt;0,INDEX('Metas DM &amp; DO'!O:O,MATCH(Dados!D7,'Metas DM &amp; DO'!A:A,0)),AVERAGEIFS(W:W,C:C,C7,D:D,IF(D7="CORTE","FEL*",IF(D7="ARRASTE","SKD*",IF(D7="TRAÇAMENTO","GAR*",""))),B:B,B7,A:A,A7)),"-")</f>
        <v>-</v>
      </c>
      <c r="AM7" s="23">
        <f>IFERROR(IF(COUNTIF(Cadastros!B:B,D7)&gt;0,AVERAGEIFS('Controle Mensal'!H:H,'Controle Mensal'!E:E,Dados!D7,'Controle Mensal'!B:B,Dados!B7,'Controle Mensal'!A:A,Dados!A7),AVERAGEIFS('Controle Mensal'!H:H,'Controle Mensal'!F:F,Dados!D7,'Controle Mensal'!B:B,Dados!B7,'Controle Mensal'!A:A,Dados!A7)),"-")</f>
        <v>1</v>
      </c>
      <c r="AN7" s="10" t="str">
        <f t="shared" si="20"/>
        <v>BOA</v>
      </c>
      <c r="AO7" s="23" t="str">
        <f>IFERROR(IF(COUNTIF(Cadastros!B:B,D7)&gt;0,INDEX('Metas DM &amp; DO'!S:S,MATCH(Dados!D7,'Metas DM &amp; DO'!A:A,0)),AVERAGEIFS(W:W,C:C,C7,D:D,IF(D7="CORTE","FEL*",IF(D7="ARRASTE","SKD*",IF(D7="TRAÇAMENTO","GAR*",""))),B:B,B7,A:A,A7)),"-")</f>
        <v>-</v>
      </c>
      <c r="AP7" s="23">
        <f>IFERROR(IF(COUNTIF(Cadastros!B:B,D7)&gt;0,AVERAGEIFS('Controle Mensal'!N:N,'Controle Mensal'!E:E,Dados!D7,'Controle Mensal'!B:B,Dados!B7,'Controle Mensal'!A:A,Dados!A7),AVERAGEIFS('Controle Mensal'!N:N,'Controle Mensal'!F:F,Dados!D7,'Controle Mensal'!B:B,Dados!B7,'Controle Mensal'!A:A,Dados!A7)),"-")</f>
        <v>1</v>
      </c>
      <c r="AQ7" s="10" t="str">
        <f t="shared" si="21"/>
        <v>BOA</v>
      </c>
      <c r="AR7" s="25">
        <f t="shared" si="22"/>
        <v>0.19487179487179487</v>
      </c>
      <c r="AS7" s="10" t="str">
        <f t="shared" si="23"/>
        <v>-</v>
      </c>
      <c r="AT7" s="25">
        <f>IFERROR(IF(COUNTIF(Cadastros!B:B,D7)&gt;0,_xlfn.MINIFS('BDT''s'!Q:Q,'BDT''s'!K:K,Dados!D7,'BDT''s'!B:B,Dados!B7,'BDT''s'!C:C,Dados!C7,'BDT''s'!A:A,Dados!A7),"-"),"-")</f>
        <v>700</v>
      </c>
      <c r="AU7" s="25">
        <f>IFERROR(IF(COUNTIF(Cadastros!B:B,D7)&gt;0,_xlfn.MAXIFS('BDT''s'!Q:Q,'BDT''s'!K:K,Dados!D7,'BDT''s'!B:B,Dados!B7,'BDT''s'!C:C,Dados!C7,'BDT''s'!A:A,Dados!A7),"-"),"-")</f>
        <v>720</v>
      </c>
      <c r="AV7" s="25">
        <f t="shared" si="24"/>
        <v>20</v>
      </c>
    </row>
    <row r="8" spans="1:48" x14ac:dyDescent="0.3">
      <c r="A8" s="10">
        <f t="shared" ref="A8:A9" si="25">IFERROR(YEAR(H8),"-")</f>
        <v>2026</v>
      </c>
      <c r="B8" s="12">
        <f t="shared" ref="B8:B9" si="26">IFERROR(DATE(YEAR(H8),MONTH(H8),MONTH(H8)),"-")</f>
        <v>46023</v>
      </c>
      <c r="C8" s="18" t="s">
        <v>201</v>
      </c>
      <c r="D8" s="19" t="s">
        <v>5</v>
      </c>
      <c r="E8" s="13">
        <v>46023</v>
      </c>
      <c r="F8" s="13">
        <v>46053</v>
      </c>
      <c r="G8" s="16">
        <f t="shared" ref="G8:G9" si="27">IFERROR(F8-E8-I8+1,"-")</f>
        <v>31</v>
      </c>
      <c r="H8" s="13">
        <v>46047</v>
      </c>
      <c r="J8" s="16">
        <f t="shared" ref="J8:J9" si="28">IFERROR(H8-E8-I8+1,"-")</f>
        <v>25</v>
      </c>
      <c r="K8" s="21" cm="1">
        <f t="array" ref="K8">IFERROR(IF(COUNTIF(Cadastros!B:B,D8)&gt;0,INDEX('Metas Mensais'!A:ZZ,MATCH(Dados!D8,'Metas Mensais'!A:A,0),MATCH(Dados!B8,'Metas Mensais'!#REF!,0)+1),SUMIFS(K:K,C:C,C8,D:D,IF(D8="CORTE","FEL*",IF(D8="ARRASTE","SKD*",IF(D8="TRAÇAMENTO","GAR*",""))),B:B,B8,A:A,A8)),"-")</f>
        <v>21112.870952228652</v>
      </c>
      <c r="L8" s="31">
        <v>0</v>
      </c>
      <c r="M8" s="21">
        <f>IFERROR(IF(COUNTIF(Cadastros!B:B,D8)&gt;0,SUMIFS('BDT''s'!V:V,'BDT''s'!K:K,Dados!D8,'BDT''s'!C:C,Dados!C8,'BDT''s'!B:B,Dados!B8,'BDT''s'!A:A,Dados!A8),SUMIFS('BDT''s'!V:V,'BDT''s'!L:L,Dados!D8,'BDT''s'!C:C,Dados!C8,'BDT''s'!B:B,Dados!B8,'BDT''s'!A:A,Dados!A8)),"-")</f>
        <v>7830</v>
      </c>
      <c r="N8" s="21">
        <f t="shared" si="4"/>
        <v>9709.1999999999989</v>
      </c>
      <c r="O8" s="23">
        <f t="shared" si="11"/>
        <v>-0.54012886158549145</v>
      </c>
      <c r="P8" s="21">
        <f t="shared" si="12"/>
        <v>681.0603532976985</v>
      </c>
      <c r="Q8" s="21">
        <f t="shared" si="13"/>
        <v>313.2</v>
      </c>
      <c r="R8" s="21" t="str">
        <f t="shared" si="14"/>
        <v>BAIXO</v>
      </c>
      <c r="S8" s="25">
        <f>IFERROR(IF(COUNTIF(Cadastros!B:B,D8)&gt;0,ROUND(AVERAGEIFS('BDT''s'!E:E,'BDT''s'!K:K,Dados!D8,'BDT''s'!C:C,Dados!C8,'BDT''s'!B:B,Dados!B8,'BDT''s'!A:A,Dados!A8),2),ROUND(AVERAGEIFS('BDT''s'!E:E,'BDT''s'!L:L,Dados!D8,'BDT''s'!C:C,Dados!C8,'BDT''s'!B:B,Dados!B8,'BDT''s'!A:A,Dados!A8),2)),"-")</f>
        <v>0.16</v>
      </c>
      <c r="T8" s="21" t="str">
        <f t="shared" si="5"/>
        <v>-</v>
      </c>
      <c r="U8" s="25">
        <f>IFERROR(IF(COUNTIF(Cadastros!B:B,D8)&gt;0,SUMIFS(Disponibilidade!Z:Z,Disponibilidade!E:E,Dados!D8,Disponibilidade!B:B,Dados!B8,Disponibilidade!A:A,Dados!A8),SUMIFS(Disponibilidade!Z:Z,Disponibilidade!F:F,Dados!D8,Disponibilidade!B:B,Dados!B8,Disponibilidade!A:A,Dados!A8)),"-")</f>
        <v>0</v>
      </c>
      <c r="V8" s="25">
        <f>IFERROR(IF(COUNTIF(Cadastros!B:B,D8)&gt;0,SUMIFS(Disponibilidade!AB:AB,Disponibilidade!E:E,Dados!D8,Disponibilidade!B:B,Dados!B8,Disponibilidade!A:A,Dados!A8),SUMIFS(Disponibilidade!AB:AB,Disponibilidade!F:F,Dados!D8,Disponibilidade!B:B,Dados!B8,Disponibilidade!A:A,Dados!A8)),"-")</f>
        <v>0</v>
      </c>
      <c r="W8" s="25">
        <f>IFERROR(IF(COUNTIF(Cadastros!B:B,D8)&gt;0,INDEX('Metas DM &amp; DO'!X:X,MATCH(Dados!D8,'Metas DM &amp; DO'!A:A,0)),SUMIFS(W:W,C:C,C8,D:D,IF(D8="CORTE","FEL*",IF(D8="ARRASTE","SKD*",IF(D8="TRAÇAMENTO","GAR*",""))),B:B,B8,A:A,A8)),"-")</f>
        <v>0</v>
      </c>
      <c r="X8" s="25">
        <f t="shared" si="6"/>
        <v>0</v>
      </c>
      <c r="Y8" s="25" cm="1">
        <f t="array" ref="Y8">IFERROR(IF(COUNTIF(Cadastros!B:B,D8)&gt;0,COUNTA(_xlfn.UNIQUE(_xlfn._xlws.FILTER('BDT''s'!N:N,('BDT''s'!C:C=Dados!C8)*('BDT''s'!K:K=Dados!D8)*('BDT''s'!B:B=Dados!B8)*('BDT''s'!N:N&lt;&gt;"SEM OPERADOR")))),COUNTA(_xlfn.UNIQUE(_xlfn._xlws.FILTER('BDT''s'!N:N,('BDT''s'!C:C=Dados!C8)*('BDT''s'!L:L=Dados!D8)*('BDT''s'!B:B=Dados!B8)*('BDT''s'!N:N&lt;&gt;"SEM OPERADOR"))))),"-")</f>
        <v>4</v>
      </c>
      <c r="Z8" s="21">
        <f t="shared" si="7"/>
        <v>340.53017664884925</v>
      </c>
      <c r="AA8" s="21">
        <f t="shared" si="15"/>
        <v>8513.2544162212307</v>
      </c>
      <c r="AB8" s="21">
        <f t="shared" si="8"/>
        <v>5278.2177380571629</v>
      </c>
      <c r="AC8" s="21" t="str">
        <f t="shared" si="16"/>
        <v>BAIXO</v>
      </c>
      <c r="AD8" s="25">
        <f t="shared" si="9"/>
        <v>0</v>
      </c>
      <c r="AE8" s="21" t="str">
        <f t="shared" si="17"/>
        <v>BAIXO</v>
      </c>
      <c r="AF8" s="25">
        <f>IFERROR(IF(COUNTIF(Cadastros!B:B,D8)&gt;0,SUMIFS(Diesel!J:J,Diesel!F:F,Dados!D8,Diesel!D:D,Dados!C8,Diesel!B:B,Dados!B8,Diesel!A:A,Dados!A8),SUMIFS(Diesel!J:J,Diesel!G:G,Dados!D8,Diesel!D:D,Dados!C8,Diesel!B:B,Dados!B8,Diesel!A:A,Dados!A8)),"-")</f>
        <v>720</v>
      </c>
      <c r="AG8" s="25">
        <f>IFERROR(IF(COUNTIF(Cadastros!B:B,D8)&gt;0,SUMIFS(Diesel!K:K,Diesel!F:F,Dados!D8,Diesel!D:D,Dados!C8,Diesel!B:B,Dados!B8,Diesel!A:A,Dados!A8),SUMIFS(Diesel!K:K,Diesel!G:G,Dados!D8,Diesel!D:D,Dados!C8,Diesel!B:B,Dados!B8,Diesel!A:A,Dados!A8)),"-")</f>
        <v>43</v>
      </c>
      <c r="AH8" s="25">
        <f>IFERROR(IF(COUNTIF(Cadastros!B:B,D8)&gt;0,ROUND(INDEX('Metas Diesel'!N:N,MATCH(Dados!D8,'Metas Diesel'!A:A))*COUNTIFS(Diesel!F:F,Dados!D8,Diesel!B:B,Dados!B8,Diesel!D:D,Dados!C8),3),SUMIFS(AH:AH,C:C,C8,D:D,IF(D8="CORTE","FEL*",IF(D8="ARRASTE","SKD*",IF(D8="TRAÇAMENTO","GAR*",""))),B:B,B8,A:A,A8)),"-")</f>
        <v>1116.8330000000001</v>
      </c>
      <c r="AI8" s="25">
        <f t="shared" si="18"/>
        <v>25.97286046511628</v>
      </c>
      <c r="AJ8" s="25">
        <f t="shared" si="10"/>
        <v>16.744186046511629</v>
      </c>
      <c r="AK8" s="10" t="str">
        <f t="shared" si="19"/>
        <v>BOA</v>
      </c>
      <c r="AL8" s="23" t="str">
        <f>IFERROR(IF(COUNTIF(Cadastros!B:B,D8)&gt;0,INDEX('Metas DM &amp; DO'!O:O,MATCH(Dados!D8,'Metas DM &amp; DO'!A:A,0)),AVERAGEIFS(W:W,C:C,C8,D:D,IF(D8="CORTE","FEL*",IF(D8="ARRASTE","SKD*",IF(D8="TRAÇAMENTO","GAR*",""))),B:B,B8,A:A,A8)),"-")</f>
        <v>-</v>
      </c>
      <c r="AM8" s="23">
        <f>IFERROR(IF(COUNTIF(Cadastros!B:B,D8)&gt;0,AVERAGEIFS('Controle Mensal'!H:H,'Controle Mensal'!E:E,Dados!D8,'Controle Mensal'!B:B,Dados!B8,'Controle Mensal'!A:A,Dados!A8),AVERAGEIFS('Controle Mensal'!H:H,'Controle Mensal'!F:F,Dados!D8,'Controle Mensal'!B:B,Dados!B8,'Controle Mensal'!A:A,Dados!A8)),"-")</f>
        <v>1</v>
      </c>
      <c r="AN8" s="10" t="str">
        <f t="shared" si="20"/>
        <v>BOA</v>
      </c>
      <c r="AO8" s="23" t="str">
        <f>IFERROR(IF(COUNTIF(Cadastros!B:B,D8)&gt;0,INDEX('Metas DM &amp; DO'!S:S,MATCH(Dados!D8,'Metas DM &amp; DO'!A:A,0)),AVERAGEIFS(W:W,C:C,C8,D:D,IF(D8="CORTE","FEL*",IF(D8="ARRASTE","SKD*",IF(D8="TRAÇAMENTO","GAR*",""))),B:B,B8,A:A,A8)),"-")</f>
        <v>-</v>
      </c>
      <c r="AP8" s="23">
        <f>IFERROR(IF(COUNTIF(Cadastros!B:B,D8)&gt;0,AVERAGEIFS('Controle Mensal'!N:N,'Controle Mensal'!E:E,Dados!D8,'Controle Mensal'!B:B,Dados!B8,'Controle Mensal'!A:A,Dados!A8),AVERAGEIFS('Controle Mensal'!N:N,'Controle Mensal'!F:F,Dados!D8,'Controle Mensal'!B:B,Dados!B8,'Controle Mensal'!A:A,Dados!A8)),"-")</f>
        <v>1</v>
      </c>
      <c r="AQ8" s="10" t="str">
        <f t="shared" si="21"/>
        <v>BOA</v>
      </c>
      <c r="AR8" s="25">
        <f t="shared" si="22"/>
        <v>9.1954022988505746E-2</v>
      </c>
      <c r="AS8" s="10" t="str">
        <f t="shared" si="23"/>
        <v>-</v>
      </c>
      <c r="AT8" s="25" t="str">
        <f>IFERROR(IF(COUNTIF(Cadastros!B:B,D8)&gt;0,_xlfn.MINIFS('BDT''s'!Q:Q,'BDT''s'!K:K,Dados!D8,'BDT''s'!B:B,Dados!B8,'BDT''s'!C:C,Dados!C8,'BDT''s'!A:A,Dados!A8),"-"),"-")</f>
        <v>-</v>
      </c>
      <c r="AU8" s="25" t="str">
        <f>IFERROR(IF(COUNTIF(Cadastros!B:B,D8)&gt;0,_xlfn.MAXIFS('BDT''s'!Q:Q,'BDT''s'!K:K,Dados!D8,'BDT''s'!B:B,Dados!B8,'BDT''s'!C:C,Dados!C8,'BDT''s'!A:A,Dados!A8),"-"),"-")</f>
        <v>-</v>
      </c>
      <c r="AV8" s="25" t="str">
        <f t="shared" si="24"/>
        <v>-</v>
      </c>
    </row>
    <row r="9" spans="1:48" x14ac:dyDescent="0.3">
      <c r="A9" s="10">
        <f t="shared" si="25"/>
        <v>2026</v>
      </c>
      <c r="B9" s="12">
        <f t="shared" si="26"/>
        <v>46023</v>
      </c>
      <c r="C9" s="18" t="s">
        <v>202</v>
      </c>
      <c r="D9" s="19" t="s">
        <v>5</v>
      </c>
      <c r="E9" s="13">
        <v>46023</v>
      </c>
      <c r="F9" s="13">
        <v>46053</v>
      </c>
      <c r="G9" s="16">
        <f t="shared" si="27"/>
        <v>31</v>
      </c>
      <c r="H9" s="13">
        <v>46047</v>
      </c>
      <c r="J9" s="16">
        <f t="shared" si="28"/>
        <v>25</v>
      </c>
      <c r="K9" s="21" cm="1">
        <f t="array" ref="K9">IFERROR(IF(COUNTIF(Cadastros!B:B,D9)&gt;0,INDEX('Metas Mensais'!A:ZZ,MATCH(Dados!D9,'Metas Mensais'!A:A,0),MATCH(Dados!B9,'Metas Mensais'!8:8,0)+1),SUMIFS(K:K,C:C,C9,D:D,IF(D9="CORTE","FEL*",IF(D9="ARRASTE","SKD*",IF(D9="TRAÇAMENTO","GAR*",""))),B:B,B9,A:A,A9)),"-")</f>
        <v>0</v>
      </c>
      <c r="L9" s="31">
        <v>0</v>
      </c>
      <c r="M9" s="21">
        <f>IFERROR(IF(COUNTIF(Cadastros!B:B,D9)&gt;0,SUMIFS('BDT''s'!V:V,'BDT''s'!K:K,Dados!D9,'BDT''s'!C:C,Dados!C9,'BDT''s'!B:B,Dados!B9,'BDT''s'!A:A,Dados!A9),SUMIFS('BDT''s'!V:V,'BDT''s'!L:L,Dados!D9,'BDT''s'!C:C,Dados!C9,'BDT''s'!B:B,Dados!B9,'BDT''s'!A:A,Dados!A9)),"-")</f>
        <v>0</v>
      </c>
      <c r="N9" s="21">
        <f t="shared" si="4"/>
        <v>0</v>
      </c>
      <c r="O9" s="23">
        <f t="shared" si="11"/>
        <v>0</v>
      </c>
      <c r="P9" s="21">
        <f t="shared" si="12"/>
        <v>0</v>
      </c>
      <c r="Q9" s="21">
        <f t="shared" si="13"/>
        <v>0</v>
      </c>
      <c r="R9" s="21" t="str">
        <f t="shared" si="14"/>
        <v>BAIXO</v>
      </c>
      <c r="S9" s="25" t="str">
        <f>IFERROR(IF(COUNTIF(Cadastros!B:B,D9)&gt;0,ROUND(AVERAGEIFS('BDT''s'!E:E,'BDT''s'!K:K,Dados!D9,'BDT''s'!C:C,Dados!C9,'BDT''s'!B:B,Dados!B9,'BDT''s'!A:A,Dados!A9),2),ROUND(AVERAGEIFS('BDT''s'!E:E,'BDT''s'!L:L,Dados!D9,'BDT''s'!C:C,Dados!C9,'BDT''s'!B:B,Dados!B9,'BDT''s'!A:A,Dados!A9),2)),"-")</f>
        <v>-</v>
      </c>
      <c r="T9" s="21" t="str">
        <f t="shared" si="5"/>
        <v>-</v>
      </c>
      <c r="U9" s="25">
        <f>IFERROR(IF(COUNTIF(Cadastros!B:B,D9)&gt;0,SUMIFS(Disponibilidade!Z:Z,Disponibilidade!E:E,Dados!D9,Disponibilidade!B:B,Dados!B9,Disponibilidade!A:A,Dados!A9),SUMIFS(Disponibilidade!Z:Z,Disponibilidade!F:F,Dados!D9,Disponibilidade!B:B,Dados!B9,Disponibilidade!A:A,Dados!A9)),"-")</f>
        <v>0</v>
      </c>
      <c r="V9" s="25">
        <f>IFERROR(IF(COUNTIF(Cadastros!B:B,D9)&gt;0,SUMIFS(Disponibilidade!AB:AB,Disponibilidade!E:E,Dados!D9,Disponibilidade!B:B,Dados!B9,Disponibilidade!A:A,Dados!A9),SUMIFS(Disponibilidade!AB:AB,Disponibilidade!F:F,Dados!D9,Disponibilidade!B:B,Dados!B9,Disponibilidade!A:A,Dados!A9)),"-")</f>
        <v>0</v>
      </c>
      <c r="W9" s="25">
        <f>IFERROR(IF(COUNTIF(Cadastros!B:B,D9)&gt;0,INDEX('Metas DM &amp; DO'!X:X,MATCH(Dados!D9,'Metas DM &amp; DO'!A:A,0)),SUMIFS(W:W,C:C,C9,D:D,IF(D9="CORTE","FEL*",IF(D9="ARRASTE","SKD*",IF(D9="TRAÇAMENTO","GAR*",""))),B:B,B9,A:A,A9)),"-")</f>
        <v>0</v>
      </c>
      <c r="X9" s="25">
        <f t="shared" si="6"/>
        <v>0</v>
      </c>
      <c r="Y9" s="25" cm="1">
        <f t="array" ref="Y9">IFERROR(IF(COUNTIF(Cadastros!B:B,D9)&gt;0,COUNTA(_xlfn.UNIQUE(_xlfn._xlws.FILTER('BDT''s'!N:N,('BDT''s'!C:C=Dados!C9)*('BDT''s'!K:K=Dados!D9)*('BDT''s'!B:B=Dados!B9)*('BDT''s'!N:N&lt;&gt;"SEM OPERADOR")))),COUNTA(_xlfn.UNIQUE(_xlfn._xlws.FILTER('BDT''s'!N:N,('BDT''s'!C:C=Dados!C9)*('BDT''s'!L:L=Dados!D9)*('BDT''s'!B:B=Dados!B9)*('BDT''s'!N:N&lt;&gt;"SEM OPERADOR"))))),"-")</f>
        <v>1</v>
      </c>
      <c r="Z9" s="21">
        <f t="shared" si="7"/>
        <v>0</v>
      </c>
      <c r="AA9" s="21">
        <f t="shared" si="15"/>
        <v>0</v>
      </c>
      <c r="AB9" s="21">
        <f t="shared" si="8"/>
        <v>0</v>
      </c>
      <c r="AC9" s="21" t="str">
        <f t="shared" si="16"/>
        <v>BAIXO</v>
      </c>
      <c r="AD9" s="25">
        <f t="shared" si="9"/>
        <v>0</v>
      </c>
      <c r="AE9" s="21" t="str">
        <f t="shared" si="17"/>
        <v>BAIXO</v>
      </c>
      <c r="AF9" s="25">
        <f>IFERROR(IF(COUNTIF(Cadastros!B:B,D9)&gt;0,SUMIFS(Diesel!J:J,Diesel!F:F,Dados!D9,Diesel!D:D,Dados!C9,Diesel!B:B,Dados!B9,Diesel!A:A,Dados!A9),SUMIFS(Diesel!J:J,Diesel!G:G,Dados!D9,Diesel!D:D,Dados!C9,Diesel!B:B,Dados!B9,Diesel!A:A,Dados!A9)),"-")</f>
        <v>0</v>
      </c>
      <c r="AG9" s="25">
        <f>IFERROR(IF(COUNTIF(Cadastros!B:B,D9)&gt;0,SUMIFS(Diesel!K:K,Diesel!F:F,Dados!D9,Diesel!D:D,Dados!C9,Diesel!B:B,Dados!B9,Diesel!A:A,Dados!A9),SUMIFS(Diesel!K:K,Diesel!G:G,Dados!D9,Diesel!D:D,Dados!C9,Diesel!B:B,Dados!B9,Diesel!A:A,Dados!A9)),"-")</f>
        <v>0</v>
      </c>
      <c r="AH9" s="25">
        <f>IFERROR(IF(COUNTIF(Cadastros!B:B,D9)&gt;0,ROUND(INDEX('Metas Diesel'!N:N,MATCH(Dados!D9,'Metas Diesel'!A:A))*COUNTIFS(Diesel!F:F,Dados!D9,Diesel!B:B,Dados!B9,Diesel!D:D,Dados!C9),3),SUMIFS(AH:AH,C:C,C9,D:D,IF(D9="CORTE","FEL*",IF(D9="ARRASTE","SKD*",IF(D9="TRAÇAMENTO","GAR*",""))),B:B,B9,A:A,A9)),"-")</f>
        <v>0</v>
      </c>
      <c r="AI9" s="25" t="str">
        <f t="shared" si="18"/>
        <v>-</v>
      </c>
      <c r="AJ9" s="25">
        <f t="shared" si="10"/>
        <v>0</v>
      </c>
      <c r="AK9" s="10" t="str">
        <f t="shared" si="19"/>
        <v>BOA</v>
      </c>
      <c r="AL9" s="23" t="str">
        <f>IFERROR(IF(COUNTIF(Cadastros!B:B,D9)&gt;0,INDEX('Metas DM &amp; DO'!O:O,MATCH(Dados!D9,'Metas DM &amp; DO'!A:A,0)),AVERAGEIFS(W:W,C:C,C9,D:D,IF(D9="CORTE","FEL*",IF(D9="ARRASTE","SKD*",IF(D9="TRAÇAMENTO","GAR*",""))),B:B,B9,A:A,A9)),"-")</f>
        <v>-</v>
      </c>
      <c r="AM9" s="23">
        <f>IFERROR(IF(COUNTIF(Cadastros!B:B,D9)&gt;0,AVERAGEIFS('Controle Mensal'!H:H,'Controle Mensal'!E:E,Dados!D9,'Controle Mensal'!B:B,Dados!B9,'Controle Mensal'!A:A,Dados!A9),AVERAGEIFS('Controle Mensal'!H:H,'Controle Mensal'!F:F,Dados!D9,'Controle Mensal'!B:B,Dados!B9,'Controle Mensal'!A:A,Dados!A9)),"-")</f>
        <v>1</v>
      </c>
      <c r="AN9" s="10" t="str">
        <f t="shared" si="20"/>
        <v>BOA</v>
      </c>
      <c r="AO9" s="23" t="str">
        <f>IFERROR(IF(COUNTIF(Cadastros!B:B,D9)&gt;0,INDEX('Metas DM &amp; DO'!S:S,MATCH(Dados!D9,'Metas DM &amp; DO'!A:A,0)),AVERAGEIFS(W:W,C:C,C9,D:D,IF(D9="CORTE","FEL*",IF(D9="ARRASTE","SKD*",IF(D9="TRAÇAMENTO","GAR*",""))),B:B,B9,A:A,A9)),"-")</f>
        <v>-</v>
      </c>
      <c r="AP9" s="23">
        <f>IFERROR(IF(COUNTIF(Cadastros!B:B,D9)&gt;0,AVERAGEIFS('Controle Mensal'!N:N,'Controle Mensal'!E:E,Dados!D9,'Controle Mensal'!B:B,Dados!B9,'Controle Mensal'!A:A,Dados!A9),AVERAGEIFS('Controle Mensal'!N:N,'Controle Mensal'!F:F,Dados!D9,'Controle Mensal'!B:B,Dados!B9,'Controle Mensal'!A:A,Dados!A9)),"-")</f>
        <v>1</v>
      </c>
      <c r="AQ9" s="10" t="str">
        <f t="shared" si="21"/>
        <v>BOA</v>
      </c>
      <c r="AR9" s="25">
        <f t="shared" si="22"/>
        <v>0</v>
      </c>
      <c r="AS9" s="10" t="str">
        <f t="shared" si="23"/>
        <v>-</v>
      </c>
      <c r="AT9" s="25" t="str">
        <f>IFERROR(IF(COUNTIF(Cadastros!B:B,D9)&gt;0,_xlfn.MINIFS('BDT''s'!Q:Q,'BDT''s'!K:K,Dados!D9,'BDT''s'!B:B,Dados!B9,'BDT''s'!C:C,Dados!C9,'BDT''s'!A:A,Dados!A9),"-"),"-")</f>
        <v>-</v>
      </c>
      <c r="AU9" s="25" t="str">
        <f>IFERROR(IF(COUNTIF(Cadastros!B:B,D9)&gt;0,_xlfn.MAXIFS('BDT''s'!Q:Q,'BDT''s'!K:K,Dados!D9,'BDT''s'!B:B,Dados!B9,'BDT''s'!C:C,Dados!C9,'BDT''s'!A:A,Dados!A9),"-"),"-")</f>
        <v>-</v>
      </c>
      <c r="AV9" s="25" t="str">
        <f t="shared" si="24"/>
        <v>-</v>
      </c>
    </row>
    <row r="10" spans="1:48" x14ac:dyDescent="0.3">
      <c r="A10" s="10">
        <f t="shared" ref="A10:A16" si="29">IFERROR(YEAR(H10),"-")</f>
        <v>2026</v>
      </c>
      <c r="B10" s="12">
        <f t="shared" ref="B10:B16" si="30">IFERROR(DATE(YEAR(H10),MONTH(H10),MONTH(H10)),"-")</f>
        <v>46023</v>
      </c>
      <c r="C10" s="18" t="s">
        <v>203</v>
      </c>
      <c r="D10" s="19" t="s">
        <v>5</v>
      </c>
      <c r="E10" s="13">
        <v>46023</v>
      </c>
      <c r="F10" s="13">
        <v>46053</v>
      </c>
      <c r="G10" s="16">
        <f t="shared" ref="G10:G16" si="31">IFERROR(F10-E10-I10+1,"-")</f>
        <v>31</v>
      </c>
      <c r="H10" s="13">
        <v>46047</v>
      </c>
      <c r="J10" s="16">
        <f t="shared" ref="J10:J16" si="32">IFERROR(H10-E10-I10+1,"-")</f>
        <v>25</v>
      </c>
      <c r="K10" s="21" cm="1">
        <f t="array" ref="K10">IFERROR(IF(COUNTIF(Cadastros!B:B,D10)&gt;0,INDEX('Metas Mensais'!A:ZZ,MATCH(Dados!D10,'Metas Mensais'!A:A,0),MATCH(Dados!B10,'Metas Mensais'!9:9,0)+1),SUMIFS(K:K,C:C,C10,D:D,IF(D10="CORTE","FEL*",IF(D10="ARRASTE","SKD*",IF(D10="TRAÇAMENTO","GAR*",""))),B:B,B10,A:A,A10)),"-")</f>
        <v>0</v>
      </c>
      <c r="L10" s="31">
        <v>0</v>
      </c>
      <c r="M10" s="21">
        <f>IFERROR(IF(COUNTIF(Cadastros!B:B,D10)&gt;0,SUMIFS('BDT''s'!V:V,'BDT''s'!K:K,Dados!D10,'BDT''s'!C:C,Dados!C10,'BDT''s'!B:B,Dados!B10,'BDT''s'!A:A,Dados!A10),SUMIFS('BDT''s'!V:V,'BDT''s'!L:L,Dados!D10,'BDT''s'!C:C,Dados!C10,'BDT''s'!B:B,Dados!B10,'BDT''s'!A:A,Dados!A10)),"-")</f>
        <v>0</v>
      </c>
      <c r="N10" s="21">
        <f t="shared" si="4"/>
        <v>0</v>
      </c>
      <c r="O10" s="23">
        <f t="shared" si="11"/>
        <v>0</v>
      </c>
      <c r="P10" s="21">
        <f t="shared" si="12"/>
        <v>0</v>
      </c>
      <c r="Q10" s="21">
        <f t="shared" si="13"/>
        <v>0</v>
      </c>
      <c r="R10" s="21" t="str">
        <f t="shared" si="14"/>
        <v>BAIXO</v>
      </c>
      <c r="S10" s="25" t="str">
        <f>IFERROR(IF(COUNTIF(Cadastros!B:B,D10)&gt;0,ROUND(AVERAGEIFS('BDT''s'!E:E,'BDT''s'!K:K,Dados!D10,'BDT''s'!C:C,Dados!C10,'BDT''s'!B:B,Dados!B10,'BDT''s'!A:A,Dados!A10),2),ROUND(AVERAGEIFS('BDT''s'!E:E,'BDT''s'!L:L,Dados!D10,'BDT''s'!C:C,Dados!C10,'BDT''s'!B:B,Dados!B10,'BDT''s'!A:A,Dados!A10),2)),"-")</f>
        <v>-</v>
      </c>
      <c r="T10" s="21" t="str">
        <f t="shared" si="5"/>
        <v>-</v>
      </c>
      <c r="U10" s="25">
        <f>IFERROR(IF(COUNTIF(Cadastros!B:B,D10)&gt;0,SUMIFS(Disponibilidade!Z:Z,Disponibilidade!E:E,Dados!D10,Disponibilidade!B:B,Dados!B10,Disponibilidade!A:A,Dados!A10),SUMIFS(Disponibilidade!Z:Z,Disponibilidade!F:F,Dados!D10,Disponibilidade!B:B,Dados!B10,Disponibilidade!A:A,Dados!A10)),"-")</f>
        <v>0</v>
      </c>
      <c r="V10" s="25">
        <f>IFERROR(IF(COUNTIF(Cadastros!B:B,D10)&gt;0,SUMIFS(Disponibilidade!AB:AB,Disponibilidade!E:E,Dados!D10,Disponibilidade!B:B,Dados!B10,Disponibilidade!A:A,Dados!A10),SUMIFS(Disponibilidade!AB:AB,Disponibilidade!F:F,Dados!D10,Disponibilidade!B:B,Dados!B10,Disponibilidade!A:A,Dados!A10)),"-")</f>
        <v>0</v>
      </c>
      <c r="W10" s="25">
        <f>IFERROR(IF(COUNTIF(Cadastros!B:B,D10)&gt;0,INDEX('Metas DM &amp; DO'!X:X,MATCH(Dados!D10,'Metas DM &amp; DO'!A:A,0)),SUMIFS(W:W,C:C,C10,D:D,IF(D10="CORTE","FEL*",IF(D10="ARRASTE","SKD*",IF(D10="TRAÇAMENTO","GAR*",""))),B:B,B10,A:A,A10)),"-")</f>
        <v>0</v>
      </c>
      <c r="X10" s="25">
        <f t="shared" si="6"/>
        <v>0</v>
      </c>
      <c r="Y10" s="25" cm="1">
        <f t="array" ref="Y10">IFERROR(IF(COUNTIF(Cadastros!B:B,D10)&gt;0,COUNTA(_xlfn.UNIQUE(_xlfn._xlws.FILTER('BDT''s'!N:N,('BDT''s'!C:C=Dados!C10)*('BDT''s'!K:K=Dados!D10)*('BDT''s'!B:B=Dados!B10)*('BDT''s'!N:N&lt;&gt;"SEM OPERADOR")))),COUNTA(_xlfn.UNIQUE(_xlfn._xlws.FILTER('BDT''s'!N:N,('BDT''s'!C:C=Dados!C10)*('BDT''s'!L:L=Dados!D10)*('BDT''s'!B:B=Dados!B10)*('BDT''s'!N:N&lt;&gt;"SEM OPERADOR"))))),"-")</f>
        <v>1</v>
      </c>
      <c r="Z10" s="21">
        <f t="shared" si="7"/>
        <v>0</v>
      </c>
      <c r="AA10" s="21">
        <f t="shared" si="15"/>
        <v>0</v>
      </c>
      <c r="AB10" s="21">
        <f t="shared" si="8"/>
        <v>0</v>
      </c>
      <c r="AC10" s="21" t="str">
        <f t="shared" si="16"/>
        <v>BAIXO</v>
      </c>
      <c r="AD10" s="25">
        <f t="shared" si="9"/>
        <v>0</v>
      </c>
      <c r="AE10" s="21" t="str">
        <f t="shared" si="17"/>
        <v>BAIXO</v>
      </c>
      <c r="AF10" s="25">
        <f>IFERROR(IF(COUNTIF(Cadastros!B:B,D10)&gt;0,SUMIFS(Diesel!J:J,Diesel!F:F,Dados!D10,Diesel!D:D,Dados!C10,Diesel!B:B,Dados!B10,Diesel!A:A,Dados!A10),SUMIFS(Diesel!J:J,Diesel!G:G,Dados!D10,Diesel!D:D,Dados!C10,Diesel!B:B,Dados!B10,Diesel!A:A,Dados!A10)),"-")</f>
        <v>0</v>
      </c>
      <c r="AG10" s="25">
        <f>IFERROR(IF(COUNTIF(Cadastros!B:B,D10)&gt;0,SUMIFS(Diesel!K:K,Diesel!F:F,Dados!D10,Diesel!D:D,Dados!C10,Diesel!B:B,Dados!B10,Diesel!A:A,Dados!A10),SUMIFS(Diesel!K:K,Diesel!G:G,Dados!D10,Diesel!D:D,Dados!C10,Diesel!B:B,Dados!B10,Diesel!A:A,Dados!A10)),"-")</f>
        <v>0</v>
      </c>
      <c r="AH10" s="25">
        <f>IFERROR(IF(COUNTIF(Cadastros!B:B,D10)&gt;0,ROUND(INDEX('Metas Diesel'!N:N,MATCH(Dados!D10,'Metas Diesel'!A:A))*COUNTIFS(Diesel!F:F,Dados!D10,Diesel!B:B,Dados!B10,Diesel!D:D,Dados!C10),3),SUMIFS(AH:AH,C:C,C10,D:D,IF(D10="CORTE","FEL*",IF(D10="ARRASTE","SKD*",IF(D10="TRAÇAMENTO","GAR*",""))),B:B,B10,A:A,A10)),"-")</f>
        <v>0</v>
      </c>
      <c r="AI10" s="25" t="str">
        <f t="shared" si="18"/>
        <v>-</v>
      </c>
      <c r="AJ10" s="25">
        <f t="shared" si="10"/>
        <v>0</v>
      </c>
      <c r="AK10" s="10" t="str">
        <f t="shared" si="19"/>
        <v>BOA</v>
      </c>
      <c r="AL10" s="23" t="str">
        <f>IFERROR(IF(COUNTIF(Cadastros!B:B,D10)&gt;0,INDEX('Metas DM &amp; DO'!O:O,MATCH(Dados!D10,'Metas DM &amp; DO'!A:A,0)),AVERAGEIFS(W:W,C:C,C10,D:D,IF(D10="CORTE","FEL*",IF(D10="ARRASTE","SKD*",IF(D10="TRAÇAMENTO","GAR*",""))),B:B,B10,A:A,A10)),"-")</f>
        <v>-</v>
      </c>
      <c r="AM10" s="23">
        <f>IFERROR(IF(COUNTIF(Cadastros!B:B,D10)&gt;0,AVERAGEIFS('Controle Mensal'!H:H,'Controle Mensal'!E:E,Dados!D10,'Controle Mensal'!B:B,Dados!B10,'Controle Mensal'!A:A,Dados!A10),AVERAGEIFS('Controle Mensal'!H:H,'Controle Mensal'!F:F,Dados!D10,'Controle Mensal'!B:B,Dados!B10,'Controle Mensal'!A:A,Dados!A10)),"-")</f>
        <v>1</v>
      </c>
      <c r="AN10" s="10" t="str">
        <f t="shared" si="20"/>
        <v>BOA</v>
      </c>
      <c r="AO10" s="23" t="str">
        <f>IFERROR(IF(COUNTIF(Cadastros!B:B,D10)&gt;0,INDEX('Metas DM &amp; DO'!S:S,MATCH(Dados!D10,'Metas DM &amp; DO'!A:A,0)),AVERAGEIFS(W:W,C:C,C10,D:D,IF(D10="CORTE","FEL*",IF(D10="ARRASTE","SKD*",IF(D10="TRAÇAMENTO","GAR*",""))),B:B,B10,A:A,A10)),"-")</f>
        <v>-</v>
      </c>
      <c r="AP10" s="23">
        <f>IFERROR(IF(COUNTIF(Cadastros!B:B,D10)&gt;0,AVERAGEIFS('Controle Mensal'!N:N,'Controle Mensal'!E:E,Dados!D10,'Controle Mensal'!B:B,Dados!B10,'Controle Mensal'!A:A,Dados!A10),AVERAGEIFS('Controle Mensal'!N:N,'Controle Mensal'!F:F,Dados!D10,'Controle Mensal'!B:B,Dados!B10,'Controle Mensal'!A:A,Dados!A10)),"-")</f>
        <v>1</v>
      </c>
      <c r="AQ10" s="10" t="str">
        <f t="shared" si="21"/>
        <v>BOA</v>
      </c>
      <c r="AR10" s="25">
        <f t="shared" si="22"/>
        <v>0</v>
      </c>
      <c r="AS10" s="10" t="str">
        <f t="shared" si="23"/>
        <v>-</v>
      </c>
      <c r="AT10" s="25" t="str">
        <f>IFERROR(IF(COUNTIF(Cadastros!B:B,D10)&gt;0,_xlfn.MINIFS('BDT''s'!Q:Q,'BDT''s'!K:K,Dados!D10,'BDT''s'!B:B,Dados!B10,'BDT''s'!C:C,Dados!C10,'BDT''s'!A:A,Dados!A10),"-"),"-")</f>
        <v>-</v>
      </c>
      <c r="AU10" s="25" t="str">
        <f>IFERROR(IF(COUNTIF(Cadastros!B:B,D10)&gt;0,_xlfn.MAXIFS('BDT''s'!Q:Q,'BDT''s'!K:K,Dados!D10,'BDT''s'!B:B,Dados!B10,'BDT''s'!C:C,Dados!C10,'BDT''s'!A:A,Dados!A10),"-"),"-")</f>
        <v>-</v>
      </c>
      <c r="AV10" s="25" t="str">
        <f t="shared" si="24"/>
        <v>-</v>
      </c>
    </row>
    <row r="11" spans="1:48" x14ac:dyDescent="0.3">
      <c r="A11" s="10">
        <f t="shared" si="29"/>
        <v>2026</v>
      </c>
      <c r="B11" s="12">
        <f t="shared" si="30"/>
        <v>46023</v>
      </c>
      <c r="C11" s="18" t="s">
        <v>201</v>
      </c>
      <c r="D11" s="19" t="s">
        <v>6</v>
      </c>
      <c r="E11" s="13">
        <v>46023</v>
      </c>
      <c r="F11" s="13">
        <v>46053</v>
      </c>
      <c r="G11" s="16">
        <f t="shared" si="31"/>
        <v>31</v>
      </c>
      <c r="H11" s="13">
        <v>46047</v>
      </c>
      <c r="J11" s="16">
        <f t="shared" si="32"/>
        <v>25</v>
      </c>
      <c r="K11" s="21" cm="1">
        <f t="array" ref="K11">IFERROR(IF(COUNTIF(Cadastros!B:B,D11)&gt;0,INDEX('Metas Mensais'!A:ZZ,MATCH(Dados!D11,'Metas Mensais'!A:A,0),MATCH(Dados!B11,'Metas Mensais'!10:10,0)+1),SUMIFS(K:K,C:C,C11,D:D,IF(D11="CORTE","FEL*",IF(D11="ARRASTE","SKD*",IF(D11="TRAÇAMENTO","GAR*",""))),B:B,B11,A:A,A11)),"-")</f>
        <v>0</v>
      </c>
      <c r="L11" s="31">
        <v>0</v>
      </c>
      <c r="M11" s="21">
        <f>IFERROR(IF(COUNTIF(Cadastros!B:B,D11)&gt;0,SUMIFS('BDT''s'!V:V,'BDT''s'!K:K,Dados!D11,'BDT''s'!C:C,Dados!C11,'BDT''s'!B:B,Dados!B11,'BDT''s'!A:A,Dados!A11),SUMIFS('BDT''s'!V:V,'BDT''s'!L:L,Dados!D11,'BDT''s'!C:C,Dados!C11,'BDT''s'!B:B,Dados!B11,'BDT''s'!A:A,Dados!A11)),"-")</f>
        <v>5530</v>
      </c>
      <c r="N11" s="21">
        <f t="shared" si="4"/>
        <v>6857.2</v>
      </c>
      <c r="O11" s="23">
        <f t="shared" si="11"/>
        <v>0</v>
      </c>
      <c r="P11" s="21">
        <f t="shared" si="12"/>
        <v>0</v>
      </c>
      <c r="Q11" s="21">
        <f t="shared" si="13"/>
        <v>221.2</v>
      </c>
      <c r="R11" s="21" t="str">
        <f t="shared" si="14"/>
        <v>ALTO</v>
      </c>
      <c r="S11" s="25">
        <f>IFERROR(IF(COUNTIF(Cadastros!B:B,D11)&gt;0,ROUND(AVERAGEIFS('BDT''s'!E:E,'BDT''s'!K:K,Dados!D11,'BDT''s'!C:C,Dados!C11,'BDT''s'!B:B,Dados!B11,'BDT''s'!A:A,Dados!A11),2),ROUND(AVERAGEIFS('BDT''s'!E:E,'BDT''s'!L:L,Dados!D11,'BDT''s'!C:C,Dados!C11,'BDT''s'!B:B,Dados!B11,'BDT''s'!A:A,Dados!A11),2)),"-")</f>
        <v>0.16</v>
      </c>
      <c r="T11" s="21" t="str">
        <f t="shared" si="5"/>
        <v>-</v>
      </c>
      <c r="U11" s="25">
        <f>IFERROR(IF(COUNTIF(Cadastros!B:B,D11)&gt;0,SUMIFS(Disponibilidade!Z:Z,Disponibilidade!E:E,Dados!D11,Disponibilidade!B:B,Dados!B11,Disponibilidade!A:A,Dados!A11),SUMIFS(Disponibilidade!Z:Z,Disponibilidade!F:F,Dados!D11,Disponibilidade!B:B,Dados!B11,Disponibilidade!A:A,Dados!A11)),"-")</f>
        <v>0</v>
      </c>
      <c r="V11" s="25">
        <f>IFERROR(IF(COUNTIF(Cadastros!B:B,D11)&gt;0,SUMIFS(Disponibilidade!AB:AB,Disponibilidade!E:E,Dados!D11,Disponibilidade!B:B,Dados!B11,Disponibilidade!A:A,Dados!A11),SUMIFS(Disponibilidade!AB:AB,Disponibilidade!F:F,Dados!D11,Disponibilidade!B:B,Dados!B11,Disponibilidade!A:A,Dados!A11)),"-")</f>
        <v>0</v>
      </c>
      <c r="W11" s="25">
        <f>IFERROR(IF(COUNTIF(Cadastros!B:B,D11)&gt;0,INDEX('Metas DM &amp; DO'!X:X,MATCH(Dados!D11,'Metas DM &amp; DO'!A:A,0)),SUMIFS(W:W,C:C,C11,D:D,IF(D11="CORTE","FEL*",IF(D11="ARRASTE","SKD*",IF(D11="TRAÇAMENTO","GAR*",""))),B:B,B11,A:A,A11)),"-")</f>
        <v>0</v>
      </c>
      <c r="X11" s="25">
        <f t="shared" si="6"/>
        <v>0</v>
      </c>
      <c r="Y11" s="25" cm="1">
        <f t="array" ref="Y11">IFERROR(IF(COUNTIF(Cadastros!B:B,D11)&gt;0,COUNTA(_xlfn.UNIQUE(_xlfn._xlws.FILTER('BDT''s'!N:N,('BDT''s'!C:C=Dados!C11)*('BDT''s'!K:K=Dados!D11)*('BDT''s'!B:B=Dados!B11)*('BDT''s'!N:N&lt;&gt;"SEM OPERADOR")))),COUNTA(_xlfn.UNIQUE(_xlfn._xlws.FILTER('BDT''s'!N:N,('BDT''s'!C:C=Dados!C11)*('BDT''s'!L:L=Dados!D11)*('BDT''s'!B:B=Dados!B11)*('BDT''s'!N:N&lt;&gt;"SEM OPERADOR"))))),"-")</f>
        <v>4</v>
      </c>
      <c r="Z11" s="21">
        <f t="shared" si="7"/>
        <v>0</v>
      </c>
      <c r="AA11" s="21">
        <f t="shared" si="15"/>
        <v>0</v>
      </c>
      <c r="AB11" s="21">
        <f t="shared" si="8"/>
        <v>0</v>
      </c>
      <c r="AC11" s="21" t="str">
        <f t="shared" si="16"/>
        <v>BAIXO</v>
      </c>
      <c r="AD11" s="25">
        <f t="shared" si="9"/>
        <v>0</v>
      </c>
      <c r="AE11" s="21" t="str">
        <f t="shared" si="17"/>
        <v>BAIXO</v>
      </c>
      <c r="AF11" s="25">
        <f>IFERROR(IF(COUNTIF(Cadastros!B:B,D11)&gt;0,SUMIFS(Diesel!J:J,Diesel!F:F,Dados!D11,Diesel!D:D,Dados!C11,Diesel!B:B,Dados!B11,Diesel!A:A,Dados!A11),SUMIFS(Diesel!J:J,Diesel!G:G,Dados!D11,Diesel!D:D,Dados!C11,Diesel!B:B,Dados!B11,Diesel!A:A,Dados!A11)),"-")</f>
        <v>1000</v>
      </c>
      <c r="AG11" s="25">
        <f>IFERROR(IF(COUNTIF(Cadastros!B:B,D11)&gt;0,SUMIFS(Diesel!K:K,Diesel!F:F,Dados!D11,Diesel!D:D,Dados!C11,Diesel!B:B,Dados!B11,Diesel!A:A,Dados!A11),SUMIFS(Diesel!K:K,Diesel!G:G,Dados!D11,Diesel!D:D,Dados!C11,Diesel!B:B,Dados!B11,Diesel!A:A,Dados!A11)),"-")</f>
        <v>30</v>
      </c>
      <c r="AH11" s="25">
        <f>IFERROR(IF(COUNTIF(Cadastros!B:B,D11)&gt;0,ROUND(INDEX('Metas Diesel'!N:N,MATCH(Dados!D11,'Metas Diesel'!A:A))*COUNTIFS(Diesel!F:F,Dados!D11,Diesel!B:B,Dados!B11,Diesel!D:D,Dados!C11),3),SUMIFS(AH:AH,C:C,C11,D:D,IF(D11="CORTE","FEL*",IF(D11="ARRASTE","SKD*",IF(D11="TRAÇAMENTO","GAR*",""))),B:B,B11,A:A,A11)),"-")</f>
        <v>0</v>
      </c>
      <c r="AI11" s="25">
        <f t="shared" si="18"/>
        <v>0</v>
      </c>
      <c r="AJ11" s="25">
        <f t="shared" si="10"/>
        <v>33.333333333333336</v>
      </c>
      <c r="AK11" s="10" t="str">
        <f t="shared" si="19"/>
        <v>RUIM</v>
      </c>
      <c r="AL11" s="23" t="str">
        <f>IFERROR(IF(COUNTIF(Cadastros!B:B,D11)&gt;0,INDEX('Metas DM &amp; DO'!O:O,MATCH(Dados!D11,'Metas DM &amp; DO'!A:A,0)),AVERAGEIFS(W:W,C:C,C11,D:D,IF(D11="CORTE","FEL*",IF(D11="ARRASTE","SKD*",IF(D11="TRAÇAMENTO","GAR*",""))),B:B,B11,A:A,A11)),"-")</f>
        <v>-</v>
      </c>
      <c r="AM11" s="23">
        <f>IFERROR(IF(COUNTIF(Cadastros!B:B,D11)&gt;0,AVERAGEIFS('Controle Mensal'!H:H,'Controle Mensal'!E:E,Dados!D11,'Controle Mensal'!B:B,Dados!B11,'Controle Mensal'!A:A,Dados!A11),AVERAGEIFS('Controle Mensal'!H:H,'Controle Mensal'!F:F,Dados!D11,'Controle Mensal'!B:B,Dados!B11,'Controle Mensal'!A:A,Dados!A11)),"-")</f>
        <v>1</v>
      </c>
      <c r="AN11" s="10" t="str">
        <f>IF(AM11&lt;0,"-",IF(AM11&lt;AL11,"BOA","RUIM"))</f>
        <v>BOA</v>
      </c>
      <c r="AO11" s="23" t="str">
        <f>IFERROR(IF(COUNTIF(Cadastros!B:B,D11)&gt;0,INDEX('Metas DM &amp; DO'!S:S,MATCH(Dados!D11,'Metas DM &amp; DO'!A:A,0)),AVERAGEIFS(W:W,C:C,C11,D:D,IF(D11="CORTE","FEL*",IF(D11="ARRASTE","SKD*",IF(D11="TRAÇAMENTO","GAR*",""))),B:B,B11,A:A,A11)),"-")</f>
        <v>-</v>
      </c>
      <c r="AP11" s="23">
        <f>IFERROR(IF(COUNTIF(Cadastros!B:B,D11)&gt;0,AVERAGEIFS('Controle Mensal'!N:N,'Controle Mensal'!E:E,Dados!D11,'Controle Mensal'!B:B,Dados!B11,'Controle Mensal'!A:A,Dados!A11),AVERAGEIFS('Controle Mensal'!N:N,'Controle Mensal'!F:F,Dados!D11,'Controle Mensal'!B:B,Dados!B11,'Controle Mensal'!A:A,Dados!A11)),"-")</f>
        <v>1</v>
      </c>
      <c r="AQ11" s="10" t="str">
        <f t="shared" si="21"/>
        <v>BOA</v>
      </c>
      <c r="AR11" s="25">
        <f t="shared" si="22"/>
        <v>0.18083182640144665</v>
      </c>
      <c r="AS11" s="10" t="str">
        <f t="shared" si="23"/>
        <v>-</v>
      </c>
      <c r="AT11" s="25" t="str">
        <f>IFERROR(IF(COUNTIF(Cadastros!B:B,D11)&gt;0,_xlfn.MINIFS('BDT''s'!Q:Q,'BDT''s'!K:K,Dados!D11,'BDT''s'!B:B,Dados!B11,'BDT''s'!C:C,Dados!C11,'BDT''s'!A:A,Dados!A11),"-"),"-")</f>
        <v>-</v>
      </c>
      <c r="AU11" s="25" t="str">
        <f>IFERROR(IF(COUNTIF(Cadastros!B:B,D11)&gt;0,_xlfn.MAXIFS('BDT''s'!Q:Q,'BDT''s'!K:K,Dados!D11,'BDT''s'!B:B,Dados!B11,'BDT''s'!C:C,Dados!C11,'BDT''s'!A:A,Dados!A11),"-"),"-")</f>
        <v>-</v>
      </c>
      <c r="AV11" s="25" t="str">
        <f t="shared" si="24"/>
        <v>-</v>
      </c>
    </row>
    <row r="12" spans="1:48" x14ac:dyDescent="0.3">
      <c r="A12" s="10">
        <f t="shared" si="29"/>
        <v>2026</v>
      </c>
      <c r="B12" s="12">
        <f t="shared" si="30"/>
        <v>46023</v>
      </c>
      <c r="C12" s="18" t="s">
        <v>202</v>
      </c>
      <c r="D12" s="19" t="s">
        <v>6</v>
      </c>
      <c r="E12" s="13">
        <v>46023</v>
      </c>
      <c r="F12" s="13">
        <v>46053</v>
      </c>
      <c r="G12" s="16">
        <f t="shared" si="31"/>
        <v>31</v>
      </c>
      <c r="H12" s="13">
        <v>46047</v>
      </c>
      <c r="J12" s="16">
        <f t="shared" si="32"/>
        <v>25</v>
      </c>
      <c r="K12" s="21" cm="1">
        <f t="array" ref="K12">IFERROR(IF(COUNTIF(Cadastros!B:B,D12)&gt;0,INDEX('Metas Mensais'!A:ZZ,MATCH(Dados!D12,'Metas Mensais'!A:A,0),MATCH(Dados!B12,'Metas Mensais'!11:11,0)+1),SUMIFS(K:K,C:C,C12,D:D,IF(D12="CORTE","FEL*",IF(D12="ARRASTE","SKD*",IF(D12="TRAÇAMENTO","GAR*",""))),B:B,B12,A:A,A12)),"-")</f>
        <v>0</v>
      </c>
      <c r="L12" s="31">
        <v>0</v>
      </c>
      <c r="M12" s="21">
        <f>IFERROR(IF(COUNTIF(Cadastros!B:B,D12)&gt;0,SUMIFS('BDT''s'!V:V,'BDT''s'!K:K,Dados!D12,'BDT''s'!C:C,Dados!C12,'BDT''s'!B:B,Dados!B12,'BDT''s'!A:A,Dados!A12),SUMIFS('BDT''s'!V:V,'BDT''s'!L:L,Dados!D12,'BDT''s'!C:C,Dados!C12,'BDT''s'!B:B,Dados!B12,'BDT''s'!A:A,Dados!A12)),"-")</f>
        <v>0</v>
      </c>
      <c r="N12" s="21">
        <f t="shared" si="4"/>
        <v>0</v>
      </c>
      <c r="O12" s="23">
        <f t="shared" si="11"/>
        <v>0</v>
      </c>
      <c r="P12" s="21">
        <f t="shared" si="12"/>
        <v>0</v>
      </c>
      <c r="Q12" s="21">
        <f t="shared" si="13"/>
        <v>0</v>
      </c>
      <c r="R12" s="21" t="str">
        <f t="shared" si="14"/>
        <v>BAIXO</v>
      </c>
      <c r="S12" s="25" t="str">
        <f>IFERROR(IF(COUNTIF(Cadastros!B:B,D12)&gt;0,ROUND(AVERAGEIFS('BDT''s'!E:E,'BDT''s'!K:K,Dados!D12,'BDT''s'!C:C,Dados!C12,'BDT''s'!B:B,Dados!B12,'BDT''s'!A:A,Dados!A12),2),ROUND(AVERAGEIFS('BDT''s'!E:E,'BDT''s'!L:L,Dados!D12,'BDT''s'!C:C,Dados!C12,'BDT''s'!B:B,Dados!B12,'BDT''s'!A:A,Dados!A12),2)),"-")</f>
        <v>-</v>
      </c>
      <c r="T12" s="21" t="str">
        <f t="shared" si="5"/>
        <v>-</v>
      </c>
      <c r="U12" s="25">
        <f>IFERROR(IF(COUNTIF(Cadastros!B:B,D12)&gt;0,SUMIFS(Disponibilidade!Z:Z,Disponibilidade!E:E,Dados!D12,Disponibilidade!B:B,Dados!B12,Disponibilidade!A:A,Dados!A12),SUMIFS(Disponibilidade!Z:Z,Disponibilidade!F:F,Dados!D12,Disponibilidade!B:B,Dados!B12,Disponibilidade!A:A,Dados!A12)),"-")</f>
        <v>0</v>
      </c>
      <c r="V12" s="25">
        <f>IFERROR(IF(COUNTIF(Cadastros!B:B,D12)&gt;0,SUMIFS(Disponibilidade!AB:AB,Disponibilidade!E:E,Dados!D12,Disponibilidade!B:B,Dados!B12,Disponibilidade!A:A,Dados!A12),SUMIFS(Disponibilidade!AB:AB,Disponibilidade!F:F,Dados!D12,Disponibilidade!B:B,Dados!B12,Disponibilidade!A:A,Dados!A12)),"-")</f>
        <v>0</v>
      </c>
      <c r="W12" s="25">
        <f>IFERROR(IF(COUNTIF(Cadastros!B:B,D12)&gt;0,INDEX('Metas DM &amp; DO'!X:X,MATCH(Dados!D12,'Metas DM &amp; DO'!A:A,0)),SUMIFS(W:W,C:C,C12,D:D,IF(D12="CORTE","FEL*",IF(D12="ARRASTE","SKD*",IF(D12="TRAÇAMENTO","GAR*",""))),B:B,B12,A:A,A12)),"-")</f>
        <v>0</v>
      </c>
      <c r="X12" s="25">
        <f t="shared" si="6"/>
        <v>0</v>
      </c>
      <c r="Y12" s="25" cm="1">
        <f t="array" ref="Y12">IFERROR(IF(COUNTIF(Cadastros!B:B,D12)&gt;0,COUNTA(_xlfn.UNIQUE(_xlfn._xlws.FILTER('BDT''s'!N:N,('BDT''s'!C:C=Dados!C12)*('BDT''s'!K:K=Dados!D12)*('BDT''s'!B:B=Dados!B12)*('BDT''s'!N:N&lt;&gt;"SEM OPERADOR")))),COUNTA(_xlfn.UNIQUE(_xlfn._xlws.FILTER('BDT''s'!N:N,('BDT''s'!C:C=Dados!C12)*('BDT''s'!L:L=Dados!D12)*('BDT''s'!B:B=Dados!B12)*('BDT''s'!N:N&lt;&gt;"SEM OPERADOR"))))),"-")</f>
        <v>1</v>
      </c>
      <c r="Z12" s="21">
        <f t="shared" si="7"/>
        <v>0</v>
      </c>
      <c r="AA12" s="21">
        <f t="shared" si="15"/>
        <v>0</v>
      </c>
      <c r="AB12" s="21">
        <f t="shared" si="8"/>
        <v>0</v>
      </c>
      <c r="AC12" s="21" t="str">
        <f t="shared" si="16"/>
        <v>BAIXO</v>
      </c>
      <c r="AD12" s="25">
        <f t="shared" si="9"/>
        <v>0</v>
      </c>
      <c r="AE12" s="21" t="str">
        <f t="shared" si="17"/>
        <v>BAIXO</v>
      </c>
      <c r="AF12" s="25">
        <f>IFERROR(IF(COUNTIF(Cadastros!B:B,D12)&gt;0,SUMIFS(Diesel!J:J,Diesel!F:F,Dados!D12,Diesel!D:D,Dados!C12,Diesel!B:B,Dados!B12,Diesel!A:A,Dados!A12),SUMIFS(Diesel!J:J,Diesel!G:G,Dados!D12,Diesel!D:D,Dados!C12,Diesel!B:B,Dados!B12,Diesel!A:A,Dados!A12)),"-")</f>
        <v>0</v>
      </c>
      <c r="AG12" s="25">
        <f>IFERROR(IF(COUNTIF(Cadastros!B:B,D12)&gt;0,SUMIFS(Diesel!K:K,Diesel!F:F,Dados!D12,Diesel!D:D,Dados!C12,Diesel!B:B,Dados!B12,Diesel!A:A,Dados!A12),SUMIFS(Diesel!K:K,Diesel!G:G,Dados!D12,Diesel!D:D,Dados!C12,Diesel!B:B,Dados!B12,Diesel!A:A,Dados!A12)),"-")</f>
        <v>0</v>
      </c>
      <c r="AH12" s="25">
        <f>IFERROR(IF(COUNTIF(Cadastros!B:B,D12)&gt;0,ROUND(INDEX('Metas Diesel'!N:N,MATCH(Dados!D12,'Metas Diesel'!A:A))*COUNTIFS(Diesel!F:F,Dados!D12,Diesel!B:B,Dados!B12,Diesel!D:D,Dados!C12),3),SUMIFS(AH:AH,C:C,C12,D:D,IF(D12="CORTE","FEL*",IF(D12="ARRASTE","SKD*",IF(D12="TRAÇAMENTO","GAR*",""))),B:B,B12,A:A,A12)),"-")</f>
        <v>0</v>
      </c>
      <c r="AI12" s="25" t="str">
        <f t="shared" si="18"/>
        <v>-</v>
      </c>
      <c r="AJ12" s="25">
        <f t="shared" si="10"/>
        <v>0</v>
      </c>
      <c r="AK12" s="10" t="str">
        <f t="shared" si="19"/>
        <v>BOA</v>
      </c>
      <c r="AL12" s="23" t="str">
        <f>IFERROR(IF(COUNTIF(Cadastros!B:B,D12)&gt;0,INDEX('Metas DM &amp; DO'!O:O,MATCH(Dados!D12,'Metas DM &amp; DO'!A:A,0)),AVERAGEIFS(W:W,C:C,C12,D:D,IF(D12="CORTE","FEL*",IF(D12="ARRASTE","SKD*",IF(D12="TRAÇAMENTO","GAR*",""))),B:B,B12,A:A,A12)),"-")</f>
        <v>-</v>
      </c>
      <c r="AM12" s="23">
        <f>IFERROR(IF(COUNTIF(Cadastros!B:B,D12)&gt;0,AVERAGEIFS('Controle Mensal'!H:H,'Controle Mensal'!E:E,Dados!D12,'Controle Mensal'!B:B,Dados!B12,'Controle Mensal'!A:A,Dados!A12),AVERAGEIFS('Controle Mensal'!H:H,'Controle Mensal'!F:F,Dados!D12,'Controle Mensal'!B:B,Dados!B12,'Controle Mensal'!A:A,Dados!A12)),"-")</f>
        <v>1</v>
      </c>
      <c r="AN12" s="10" t="str">
        <f t="shared" si="20"/>
        <v>BOA</v>
      </c>
      <c r="AO12" s="23" t="str">
        <f>IFERROR(IF(COUNTIF(Cadastros!B:B,D12)&gt;0,INDEX('Metas DM &amp; DO'!S:S,MATCH(Dados!D12,'Metas DM &amp; DO'!A:A,0)),AVERAGEIFS(W:W,C:C,C12,D:D,IF(D12="CORTE","FEL*",IF(D12="ARRASTE","SKD*",IF(D12="TRAÇAMENTO","GAR*",""))),B:B,B12,A:A,A12)),"-")</f>
        <v>-</v>
      </c>
      <c r="AP12" s="23">
        <f>IFERROR(IF(COUNTIF(Cadastros!B:B,D12)&gt;0,AVERAGEIFS('Controle Mensal'!N:N,'Controle Mensal'!E:E,Dados!D12,'Controle Mensal'!B:B,Dados!B12,'Controle Mensal'!A:A,Dados!A12),AVERAGEIFS('Controle Mensal'!N:N,'Controle Mensal'!F:F,Dados!D12,'Controle Mensal'!B:B,Dados!B12,'Controle Mensal'!A:A,Dados!A12)),"-")</f>
        <v>1</v>
      </c>
      <c r="AQ12" s="10" t="str">
        <f t="shared" si="21"/>
        <v>BOA</v>
      </c>
      <c r="AR12" s="25">
        <f t="shared" si="22"/>
        <v>0</v>
      </c>
      <c r="AS12" s="10" t="str">
        <f t="shared" si="23"/>
        <v>-</v>
      </c>
      <c r="AT12" s="25" t="str">
        <f>IFERROR(IF(COUNTIF(Cadastros!B:B,D12)&gt;0,_xlfn.MINIFS('BDT''s'!Q:Q,'BDT''s'!K:K,Dados!D12,'BDT''s'!B:B,Dados!B12,'BDT''s'!C:C,Dados!C12,'BDT''s'!A:A,Dados!A12),"-"),"-")</f>
        <v>-</v>
      </c>
      <c r="AU12" s="25" t="str">
        <f>IFERROR(IF(COUNTIF(Cadastros!B:B,D12)&gt;0,_xlfn.MAXIFS('BDT''s'!Q:Q,'BDT''s'!K:K,Dados!D12,'BDT''s'!B:B,Dados!B12,'BDT''s'!C:C,Dados!C12,'BDT''s'!A:A,Dados!A12),"-"),"-")</f>
        <v>-</v>
      </c>
      <c r="AV12" s="25" t="str">
        <f t="shared" si="24"/>
        <v>-</v>
      </c>
    </row>
    <row r="13" spans="1:48" x14ac:dyDescent="0.3">
      <c r="A13" s="10">
        <f t="shared" si="29"/>
        <v>2026</v>
      </c>
      <c r="B13" s="12">
        <f t="shared" si="30"/>
        <v>46023</v>
      </c>
      <c r="C13" s="18" t="s">
        <v>203</v>
      </c>
      <c r="D13" s="19" t="s">
        <v>6</v>
      </c>
      <c r="E13" s="13">
        <v>46023</v>
      </c>
      <c r="F13" s="13">
        <v>46053</v>
      </c>
      <c r="G13" s="16">
        <f t="shared" si="31"/>
        <v>31</v>
      </c>
      <c r="H13" s="13">
        <v>46047</v>
      </c>
      <c r="J13" s="16">
        <f t="shared" si="32"/>
        <v>25</v>
      </c>
      <c r="K13" s="21" cm="1">
        <f t="array" ref="K13">IFERROR(IF(COUNTIF(Cadastros!B:B,D13)&gt;0,INDEX('Metas Mensais'!A:ZZ,MATCH(Dados!D13,'Metas Mensais'!A:A,0),MATCH(Dados!B13,'Metas Mensais'!12:12,0)+1),SUMIFS(K:K,C:C,C13,D:D,IF(D13="CORTE","FEL*",IF(D13="ARRASTE","SKD*",IF(D13="TRAÇAMENTO","GAR*",""))),B:B,B13,A:A,A13)),"-")</f>
        <v>0</v>
      </c>
      <c r="L13" s="31">
        <v>0</v>
      </c>
      <c r="M13" s="21">
        <f>IFERROR(IF(COUNTIF(Cadastros!B:B,D13)&gt;0,SUMIFS('BDT''s'!V:V,'BDT''s'!K:K,Dados!D13,'BDT''s'!C:C,Dados!C13,'BDT''s'!B:B,Dados!B13,'BDT''s'!A:A,Dados!A13),SUMIFS('BDT''s'!V:V,'BDT''s'!L:L,Dados!D13,'BDT''s'!C:C,Dados!C13,'BDT''s'!B:B,Dados!B13,'BDT''s'!A:A,Dados!A13)),"-")</f>
        <v>0</v>
      </c>
      <c r="N13" s="21">
        <f t="shared" si="4"/>
        <v>0</v>
      </c>
      <c r="O13" s="23">
        <f t="shared" si="11"/>
        <v>0</v>
      </c>
      <c r="P13" s="21">
        <f t="shared" si="12"/>
        <v>0</v>
      </c>
      <c r="Q13" s="21">
        <f t="shared" si="13"/>
        <v>0</v>
      </c>
      <c r="R13" s="21" t="str">
        <f t="shared" si="14"/>
        <v>BAIXO</v>
      </c>
      <c r="S13" s="25" t="str">
        <f>IFERROR(IF(COUNTIF(Cadastros!B:B,D13)&gt;0,ROUND(AVERAGEIFS('BDT''s'!E:E,'BDT''s'!K:K,Dados!D13,'BDT''s'!C:C,Dados!C13,'BDT''s'!B:B,Dados!B13,'BDT''s'!A:A,Dados!A13),2),ROUND(AVERAGEIFS('BDT''s'!E:E,'BDT''s'!L:L,Dados!D13,'BDT''s'!C:C,Dados!C13,'BDT''s'!B:B,Dados!B13,'BDT''s'!A:A,Dados!A13),2)),"-")</f>
        <v>-</v>
      </c>
      <c r="T13" s="21" t="str">
        <f t="shared" si="5"/>
        <v>-</v>
      </c>
      <c r="U13" s="25">
        <f>IFERROR(IF(COUNTIF(Cadastros!B:B,D13)&gt;0,SUMIFS(Disponibilidade!Z:Z,Disponibilidade!E:E,Dados!D13,Disponibilidade!B:B,Dados!B13,Disponibilidade!A:A,Dados!A13),SUMIFS(Disponibilidade!Z:Z,Disponibilidade!F:F,Dados!D13,Disponibilidade!B:B,Dados!B13,Disponibilidade!A:A,Dados!A13)),"-")</f>
        <v>0</v>
      </c>
      <c r="V13" s="25">
        <f>IFERROR(IF(COUNTIF(Cadastros!B:B,D13)&gt;0,SUMIFS(Disponibilidade!AB:AB,Disponibilidade!E:E,Dados!D13,Disponibilidade!B:B,Dados!B13,Disponibilidade!A:A,Dados!A13),SUMIFS(Disponibilidade!AB:AB,Disponibilidade!F:F,Dados!D13,Disponibilidade!B:B,Dados!B13,Disponibilidade!A:A,Dados!A13)),"-")</f>
        <v>0</v>
      </c>
      <c r="W13" s="25">
        <f>IFERROR(IF(COUNTIF(Cadastros!B:B,D13)&gt;0,INDEX('Metas DM &amp; DO'!X:X,MATCH(Dados!D13,'Metas DM &amp; DO'!A:A,0)),SUMIFS(W:W,C:C,C13,D:D,IF(D13="CORTE","FEL*",IF(D13="ARRASTE","SKD*",IF(D13="TRAÇAMENTO","GAR*",""))),B:B,B13,A:A,A13)),"-")</f>
        <v>0</v>
      </c>
      <c r="X13" s="25">
        <f t="shared" si="6"/>
        <v>0</v>
      </c>
      <c r="Y13" s="25" cm="1">
        <f t="array" ref="Y13">IFERROR(IF(COUNTIF(Cadastros!B:B,D13)&gt;0,COUNTA(_xlfn.UNIQUE(_xlfn._xlws.FILTER('BDT''s'!N:N,('BDT''s'!C:C=Dados!C13)*('BDT''s'!K:K=Dados!D13)*('BDT''s'!B:B=Dados!B13)*('BDT''s'!N:N&lt;&gt;"SEM OPERADOR")))),COUNTA(_xlfn.UNIQUE(_xlfn._xlws.FILTER('BDT''s'!N:N,('BDT''s'!C:C=Dados!C13)*('BDT''s'!L:L=Dados!D13)*('BDT''s'!B:B=Dados!B13)*('BDT''s'!N:N&lt;&gt;"SEM OPERADOR"))))),"-")</f>
        <v>1</v>
      </c>
      <c r="Z13" s="21">
        <f t="shared" si="7"/>
        <v>0</v>
      </c>
      <c r="AA13" s="21">
        <f t="shared" si="15"/>
        <v>0</v>
      </c>
      <c r="AB13" s="21">
        <f t="shared" si="8"/>
        <v>0</v>
      </c>
      <c r="AC13" s="21" t="str">
        <f t="shared" si="16"/>
        <v>BAIXO</v>
      </c>
      <c r="AD13" s="25">
        <f t="shared" si="9"/>
        <v>0</v>
      </c>
      <c r="AE13" s="21" t="str">
        <f t="shared" si="17"/>
        <v>BAIXO</v>
      </c>
      <c r="AF13" s="25">
        <f>IFERROR(IF(COUNTIF(Cadastros!B:B,D13)&gt;0,SUMIFS(Diesel!J:J,Diesel!F:F,Dados!D13,Diesel!D:D,Dados!C13,Diesel!B:B,Dados!B13,Diesel!A:A,Dados!A13),SUMIFS(Diesel!J:J,Diesel!G:G,Dados!D13,Diesel!D:D,Dados!C13,Diesel!B:B,Dados!B13,Diesel!A:A,Dados!A13)),"-")</f>
        <v>0</v>
      </c>
      <c r="AG13" s="25">
        <f>IFERROR(IF(COUNTIF(Cadastros!B:B,D13)&gt;0,SUMIFS(Diesel!K:K,Diesel!F:F,Dados!D13,Diesel!D:D,Dados!C13,Diesel!B:B,Dados!B13,Diesel!A:A,Dados!A13),SUMIFS(Diesel!K:K,Diesel!G:G,Dados!D13,Diesel!D:D,Dados!C13,Diesel!B:B,Dados!B13,Diesel!A:A,Dados!A13)),"-")</f>
        <v>0</v>
      </c>
      <c r="AH13" s="25">
        <f>IFERROR(IF(COUNTIF(Cadastros!B:B,D13)&gt;0,ROUND(INDEX('Metas Diesel'!N:N,MATCH(Dados!D13,'Metas Diesel'!A:A))*COUNTIFS(Diesel!F:F,Dados!D13,Diesel!B:B,Dados!B13,Diesel!D:D,Dados!C13),3),SUMIFS(AH:AH,C:C,C13,D:D,IF(D13="CORTE","FEL*",IF(D13="ARRASTE","SKD*",IF(D13="TRAÇAMENTO","GAR*",""))),B:B,B13,A:A,A13)),"-")</f>
        <v>0</v>
      </c>
      <c r="AI13" s="25" t="str">
        <f t="shared" si="18"/>
        <v>-</v>
      </c>
      <c r="AJ13" s="25">
        <f t="shared" si="10"/>
        <v>0</v>
      </c>
      <c r="AK13" s="10" t="str">
        <f t="shared" si="19"/>
        <v>BOA</v>
      </c>
      <c r="AL13" s="23" t="str">
        <f>IFERROR(IF(COUNTIF(Cadastros!B:B,D13)&gt;0,INDEX('Metas DM &amp; DO'!O:O,MATCH(Dados!D13,'Metas DM &amp; DO'!A:A,0)),AVERAGEIFS(W:W,C:C,C13,D:D,IF(D13="CORTE","FEL*",IF(D13="ARRASTE","SKD*",IF(D13="TRAÇAMENTO","GAR*",""))),B:B,B13,A:A,A13)),"-")</f>
        <v>-</v>
      </c>
      <c r="AM13" s="23">
        <f>IFERROR(IF(COUNTIF(Cadastros!B:B,D13)&gt;0,AVERAGEIFS('Controle Mensal'!H:H,'Controle Mensal'!E:E,Dados!D13,'Controle Mensal'!B:B,Dados!B13,'Controle Mensal'!A:A,Dados!A13),AVERAGEIFS('Controle Mensal'!H:H,'Controle Mensal'!F:F,Dados!D13,'Controle Mensal'!B:B,Dados!B13,'Controle Mensal'!A:A,Dados!A13)),"-")</f>
        <v>1</v>
      </c>
      <c r="AN13" s="10" t="str">
        <f t="shared" si="20"/>
        <v>BOA</v>
      </c>
      <c r="AO13" s="23" t="str">
        <f>IFERROR(IF(COUNTIF(Cadastros!B:B,D13)&gt;0,INDEX('Metas DM &amp; DO'!S:S,MATCH(Dados!D13,'Metas DM &amp; DO'!A:A,0)),AVERAGEIFS(W:W,C:C,C13,D:D,IF(D13="CORTE","FEL*",IF(D13="ARRASTE","SKD*",IF(D13="TRAÇAMENTO","GAR*",""))),B:B,B13,A:A,A13)),"-")</f>
        <v>-</v>
      </c>
      <c r="AP13" s="23">
        <f>IFERROR(IF(COUNTIF(Cadastros!B:B,D13)&gt;0,AVERAGEIFS('Controle Mensal'!N:N,'Controle Mensal'!E:E,Dados!D13,'Controle Mensal'!B:B,Dados!B13,'Controle Mensal'!A:A,Dados!A13),AVERAGEIFS('Controle Mensal'!N:N,'Controle Mensal'!F:F,Dados!D13,'Controle Mensal'!B:B,Dados!B13,'Controle Mensal'!A:A,Dados!A13)),"-")</f>
        <v>1</v>
      </c>
      <c r="AQ13" s="10" t="str">
        <f t="shared" si="21"/>
        <v>BOA</v>
      </c>
      <c r="AR13" s="25">
        <f t="shared" si="22"/>
        <v>0</v>
      </c>
      <c r="AS13" s="10" t="str">
        <f t="shared" si="23"/>
        <v>-</v>
      </c>
      <c r="AT13" s="25" t="str">
        <f>IFERROR(IF(COUNTIF(Cadastros!B:B,D13)&gt;0,_xlfn.MINIFS('BDT''s'!Q:Q,'BDT''s'!K:K,Dados!D13,'BDT''s'!B:B,Dados!B13,'BDT''s'!C:C,Dados!C13,'BDT''s'!A:A,Dados!A13),"-"),"-")</f>
        <v>-</v>
      </c>
      <c r="AU13" s="25" t="str">
        <f>IFERROR(IF(COUNTIF(Cadastros!B:B,D13)&gt;0,_xlfn.MAXIFS('BDT''s'!Q:Q,'BDT''s'!K:K,Dados!D13,'BDT''s'!B:B,Dados!B13,'BDT''s'!C:C,Dados!C13,'BDT''s'!A:A,Dados!A13),"-"),"-")</f>
        <v>-</v>
      </c>
      <c r="AV13" s="25" t="str">
        <f t="shared" si="24"/>
        <v>-</v>
      </c>
    </row>
    <row r="14" spans="1:48" x14ac:dyDescent="0.3">
      <c r="A14" s="10">
        <f t="shared" si="29"/>
        <v>2026</v>
      </c>
      <c r="B14" s="12">
        <f t="shared" si="30"/>
        <v>46023</v>
      </c>
      <c r="C14" s="18" t="s">
        <v>201</v>
      </c>
      <c r="D14" s="19" t="s">
        <v>7</v>
      </c>
      <c r="E14" s="13">
        <v>46023</v>
      </c>
      <c r="F14" s="13">
        <v>46053</v>
      </c>
      <c r="G14" s="16">
        <f t="shared" si="31"/>
        <v>31</v>
      </c>
      <c r="H14" s="13">
        <v>46047</v>
      </c>
      <c r="J14" s="16">
        <f t="shared" si="32"/>
        <v>25</v>
      </c>
      <c r="K14" s="21" cm="1">
        <f t="array" ref="K14">IFERROR(IF(COUNTIF(Cadastros!B:B,D14)&gt;0,INDEX('Metas Mensais'!A:ZZ,MATCH(Dados!D14,'Metas Mensais'!A:A,0),MATCH(Dados!B14,'Metas Mensais'!13:13,0)+1),SUMIFS(K:K,C:C,C14,D:D,IF(D14="CORTE","FEL*",IF(D14="ARRASTE","SKD*",IF(D14="TRAÇAMENTO","GAR*",""))),B:B,B14,A:A,A14)),"-")</f>
        <v>14693.055555555555</v>
      </c>
      <c r="L14" s="31">
        <v>0</v>
      </c>
      <c r="M14" s="21">
        <f>IFERROR(IF(COUNTIF(Cadastros!B:B,D14)&gt;0,SUMIFS('BDT''s'!V:V,'BDT''s'!K:K,Dados!D14,'BDT''s'!C:C,Dados!C14,'BDT''s'!B:B,Dados!B14,'BDT''s'!A:A,Dados!A14),SUMIFS('BDT''s'!V:V,'BDT''s'!L:L,Dados!D14,'BDT''s'!C:C,Dados!C14,'BDT''s'!B:B,Dados!B14,'BDT''s'!A:A,Dados!A14)),"-")</f>
        <v>3970</v>
      </c>
      <c r="N14" s="21">
        <f t="shared" si="4"/>
        <v>4922.8</v>
      </c>
      <c r="O14" s="23">
        <f t="shared" si="11"/>
        <v>-0.66495736837130159</v>
      </c>
      <c r="P14" s="21">
        <f t="shared" si="12"/>
        <v>473.96953405017916</v>
      </c>
      <c r="Q14" s="21">
        <f t="shared" si="13"/>
        <v>158.80000000000001</v>
      </c>
      <c r="R14" s="21" t="str">
        <f t="shared" si="14"/>
        <v>BAIXO</v>
      </c>
      <c r="S14" s="25">
        <f>IFERROR(IF(COUNTIF(Cadastros!B:B,D14)&gt;0,ROUND(AVERAGEIFS('BDT''s'!E:E,'BDT''s'!K:K,Dados!D14,'BDT''s'!C:C,Dados!C14,'BDT''s'!B:B,Dados!B14,'BDT''s'!A:A,Dados!A14),2),ROUND(AVERAGEIFS('BDT''s'!E:E,'BDT''s'!L:L,Dados!D14,'BDT''s'!C:C,Dados!C14,'BDT''s'!B:B,Dados!B14,'BDT''s'!A:A,Dados!A14),2)),"-")</f>
        <v>0.16</v>
      </c>
      <c r="T14" s="21" t="str">
        <f t="shared" si="5"/>
        <v>-</v>
      </c>
      <c r="U14" s="25">
        <f>IFERROR(IF(COUNTIF(Cadastros!B:B,D14)&gt;0,SUMIFS(Disponibilidade!Z:Z,Disponibilidade!E:E,Dados!D14,Disponibilidade!B:B,Dados!B14,Disponibilidade!A:A,Dados!A14),SUMIFS(Disponibilidade!Z:Z,Disponibilidade!F:F,Dados!D14,Disponibilidade!B:B,Dados!B14,Disponibilidade!A:A,Dados!A14)),"-")</f>
        <v>0</v>
      </c>
      <c r="V14" s="25">
        <f>IFERROR(IF(COUNTIF(Cadastros!B:B,D14)&gt;0,SUMIFS(Disponibilidade!AB:AB,Disponibilidade!E:E,Dados!D14,Disponibilidade!B:B,Dados!B14,Disponibilidade!A:A,Dados!A14),SUMIFS(Disponibilidade!AB:AB,Disponibilidade!F:F,Dados!D14,Disponibilidade!B:B,Dados!B14,Disponibilidade!A:A,Dados!A14)),"-")</f>
        <v>0</v>
      </c>
      <c r="W14" s="25">
        <f>IFERROR(IF(COUNTIF(Cadastros!B:B,D14)&gt;0,INDEX('Metas DM &amp; DO'!X:X,MATCH(Dados!D14,'Metas DM &amp; DO'!A:A,0)),SUMIFS(W:W,C:C,C14,D:D,IF(D14="CORTE","FEL*",IF(D14="ARRASTE","SKD*",IF(D14="TRAÇAMENTO","GAR*",""))),B:B,B14,A:A,A14)),"-")</f>
        <v>0</v>
      </c>
      <c r="X14" s="25">
        <f t="shared" si="6"/>
        <v>0</v>
      </c>
      <c r="Y14" s="25" cm="1">
        <f t="array" ref="Y14">IFERROR(IF(COUNTIF(Cadastros!B:B,D14)&gt;0,COUNTA(_xlfn.UNIQUE(_xlfn._xlws.FILTER('BDT''s'!N:N,('BDT''s'!C:C=Dados!C14)*('BDT''s'!K:K=Dados!D14)*('BDT''s'!B:B=Dados!B14)*('BDT''s'!N:N&lt;&gt;"SEM OPERADOR")))),COUNTA(_xlfn.UNIQUE(_xlfn._xlws.FILTER('BDT''s'!N:N,('BDT''s'!C:C=Dados!C14)*('BDT''s'!L:L=Dados!D14)*('BDT''s'!B:B=Dados!B14)*('BDT''s'!N:N&lt;&gt;"SEM OPERADOR"))))),"-")</f>
        <v>4</v>
      </c>
      <c r="Z14" s="21">
        <f t="shared" si="7"/>
        <v>236.98476702508958</v>
      </c>
      <c r="AA14" s="21">
        <f t="shared" si="15"/>
        <v>5924.6191756272392</v>
      </c>
      <c r="AB14" s="21">
        <f t="shared" si="8"/>
        <v>3673.2638888888887</v>
      </c>
      <c r="AC14" s="21" t="str">
        <f t="shared" si="16"/>
        <v>BAIXO</v>
      </c>
      <c r="AD14" s="25">
        <f t="shared" si="9"/>
        <v>0</v>
      </c>
      <c r="AE14" s="21" t="str">
        <f t="shared" si="17"/>
        <v>BAIXO</v>
      </c>
      <c r="AF14" s="25">
        <f>IFERROR(IF(COUNTIF(Cadastros!B:B,D14)&gt;0,SUMIFS(Diesel!J:J,Diesel!F:F,Dados!D14,Diesel!D:D,Dados!C14,Diesel!B:B,Dados!B14,Diesel!A:A,Dados!A14),SUMIFS(Diesel!J:J,Diesel!G:G,Dados!D14,Diesel!D:D,Dados!C14,Diesel!B:B,Dados!B14,Diesel!A:A,Dados!A14)),"-")</f>
        <v>380</v>
      </c>
      <c r="AG14" s="25">
        <f>IFERROR(IF(COUNTIF(Cadastros!B:B,D14)&gt;0,SUMIFS(Diesel!K:K,Diesel!F:F,Dados!D14,Diesel!D:D,Dados!C14,Diesel!B:B,Dados!B14,Diesel!A:A,Dados!A14),SUMIFS(Diesel!K:K,Diesel!G:G,Dados!D14,Diesel!D:D,Dados!C14,Diesel!B:B,Dados!B14,Diesel!A:A,Dados!A14)),"-")</f>
        <v>11</v>
      </c>
      <c r="AH14" s="25">
        <f>IFERROR(IF(COUNTIF(Cadastros!B:B,D14)&gt;0,ROUND(INDEX('Metas Diesel'!N:N,MATCH(Dados!D14,'Metas Diesel'!A:A))*COUNTIFS(Diesel!F:F,Dados!D14,Diesel!B:B,Dados!B14,Diesel!D:D,Dados!C14),3),SUMIFS(AH:AH,C:C,C14,D:D,IF(D14="CORTE","FEL*",IF(D14="ARRASTE","SKD*",IF(D14="TRAÇAMENTO","GAR*",""))),B:B,B14,A:A,A14)),"-")</f>
        <v>215.167</v>
      </c>
      <c r="AI14" s="25">
        <f t="shared" si="18"/>
        <v>19.560636363636362</v>
      </c>
      <c r="AJ14" s="25">
        <f t="shared" si="10"/>
        <v>34.545454545454547</v>
      </c>
      <c r="AK14" s="10" t="str">
        <f t="shared" si="19"/>
        <v>RUIM</v>
      </c>
      <c r="AL14" s="23" t="str">
        <f>IFERROR(IF(COUNTIF(Cadastros!B:B,D14)&gt;0,INDEX('Metas DM &amp; DO'!O:O,MATCH(Dados!D14,'Metas DM &amp; DO'!A:A,0)),AVERAGEIFS(W:W,C:C,C14,D:D,IF(D14="CORTE","FEL*",IF(D14="ARRASTE","SKD*",IF(D14="TRAÇAMENTO","GAR*",""))),B:B,B14,A:A,A14)),"-")</f>
        <v>-</v>
      </c>
      <c r="AM14" s="23">
        <f>IFERROR(IF(COUNTIF(Cadastros!B:B,D14)&gt;0,AVERAGEIFS('Controle Mensal'!H:H,'Controle Mensal'!E:E,Dados!D14,'Controle Mensal'!B:B,Dados!B14,'Controle Mensal'!A:A,Dados!A14),AVERAGEIFS('Controle Mensal'!H:H,'Controle Mensal'!F:F,Dados!D14,'Controle Mensal'!B:B,Dados!B14,'Controle Mensal'!A:A,Dados!A14)),"-")</f>
        <v>1</v>
      </c>
      <c r="AN14" s="10" t="str">
        <f t="shared" si="20"/>
        <v>BOA</v>
      </c>
      <c r="AO14" s="23" t="str">
        <f>IFERROR(IF(COUNTIF(Cadastros!B:B,D14)&gt;0,INDEX('Metas DM &amp; DO'!S:S,MATCH(Dados!D14,'Metas DM &amp; DO'!A:A,0)),AVERAGEIFS(W:W,C:C,C14,D:D,IF(D14="CORTE","FEL*",IF(D14="ARRASTE","SKD*",IF(D14="TRAÇAMENTO","GAR*",""))),B:B,B14,A:A,A14)),"-")</f>
        <v>-</v>
      </c>
      <c r="AP14" s="23">
        <f>IFERROR(IF(COUNTIF(Cadastros!B:B,D14)&gt;0,AVERAGEIFS('Controle Mensal'!N:N,'Controle Mensal'!E:E,Dados!D14,'Controle Mensal'!B:B,Dados!B14,'Controle Mensal'!A:A,Dados!A14),AVERAGEIFS('Controle Mensal'!N:N,'Controle Mensal'!F:F,Dados!D14,'Controle Mensal'!B:B,Dados!B14,'Controle Mensal'!A:A,Dados!A14)),"-")</f>
        <v>1</v>
      </c>
      <c r="AQ14" s="10" t="str">
        <f t="shared" si="21"/>
        <v>BOA</v>
      </c>
      <c r="AR14" s="25">
        <f t="shared" si="22"/>
        <v>9.5717884130982367E-2</v>
      </c>
      <c r="AS14" s="10" t="str">
        <f t="shared" si="23"/>
        <v>-</v>
      </c>
      <c r="AT14" s="25" t="str">
        <f>IFERROR(IF(COUNTIF(Cadastros!B:B,D14)&gt;0,_xlfn.MINIFS('BDT''s'!Q:Q,'BDT''s'!K:K,Dados!D14,'BDT''s'!B:B,Dados!B14,'BDT''s'!C:C,Dados!C14,'BDT''s'!A:A,Dados!A14),"-"),"-")</f>
        <v>-</v>
      </c>
      <c r="AU14" s="25" t="str">
        <f>IFERROR(IF(COUNTIF(Cadastros!B:B,D14)&gt;0,_xlfn.MAXIFS('BDT''s'!Q:Q,'BDT''s'!K:K,Dados!D14,'BDT''s'!B:B,Dados!B14,'BDT''s'!C:C,Dados!C14,'BDT''s'!A:A,Dados!A14),"-"),"-")</f>
        <v>-</v>
      </c>
      <c r="AV14" s="25" t="str">
        <f t="shared" si="24"/>
        <v>-</v>
      </c>
    </row>
    <row r="15" spans="1:48" x14ac:dyDescent="0.3">
      <c r="A15" s="10">
        <f t="shared" si="29"/>
        <v>2026</v>
      </c>
      <c r="B15" s="12">
        <f t="shared" si="30"/>
        <v>46023</v>
      </c>
      <c r="C15" s="18" t="s">
        <v>202</v>
      </c>
      <c r="D15" s="19" t="s">
        <v>7</v>
      </c>
      <c r="E15" s="13">
        <v>46023</v>
      </c>
      <c r="F15" s="13">
        <v>46053</v>
      </c>
      <c r="G15" s="16">
        <f t="shared" si="31"/>
        <v>31</v>
      </c>
      <c r="H15" s="13">
        <v>46047</v>
      </c>
      <c r="J15" s="16">
        <f t="shared" si="32"/>
        <v>25</v>
      </c>
      <c r="K15" s="21" cm="1">
        <f t="array" ref="K15">IFERROR(IF(COUNTIF(Cadastros!B:B,D15)&gt;0,INDEX('Metas Mensais'!A:ZZ,MATCH(Dados!D15,'Metas Mensais'!A:A,0),MATCH(Dados!B15,'Metas Mensais'!14:14,0)+1),SUMIFS(K:K,C:C,C15,D:D,IF(D15="CORTE","FEL*",IF(D15="ARRASTE","SKD*",IF(D15="TRAÇAMENTO","GAR*",""))),B:B,B15,A:A,A15)),"-")</f>
        <v>0</v>
      </c>
      <c r="L15" s="31">
        <v>0</v>
      </c>
      <c r="M15" s="21">
        <f>IFERROR(IF(COUNTIF(Cadastros!B:B,D15)&gt;0,SUMIFS('BDT''s'!V:V,'BDT''s'!K:K,Dados!D15,'BDT''s'!C:C,Dados!C15,'BDT''s'!B:B,Dados!B15,'BDT''s'!A:A,Dados!A15),SUMIFS('BDT''s'!V:V,'BDT''s'!L:L,Dados!D15,'BDT''s'!C:C,Dados!C15,'BDT''s'!B:B,Dados!B15,'BDT''s'!A:A,Dados!A15)),"-")</f>
        <v>0</v>
      </c>
      <c r="N15" s="21">
        <f t="shared" si="4"/>
        <v>0</v>
      </c>
      <c r="O15" s="23">
        <f t="shared" si="11"/>
        <v>0</v>
      </c>
      <c r="P15" s="21">
        <f t="shared" si="12"/>
        <v>0</v>
      </c>
      <c r="Q15" s="21">
        <f t="shared" si="13"/>
        <v>0</v>
      </c>
      <c r="R15" s="21" t="str">
        <f t="shared" si="14"/>
        <v>BAIXO</v>
      </c>
      <c r="S15" s="25" t="str">
        <f>IFERROR(IF(COUNTIF(Cadastros!B:B,D15)&gt;0,ROUND(AVERAGEIFS('BDT''s'!E:E,'BDT''s'!K:K,Dados!D15,'BDT''s'!C:C,Dados!C15,'BDT''s'!B:B,Dados!B15,'BDT''s'!A:A,Dados!A15),2),ROUND(AVERAGEIFS('BDT''s'!E:E,'BDT''s'!L:L,Dados!D15,'BDT''s'!C:C,Dados!C15,'BDT''s'!B:B,Dados!B15,'BDT''s'!A:A,Dados!A15),2)),"-")</f>
        <v>-</v>
      </c>
      <c r="T15" s="21" t="str">
        <f t="shared" si="5"/>
        <v>-</v>
      </c>
      <c r="U15" s="25">
        <f>IFERROR(IF(COUNTIF(Cadastros!B:B,D15)&gt;0,SUMIFS(Disponibilidade!Z:Z,Disponibilidade!E:E,Dados!D15,Disponibilidade!B:B,Dados!B15,Disponibilidade!A:A,Dados!A15),SUMIFS(Disponibilidade!Z:Z,Disponibilidade!F:F,Dados!D15,Disponibilidade!B:B,Dados!B15,Disponibilidade!A:A,Dados!A15)),"-")</f>
        <v>0</v>
      </c>
      <c r="V15" s="25">
        <f>IFERROR(IF(COUNTIF(Cadastros!B:B,D15)&gt;0,SUMIFS(Disponibilidade!AB:AB,Disponibilidade!E:E,Dados!D15,Disponibilidade!B:B,Dados!B15,Disponibilidade!A:A,Dados!A15),SUMIFS(Disponibilidade!AB:AB,Disponibilidade!F:F,Dados!D15,Disponibilidade!B:B,Dados!B15,Disponibilidade!A:A,Dados!A15)),"-")</f>
        <v>0</v>
      </c>
      <c r="W15" s="25">
        <f>IFERROR(IF(COUNTIF(Cadastros!B:B,D15)&gt;0,INDEX('Metas DM &amp; DO'!X:X,MATCH(Dados!D15,'Metas DM &amp; DO'!A:A,0)),SUMIFS(W:W,C:C,C15,D:D,IF(D15="CORTE","FEL*",IF(D15="ARRASTE","SKD*",IF(D15="TRAÇAMENTO","GAR*",""))),B:B,B15,A:A,A15)),"-")</f>
        <v>0</v>
      </c>
      <c r="X15" s="25">
        <f t="shared" si="6"/>
        <v>0</v>
      </c>
      <c r="Y15" s="25" cm="1">
        <f t="array" ref="Y15">IFERROR(IF(COUNTIF(Cadastros!B:B,D15)&gt;0,COUNTA(_xlfn.UNIQUE(_xlfn._xlws.FILTER('BDT''s'!N:N,('BDT''s'!C:C=Dados!C15)*('BDT''s'!K:K=Dados!D15)*('BDT''s'!B:B=Dados!B15)*('BDT''s'!N:N&lt;&gt;"SEM OPERADOR")))),COUNTA(_xlfn.UNIQUE(_xlfn._xlws.FILTER('BDT''s'!N:N,('BDT''s'!C:C=Dados!C15)*('BDT''s'!L:L=Dados!D15)*('BDT''s'!B:B=Dados!B15)*('BDT''s'!N:N&lt;&gt;"SEM OPERADOR"))))),"-")</f>
        <v>1</v>
      </c>
      <c r="Z15" s="21">
        <f t="shared" si="7"/>
        <v>0</v>
      </c>
      <c r="AA15" s="21">
        <f t="shared" si="15"/>
        <v>0</v>
      </c>
      <c r="AB15" s="21">
        <f t="shared" si="8"/>
        <v>0</v>
      </c>
      <c r="AC15" s="21" t="str">
        <f t="shared" si="16"/>
        <v>BAIXO</v>
      </c>
      <c r="AD15" s="25">
        <f t="shared" si="9"/>
        <v>0</v>
      </c>
      <c r="AE15" s="21" t="str">
        <f t="shared" si="17"/>
        <v>BAIXO</v>
      </c>
      <c r="AF15" s="25">
        <f>IFERROR(IF(COUNTIF(Cadastros!B:B,D15)&gt;0,SUMIFS(Diesel!J:J,Diesel!F:F,Dados!D15,Diesel!D:D,Dados!C15,Diesel!B:B,Dados!B15,Diesel!A:A,Dados!A15),SUMIFS(Diesel!J:J,Diesel!G:G,Dados!D15,Diesel!D:D,Dados!C15,Diesel!B:B,Dados!B15,Diesel!A:A,Dados!A15)),"-")</f>
        <v>0</v>
      </c>
      <c r="AG15" s="25">
        <f>IFERROR(IF(COUNTIF(Cadastros!B:B,D15)&gt;0,SUMIFS(Diesel!K:K,Diesel!F:F,Dados!D15,Diesel!D:D,Dados!C15,Diesel!B:B,Dados!B15,Diesel!A:A,Dados!A15),SUMIFS(Diesel!K:K,Diesel!G:G,Dados!D15,Diesel!D:D,Dados!C15,Diesel!B:B,Dados!B15,Diesel!A:A,Dados!A15)),"-")</f>
        <v>0</v>
      </c>
      <c r="AH15" s="25">
        <f>IFERROR(IF(COUNTIF(Cadastros!B:B,D15)&gt;0,ROUND(INDEX('Metas Diesel'!N:N,MATCH(Dados!D15,'Metas Diesel'!A:A))*COUNTIFS(Diesel!F:F,Dados!D15,Diesel!B:B,Dados!B15,Diesel!D:D,Dados!C15),3),SUMIFS(AH:AH,C:C,C15,D:D,IF(D15="CORTE","FEL*",IF(D15="ARRASTE","SKD*",IF(D15="TRAÇAMENTO","GAR*",""))),B:B,B15,A:A,A15)),"-")</f>
        <v>0</v>
      </c>
      <c r="AI15" s="25" t="str">
        <f t="shared" si="18"/>
        <v>-</v>
      </c>
      <c r="AJ15" s="25">
        <f t="shared" si="10"/>
        <v>0</v>
      </c>
      <c r="AK15" s="10" t="str">
        <f t="shared" si="19"/>
        <v>BOA</v>
      </c>
      <c r="AL15" s="23" t="str">
        <f>IFERROR(IF(COUNTIF(Cadastros!B:B,D15)&gt;0,INDEX('Metas DM &amp; DO'!O:O,MATCH(Dados!D15,'Metas DM &amp; DO'!A:A,0)),AVERAGEIFS(W:W,C:C,C15,D:D,IF(D15="CORTE","FEL*",IF(D15="ARRASTE","SKD*",IF(D15="TRAÇAMENTO","GAR*",""))),B:B,B15,A:A,A15)),"-")</f>
        <v>-</v>
      </c>
      <c r="AM15" s="23">
        <f>IFERROR(IF(COUNTIF(Cadastros!B:B,D15)&gt;0,AVERAGEIFS('Controle Mensal'!H:H,'Controle Mensal'!E:E,Dados!D15,'Controle Mensal'!B:B,Dados!B15,'Controle Mensal'!A:A,Dados!A15),AVERAGEIFS('Controle Mensal'!H:H,'Controle Mensal'!F:F,Dados!D15,'Controle Mensal'!B:B,Dados!B15,'Controle Mensal'!A:A,Dados!A15)),"-")</f>
        <v>1</v>
      </c>
      <c r="AN15" s="10" t="str">
        <f t="shared" si="20"/>
        <v>BOA</v>
      </c>
      <c r="AO15" s="23" t="str">
        <f>IFERROR(IF(COUNTIF(Cadastros!B:B,D15)&gt;0,INDEX('Metas DM &amp; DO'!S:S,MATCH(Dados!D15,'Metas DM &amp; DO'!A:A,0)),AVERAGEIFS(W:W,C:C,C15,D:D,IF(D15="CORTE","FEL*",IF(D15="ARRASTE","SKD*",IF(D15="TRAÇAMENTO","GAR*",""))),B:B,B15,A:A,A15)),"-")</f>
        <v>-</v>
      </c>
      <c r="AP15" s="23">
        <f>IFERROR(IF(COUNTIF(Cadastros!B:B,D15)&gt;0,AVERAGEIFS('Controle Mensal'!N:N,'Controle Mensal'!E:E,Dados!D15,'Controle Mensal'!B:B,Dados!B15,'Controle Mensal'!A:A,Dados!A15),AVERAGEIFS('Controle Mensal'!N:N,'Controle Mensal'!F:F,Dados!D15,'Controle Mensal'!B:B,Dados!B15,'Controle Mensal'!A:A,Dados!A15)),"-")</f>
        <v>1</v>
      </c>
      <c r="AQ15" s="10" t="str">
        <f t="shared" si="21"/>
        <v>BOA</v>
      </c>
      <c r="AR15" s="25">
        <f t="shared" si="22"/>
        <v>0</v>
      </c>
      <c r="AS15" s="10" t="str">
        <f t="shared" si="23"/>
        <v>-</v>
      </c>
      <c r="AT15" s="25" t="str">
        <f>IFERROR(IF(COUNTIF(Cadastros!B:B,D15)&gt;0,_xlfn.MINIFS('BDT''s'!Q:Q,'BDT''s'!K:K,Dados!D15,'BDT''s'!B:B,Dados!B15,'BDT''s'!C:C,Dados!C15,'BDT''s'!A:A,Dados!A15),"-"),"-")</f>
        <v>-</v>
      </c>
      <c r="AU15" s="25" t="str">
        <f>IFERROR(IF(COUNTIF(Cadastros!B:B,D15)&gt;0,_xlfn.MAXIFS('BDT''s'!Q:Q,'BDT''s'!K:K,Dados!D15,'BDT''s'!B:B,Dados!B15,'BDT''s'!C:C,Dados!C15,'BDT''s'!A:A,Dados!A15),"-"),"-")</f>
        <v>-</v>
      </c>
      <c r="AV15" s="25" t="str">
        <f t="shared" si="24"/>
        <v>-</v>
      </c>
    </row>
    <row r="16" spans="1:48" x14ac:dyDescent="0.3">
      <c r="A16" s="10">
        <f t="shared" si="29"/>
        <v>2026</v>
      </c>
      <c r="B16" s="12">
        <f t="shared" si="30"/>
        <v>46023</v>
      </c>
      <c r="C16" s="18" t="s">
        <v>203</v>
      </c>
      <c r="D16" s="19" t="s">
        <v>7</v>
      </c>
      <c r="E16" s="13">
        <v>46023</v>
      </c>
      <c r="F16" s="13">
        <v>46053</v>
      </c>
      <c r="G16" s="16">
        <f t="shared" si="31"/>
        <v>31</v>
      </c>
      <c r="H16" s="13">
        <v>46047</v>
      </c>
      <c r="J16" s="16">
        <f t="shared" si="32"/>
        <v>25</v>
      </c>
      <c r="K16" s="21" cm="1">
        <f t="array" ref="K16">IFERROR(IF(COUNTIF(Cadastros!B:B,D16)&gt;0,INDEX('Metas Mensais'!A:ZZ,MATCH(Dados!D16,'Metas Mensais'!A:A,0),MATCH(Dados!B16,'Metas Mensais'!15:15,0)+1),SUMIFS(K:K,C:C,C16,D:D,IF(D16="CORTE","FEL*",IF(D16="ARRASTE","SKD*",IF(D16="TRAÇAMENTO","GAR*",""))),B:B,B16,A:A,A16)),"-")</f>
        <v>0</v>
      </c>
      <c r="L16" s="31">
        <v>0</v>
      </c>
      <c r="M16" s="21">
        <f>IFERROR(IF(COUNTIF(Cadastros!B:B,D16)&gt;0,SUMIFS('BDT''s'!V:V,'BDT''s'!K:K,Dados!D16,'BDT''s'!C:C,Dados!C16,'BDT''s'!B:B,Dados!B16,'BDT''s'!A:A,Dados!A16),SUMIFS('BDT''s'!V:V,'BDT''s'!L:L,Dados!D16,'BDT''s'!C:C,Dados!C16,'BDT''s'!B:B,Dados!B16,'BDT''s'!A:A,Dados!A16)),"-")</f>
        <v>0</v>
      </c>
      <c r="N16" s="21">
        <f t="shared" si="4"/>
        <v>0</v>
      </c>
      <c r="O16" s="23">
        <f t="shared" si="11"/>
        <v>0</v>
      </c>
      <c r="P16" s="21">
        <f t="shared" si="12"/>
        <v>0</v>
      </c>
      <c r="Q16" s="21">
        <f t="shared" si="13"/>
        <v>0</v>
      </c>
      <c r="R16" s="21" t="str">
        <f t="shared" si="14"/>
        <v>BAIXO</v>
      </c>
      <c r="S16" s="25" t="str">
        <f>IFERROR(IF(COUNTIF(Cadastros!B:B,D16)&gt;0,ROUND(AVERAGEIFS('BDT''s'!E:E,'BDT''s'!K:K,Dados!D16,'BDT''s'!C:C,Dados!C16,'BDT''s'!B:B,Dados!B16,'BDT''s'!A:A,Dados!A16),2),ROUND(AVERAGEIFS('BDT''s'!E:E,'BDT''s'!L:L,Dados!D16,'BDT''s'!C:C,Dados!C16,'BDT''s'!B:B,Dados!B16,'BDT''s'!A:A,Dados!A16),2)),"-")</f>
        <v>-</v>
      </c>
      <c r="T16" s="21" t="str">
        <f t="shared" si="5"/>
        <v>-</v>
      </c>
      <c r="U16" s="25">
        <f>IFERROR(IF(COUNTIF(Cadastros!B:B,D16)&gt;0,SUMIFS(Disponibilidade!Z:Z,Disponibilidade!E:E,Dados!D16,Disponibilidade!B:B,Dados!B16,Disponibilidade!A:A,Dados!A16),SUMIFS(Disponibilidade!Z:Z,Disponibilidade!F:F,Dados!D16,Disponibilidade!B:B,Dados!B16,Disponibilidade!A:A,Dados!A16)),"-")</f>
        <v>0</v>
      </c>
      <c r="V16" s="25">
        <f>IFERROR(IF(COUNTIF(Cadastros!B:B,D16)&gt;0,SUMIFS(Disponibilidade!AB:AB,Disponibilidade!E:E,Dados!D16,Disponibilidade!B:B,Dados!B16,Disponibilidade!A:A,Dados!A16),SUMIFS(Disponibilidade!AB:AB,Disponibilidade!F:F,Dados!D16,Disponibilidade!B:B,Dados!B16,Disponibilidade!A:A,Dados!A16)),"-")</f>
        <v>0</v>
      </c>
      <c r="W16" s="25">
        <f>IFERROR(IF(COUNTIF(Cadastros!B:B,D16)&gt;0,INDEX('Metas DM &amp; DO'!X:X,MATCH(Dados!D16,'Metas DM &amp; DO'!A:A,0)),SUMIFS(W:W,C:C,C16,D:D,IF(D16="CORTE","FEL*",IF(D16="ARRASTE","SKD*",IF(D16="TRAÇAMENTO","GAR*",""))),B:B,B16,A:A,A16)),"-")</f>
        <v>0</v>
      </c>
      <c r="X16" s="25">
        <f t="shared" si="6"/>
        <v>0</v>
      </c>
      <c r="Y16" s="25" cm="1">
        <f t="array" ref="Y16">IFERROR(IF(COUNTIF(Cadastros!B:B,D16)&gt;0,COUNTA(_xlfn.UNIQUE(_xlfn._xlws.FILTER('BDT''s'!N:N,('BDT''s'!C:C=Dados!C16)*('BDT''s'!K:K=Dados!D16)*('BDT''s'!B:B=Dados!B16)*('BDT''s'!N:N&lt;&gt;"SEM OPERADOR")))),COUNTA(_xlfn.UNIQUE(_xlfn._xlws.FILTER('BDT''s'!N:N,('BDT''s'!C:C=Dados!C16)*('BDT''s'!L:L=Dados!D16)*('BDT''s'!B:B=Dados!B16)*('BDT''s'!N:N&lt;&gt;"SEM OPERADOR"))))),"-")</f>
        <v>1</v>
      </c>
      <c r="Z16" s="21">
        <f t="shared" si="7"/>
        <v>0</v>
      </c>
      <c r="AA16" s="21">
        <f t="shared" si="15"/>
        <v>0</v>
      </c>
      <c r="AB16" s="21">
        <f t="shared" si="8"/>
        <v>0</v>
      </c>
      <c r="AC16" s="21" t="str">
        <f t="shared" si="16"/>
        <v>BAIXO</v>
      </c>
      <c r="AD16" s="25">
        <f t="shared" si="9"/>
        <v>0</v>
      </c>
      <c r="AE16" s="21" t="str">
        <f t="shared" si="17"/>
        <v>BAIXO</v>
      </c>
      <c r="AF16" s="25">
        <f>IFERROR(IF(COUNTIF(Cadastros!B:B,D16)&gt;0,SUMIFS(Diesel!J:J,Diesel!F:F,Dados!D16,Diesel!D:D,Dados!C16,Diesel!B:B,Dados!B16,Diesel!A:A,Dados!A16),SUMIFS(Diesel!J:J,Diesel!G:G,Dados!D16,Diesel!D:D,Dados!C16,Diesel!B:B,Dados!B16,Diesel!A:A,Dados!A16)),"-")</f>
        <v>0</v>
      </c>
      <c r="AG16" s="25">
        <f>IFERROR(IF(COUNTIF(Cadastros!B:B,D16)&gt;0,SUMIFS(Diesel!K:K,Diesel!F:F,Dados!D16,Diesel!D:D,Dados!C16,Diesel!B:B,Dados!B16,Diesel!A:A,Dados!A16),SUMIFS(Diesel!K:K,Diesel!G:G,Dados!D16,Diesel!D:D,Dados!C16,Diesel!B:B,Dados!B16,Diesel!A:A,Dados!A16)),"-")</f>
        <v>0</v>
      </c>
      <c r="AH16" s="25">
        <f>IFERROR(IF(COUNTIF(Cadastros!B:B,D16)&gt;0,ROUND(INDEX('Metas Diesel'!N:N,MATCH(Dados!D16,'Metas Diesel'!A:A))*COUNTIFS(Diesel!F:F,Dados!D16,Diesel!B:B,Dados!B16,Diesel!D:D,Dados!C16),3),SUMIFS(AH:AH,C:C,C16,D:D,IF(D16="CORTE","FEL*",IF(D16="ARRASTE","SKD*",IF(D16="TRAÇAMENTO","GAR*",""))),B:B,B16,A:A,A16)),"-")</f>
        <v>0</v>
      </c>
      <c r="AI16" s="25" t="str">
        <f t="shared" si="18"/>
        <v>-</v>
      </c>
      <c r="AJ16" s="25">
        <f t="shared" si="10"/>
        <v>0</v>
      </c>
      <c r="AK16" s="10" t="str">
        <f t="shared" si="19"/>
        <v>BOA</v>
      </c>
      <c r="AL16" s="23" t="str">
        <f>IFERROR(IF(COUNTIF(Cadastros!B:B,D16)&gt;0,INDEX('Metas DM &amp; DO'!O:O,MATCH(Dados!D16,'Metas DM &amp; DO'!A:A,0)),AVERAGEIFS(W:W,C:C,C16,D:D,IF(D16="CORTE","FEL*",IF(D16="ARRASTE","SKD*",IF(D16="TRAÇAMENTO","GAR*",""))),B:B,B16,A:A,A16)),"-")</f>
        <v>-</v>
      </c>
      <c r="AM16" s="23">
        <f>IFERROR(IF(COUNTIF(Cadastros!B:B,D16)&gt;0,AVERAGEIFS('Controle Mensal'!H:H,'Controle Mensal'!E:E,Dados!D16,'Controle Mensal'!B:B,Dados!B16,'Controle Mensal'!A:A,Dados!A16),AVERAGEIFS('Controle Mensal'!H:H,'Controle Mensal'!F:F,Dados!D16,'Controle Mensal'!B:B,Dados!B16,'Controle Mensal'!A:A,Dados!A16)),"-")</f>
        <v>1</v>
      </c>
      <c r="AN16" s="10" t="str">
        <f t="shared" si="20"/>
        <v>BOA</v>
      </c>
      <c r="AO16" s="23" t="str">
        <f>IFERROR(IF(COUNTIF(Cadastros!B:B,D16)&gt;0,INDEX('Metas DM &amp; DO'!S:S,MATCH(Dados!D16,'Metas DM &amp; DO'!A:A,0)),AVERAGEIFS(W:W,C:C,C16,D:D,IF(D16="CORTE","FEL*",IF(D16="ARRASTE","SKD*",IF(D16="TRAÇAMENTO","GAR*",""))),B:B,B16,A:A,A16)),"-")</f>
        <v>-</v>
      </c>
      <c r="AP16" s="23">
        <f>IFERROR(IF(COUNTIF(Cadastros!B:B,D16)&gt;0,AVERAGEIFS('Controle Mensal'!N:N,'Controle Mensal'!E:E,Dados!D16,'Controle Mensal'!B:B,Dados!B16,'Controle Mensal'!A:A,Dados!A16),AVERAGEIFS('Controle Mensal'!N:N,'Controle Mensal'!F:F,Dados!D16,'Controle Mensal'!B:B,Dados!B16,'Controle Mensal'!A:A,Dados!A16)),"-")</f>
        <v>1</v>
      </c>
      <c r="AQ16" s="10" t="str">
        <f t="shared" si="21"/>
        <v>BOA</v>
      </c>
      <c r="AR16" s="25">
        <f t="shared" si="22"/>
        <v>0</v>
      </c>
      <c r="AS16" s="10" t="str">
        <f t="shared" si="23"/>
        <v>-</v>
      </c>
      <c r="AT16" s="25" t="str">
        <f>IFERROR(IF(COUNTIF(Cadastros!B:B,D16)&gt;0,_xlfn.MINIFS('BDT''s'!Q:Q,'BDT''s'!K:K,Dados!D16,'BDT''s'!B:B,Dados!B16,'BDT''s'!C:C,Dados!C16,'BDT''s'!A:A,Dados!A16),"-"),"-")</f>
        <v>-</v>
      </c>
      <c r="AU16" s="25" t="str">
        <f>IFERROR(IF(COUNTIF(Cadastros!B:B,D16)&gt;0,_xlfn.MAXIFS('BDT''s'!Q:Q,'BDT''s'!K:K,Dados!D16,'BDT''s'!B:B,Dados!B16,'BDT''s'!C:C,Dados!C16,'BDT''s'!A:A,Dados!A16),"-"),"-")</f>
        <v>-</v>
      </c>
      <c r="AV16" s="25" t="str">
        <f t="shared" si="24"/>
        <v>-</v>
      </c>
    </row>
  </sheetData>
  <phoneticPr fontId="4" type="noConversion"/>
  <conditionalFormatting sqref="R1:R1048576 AC2:AC16 AE2:AE16">
    <cfRule type="cellIs" dxfId="6" priority="13" operator="equal">
      <formula>"BAIXO"</formula>
    </cfRule>
    <cfRule type="cellIs" dxfId="5" priority="14" operator="equal">
      <formula>"ALTO"</formula>
    </cfRule>
  </conditionalFormatting>
  <conditionalFormatting sqref="AK2:AK16 AN1:AN1048576 AQ2:AQ16">
    <cfRule type="cellIs" dxfId="4" priority="3" operator="equal">
      <formula>"RUIM"</formula>
    </cfRule>
    <cfRule type="cellIs" dxfId="3" priority="4" operator="equal">
      <formula>"BOA"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1612-8A4A-46BC-86C4-B61A716073FC}">
  <dimension ref="A1:BI7"/>
  <sheetViews>
    <sheetView workbookViewId="0">
      <selection activeCell="F6" sqref="F6"/>
    </sheetView>
  </sheetViews>
  <sheetFormatPr defaultColWidth="8.88671875" defaultRowHeight="14.4" x14ac:dyDescent="0.3"/>
  <cols>
    <col min="1" max="1" width="21" style="4" customWidth="1"/>
    <col min="2" max="2" width="16.6640625" style="10" customWidth="1"/>
    <col min="3" max="3" width="10.6640625" style="21" customWidth="1"/>
    <col min="4" max="4" width="11.44140625" style="21" customWidth="1"/>
    <col min="5" max="5" width="12" style="21" customWidth="1"/>
    <col min="6" max="6" width="15.5546875" style="21" customWidth="1"/>
    <col min="7" max="7" width="16.88671875" style="10" customWidth="1"/>
    <col min="8" max="8" width="13.44140625" style="10" customWidth="1"/>
    <col min="9" max="9" width="13.5546875" style="25" customWidth="1"/>
    <col min="10" max="10" width="13.5546875" style="17" customWidth="1"/>
    <col min="11" max="12" width="12.6640625" style="21" customWidth="1"/>
    <col min="13" max="13" width="12" style="21" customWidth="1"/>
    <col min="14" max="14" width="13.5546875" style="17" customWidth="1"/>
    <col min="15" max="17" width="10" style="21" customWidth="1"/>
    <col min="18" max="18" width="13.5546875" style="17" customWidth="1"/>
    <col min="19" max="21" width="10" style="21" customWidth="1"/>
    <col min="22" max="22" width="13.5546875" style="17" customWidth="1"/>
    <col min="23" max="25" width="10" style="21" customWidth="1"/>
    <col min="26" max="26" width="13.5546875" style="17" customWidth="1"/>
    <col min="27" max="29" width="10" style="21" customWidth="1"/>
    <col min="30" max="30" width="13.5546875" style="17" customWidth="1"/>
    <col min="31" max="33" width="10" style="21" customWidth="1"/>
    <col min="34" max="34" width="13.5546875" style="17" customWidth="1"/>
    <col min="35" max="37" width="10" style="21" customWidth="1"/>
    <col min="38" max="38" width="13.5546875" style="17" customWidth="1"/>
    <col min="39" max="41" width="10" style="21" customWidth="1"/>
    <col min="42" max="42" width="13.5546875" style="17" customWidth="1"/>
    <col min="43" max="45" width="10" style="21" customWidth="1"/>
    <col min="46" max="46" width="13.5546875" style="17" customWidth="1"/>
    <col min="47" max="49" width="10" style="21" customWidth="1"/>
    <col min="50" max="50" width="13.5546875" style="17" customWidth="1"/>
    <col min="51" max="53" width="10" style="21" customWidth="1"/>
    <col min="54" max="54" width="13.5546875" style="17" customWidth="1"/>
    <col min="55" max="57" width="10" style="21" customWidth="1"/>
    <col min="58" max="16384" width="8.88671875" style="4"/>
  </cols>
  <sheetData>
    <row r="1" spans="1:61" s="1" customFormat="1" ht="31.95" customHeight="1" x14ac:dyDescent="0.3">
      <c r="A1" s="24" t="s">
        <v>106</v>
      </c>
      <c r="B1" s="30" t="s">
        <v>50</v>
      </c>
      <c r="C1" s="20" t="s">
        <v>155</v>
      </c>
      <c r="D1" s="20" t="s">
        <v>108</v>
      </c>
      <c r="E1" s="20" t="s">
        <v>109</v>
      </c>
      <c r="F1" s="20" t="s">
        <v>156</v>
      </c>
      <c r="G1" s="24" t="s">
        <v>112</v>
      </c>
      <c r="H1" s="24" t="s">
        <v>113</v>
      </c>
      <c r="I1" s="24" t="s">
        <v>70</v>
      </c>
      <c r="J1" s="11">
        <v>46023</v>
      </c>
      <c r="K1" s="20" t="s">
        <v>117</v>
      </c>
      <c r="L1" s="20" t="s">
        <v>118</v>
      </c>
      <c r="M1" s="20" t="s">
        <v>119</v>
      </c>
      <c r="N1" s="11">
        <v>46055</v>
      </c>
      <c r="O1" s="20" t="s">
        <v>117</v>
      </c>
      <c r="P1" s="20" t="s">
        <v>118</v>
      </c>
      <c r="Q1" s="20" t="s">
        <v>119</v>
      </c>
      <c r="R1" s="11">
        <v>46084</v>
      </c>
      <c r="S1" s="20" t="s">
        <v>117</v>
      </c>
      <c r="T1" s="20" t="s">
        <v>118</v>
      </c>
      <c r="U1" s="20" t="s">
        <v>119</v>
      </c>
      <c r="V1" s="11">
        <v>46116</v>
      </c>
      <c r="W1" s="20" t="s">
        <v>117</v>
      </c>
      <c r="X1" s="20" t="s">
        <v>118</v>
      </c>
      <c r="Y1" s="20" t="s">
        <v>119</v>
      </c>
      <c r="Z1" s="11">
        <v>46147</v>
      </c>
      <c r="AA1" s="20" t="s">
        <v>117</v>
      </c>
      <c r="AB1" s="20" t="s">
        <v>118</v>
      </c>
      <c r="AC1" s="20" t="s">
        <v>119</v>
      </c>
      <c r="AD1" s="11">
        <v>46179</v>
      </c>
      <c r="AE1" s="20" t="s">
        <v>117</v>
      </c>
      <c r="AF1" s="20" t="s">
        <v>118</v>
      </c>
      <c r="AG1" s="20" t="s">
        <v>119</v>
      </c>
      <c r="AH1" s="11">
        <v>46210</v>
      </c>
      <c r="AI1" s="20" t="s">
        <v>117</v>
      </c>
      <c r="AJ1" s="20" t="s">
        <v>118</v>
      </c>
      <c r="AK1" s="20" t="s">
        <v>119</v>
      </c>
      <c r="AL1" s="11">
        <v>46242</v>
      </c>
      <c r="AM1" s="20" t="s">
        <v>117</v>
      </c>
      <c r="AN1" s="20" t="s">
        <v>118</v>
      </c>
      <c r="AO1" s="20" t="s">
        <v>119</v>
      </c>
      <c r="AP1" s="11">
        <v>46274</v>
      </c>
      <c r="AQ1" s="20" t="s">
        <v>117</v>
      </c>
      <c r="AR1" s="20" t="s">
        <v>118</v>
      </c>
      <c r="AS1" s="20" t="s">
        <v>119</v>
      </c>
      <c r="AT1" s="11">
        <v>46305</v>
      </c>
      <c r="AU1" s="20" t="s">
        <v>117</v>
      </c>
      <c r="AV1" s="20" t="s">
        <v>118</v>
      </c>
      <c r="AW1" s="20" t="s">
        <v>119</v>
      </c>
      <c r="AX1" s="11">
        <v>46337</v>
      </c>
      <c r="AY1" s="20" t="s">
        <v>117</v>
      </c>
      <c r="AZ1" s="20" t="s">
        <v>118</v>
      </c>
      <c r="BA1" s="20" t="s">
        <v>119</v>
      </c>
      <c r="BB1" s="11" t="s">
        <v>157</v>
      </c>
      <c r="BC1" s="20" t="s">
        <v>117</v>
      </c>
      <c r="BD1" s="20" t="s">
        <v>118</v>
      </c>
      <c r="BE1" s="20" t="s">
        <v>119</v>
      </c>
      <c r="BF1" s="20"/>
      <c r="BG1" s="20"/>
      <c r="BH1" s="20"/>
      <c r="BI1" s="24"/>
    </row>
    <row r="2" spans="1:61" x14ac:dyDescent="0.3">
      <c r="A2" s="4" t="s">
        <v>190</v>
      </c>
      <c r="B2" s="10" t="str">
        <f>IFERROR(VLOOKUP(A2,Cadastros!B:D,3,FALSE),"-")</f>
        <v>CORTE</v>
      </c>
      <c r="C2" s="21">
        <f>IFERROR(AVERAGEIFS('BDT''s'!W:W,'BDT''s'!K:K,'Metas Mensais'!A2,'BDT''s'!L:L,'Metas Mensais'!B2),"-")</f>
        <v>85.81772797549371</v>
      </c>
      <c r="D2" s="21" cm="1">
        <f t="array" ref="D2">IFERROR(_xlfn.PERCENTILE.INC(_xlfn._xlws.FILTER('BDT''s'!W:W,('BDT''s'!K:K='Metas Mensais'!A2)*('BDT''s'!L:L='Metas Mensais'!B2)),0.5),"-")</f>
        <v>85.85114222549737</v>
      </c>
      <c r="E2" s="21" cm="1">
        <f t="array" ref="E2">IFERROR(_xlfn.PERCENTILE.INC(_xlfn._xlws.FILTER('BDT''s'!W:W,('BDT''s'!K:K='Metas Mensais'!A2)*('BDT''s'!L:L='Metas Mensais'!B2)),0.75),"-")</f>
        <v>90.217391304347501</v>
      </c>
      <c r="F2" s="21">
        <f>IFERROR(_xlfn.MAXIFS('BDT''s'!W:W,'BDT''s'!K:K,'Metas Mensais'!A2,'BDT''s'!L:L,'Metas Mensais'!B2),"-")</f>
        <v>100</v>
      </c>
      <c r="G2" s="10">
        <f>IFERROR(COUNTIFS('BDT''s'!K:K,'Metas Mensais'!A2,'BDT''s'!L:L,'Metas Mensais'!B2),"-")</f>
        <v>4</v>
      </c>
      <c r="H2" s="10" t="str">
        <f>IFERROR(IF(C2&lt;D2,"BAIXO",IF(AND(C2&gt;=D2,C2&lt;E2),"MEDIO",IF(AND(C2&gt;=E2,C2&lt;F2),"ALTO","-"))),"-")</f>
        <v>BAIXO</v>
      </c>
      <c r="I2" s="25">
        <f>IFERROR(AVERAGE((D2/C2),(E2/C2)),"-")</f>
        <v>1.025828448756668</v>
      </c>
      <c r="J2" s="17">
        <v>46023</v>
      </c>
      <c r="K2" s="21" cm="1">
        <f t="array" ref="K2">IFERROR(SUMIFS('BDT''s'!$W:$W,'BDT''s'!$K:$K,'Metas Mensais'!$A2,'BDT''s'!$L:$L,'Metas Mensais'!$B2,'BDT''s'!$B:$B,'Metas Mensais'!J2)*'Metas Mensais'!$I2*INDEX(Dados!$J:$J,MATCH(1,('Metas Mensais'!$A2=Dados!$D:$D)*('Metas Mensais'!J2=Dados!$B:$B),0)),"-")</f>
        <v>8803.4266764922413</v>
      </c>
      <c r="L2" s="21">
        <f>IFERROR(K2*$I2,"-")</f>
        <v>9030.8055312891047</v>
      </c>
      <c r="M2" s="21">
        <f>IFERROR(L2*$I2,"-")</f>
        <v>9264.0572291854387</v>
      </c>
      <c r="N2" s="17">
        <v>46055</v>
      </c>
      <c r="O2" s="21" t="str" cm="1">
        <f t="array" ref="O2">IFERROR(SUMIFS('BDT''s'!$W:$W,'BDT''s'!$K:$K,'Metas Mensais'!$A2,'BDT''s'!$L:$L,'Metas Mensais'!$B2,'BDT''s'!$B:$B,'Metas Mensais'!N2)*'Metas Mensais'!$I2*INDEX(Dados!$J:$J,MATCH(1,('Metas Mensais'!$A2=Dados!$D:$D)*('Metas Mensais'!N2=Dados!$B:$B),0)),"-")</f>
        <v>-</v>
      </c>
      <c r="P2" s="21" t="str">
        <f>IFERROR(O2*$I2,"-")</f>
        <v>-</v>
      </c>
      <c r="Q2" s="21" t="str">
        <f>IFERROR(P2*$I2,"-")</f>
        <v>-</v>
      </c>
      <c r="R2" s="17">
        <v>46084</v>
      </c>
      <c r="S2" s="21" t="str" cm="1">
        <f t="array" ref="S2">IFERROR(SUMIFS('BDT''s'!$W:$W,'BDT''s'!$K:$K,'Metas Mensais'!$A2,'BDT''s'!$L:$L,'Metas Mensais'!$B2,'BDT''s'!$B:$B,'Metas Mensais'!R2)*'Metas Mensais'!$I2*INDEX(Dados!$J:$J,MATCH(1,('Metas Mensais'!$A2=Dados!$D:$D)*('Metas Mensais'!R2=Dados!$B:$B),0)),"-")</f>
        <v>-</v>
      </c>
      <c r="T2" s="21" t="str">
        <f>IFERROR(S2*$I2,"-")</f>
        <v>-</v>
      </c>
      <c r="U2" s="21" t="str">
        <f>IFERROR(T2*$I2,"-")</f>
        <v>-</v>
      </c>
      <c r="V2" s="17">
        <v>46116</v>
      </c>
      <c r="W2" s="21" t="str" cm="1">
        <f t="array" ref="W2">IFERROR(SUMIFS('BDT''s'!$W:$W,'BDT''s'!$K:$K,'Metas Mensais'!$A2,'BDT''s'!$L:$L,'Metas Mensais'!$B2,'BDT''s'!$B:$B,'Metas Mensais'!V2)*'Metas Mensais'!$I2*INDEX(Dados!$J:$J,MATCH(1,('Metas Mensais'!$A2=Dados!$D:$D)*('Metas Mensais'!V2=Dados!$B:$B),0)),"-")</f>
        <v>-</v>
      </c>
      <c r="X2" s="21" t="str">
        <f>IFERROR(W2*$I2,"-")</f>
        <v>-</v>
      </c>
      <c r="Y2" s="21" t="str">
        <f>IFERROR(X2*$I2,"-")</f>
        <v>-</v>
      </c>
      <c r="Z2" s="17">
        <v>46147</v>
      </c>
      <c r="AA2" s="21" t="str" cm="1">
        <f t="array" ref="AA2">IFERROR(SUMIFS('BDT''s'!$W:$W,'BDT''s'!$K:$K,'Metas Mensais'!$A2,'BDT''s'!$L:$L,'Metas Mensais'!$B2,'BDT''s'!$B:$B,'Metas Mensais'!Z2)*'Metas Mensais'!$I2*INDEX(Dados!$J:$J,MATCH(1,('Metas Mensais'!$A2=Dados!$D:$D)*('Metas Mensais'!Z2=Dados!$B:$B),0)),"-")</f>
        <v>-</v>
      </c>
      <c r="AB2" s="21" t="str">
        <f>IFERROR(AA2*$I2,"-")</f>
        <v>-</v>
      </c>
      <c r="AC2" s="21" t="str">
        <f>IFERROR(AB2*$I2,"-")</f>
        <v>-</v>
      </c>
      <c r="AD2" s="17">
        <v>46179</v>
      </c>
      <c r="AE2" s="21" t="str" cm="1">
        <f t="array" ref="AE2">IFERROR(SUMIFS('BDT''s'!$W:$W,'BDT''s'!$K:$K,'Metas Mensais'!$A2,'BDT''s'!$L:$L,'Metas Mensais'!$B2,'BDT''s'!$B:$B,'Metas Mensais'!AD2)*'Metas Mensais'!$I2*INDEX(Dados!$J:$J,MATCH(1,('Metas Mensais'!$A2=Dados!$D:$D)*('Metas Mensais'!AD2=Dados!$B:$B),0)),"-")</f>
        <v>-</v>
      </c>
      <c r="AF2" s="21" t="str">
        <f>IFERROR(AE2*$I2,"-")</f>
        <v>-</v>
      </c>
      <c r="AG2" s="21" t="str">
        <f>IFERROR(AF2*$I2,"-")</f>
        <v>-</v>
      </c>
      <c r="AH2" s="17">
        <v>46210</v>
      </c>
      <c r="AI2" s="21" t="str" cm="1">
        <f t="array" ref="AI2">IFERROR(SUMIFS('BDT''s'!$W:$W,'BDT''s'!$K:$K,'Metas Mensais'!$A2,'BDT''s'!$L:$L,'Metas Mensais'!$B2,'BDT''s'!$B:$B,'Metas Mensais'!AH2)*'Metas Mensais'!$I2*INDEX(Dados!$J:$J,MATCH(1,('Metas Mensais'!$A2=Dados!$D:$D)*('Metas Mensais'!AH2=Dados!$B:$B),0)),"-")</f>
        <v>-</v>
      </c>
      <c r="AJ2" s="21" t="str">
        <f>IFERROR(AI2*$I2,"-")</f>
        <v>-</v>
      </c>
      <c r="AK2" s="21" t="str">
        <f>IFERROR(AJ2*$I2,"-")</f>
        <v>-</v>
      </c>
      <c r="AL2" s="17">
        <v>46242</v>
      </c>
      <c r="AM2" s="21" t="str" cm="1">
        <f t="array" ref="AM2">IFERROR(SUMIFS('BDT''s'!$W:$W,'BDT''s'!$K:$K,'Metas Mensais'!$A2,'BDT''s'!$L:$L,'Metas Mensais'!$B2,'BDT''s'!$B:$B,'Metas Mensais'!AL2)*'Metas Mensais'!$I2*INDEX(Dados!$J:$J,MATCH(1,('Metas Mensais'!$A2=Dados!$D:$D)*('Metas Mensais'!AL2=Dados!$B:$B),0)),"-")</f>
        <v>-</v>
      </c>
      <c r="AN2" s="21" t="str">
        <f>IFERROR(AM2*$I2,"-")</f>
        <v>-</v>
      </c>
      <c r="AO2" s="21" t="str">
        <f>IFERROR(AN2*$I2,"-")</f>
        <v>-</v>
      </c>
      <c r="AP2" s="17">
        <v>46274</v>
      </c>
      <c r="AQ2" s="21" t="str" cm="1">
        <f t="array" ref="AQ2">IFERROR(SUMIFS('BDT''s'!$W:$W,'BDT''s'!$K:$K,'Metas Mensais'!$A2,'BDT''s'!$L:$L,'Metas Mensais'!$B2,'BDT''s'!$B:$B,'Metas Mensais'!AP2)*'Metas Mensais'!$I2*INDEX(Dados!$J:$J,MATCH(1,('Metas Mensais'!$A2=Dados!$D:$D)*('Metas Mensais'!AP2=Dados!$B:$B),0)),"-")</f>
        <v>-</v>
      </c>
      <c r="AR2" s="21" t="str">
        <f>IFERROR(AQ2*$I2,"-")</f>
        <v>-</v>
      </c>
      <c r="AS2" s="21" t="str">
        <f>IFERROR(AR2*$I2,"-")</f>
        <v>-</v>
      </c>
      <c r="AT2" s="17">
        <v>46305</v>
      </c>
      <c r="AU2" s="21" t="str" cm="1">
        <f t="array" ref="AU2">IFERROR(SUMIFS('BDT''s'!$W:$W,'BDT''s'!$K:$K,'Metas Mensais'!$A2,'BDT''s'!$L:$L,'Metas Mensais'!$B2,'BDT''s'!$B:$B,'Metas Mensais'!AT2)*'Metas Mensais'!$I2*INDEX(Dados!$J:$J,MATCH(1,('Metas Mensais'!$A2=Dados!$D:$D)*('Metas Mensais'!AT2=Dados!$B:$B),0)),"-")</f>
        <v>-</v>
      </c>
      <c r="AV2" s="21" t="str">
        <f>IFERROR(AU2*$I2,"-")</f>
        <v>-</v>
      </c>
      <c r="AW2" s="21" t="str">
        <f>IFERROR(AV2*$I2,"-")</f>
        <v>-</v>
      </c>
      <c r="AX2" s="17">
        <v>46337</v>
      </c>
      <c r="AY2" s="21" t="str" cm="1">
        <f t="array" ref="AY2">IFERROR(SUMIFS('BDT''s'!$W:$W,'BDT''s'!$K:$K,'Metas Mensais'!$A2,'BDT''s'!$L:$L,'Metas Mensais'!$B2,'BDT''s'!$B:$B,'Metas Mensais'!AX2)*'Metas Mensais'!$I2*INDEX(Dados!$J:$J,MATCH(1,('Metas Mensais'!$A2=Dados!$D:$D)*('Metas Mensais'!AX2=Dados!$B:$B),0)),"-")</f>
        <v>-</v>
      </c>
      <c r="AZ2" s="21" t="str">
        <f>IFERROR(AY2*$I2,"-")</f>
        <v>-</v>
      </c>
      <c r="BA2" s="21" t="str">
        <f>IFERROR(AZ2*$I2,"-")</f>
        <v>-</v>
      </c>
      <c r="BB2" s="17">
        <v>46368</v>
      </c>
      <c r="BC2" s="21" t="str" cm="1">
        <f t="array" ref="BC2">IFERROR(SUMIFS('BDT''s'!$W:$W,'BDT''s'!$K:$K,'Metas Mensais'!$A2,'BDT''s'!$L:$L,'Metas Mensais'!$B2,'BDT''s'!$B:$B,'Metas Mensais'!BB2)*'Metas Mensais'!$I2*INDEX(Dados!$J:$J,MATCH(1,('Metas Mensais'!$A2=Dados!$D:$D)*('Metas Mensais'!BB2=Dados!$B:$B),0)),"-")</f>
        <v>-</v>
      </c>
      <c r="BD2" s="21" t="str">
        <f>IFERROR(BC2*$I2,"-")</f>
        <v>-</v>
      </c>
      <c r="BE2" s="21" t="str">
        <f>IFERROR(BD2*$I2,"-")</f>
        <v>-</v>
      </c>
    </row>
    <row r="3" spans="1:61" x14ac:dyDescent="0.3">
      <c r="A3" s="4" t="s">
        <v>192</v>
      </c>
      <c r="B3" s="10" t="str">
        <f>IFERROR(VLOOKUP(A3,Cadastros!B:D,3,FALSE),"-")</f>
        <v>CORTE</v>
      </c>
      <c r="C3" s="21">
        <f>IFERROR(AVERAGEIFS('BDT''s'!W:W,'BDT''s'!K:K,'Metas Mensais'!A3,'BDT''s'!L:L,'Metas Mensais'!B3),"-")</f>
        <v>124.16185848770097</v>
      </c>
      <c r="D3" s="21" cm="1">
        <f t="array" ref="D3">IFERROR(_xlfn.PERCENTILE.INC(_xlfn._xlws.FILTER('BDT''s'!W:W,('BDT''s'!K:K='Metas Mensais'!A3)*('BDT''s'!L:L='Metas Mensais'!B3)),0.5),"-")</f>
        <v>114.05405405405449</v>
      </c>
      <c r="E3" s="21" cm="1">
        <f t="array" ref="E3">IFERROR(_xlfn.PERCENTILE.INC(_xlfn._xlws.FILTER('BDT''s'!W:W,('BDT''s'!K:K='Metas Mensais'!A3)*('BDT''s'!L:L='Metas Mensais'!B3)),0.75),"-")</f>
        <v>132.13483146067372</v>
      </c>
      <c r="F3" s="21">
        <f>IFERROR(_xlfn.MAXIFS('BDT''s'!W:W,'BDT''s'!K:K,'Metas Mensais'!A3,'BDT''s'!L:L,'Metas Mensais'!B3),"-")</f>
        <v>168.53932584269489</v>
      </c>
      <c r="G3" s="10">
        <f>IFERROR(COUNTIFS('BDT''s'!K:K,'Metas Mensais'!A3,'BDT''s'!L:L,'Metas Mensais'!B3),"-")</f>
        <v>4</v>
      </c>
      <c r="H3" s="10" t="str">
        <f t="shared" ref="H3:H7" si="0">IFERROR(IF(C3&lt;D3,"BAIXO",IF(AND(C3&gt;=D3,C3&lt;E3),"MEDIO",IF(AND(C3&gt;=E3,C3&lt;F3),"ALTO","-"))),"-")</f>
        <v>MEDIO</v>
      </c>
      <c r="I3" s="25">
        <f t="shared" ref="I3:I7" si="1">IFERROR(AVERAGE((D3/C3),(E3/C3)),"-")</f>
        <v>0.99140303034008959</v>
      </c>
      <c r="J3" s="17">
        <v>46023</v>
      </c>
      <c r="K3" s="21" cm="1">
        <f t="array" ref="K3">IFERROR(SUMIFS('BDT''s'!$W:$W,'BDT''s'!$K:$K,'Metas Mensais'!$A3,'BDT''s'!$L:$L,'Metas Mensais'!$B3,'BDT''s'!$B:$B,'Metas Mensais'!J3)*'Metas Mensais'!$I3*INDEX(Dados!$J:$J,MATCH(1,('Metas Mensais'!$A3=Dados!$D:$D)*('Metas Mensais'!J3=Dados!$B:$B),0)),"-")</f>
        <v>12309.44427573641</v>
      </c>
      <c r="L3" s="21">
        <f t="shared" ref="L3:M7" si="2">IFERROR(K3*$I3,"-")</f>
        <v>12203.620356767546</v>
      </c>
      <c r="M3" s="21">
        <f t="shared" si="2"/>
        <v>12098.70620281935</v>
      </c>
      <c r="N3" s="17">
        <v>46055</v>
      </c>
      <c r="O3" s="21" t="str" cm="1">
        <f t="array" ref="O3">IFERROR(SUMIFS('BDT''s'!$W:$W,'BDT''s'!$K:$K,'Metas Mensais'!$A3,'BDT''s'!$L:$L,'Metas Mensais'!$B3,'BDT''s'!$B:$B,'Metas Mensais'!N3)*'Metas Mensais'!$I3*INDEX(Dados!$J:$J,MATCH(1,('Metas Mensais'!$A3=Dados!$D:$D)*('Metas Mensais'!N3=Dados!$B:$B),0)),"-")</f>
        <v>-</v>
      </c>
      <c r="P3" s="21" t="str">
        <f t="shared" ref="P3:Q3" si="3">IFERROR(O3*$I3,"-")</f>
        <v>-</v>
      </c>
      <c r="Q3" s="21" t="str">
        <f t="shared" si="3"/>
        <v>-</v>
      </c>
      <c r="R3" s="17">
        <v>46084</v>
      </c>
      <c r="S3" s="21" t="str" cm="1">
        <f t="array" ref="S3">IFERROR(SUMIFS('BDT''s'!$W:$W,'BDT''s'!$K:$K,'Metas Mensais'!$A3,'BDT''s'!$L:$L,'Metas Mensais'!$B3,'BDT''s'!$B:$B,'Metas Mensais'!R3)*'Metas Mensais'!$I3*INDEX(Dados!$J:$J,MATCH(1,('Metas Mensais'!$A3=Dados!$D:$D)*('Metas Mensais'!R3=Dados!$B:$B),0)),"-")</f>
        <v>-</v>
      </c>
      <c r="T3" s="21" t="str">
        <f t="shared" ref="T3:U3" si="4">IFERROR(S3*$I3,"-")</f>
        <v>-</v>
      </c>
      <c r="U3" s="21" t="str">
        <f t="shared" si="4"/>
        <v>-</v>
      </c>
      <c r="V3" s="17">
        <v>46116</v>
      </c>
      <c r="W3" s="21" t="str" cm="1">
        <f t="array" ref="W3">IFERROR(SUMIFS('BDT''s'!$W:$W,'BDT''s'!$K:$K,'Metas Mensais'!$A3,'BDT''s'!$L:$L,'Metas Mensais'!$B3,'BDT''s'!$B:$B,'Metas Mensais'!V3)*'Metas Mensais'!$I3*INDEX(Dados!$J:$J,MATCH(1,('Metas Mensais'!$A3=Dados!$D:$D)*('Metas Mensais'!V3=Dados!$B:$B),0)),"-")</f>
        <v>-</v>
      </c>
      <c r="X3" s="21" t="str">
        <f t="shared" ref="X3:Y3" si="5">IFERROR(W3*$I3,"-")</f>
        <v>-</v>
      </c>
      <c r="Y3" s="21" t="str">
        <f t="shared" si="5"/>
        <v>-</v>
      </c>
      <c r="Z3" s="17">
        <v>46147</v>
      </c>
      <c r="AA3" s="21" t="str" cm="1">
        <f t="array" ref="AA3">IFERROR(SUMIFS('BDT''s'!$W:$W,'BDT''s'!$K:$K,'Metas Mensais'!$A3,'BDT''s'!$L:$L,'Metas Mensais'!$B3,'BDT''s'!$B:$B,'Metas Mensais'!Z3)*'Metas Mensais'!$I3*INDEX(Dados!$J:$J,MATCH(1,('Metas Mensais'!$A3=Dados!$D:$D)*('Metas Mensais'!Z3=Dados!$B:$B),0)),"-")</f>
        <v>-</v>
      </c>
      <c r="AB3" s="21" t="str">
        <f t="shared" ref="AB3:AC3" si="6">IFERROR(AA3*$I3,"-")</f>
        <v>-</v>
      </c>
      <c r="AC3" s="21" t="str">
        <f t="shared" si="6"/>
        <v>-</v>
      </c>
      <c r="AD3" s="17">
        <v>46179</v>
      </c>
      <c r="AE3" s="21" t="str" cm="1">
        <f t="array" ref="AE3">IFERROR(SUMIFS('BDT''s'!$W:$W,'BDT''s'!$K:$K,'Metas Mensais'!$A3,'BDT''s'!$L:$L,'Metas Mensais'!$B3,'BDT''s'!$B:$B,'Metas Mensais'!AD3)*'Metas Mensais'!$I3*INDEX(Dados!$J:$J,MATCH(1,('Metas Mensais'!$A3=Dados!$D:$D)*('Metas Mensais'!AD3=Dados!$B:$B),0)),"-")</f>
        <v>-</v>
      </c>
      <c r="AF3" s="21" t="str">
        <f t="shared" ref="AF3:AG3" si="7">IFERROR(AE3*$I3,"-")</f>
        <v>-</v>
      </c>
      <c r="AG3" s="21" t="str">
        <f t="shared" si="7"/>
        <v>-</v>
      </c>
      <c r="AH3" s="17">
        <v>46210</v>
      </c>
      <c r="AI3" s="21" t="str" cm="1">
        <f t="array" ref="AI3">IFERROR(SUMIFS('BDT''s'!$W:$W,'BDT''s'!$K:$K,'Metas Mensais'!$A3,'BDT''s'!$L:$L,'Metas Mensais'!$B3,'BDT''s'!$B:$B,'Metas Mensais'!AH3)*'Metas Mensais'!$I3*INDEX(Dados!$J:$J,MATCH(1,('Metas Mensais'!$A3=Dados!$D:$D)*('Metas Mensais'!AH3=Dados!$B:$B),0)),"-")</f>
        <v>-</v>
      </c>
      <c r="AJ3" s="21" t="str">
        <f t="shared" ref="AJ3:AK3" si="8">IFERROR(AI3*$I3,"-")</f>
        <v>-</v>
      </c>
      <c r="AK3" s="21" t="str">
        <f t="shared" si="8"/>
        <v>-</v>
      </c>
      <c r="AL3" s="17">
        <v>46242</v>
      </c>
      <c r="AM3" s="21" t="str" cm="1">
        <f t="array" ref="AM3">IFERROR(SUMIFS('BDT''s'!$W:$W,'BDT''s'!$K:$K,'Metas Mensais'!$A3,'BDT''s'!$L:$L,'Metas Mensais'!$B3,'BDT''s'!$B:$B,'Metas Mensais'!AL3)*'Metas Mensais'!$I3*INDEX(Dados!$J:$J,MATCH(1,('Metas Mensais'!$A3=Dados!$D:$D)*('Metas Mensais'!AL3=Dados!$B:$B),0)),"-")</f>
        <v>-</v>
      </c>
      <c r="AN3" s="21" t="str">
        <f t="shared" ref="AN3:AO3" si="9">IFERROR(AM3*$I3,"-")</f>
        <v>-</v>
      </c>
      <c r="AO3" s="21" t="str">
        <f t="shared" si="9"/>
        <v>-</v>
      </c>
      <c r="AP3" s="17">
        <v>46274</v>
      </c>
      <c r="AQ3" s="21" t="str" cm="1">
        <f t="array" ref="AQ3">IFERROR(SUMIFS('BDT''s'!$W:$W,'BDT''s'!$K:$K,'Metas Mensais'!$A3,'BDT''s'!$L:$L,'Metas Mensais'!$B3,'BDT''s'!$B:$B,'Metas Mensais'!AP3)*'Metas Mensais'!$I3*INDEX(Dados!$J:$J,MATCH(1,('Metas Mensais'!$A3=Dados!$D:$D)*('Metas Mensais'!AP3=Dados!$B:$B),0)),"-")</f>
        <v>-</v>
      </c>
      <c r="AR3" s="21" t="str">
        <f t="shared" ref="AR3:AS3" si="10">IFERROR(AQ3*$I3,"-")</f>
        <v>-</v>
      </c>
      <c r="AS3" s="21" t="str">
        <f t="shared" si="10"/>
        <v>-</v>
      </c>
      <c r="AT3" s="17">
        <v>46305</v>
      </c>
      <c r="AU3" s="21" t="str" cm="1">
        <f t="array" ref="AU3">IFERROR(SUMIFS('BDT''s'!$W:$W,'BDT''s'!$K:$K,'Metas Mensais'!$A3,'BDT''s'!$L:$L,'Metas Mensais'!$B3,'BDT''s'!$B:$B,'Metas Mensais'!AT3)*'Metas Mensais'!$I3*INDEX(Dados!$J:$J,MATCH(1,('Metas Mensais'!$A3=Dados!$D:$D)*('Metas Mensais'!AT3=Dados!$B:$B),0)),"-")</f>
        <v>-</v>
      </c>
      <c r="AV3" s="21" t="str">
        <f t="shared" ref="AV3:AW3" si="11">IFERROR(AU3*$I3,"-")</f>
        <v>-</v>
      </c>
      <c r="AW3" s="21" t="str">
        <f t="shared" si="11"/>
        <v>-</v>
      </c>
      <c r="AX3" s="17">
        <v>46337</v>
      </c>
      <c r="AY3" s="21" t="str" cm="1">
        <f t="array" ref="AY3">IFERROR(SUMIFS('BDT''s'!$W:$W,'BDT''s'!$K:$K,'Metas Mensais'!$A3,'BDT''s'!$L:$L,'Metas Mensais'!$B3,'BDT''s'!$B:$B,'Metas Mensais'!AX3)*'Metas Mensais'!$I3*INDEX(Dados!$J:$J,MATCH(1,('Metas Mensais'!$A3=Dados!$D:$D)*('Metas Mensais'!AX3=Dados!$B:$B),0)),"-")</f>
        <v>-</v>
      </c>
      <c r="AZ3" s="21" t="str">
        <f t="shared" ref="AZ3:BA3" si="12">IFERROR(AY3*$I3,"-")</f>
        <v>-</v>
      </c>
      <c r="BA3" s="21" t="str">
        <f t="shared" si="12"/>
        <v>-</v>
      </c>
      <c r="BB3" s="17">
        <v>46368</v>
      </c>
      <c r="BC3" s="21" t="str" cm="1">
        <f t="array" ref="BC3">IFERROR(SUMIFS('BDT''s'!$W:$W,'BDT''s'!$K:$K,'Metas Mensais'!$A3,'BDT''s'!$L:$L,'Metas Mensais'!$B3,'BDT''s'!$B:$B,'Metas Mensais'!BB3)*'Metas Mensais'!$I3*INDEX(Dados!$J:$J,MATCH(1,('Metas Mensais'!$A3=Dados!$D:$D)*('Metas Mensais'!BB3=Dados!$B:$B),0)),"-")</f>
        <v>-</v>
      </c>
      <c r="BD3" s="21" t="str">
        <f t="shared" ref="BD3:BE3" si="13">IFERROR(BC3*$I3,"-")</f>
        <v>-</v>
      </c>
      <c r="BE3" s="21" t="str">
        <f t="shared" si="13"/>
        <v>-</v>
      </c>
    </row>
    <row r="4" spans="1:61" x14ac:dyDescent="0.3">
      <c r="A4" s="4" t="s">
        <v>194</v>
      </c>
      <c r="B4" s="10" t="str">
        <f>IFERROR(VLOOKUP(A4,Cadastros!B:D,3,FALSE),"-")</f>
        <v>ARRASTE</v>
      </c>
      <c r="C4" s="21">
        <f>IFERROR(AVERAGEIFS('BDT''s'!W:W,'BDT''s'!K:K,'Metas Mensais'!A4,'BDT''s'!L:L,'Metas Mensais'!B4),"-")</f>
        <v>123.83928571428572</v>
      </c>
      <c r="D4" s="21" cm="1">
        <f t="array" ref="D4">IFERROR(_xlfn.PERCENTILE.INC(_xlfn._xlws.FILTER('BDT''s'!W:W,('BDT''s'!K:K='Metas Mensais'!A4)*('BDT''s'!L:L='Metas Mensais'!B4)),0.5),"-")</f>
        <v>121.42857142857143</v>
      </c>
      <c r="E4" s="21" cm="1">
        <f t="array" ref="E4">IFERROR(_xlfn.PERCENTILE.INC(_xlfn._xlws.FILTER('BDT''s'!W:W,('BDT''s'!K:K='Metas Mensais'!A4)*('BDT''s'!L:L='Metas Mensais'!B4)),0.75),"-")</f>
        <v>160</v>
      </c>
      <c r="F4" s="21">
        <f>IFERROR(_xlfn.MAXIFS('BDT''s'!W:W,'BDT''s'!K:K,'Metas Mensais'!A4,'BDT''s'!L:L,'Metas Mensais'!B4),"-")</f>
        <v>190</v>
      </c>
      <c r="G4" s="10">
        <f>IFERROR(COUNTIFS('BDT''s'!K:K,'Metas Mensais'!A4,'BDT''s'!L:L,'Metas Mensais'!B4),"-")</f>
        <v>4</v>
      </c>
      <c r="H4" s="10" t="str">
        <f t="shared" si="0"/>
        <v>MEDIO</v>
      </c>
      <c r="I4" s="25">
        <f t="shared" si="1"/>
        <v>1.1362653208363374</v>
      </c>
      <c r="J4" s="17">
        <v>46023</v>
      </c>
      <c r="K4" s="21" cm="1">
        <f t="array" ref="K4">IFERROR(SUMIFS('BDT''s'!$W:$W,'BDT''s'!$K:$K,'Metas Mensais'!$A4,'BDT''s'!$L:$L,'Metas Mensais'!$B4,'BDT''s'!$B:$B,'Metas Mensais'!J4)*'Metas Mensais'!$I4*INDEX(Dados!$J:$J,MATCH(1,('Metas Mensais'!$A4=Dados!$D:$D)*('Metas Mensais'!J4=Dados!$B:$B),0)),"-")</f>
        <v>14071.428571428572</v>
      </c>
      <c r="L4" s="21">
        <f t="shared" si="2"/>
        <v>15988.876300339891</v>
      </c>
      <c r="M4" s="21">
        <f t="shared" si="2"/>
        <v>18167.605659218218</v>
      </c>
      <c r="N4" s="17">
        <v>46055</v>
      </c>
      <c r="O4" s="21" t="str" cm="1">
        <f t="array" ref="O4">IFERROR(SUMIFS('BDT''s'!$W:$W,'BDT''s'!$K:$K,'Metas Mensais'!$A4,'BDT''s'!$L:$L,'Metas Mensais'!$B4,'BDT''s'!$B:$B,'Metas Mensais'!N4)*'Metas Mensais'!$I4*INDEX(Dados!$J:$J,MATCH(1,('Metas Mensais'!$A4=Dados!$D:$D)*('Metas Mensais'!N4=Dados!$B:$B),0)),"-")</f>
        <v>-</v>
      </c>
      <c r="P4" s="21" t="str">
        <f t="shared" ref="P4:Q4" si="14">IFERROR(O4*$I4,"-")</f>
        <v>-</v>
      </c>
      <c r="Q4" s="21" t="str">
        <f t="shared" si="14"/>
        <v>-</v>
      </c>
      <c r="R4" s="17">
        <v>46084</v>
      </c>
      <c r="S4" s="21" t="str" cm="1">
        <f t="array" ref="S4">IFERROR(SUMIFS('BDT''s'!$W:$W,'BDT''s'!$K:$K,'Metas Mensais'!$A4,'BDT''s'!$L:$L,'Metas Mensais'!$B4,'BDT''s'!$B:$B,'Metas Mensais'!R4)*'Metas Mensais'!$I4*INDEX(Dados!$J:$J,MATCH(1,('Metas Mensais'!$A4=Dados!$D:$D)*('Metas Mensais'!R4=Dados!$B:$B),0)),"-")</f>
        <v>-</v>
      </c>
      <c r="T4" s="21" t="str">
        <f t="shared" ref="T4:U4" si="15">IFERROR(S4*$I4,"-")</f>
        <v>-</v>
      </c>
      <c r="U4" s="21" t="str">
        <f t="shared" si="15"/>
        <v>-</v>
      </c>
      <c r="V4" s="17">
        <v>46116</v>
      </c>
      <c r="W4" s="21" t="str" cm="1">
        <f t="array" ref="W4">IFERROR(SUMIFS('BDT''s'!$W:$W,'BDT''s'!$K:$K,'Metas Mensais'!$A4,'BDT''s'!$L:$L,'Metas Mensais'!$B4,'BDT''s'!$B:$B,'Metas Mensais'!V4)*'Metas Mensais'!$I4*INDEX(Dados!$J:$J,MATCH(1,('Metas Mensais'!$A4=Dados!$D:$D)*('Metas Mensais'!V4=Dados!$B:$B),0)),"-")</f>
        <v>-</v>
      </c>
      <c r="X4" s="21" t="str">
        <f t="shared" ref="X4:Y4" si="16">IFERROR(W4*$I4,"-")</f>
        <v>-</v>
      </c>
      <c r="Y4" s="21" t="str">
        <f t="shared" si="16"/>
        <v>-</v>
      </c>
      <c r="Z4" s="17">
        <v>46147</v>
      </c>
      <c r="AA4" s="21" t="str" cm="1">
        <f t="array" ref="AA4">IFERROR(SUMIFS('BDT''s'!$W:$W,'BDT''s'!$K:$K,'Metas Mensais'!$A4,'BDT''s'!$L:$L,'Metas Mensais'!$B4,'BDT''s'!$B:$B,'Metas Mensais'!Z4)*'Metas Mensais'!$I4*INDEX(Dados!$J:$J,MATCH(1,('Metas Mensais'!$A4=Dados!$D:$D)*('Metas Mensais'!Z4=Dados!$B:$B),0)),"-")</f>
        <v>-</v>
      </c>
      <c r="AB4" s="21" t="str">
        <f t="shared" ref="AB4:AC4" si="17">IFERROR(AA4*$I4,"-")</f>
        <v>-</v>
      </c>
      <c r="AC4" s="21" t="str">
        <f t="shared" si="17"/>
        <v>-</v>
      </c>
      <c r="AD4" s="17">
        <v>46179</v>
      </c>
      <c r="AE4" s="21" t="str" cm="1">
        <f t="array" ref="AE4">IFERROR(SUMIFS('BDT''s'!$W:$W,'BDT''s'!$K:$K,'Metas Mensais'!$A4,'BDT''s'!$L:$L,'Metas Mensais'!$B4,'BDT''s'!$B:$B,'Metas Mensais'!AD4)*'Metas Mensais'!$I4*INDEX(Dados!$J:$J,MATCH(1,('Metas Mensais'!$A4=Dados!$D:$D)*('Metas Mensais'!AD4=Dados!$B:$B),0)),"-")</f>
        <v>-</v>
      </c>
      <c r="AF4" s="21" t="str">
        <f t="shared" ref="AF4:AG4" si="18">IFERROR(AE4*$I4,"-")</f>
        <v>-</v>
      </c>
      <c r="AG4" s="21" t="str">
        <f t="shared" si="18"/>
        <v>-</v>
      </c>
      <c r="AH4" s="17">
        <v>46210</v>
      </c>
      <c r="AI4" s="21" t="str" cm="1">
        <f t="array" ref="AI4">IFERROR(SUMIFS('BDT''s'!$W:$W,'BDT''s'!$K:$K,'Metas Mensais'!$A4,'BDT''s'!$L:$L,'Metas Mensais'!$B4,'BDT''s'!$B:$B,'Metas Mensais'!AH4)*'Metas Mensais'!$I4*INDEX(Dados!$J:$J,MATCH(1,('Metas Mensais'!$A4=Dados!$D:$D)*('Metas Mensais'!AH4=Dados!$B:$B),0)),"-")</f>
        <v>-</v>
      </c>
      <c r="AJ4" s="21" t="str">
        <f t="shared" ref="AJ4:AK4" si="19">IFERROR(AI4*$I4,"-")</f>
        <v>-</v>
      </c>
      <c r="AK4" s="21" t="str">
        <f t="shared" si="19"/>
        <v>-</v>
      </c>
      <c r="AL4" s="17">
        <v>46242</v>
      </c>
      <c r="AM4" s="21" t="str" cm="1">
        <f t="array" ref="AM4">IFERROR(SUMIFS('BDT''s'!$W:$W,'BDT''s'!$K:$K,'Metas Mensais'!$A4,'BDT''s'!$L:$L,'Metas Mensais'!$B4,'BDT''s'!$B:$B,'Metas Mensais'!AL4)*'Metas Mensais'!$I4*INDEX(Dados!$J:$J,MATCH(1,('Metas Mensais'!$A4=Dados!$D:$D)*('Metas Mensais'!AL4=Dados!$B:$B),0)),"-")</f>
        <v>-</v>
      </c>
      <c r="AN4" s="21" t="str">
        <f t="shared" ref="AN4:AO4" si="20">IFERROR(AM4*$I4,"-")</f>
        <v>-</v>
      </c>
      <c r="AO4" s="21" t="str">
        <f t="shared" si="20"/>
        <v>-</v>
      </c>
      <c r="AP4" s="17">
        <v>46274</v>
      </c>
      <c r="AQ4" s="21" t="str" cm="1">
        <f t="array" ref="AQ4">IFERROR(SUMIFS('BDT''s'!$W:$W,'BDT''s'!$K:$K,'Metas Mensais'!$A4,'BDT''s'!$L:$L,'Metas Mensais'!$B4,'BDT''s'!$B:$B,'Metas Mensais'!AP4)*'Metas Mensais'!$I4*INDEX(Dados!$J:$J,MATCH(1,('Metas Mensais'!$A4=Dados!$D:$D)*('Metas Mensais'!AP4=Dados!$B:$B),0)),"-")</f>
        <v>-</v>
      </c>
      <c r="AR4" s="21" t="str">
        <f t="shared" ref="AR4:AS4" si="21">IFERROR(AQ4*$I4,"-")</f>
        <v>-</v>
      </c>
      <c r="AS4" s="21" t="str">
        <f t="shared" si="21"/>
        <v>-</v>
      </c>
      <c r="AT4" s="17">
        <v>46305</v>
      </c>
      <c r="AU4" s="21" t="str" cm="1">
        <f t="array" ref="AU4">IFERROR(SUMIFS('BDT''s'!$W:$W,'BDT''s'!$K:$K,'Metas Mensais'!$A4,'BDT''s'!$L:$L,'Metas Mensais'!$B4,'BDT''s'!$B:$B,'Metas Mensais'!AT4)*'Metas Mensais'!$I4*INDEX(Dados!$J:$J,MATCH(1,('Metas Mensais'!$A4=Dados!$D:$D)*('Metas Mensais'!AT4=Dados!$B:$B),0)),"-")</f>
        <v>-</v>
      </c>
      <c r="AV4" s="21" t="str">
        <f t="shared" ref="AV4:AW4" si="22">IFERROR(AU4*$I4,"-")</f>
        <v>-</v>
      </c>
      <c r="AW4" s="21" t="str">
        <f t="shared" si="22"/>
        <v>-</v>
      </c>
      <c r="AX4" s="17">
        <v>46337</v>
      </c>
      <c r="AY4" s="21" t="str" cm="1">
        <f t="array" ref="AY4">IFERROR(SUMIFS('BDT''s'!$W:$W,'BDT''s'!$K:$K,'Metas Mensais'!$A4,'BDT''s'!$L:$L,'Metas Mensais'!$B4,'BDT''s'!$B:$B,'Metas Mensais'!AX4)*'Metas Mensais'!$I4*INDEX(Dados!$J:$J,MATCH(1,('Metas Mensais'!$A4=Dados!$D:$D)*('Metas Mensais'!AX4=Dados!$B:$B),0)),"-")</f>
        <v>-</v>
      </c>
      <c r="AZ4" s="21" t="str">
        <f t="shared" ref="AZ4:BA4" si="23">IFERROR(AY4*$I4,"-")</f>
        <v>-</v>
      </c>
      <c r="BA4" s="21" t="str">
        <f t="shared" si="23"/>
        <v>-</v>
      </c>
      <c r="BB4" s="17">
        <v>46368</v>
      </c>
      <c r="BC4" s="21" t="str" cm="1">
        <f t="array" ref="BC4">IFERROR(SUMIFS('BDT''s'!$W:$W,'BDT''s'!$K:$K,'Metas Mensais'!$A4,'BDT''s'!$L:$L,'Metas Mensais'!$B4,'BDT''s'!$B:$B,'Metas Mensais'!BB4)*'Metas Mensais'!$I4*INDEX(Dados!$J:$J,MATCH(1,('Metas Mensais'!$A4=Dados!$D:$D)*('Metas Mensais'!BB4=Dados!$B:$B),0)),"-")</f>
        <v>-</v>
      </c>
      <c r="BD4" s="21" t="str">
        <f t="shared" ref="BD4:BE4" si="24">IFERROR(BC4*$I4,"-")</f>
        <v>-</v>
      </c>
      <c r="BE4" s="21" t="str">
        <f t="shared" si="24"/>
        <v>-</v>
      </c>
    </row>
    <row r="5" spans="1:61" x14ac:dyDescent="0.3">
      <c r="A5" s="4" t="s">
        <v>196</v>
      </c>
      <c r="B5" s="10" t="str">
        <f>IFERROR(VLOOKUP(A5,Cadastros!B:D,3,FALSE),"-")</f>
        <v>ARRASTE</v>
      </c>
      <c r="C5" s="21">
        <f>IFERROR(AVERAGEIFS('BDT''s'!W:W,'BDT''s'!K:K,'Metas Mensais'!A5,'BDT''s'!L:L,'Metas Mensais'!B5),"-")</f>
        <v>90.580808080808083</v>
      </c>
      <c r="D5" s="21" cm="1">
        <f t="array" ref="D5">IFERROR(_xlfn.PERCENTILE.INC(_xlfn._xlws.FILTER('BDT''s'!W:W,('BDT''s'!K:K='Metas Mensais'!A5)*('BDT''s'!L:L='Metas Mensais'!B5)),0.5),"-")</f>
        <v>83.888888888888886</v>
      </c>
      <c r="E5" s="21" cm="1">
        <f t="array" ref="E5">IFERROR(_xlfn.PERCENTILE.INC(_xlfn._xlws.FILTER('BDT''s'!W:W,('BDT''s'!K:K='Metas Mensais'!A5)*('BDT''s'!L:L='Metas Mensais'!B5)),0.75),"-")</f>
        <v>97.5</v>
      </c>
      <c r="F5" s="21">
        <f>IFERROR(_xlfn.MAXIFS('BDT''s'!W:W,'BDT''s'!K:K,'Metas Mensais'!A5,'BDT''s'!L:L,'Metas Mensais'!B5),"-")</f>
        <v>120</v>
      </c>
      <c r="G5" s="10">
        <f>IFERROR(COUNTIFS('BDT''s'!K:K,'Metas Mensais'!A5,'BDT''s'!L:L,'Metas Mensais'!B5),"-")</f>
        <v>4</v>
      </c>
      <c r="H5" s="10" t="str">
        <f t="shared" si="0"/>
        <v>MEDIO</v>
      </c>
      <c r="I5" s="25">
        <f t="shared" si="1"/>
        <v>1.0012545302481182</v>
      </c>
      <c r="J5" s="17">
        <v>46023</v>
      </c>
      <c r="K5" s="21" cm="1">
        <f t="array" ref="K5">IFERROR(SUMIFS('BDT''s'!$W:$W,'BDT''s'!$K:$K,'Metas Mensais'!$A5,'BDT''s'!$L:$L,'Metas Mensais'!$B5,'BDT''s'!$B:$B,'Metas Mensais'!J5)*'Metas Mensais'!$I5*INDEX(Dados!$J:$J,MATCH(1,('Metas Mensais'!$A5=Dados!$D:$D)*('Metas Mensais'!J5=Dados!$B:$B),0)),"-")</f>
        <v>9069.4444444444434</v>
      </c>
      <c r="L5" s="21">
        <f t="shared" si="2"/>
        <v>9080.8223368336257</v>
      </c>
      <c r="M5" s="21">
        <f t="shared" si="2"/>
        <v>9092.214503132971</v>
      </c>
      <c r="N5" s="17">
        <v>46055</v>
      </c>
      <c r="O5" s="21" t="str" cm="1">
        <f t="array" ref="O5">IFERROR(SUMIFS('BDT''s'!$W:$W,'BDT''s'!$K:$K,'Metas Mensais'!$A5,'BDT''s'!$L:$L,'Metas Mensais'!$B5,'BDT''s'!$B:$B,'Metas Mensais'!N5)*'Metas Mensais'!$I5*INDEX(Dados!$J:$J,MATCH(1,('Metas Mensais'!$A5=Dados!$D:$D)*('Metas Mensais'!N5=Dados!$B:$B),0)),"-")</f>
        <v>-</v>
      </c>
      <c r="P5" s="21" t="str">
        <f t="shared" ref="P5:Q5" si="25">IFERROR(O5*$I5,"-")</f>
        <v>-</v>
      </c>
      <c r="Q5" s="21" t="str">
        <f t="shared" si="25"/>
        <v>-</v>
      </c>
      <c r="R5" s="17">
        <v>46084</v>
      </c>
      <c r="S5" s="21" t="str" cm="1">
        <f t="array" ref="S5">IFERROR(SUMIFS('BDT''s'!$W:$W,'BDT''s'!$K:$K,'Metas Mensais'!$A5,'BDT''s'!$L:$L,'Metas Mensais'!$B5,'BDT''s'!$B:$B,'Metas Mensais'!R5)*'Metas Mensais'!$I5*INDEX(Dados!$J:$J,MATCH(1,('Metas Mensais'!$A5=Dados!$D:$D)*('Metas Mensais'!R5=Dados!$B:$B),0)),"-")</f>
        <v>-</v>
      </c>
      <c r="T5" s="21" t="str">
        <f t="shared" ref="T5:U5" si="26">IFERROR(S5*$I5,"-")</f>
        <v>-</v>
      </c>
      <c r="U5" s="21" t="str">
        <f t="shared" si="26"/>
        <v>-</v>
      </c>
      <c r="V5" s="17">
        <v>46116</v>
      </c>
      <c r="W5" s="21" t="str" cm="1">
        <f t="array" ref="W5">IFERROR(SUMIFS('BDT''s'!$W:$W,'BDT''s'!$K:$K,'Metas Mensais'!$A5,'BDT''s'!$L:$L,'Metas Mensais'!$B5,'BDT''s'!$B:$B,'Metas Mensais'!V5)*'Metas Mensais'!$I5*INDEX(Dados!$J:$J,MATCH(1,('Metas Mensais'!$A5=Dados!$D:$D)*('Metas Mensais'!V5=Dados!$B:$B),0)),"-")</f>
        <v>-</v>
      </c>
      <c r="X5" s="21" t="str">
        <f t="shared" ref="X5:Y5" si="27">IFERROR(W5*$I5,"-")</f>
        <v>-</v>
      </c>
      <c r="Y5" s="21" t="str">
        <f t="shared" si="27"/>
        <v>-</v>
      </c>
      <c r="Z5" s="17">
        <v>46147</v>
      </c>
      <c r="AA5" s="21" t="str" cm="1">
        <f t="array" ref="AA5">IFERROR(SUMIFS('BDT''s'!$W:$W,'BDT''s'!$K:$K,'Metas Mensais'!$A5,'BDT''s'!$L:$L,'Metas Mensais'!$B5,'BDT''s'!$B:$B,'Metas Mensais'!Z5)*'Metas Mensais'!$I5*INDEX(Dados!$J:$J,MATCH(1,('Metas Mensais'!$A5=Dados!$D:$D)*('Metas Mensais'!Z5=Dados!$B:$B),0)),"-")</f>
        <v>-</v>
      </c>
      <c r="AB5" s="21" t="str">
        <f t="shared" ref="AB5:AC5" si="28">IFERROR(AA5*$I5,"-")</f>
        <v>-</v>
      </c>
      <c r="AC5" s="21" t="str">
        <f t="shared" si="28"/>
        <v>-</v>
      </c>
      <c r="AD5" s="17">
        <v>46179</v>
      </c>
      <c r="AE5" s="21" t="str" cm="1">
        <f t="array" ref="AE5">IFERROR(SUMIFS('BDT''s'!$W:$W,'BDT''s'!$K:$K,'Metas Mensais'!$A5,'BDT''s'!$L:$L,'Metas Mensais'!$B5,'BDT''s'!$B:$B,'Metas Mensais'!AD5)*'Metas Mensais'!$I5*INDEX(Dados!$J:$J,MATCH(1,('Metas Mensais'!$A5=Dados!$D:$D)*('Metas Mensais'!AD5=Dados!$B:$B),0)),"-")</f>
        <v>-</v>
      </c>
      <c r="AF5" s="21" t="str">
        <f t="shared" ref="AF5:AG5" si="29">IFERROR(AE5*$I5,"-")</f>
        <v>-</v>
      </c>
      <c r="AG5" s="21" t="str">
        <f t="shared" si="29"/>
        <v>-</v>
      </c>
      <c r="AH5" s="17">
        <v>46210</v>
      </c>
      <c r="AI5" s="21" t="str" cm="1">
        <f t="array" ref="AI5">IFERROR(SUMIFS('BDT''s'!$W:$W,'BDT''s'!$K:$K,'Metas Mensais'!$A5,'BDT''s'!$L:$L,'Metas Mensais'!$B5,'BDT''s'!$B:$B,'Metas Mensais'!AH5)*'Metas Mensais'!$I5*INDEX(Dados!$J:$J,MATCH(1,('Metas Mensais'!$A5=Dados!$D:$D)*('Metas Mensais'!AH5=Dados!$B:$B),0)),"-")</f>
        <v>-</v>
      </c>
      <c r="AJ5" s="21" t="str">
        <f t="shared" ref="AJ5:AK5" si="30">IFERROR(AI5*$I5,"-")</f>
        <v>-</v>
      </c>
      <c r="AK5" s="21" t="str">
        <f t="shared" si="30"/>
        <v>-</v>
      </c>
      <c r="AL5" s="17">
        <v>46242</v>
      </c>
      <c r="AM5" s="21" t="str" cm="1">
        <f t="array" ref="AM5">IFERROR(SUMIFS('BDT''s'!$W:$W,'BDT''s'!$K:$K,'Metas Mensais'!$A5,'BDT''s'!$L:$L,'Metas Mensais'!$B5,'BDT''s'!$B:$B,'Metas Mensais'!AL5)*'Metas Mensais'!$I5*INDEX(Dados!$J:$J,MATCH(1,('Metas Mensais'!$A5=Dados!$D:$D)*('Metas Mensais'!AL5=Dados!$B:$B),0)),"-")</f>
        <v>-</v>
      </c>
      <c r="AN5" s="21" t="str">
        <f t="shared" ref="AN5:AO5" si="31">IFERROR(AM5*$I5,"-")</f>
        <v>-</v>
      </c>
      <c r="AO5" s="21" t="str">
        <f t="shared" si="31"/>
        <v>-</v>
      </c>
      <c r="AP5" s="17">
        <v>46274</v>
      </c>
      <c r="AQ5" s="21" t="str" cm="1">
        <f t="array" ref="AQ5">IFERROR(SUMIFS('BDT''s'!$W:$W,'BDT''s'!$K:$K,'Metas Mensais'!$A5,'BDT''s'!$L:$L,'Metas Mensais'!$B5,'BDT''s'!$B:$B,'Metas Mensais'!AP5)*'Metas Mensais'!$I5*INDEX(Dados!$J:$J,MATCH(1,('Metas Mensais'!$A5=Dados!$D:$D)*('Metas Mensais'!AP5=Dados!$B:$B),0)),"-")</f>
        <v>-</v>
      </c>
      <c r="AR5" s="21" t="str">
        <f t="shared" ref="AR5:AS5" si="32">IFERROR(AQ5*$I5,"-")</f>
        <v>-</v>
      </c>
      <c r="AS5" s="21" t="str">
        <f t="shared" si="32"/>
        <v>-</v>
      </c>
      <c r="AT5" s="17">
        <v>46305</v>
      </c>
      <c r="AU5" s="21" t="str" cm="1">
        <f t="array" ref="AU5">IFERROR(SUMIFS('BDT''s'!$W:$W,'BDT''s'!$K:$K,'Metas Mensais'!$A5,'BDT''s'!$L:$L,'Metas Mensais'!$B5,'BDT''s'!$B:$B,'Metas Mensais'!AT5)*'Metas Mensais'!$I5*INDEX(Dados!$J:$J,MATCH(1,('Metas Mensais'!$A5=Dados!$D:$D)*('Metas Mensais'!AT5=Dados!$B:$B),0)),"-")</f>
        <v>-</v>
      </c>
      <c r="AV5" s="21" t="str">
        <f t="shared" ref="AV5:AW5" si="33">IFERROR(AU5*$I5,"-")</f>
        <v>-</v>
      </c>
      <c r="AW5" s="21" t="str">
        <f t="shared" si="33"/>
        <v>-</v>
      </c>
      <c r="AX5" s="17">
        <v>46337</v>
      </c>
      <c r="AY5" s="21" t="str" cm="1">
        <f t="array" ref="AY5">IFERROR(SUMIFS('BDT''s'!$W:$W,'BDT''s'!$K:$K,'Metas Mensais'!$A5,'BDT''s'!$L:$L,'Metas Mensais'!$B5,'BDT''s'!$B:$B,'Metas Mensais'!AX5)*'Metas Mensais'!$I5*INDEX(Dados!$J:$J,MATCH(1,('Metas Mensais'!$A5=Dados!$D:$D)*('Metas Mensais'!AX5=Dados!$B:$B),0)),"-")</f>
        <v>-</v>
      </c>
      <c r="AZ5" s="21" t="str">
        <f t="shared" ref="AZ5:BA5" si="34">IFERROR(AY5*$I5,"-")</f>
        <v>-</v>
      </c>
      <c r="BA5" s="21" t="str">
        <f t="shared" si="34"/>
        <v>-</v>
      </c>
      <c r="BB5" s="17">
        <v>46368</v>
      </c>
      <c r="BC5" s="21" t="str" cm="1">
        <f t="array" ref="BC5">IFERROR(SUMIFS('BDT''s'!$W:$W,'BDT''s'!$K:$K,'Metas Mensais'!$A5,'BDT''s'!$L:$L,'Metas Mensais'!$B5,'BDT''s'!$B:$B,'Metas Mensais'!BB5)*'Metas Mensais'!$I5*INDEX(Dados!$J:$J,MATCH(1,('Metas Mensais'!$A5=Dados!$D:$D)*('Metas Mensais'!BB5=Dados!$B:$B),0)),"-")</f>
        <v>-</v>
      </c>
      <c r="BD5" s="21" t="str">
        <f t="shared" ref="BD5:BE5" si="35">IFERROR(BC5*$I5,"-")</f>
        <v>-</v>
      </c>
      <c r="BE5" s="21" t="str">
        <f t="shared" si="35"/>
        <v>-</v>
      </c>
    </row>
    <row r="6" spans="1:61" x14ac:dyDescent="0.3">
      <c r="A6" s="4" t="s">
        <v>198</v>
      </c>
      <c r="B6" s="10" t="str">
        <f>IFERROR(VLOOKUP(A6,Cadastros!B:D,3,FALSE),"-")</f>
        <v>TRAÇAMENTO</v>
      </c>
      <c r="C6" s="21">
        <f>IFERROR(AVERAGEIFS('BDT''s'!W:W,'BDT''s'!K:K,'Metas Mensais'!A6,'BDT''s'!L:L,'Metas Mensais'!B6),"-")</f>
        <v>60.7638888888889</v>
      </c>
      <c r="D6" s="21" cm="1">
        <f t="array" ref="D6">IFERROR(_xlfn.PERCENTILE.INC(_xlfn._xlws.FILTER('BDT''s'!W:W,('BDT''s'!K:K='Metas Mensais'!A6)*('BDT''s'!L:L='Metas Mensais'!B6)),0.5),"-")</f>
        <v>66.111111111111114</v>
      </c>
      <c r="E6" s="21" cm="1">
        <f t="array" ref="E6">IFERROR(_xlfn.PERCENTILE.INC(_xlfn._xlws.FILTER('BDT''s'!W:W,('BDT''s'!K:K='Metas Mensais'!A6)*('BDT''s'!L:L='Metas Mensais'!B6)),0.75),"-")</f>
        <v>68.75</v>
      </c>
      <c r="F6" s="21">
        <f>IFERROR(_xlfn.MAXIFS('BDT''s'!W:W,'BDT''s'!K:K,'Metas Mensais'!A6,'BDT''s'!L:L,'Metas Mensais'!B6),"-")</f>
        <v>75</v>
      </c>
      <c r="G6" s="10">
        <f>IFERROR(COUNTIFS('BDT''s'!K:K,'Metas Mensais'!A6,'BDT''s'!L:L,'Metas Mensais'!B6),"-")</f>
        <v>4</v>
      </c>
      <c r="H6" s="10" t="str">
        <f t="shared" si="0"/>
        <v>BAIXO</v>
      </c>
      <c r="I6" s="25">
        <f t="shared" si="1"/>
        <v>1.1097142857142854</v>
      </c>
      <c r="J6" s="17">
        <v>46023</v>
      </c>
      <c r="K6" s="21" cm="1">
        <f t="array" ref="K6">IFERROR(SUMIFS('BDT''s'!$W:$W,'BDT''s'!$K:$K,'Metas Mensais'!$A6,'BDT''s'!$L:$L,'Metas Mensais'!$B6,'BDT''s'!$B:$B,'Metas Mensais'!J6)*'Metas Mensais'!$I6*INDEX(Dados!$J:$J,MATCH(1,('Metas Mensais'!$A6=Dados!$D:$D)*('Metas Mensais'!J6=Dados!$B:$B),0)),"-")</f>
        <v>6743.0555555555557</v>
      </c>
      <c r="L6" s="21">
        <f t="shared" si="2"/>
        <v>7482.8650793650777</v>
      </c>
      <c r="M6" s="21">
        <f t="shared" si="2"/>
        <v>8303.8422766439871</v>
      </c>
      <c r="N6" s="17">
        <v>46055</v>
      </c>
      <c r="O6" s="21" t="str" cm="1">
        <f t="array" ref="O6">IFERROR(SUMIFS('BDT''s'!$W:$W,'BDT''s'!$K:$K,'Metas Mensais'!$A6,'BDT''s'!$L:$L,'Metas Mensais'!$B6,'BDT''s'!$B:$B,'Metas Mensais'!N6)*'Metas Mensais'!$I6*INDEX(Dados!$J:$J,MATCH(1,('Metas Mensais'!$A6=Dados!$D:$D)*('Metas Mensais'!N6=Dados!$B:$B),0)),"-")</f>
        <v>-</v>
      </c>
      <c r="P6" s="21" t="str">
        <f t="shared" ref="P6:Q6" si="36">IFERROR(O6*$I6,"-")</f>
        <v>-</v>
      </c>
      <c r="Q6" s="21" t="str">
        <f t="shared" si="36"/>
        <v>-</v>
      </c>
      <c r="R6" s="17">
        <v>46084</v>
      </c>
      <c r="S6" s="21" t="str" cm="1">
        <f t="array" ref="S6">IFERROR(SUMIFS('BDT''s'!$W:$W,'BDT''s'!$K:$K,'Metas Mensais'!$A6,'BDT''s'!$L:$L,'Metas Mensais'!$B6,'BDT''s'!$B:$B,'Metas Mensais'!R6)*'Metas Mensais'!$I6*INDEX(Dados!$J:$J,MATCH(1,('Metas Mensais'!$A6=Dados!$D:$D)*('Metas Mensais'!R6=Dados!$B:$B),0)),"-")</f>
        <v>-</v>
      </c>
      <c r="T6" s="21" t="str">
        <f t="shared" ref="T6:U6" si="37">IFERROR(S6*$I6,"-")</f>
        <v>-</v>
      </c>
      <c r="U6" s="21" t="str">
        <f t="shared" si="37"/>
        <v>-</v>
      </c>
      <c r="V6" s="17">
        <v>46116</v>
      </c>
      <c r="W6" s="21" t="str" cm="1">
        <f t="array" ref="W6">IFERROR(SUMIFS('BDT''s'!$W:$W,'BDT''s'!$K:$K,'Metas Mensais'!$A6,'BDT''s'!$L:$L,'Metas Mensais'!$B6,'BDT''s'!$B:$B,'Metas Mensais'!V6)*'Metas Mensais'!$I6*INDEX(Dados!$J:$J,MATCH(1,('Metas Mensais'!$A6=Dados!$D:$D)*('Metas Mensais'!V6=Dados!$B:$B),0)),"-")</f>
        <v>-</v>
      </c>
      <c r="X6" s="21" t="str">
        <f t="shared" ref="X6:Y6" si="38">IFERROR(W6*$I6,"-")</f>
        <v>-</v>
      </c>
      <c r="Y6" s="21" t="str">
        <f t="shared" si="38"/>
        <v>-</v>
      </c>
      <c r="Z6" s="17">
        <v>46147</v>
      </c>
      <c r="AA6" s="21" t="str" cm="1">
        <f t="array" ref="AA6">IFERROR(SUMIFS('BDT''s'!$W:$W,'BDT''s'!$K:$K,'Metas Mensais'!$A6,'BDT''s'!$L:$L,'Metas Mensais'!$B6,'BDT''s'!$B:$B,'Metas Mensais'!Z6)*'Metas Mensais'!$I6*INDEX(Dados!$J:$J,MATCH(1,('Metas Mensais'!$A6=Dados!$D:$D)*('Metas Mensais'!Z6=Dados!$B:$B),0)),"-")</f>
        <v>-</v>
      </c>
      <c r="AB6" s="21" t="str">
        <f t="shared" ref="AB6:AC6" si="39">IFERROR(AA6*$I6,"-")</f>
        <v>-</v>
      </c>
      <c r="AC6" s="21" t="str">
        <f t="shared" si="39"/>
        <v>-</v>
      </c>
      <c r="AD6" s="17">
        <v>46179</v>
      </c>
      <c r="AE6" s="21" t="str" cm="1">
        <f t="array" ref="AE6">IFERROR(SUMIFS('BDT''s'!$W:$W,'BDT''s'!$K:$K,'Metas Mensais'!$A6,'BDT''s'!$L:$L,'Metas Mensais'!$B6,'BDT''s'!$B:$B,'Metas Mensais'!AD6)*'Metas Mensais'!$I6*INDEX(Dados!$J:$J,MATCH(1,('Metas Mensais'!$A6=Dados!$D:$D)*('Metas Mensais'!AD6=Dados!$B:$B),0)),"-")</f>
        <v>-</v>
      </c>
      <c r="AF6" s="21" t="str">
        <f t="shared" ref="AF6:AG6" si="40">IFERROR(AE6*$I6,"-")</f>
        <v>-</v>
      </c>
      <c r="AG6" s="21" t="str">
        <f t="shared" si="40"/>
        <v>-</v>
      </c>
      <c r="AH6" s="17">
        <v>46210</v>
      </c>
      <c r="AI6" s="21" t="str" cm="1">
        <f t="array" ref="AI6">IFERROR(SUMIFS('BDT''s'!$W:$W,'BDT''s'!$K:$K,'Metas Mensais'!$A6,'BDT''s'!$L:$L,'Metas Mensais'!$B6,'BDT''s'!$B:$B,'Metas Mensais'!AH6)*'Metas Mensais'!$I6*INDEX(Dados!$J:$J,MATCH(1,('Metas Mensais'!$A6=Dados!$D:$D)*('Metas Mensais'!AH6=Dados!$B:$B),0)),"-")</f>
        <v>-</v>
      </c>
      <c r="AJ6" s="21" t="str">
        <f t="shared" ref="AJ6:AK6" si="41">IFERROR(AI6*$I6,"-")</f>
        <v>-</v>
      </c>
      <c r="AK6" s="21" t="str">
        <f t="shared" si="41"/>
        <v>-</v>
      </c>
      <c r="AL6" s="17">
        <v>46242</v>
      </c>
      <c r="AM6" s="21" t="str" cm="1">
        <f t="array" ref="AM6">IFERROR(SUMIFS('BDT''s'!$W:$W,'BDT''s'!$K:$K,'Metas Mensais'!$A6,'BDT''s'!$L:$L,'Metas Mensais'!$B6,'BDT''s'!$B:$B,'Metas Mensais'!AL6)*'Metas Mensais'!$I6*INDEX(Dados!$J:$J,MATCH(1,('Metas Mensais'!$A6=Dados!$D:$D)*('Metas Mensais'!AL6=Dados!$B:$B),0)),"-")</f>
        <v>-</v>
      </c>
      <c r="AN6" s="21" t="str">
        <f t="shared" ref="AN6:AO6" si="42">IFERROR(AM6*$I6,"-")</f>
        <v>-</v>
      </c>
      <c r="AO6" s="21" t="str">
        <f t="shared" si="42"/>
        <v>-</v>
      </c>
      <c r="AP6" s="17">
        <v>46274</v>
      </c>
      <c r="AQ6" s="21" t="str" cm="1">
        <f t="array" ref="AQ6">IFERROR(SUMIFS('BDT''s'!$W:$W,'BDT''s'!$K:$K,'Metas Mensais'!$A6,'BDT''s'!$L:$L,'Metas Mensais'!$B6,'BDT''s'!$B:$B,'Metas Mensais'!AP6)*'Metas Mensais'!$I6*INDEX(Dados!$J:$J,MATCH(1,('Metas Mensais'!$A6=Dados!$D:$D)*('Metas Mensais'!AP6=Dados!$B:$B),0)),"-")</f>
        <v>-</v>
      </c>
      <c r="AR6" s="21" t="str">
        <f t="shared" ref="AR6:AS6" si="43">IFERROR(AQ6*$I6,"-")</f>
        <v>-</v>
      </c>
      <c r="AS6" s="21" t="str">
        <f t="shared" si="43"/>
        <v>-</v>
      </c>
      <c r="AT6" s="17">
        <v>46305</v>
      </c>
      <c r="AU6" s="21" t="str" cm="1">
        <f t="array" ref="AU6">IFERROR(SUMIFS('BDT''s'!$W:$W,'BDT''s'!$K:$K,'Metas Mensais'!$A6,'BDT''s'!$L:$L,'Metas Mensais'!$B6,'BDT''s'!$B:$B,'Metas Mensais'!AT6)*'Metas Mensais'!$I6*INDEX(Dados!$J:$J,MATCH(1,('Metas Mensais'!$A6=Dados!$D:$D)*('Metas Mensais'!AT6=Dados!$B:$B),0)),"-")</f>
        <v>-</v>
      </c>
      <c r="AV6" s="21" t="str">
        <f t="shared" ref="AV6:AW6" si="44">IFERROR(AU6*$I6,"-")</f>
        <v>-</v>
      </c>
      <c r="AW6" s="21" t="str">
        <f t="shared" si="44"/>
        <v>-</v>
      </c>
      <c r="AX6" s="17">
        <v>46337</v>
      </c>
      <c r="AY6" s="21" t="str" cm="1">
        <f t="array" ref="AY6">IFERROR(SUMIFS('BDT''s'!$W:$W,'BDT''s'!$K:$K,'Metas Mensais'!$A6,'BDT''s'!$L:$L,'Metas Mensais'!$B6,'BDT''s'!$B:$B,'Metas Mensais'!AX6)*'Metas Mensais'!$I6*INDEX(Dados!$J:$J,MATCH(1,('Metas Mensais'!$A6=Dados!$D:$D)*('Metas Mensais'!AX6=Dados!$B:$B),0)),"-")</f>
        <v>-</v>
      </c>
      <c r="AZ6" s="21" t="str">
        <f t="shared" ref="AZ6:BA6" si="45">IFERROR(AY6*$I6,"-")</f>
        <v>-</v>
      </c>
      <c r="BA6" s="21" t="str">
        <f t="shared" si="45"/>
        <v>-</v>
      </c>
      <c r="BB6" s="17">
        <v>46368</v>
      </c>
      <c r="BC6" s="21" t="str" cm="1">
        <f t="array" ref="BC6">IFERROR(SUMIFS('BDT''s'!$W:$W,'BDT''s'!$K:$K,'Metas Mensais'!$A6,'BDT''s'!$L:$L,'Metas Mensais'!$B6,'BDT''s'!$B:$B,'Metas Mensais'!BB6)*'Metas Mensais'!$I6*INDEX(Dados!$J:$J,MATCH(1,('Metas Mensais'!$A6=Dados!$D:$D)*('Metas Mensais'!BB6=Dados!$B:$B),0)),"-")</f>
        <v>-</v>
      </c>
      <c r="BD6" s="21" t="str">
        <f t="shared" ref="BD6:BE6" si="46">IFERROR(BC6*$I6,"-")</f>
        <v>-</v>
      </c>
      <c r="BE6" s="21" t="str">
        <f t="shared" si="46"/>
        <v>-</v>
      </c>
    </row>
    <row r="7" spans="1:61" x14ac:dyDescent="0.3">
      <c r="A7" s="4" t="s">
        <v>200</v>
      </c>
      <c r="B7" s="10" t="str">
        <f>IFERROR(VLOOKUP(A7,Cadastros!B:D,3,FALSE),"-")</f>
        <v>TRAÇAMENTO</v>
      </c>
      <c r="C7" s="21">
        <f>IFERROR(AVERAGEIFS('BDT''s'!W:W,'BDT''s'!K:K,'Metas Mensais'!A7,'BDT''s'!L:L,'Metas Mensais'!B7),"-")</f>
        <v>77.5</v>
      </c>
      <c r="D7" s="21" cm="1">
        <f t="array" ref="D7">IFERROR(_xlfn.PERCENTILE.INC(_xlfn._xlws.FILTER('BDT''s'!W:W,('BDT''s'!K:K='Metas Mensais'!A7)*('BDT''s'!L:L='Metas Mensais'!B7)),0.5),"-")</f>
        <v>75</v>
      </c>
      <c r="E7" s="21" cm="1">
        <f t="array" ref="E7">IFERROR(_xlfn.PERCENTILE.INC(_xlfn._xlws.FILTER('BDT''s'!W:W,('BDT''s'!K:K='Metas Mensais'!A7)*('BDT''s'!L:L='Metas Mensais'!B7)),0.75),"-")</f>
        <v>84</v>
      </c>
      <c r="F7" s="21">
        <f>IFERROR(_xlfn.MAXIFS('BDT''s'!W:W,'BDT''s'!K:K,'Metas Mensais'!A7,'BDT''s'!L:L,'Metas Mensais'!B7),"-")</f>
        <v>96</v>
      </c>
      <c r="G7" s="10">
        <f>IFERROR(COUNTIFS('BDT''s'!K:K,'Metas Mensais'!A7,'BDT''s'!L:L,'Metas Mensais'!B7),"-")</f>
        <v>4</v>
      </c>
      <c r="H7" s="10" t="str">
        <f t="shared" si="0"/>
        <v>MEDIO</v>
      </c>
      <c r="I7" s="25">
        <f t="shared" si="1"/>
        <v>1.0258064516129033</v>
      </c>
      <c r="J7" s="17">
        <v>46023</v>
      </c>
      <c r="K7" s="21" cm="1">
        <f t="array" ref="K7">IFERROR(SUMIFS('BDT''s'!$W:$W,'BDT''s'!$K:$K,'Metas Mensais'!$A7,'BDT''s'!$L:$L,'Metas Mensais'!$B7,'BDT''s'!$B:$B,'Metas Mensais'!J7)*'Metas Mensais'!$I7*INDEX(Dados!$J:$J,MATCH(1,('Metas Mensais'!$A7=Dados!$D:$D)*('Metas Mensais'!J7=Dados!$B:$B),0)),"-")</f>
        <v>7950</v>
      </c>
      <c r="L7" s="21">
        <f t="shared" si="2"/>
        <v>8155.1612903225814</v>
      </c>
      <c r="M7" s="21">
        <f t="shared" si="2"/>
        <v>8365.617065556713</v>
      </c>
      <c r="N7" s="17">
        <v>46055</v>
      </c>
      <c r="O7" s="21" t="str" cm="1">
        <f t="array" ref="O7">IFERROR(SUMIFS('BDT''s'!$W:$W,'BDT''s'!$K:$K,'Metas Mensais'!$A7,'BDT''s'!$L:$L,'Metas Mensais'!$B7,'BDT''s'!$B:$B,'Metas Mensais'!N7)*'Metas Mensais'!$I7*INDEX(Dados!$J:$J,MATCH(1,('Metas Mensais'!$A7=Dados!$D:$D)*('Metas Mensais'!N7=Dados!$B:$B),0)),"-")</f>
        <v>-</v>
      </c>
      <c r="P7" s="21" t="str">
        <f t="shared" ref="P7:Q7" si="47">IFERROR(O7*$I7,"-")</f>
        <v>-</v>
      </c>
      <c r="Q7" s="21" t="str">
        <f t="shared" si="47"/>
        <v>-</v>
      </c>
      <c r="R7" s="17">
        <v>46084</v>
      </c>
      <c r="S7" s="21" t="str" cm="1">
        <f t="array" ref="S7">IFERROR(SUMIFS('BDT''s'!$W:$W,'BDT''s'!$K:$K,'Metas Mensais'!$A7,'BDT''s'!$L:$L,'Metas Mensais'!$B7,'BDT''s'!$B:$B,'Metas Mensais'!R7)*'Metas Mensais'!$I7*INDEX(Dados!$J:$J,MATCH(1,('Metas Mensais'!$A7=Dados!$D:$D)*('Metas Mensais'!R7=Dados!$B:$B),0)),"-")</f>
        <v>-</v>
      </c>
      <c r="T7" s="21" t="str">
        <f t="shared" ref="T7:U7" si="48">IFERROR(S7*$I7,"-")</f>
        <v>-</v>
      </c>
      <c r="U7" s="21" t="str">
        <f t="shared" si="48"/>
        <v>-</v>
      </c>
      <c r="V7" s="17">
        <v>46116</v>
      </c>
      <c r="W7" s="21" t="str" cm="1">
        <f t="array" ref="W7">IFERROR(SUMIFS('BDT''s'!$W:$W,'BDT''s'!$K:$K,'Metas Mensais'!$A7,'BDT''s'!$L:$L,'Metas Mensais'!$B7,'BDT''s'!$B:$B,'Metas Mensais'!V7)*'Metas Mensais'!$I7*INDEX(Dados!$J:$J,MATCH(1,('Metas Mensais'!$A7=Dados!$D:$D)*('Metas Mensais'!V7=Dados!$B:$B),0)),"-")</f>
        <v>-</v>
      </c>
      <c r="X7" s="21" t="str">
        <f t="shared" ref="X7:Y7" si="49">IFERROR(W7*$I7,"-")</f>
        <v>-</v>
      </c>
      <c r="Y7" s="21" t="str">
        <f t="shared" si="49"/>
        <v>-</v>
      </c>
      <c r="Z7" s="17">
        <v>46147</v>
      </c>
      <c r="AA7" s="21" t="str" cm="1">
        <f t="array" ref="AA7">IFERROR(SUMIFS('BDT''s'!$W:$W,'BDT''s'!$K:$K,'Metas Mensais'!$A7,'BDT''s'!$L:$L,'Metas Mensais'!$B7,'BDT''s'!$B:$B,'Metas Mensais'!Z7)*'Metas Mensais'!$I7*INDEX(Dados!$J:$J,MATCH(1,('Metas Mensais'!$A7=Dados!$D:$D)*('Metas Mensais'!Z7=Dados!$B:$B),0)),"-")</f>
        <v>-</v>
      </c>
      <c r="AB7" s="21" t="str">
        <f t="shared" ref="AB7:AC7" si="50">IFERROR(AA7*$I7,"-")</f>
        <v>-</v>
      </c>
      <c r="AC7" s="21" t="str">
        <f t="shared" si="50"/>
        <v>-</v>
      </c>
      <c r="AD7" s="17">
        <v>46179</v>
      </c>
      <c r="AE7" s="21" t="str" cm="1">
        <f t="array" ref="AE7">IFERROR(SUMIFS('BDT''s'!$W:$W,'BDT''s'!$K:$K,'Metas Mensais'!$A7,'BDT''s'!$L:$L,'Metas Mensais'!$B7,'BDT''s'!$B:$B,'Metas Mensais'!AD7)*'Metas Mensais'!$I7*INDEX(Dados!$J:$J,MATCH(1,('Metas Mensais'!$A7=Dados!$D:$D)*('Metas Mensais'!AD7=Dados!$B:$B),0)),"-")</f>
        <v>-</v>
      </c>
      <c r="AF7" s="21" t="str">
        <f t="shared" ref="AF7:AG7" si="51">IFERROR(AE7*$I7,"-")</f>
        <v>-</v>
      </c>
      <c r="AG7" s="21" t="str">
        <f t="shared" si="51"/>
        <v>-</v>
      </c>
      <c r="AH7" s="17">
        <v>46210</v>
      </c>
      <c r="AI7" s="21" t="str" cm="1">
        <f t="array" ref="AI7">IFERROR(SUMIFS('BDT''s'!$W:$W,'BDT''s'!$K:$K,'Metas Mensais'!$A7,'BDT''s'!$L:$L,'Metas Mensais'!$B7,'BDT''s'!$B:$B,'Metas Mensais'!AH7)*'Metas Mensais'!$I7*INDEX(Dados!$J:$J,MATCH(1,('Metas Mensais'!$A7=Dados!$D:$D)*('Metas Mensais'!AH7=Dados!$B:$B),0)),"-")</f>
        <v>-</v>
      </c>
      <c r="AJ7" s="21" t="str">
        <f t="shared" ref="AJ7:AK7" si="52">IFERROR(AI7*$I7,"-")</f>
        <v>-</v>
      </c>
      <c r="AK7" s="21" t="str">
        <f t="shared" si="52"/>
        <v>-</v>
      </c>
      <c r="AL7" s="17">
        <v>46242</v>
      </c>
      <c r="AM7" s="21" t="str" cm="1">
        <f t="array" ref="AM7">IFERROR(SUMIFS('BDT''s'!$W:$W,'BDT''s'!$K:$K,'Metas Mensais'!$A7,'BDT''s'!$L:$L,'Metas Mensais'!$B7,'BDT''s'!$B:$B,'Metas Mensais'!AL7)*'Metas Mensais'!$I7*INDEX(Dados!$J:$J,MATCH(1,('Metas Mensais'!$A7=Dados!$D:$D)*('Metas Mensais'!AL7=Dados!$B:$B),0)),"-")</f>
        <v>-</v>
      </c>
      <c r="AN7" s="21" t="str">
        <f t="shared" ref="AN7:AO7" si="53">IFERROR(AM7*$I7,"-")</f>
        <v>-</v>
      </c>
      <c r="AO7" s="21" t="str">
        <f t="shared" si="53"/>
        <v>-</v>
      </c>
      <c r="AP7" s="17">
        <v>46274</v>
      </c>
      <c r="AQ7" s="21" t="str" cm="1">
        <f t="array" ref="AQ7">IFERROR(SUMIFS('BDT''s'!$W:$W,'BDT''s'!$K:$K,'Metas Mensais'!$A7,'BDT''s'!$L:$L,'Metas Mensais'!$B7,'BDT''s'!$B:$B,'Metas Mensais'!AP7)*'Metas Mensais'!$I7*INDEX(Dados!$J:$J,MATCH(1,('Metas Mensais'!$A7=Dados!$D:$D)*('Metas Mensais'!AP7=Dados!$B:$B),0)),"-")</f>
        <v>-</v>
      </c>
      <c r="AR7" s="21" t="str">
        <f t="shared" ref="AR7:AS7" si="54">IFERROR(AQ7*$I7,"-")</f>
        <v>-</v>
      </c>
      <c r="AS7" s="21" t="str">
        <f t="shared" si="54"/>
        <v>-</v>
      </c>
      <c r="AT7" s="17">
        <v>46305</v>
      </c>
      <c r="AU7" s="21" t="str" cm="1">
        <f t="array" ref="AU7">IFERROR(SUMIFS('BDT''s'!$W:$W,'BDT''s'!$K:$K,'Metas Mensais'!$A7,'BDT''s'!$L:$L,'Metas Mensais'!$B7,'BDT''s'!$B:$B,'Metas Mensais'!AT7)*'Metas Mensais'!$I7*INDEX(Dados!$J:$J,MATCH(1,('Metas Mensais'!$A7=Dados!$D:$D)*('Metas Mensais'!AT7=Dados!$B:$B),0)),"-")</f>
        <v>-</v>
      </c>
      <c r="AV7" s="21" t="str">
        <f t="shared" ref="AV7:AW7" si="55">IFERROR(AU7*$I7,"-")</f>
        <v>-</v>
      </c>
      <c r="AW7" s="21" t="str">
        <f t="shared" si="55"/>
        <v>-</v>
      </c>
      <c r="AX7" s="17">
        <v>46337</v>
      </c>
      <c r="AY7" s="21" t="str" cm="1">
        <f t="array" ref="AY7">IFERROR(SUMIFS('BDT''s'!$W:$W,'BDT''s'!$K:$K,'Metas Mensais'!$A7,'BDT''s'!$L:$L,'Metas Mensais'!$B7,'BDT''s'!$B:$B,'Metas Mensais'!AX7)*'Metas Mensais'!$I7*INDEX(Dados!$J:$J,MATCH(1,('Metas Mensais'!$A7=Dados!$D:$D)*('Metas Mensais'!AX7=Dados!$B:$B),0)),"-")</f>
        <v>-</v>
      </c>
      <c r="AZ7" s="21" t="str">
        <f t="shared" ref="AZ7:BA7" si="56">IFERROR(AY7*$I7,"-")</f>
        <v>-</v>
      </c>
      <c r="BA7" s="21" t="str">
        <f t="shared" si="56"/>
        <v>-</v>
      </c>
      <c r="BB7" s="17">
        <v>46368</v>
      </c>
      <c r="BC7" s="21" t="str" cm="1">
        <f t="array" ref="BC7">IFERROR(SUMIFS('BDT''s'!$W:$W,'BDT''s'!$K:$K,'Metas Mensais'!$A7,'BDT''s'!$L:$L,'Metas Mensais'!$B7,'BDT''s'!$B:$B,'Metas Mensais'!BB7)*'Metas Mensais'!$I7*INDEX(Dados!$J:$J,MATCH(1,('Metas Mensais'!$A7=Dados!$D:$D)*('Metas Mensais'!BB7=Dados!$B:$B),0)),"-")</f>
        <v>-</v>
      </c>
      <c r="BD7" s="21" t="str">
        <f t="shared" ref="BD7:BE7" si="57">IFERROR(BC7*$I7,"-")</f>
        <v>-</v>
      </c>
      <c r="BE7" s="21" t="str">
        <f t="shared" si="57"/>
        <v>-</v>
      </c>
    </row>
  </sheetData>
  <conditionalFormatting sqref="H1:H1048576">
    <cfRule type="cellIs" dxfId="2" priority="1" operator="equal">
      <formula>"ALTO"</formula>
    </cfRule>
    <cfRule type="cellIs" dxfId="1" priority="2" operator="equal">
      <formula>"MEDIO"</formula>
    </cfRule>
    <cfRule type="cellIs" dxfId="0" priority="3" operator="equal">
      <formula>"BAIXO"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3C3F-5168-4F02-93E9-003C250574BF}">
  <sheetPr>
    <tabColor rgb="FFFF0000"/>
  </sheetPr>
  <dimension ref="A1:D8"/>
  <sheetViews>
    <sheetView workbookViewId="0">
      <selection activeCell="B2" sqref="B2:B7"/>
    </sheetView>
  </sheetViews>
  <sheetFormatPr defaultColWidth="9.109375" defaultRowHeight="14.4" x14ac:dyDescent="0.3"/>
  <cols>
    <col min="1" max="1" width="14.88671875" style="3" customWidth="1"/>
    <col min="2" max="2" width="19.21875" style="3" customWidth="1"/>
    <col min="3" max="3" width="14.88671875" style="3" customWidth="1"/>
    <col min="4" max="4" width="22.6640625" style="3" bestFit="1" customWidth="1"/>
    <col min="5" max="16384" width="9.109375" style="4"/>
  </cols>
  <sheetData>
    <row r="1" spans="1:4" s="1" customFormat="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189</v>
      </c>
      <c r="B2" s="2" t="s">
        <v>190</v>
      </c>
      <c r="C2" s="2" t="s">
        <v>4</v>
      </c>
      <c r="D2" s="3" t="s">
        <v>5</v>
      </c>
    </row>
    <row r="3" spans="1:4" ht="15" thickBot="1" x14ac:dyDescent="0.35">
      <c r="A3" s="5" t="s">
        <v>191</v>
      </c>
      <c r="B3" s="5" t="s">
        <v>192</v>
      </c>
      <c r="C3" s="5" t="s">
        <v>4</v>
      </c>
      <c r="D3" s="6" t="s">
        <v>5</v>
      </c>
    </row>
    <row r="4" spans="1:4" ht="15" thickTop="1" x14ac:dyDescent="0.3">
      <c r="A4" s="7" t="s">
        <v>193</v>
      </c>
      <c r="B4" s="7" t="s">
        <v>194</v>
      </c>
      <c r="C4" s="7" t="s">
        <v>4</v>
      </c>
      <c r="D4" s="8" t="s">
        <v>6</v>
      </c>
    </row>
    <row r="5" spans="1:4" ht="15" thickBot="1" x14ac:dyDescent="0.35">
      <c r="A5" s="5" t="s">
        <v>195</v>
      </c>
      <c r="B5" s="5" t="s">
        <v>196</v>
      </c>
      <c r="C5" s="5" t="s">
        <v>4</v>
      </c>
      <c r="D5" s="6" t="s">
        <v>6</v>
      </c>
    </row>
    <row r="6" spans="1:4" ht="15" thickTop="1" x14ac:dyDescent="0.3">
      <c r="A6" s="7" t="s">
        <v>197</v>
      </c>
      <c r="B6" s="7" t="s">
        <v>198</v>
      </c>
      <c r="C6" s="7" t="s">
        <v>4</v>
      </c>
      <c r="D6" s="8" t="s">
        <v>7</v>
      </c>
    </row>
    <row r="7" spans="1:4" ht="15" thickBot="1" x14ac:dyDescent="0.35">
      <c r="A7" s="5" t="s">
        <v>199</v>
      </c>
      <c r="B7" s="5" t="s">
        <v>200</v>
      </c>
      <c r="C7" s="5" t="s">
        <v>4</v>
      </c>
      <c r="D7" s="6" t="s">
        <v>7</v>
      </c>
    </row>
    <row r="8" spans="1:4" ht="15" thickTop="1" x14ac:dyDescent="0.3">
      <c r="A8" s="8"/>
      <c r="B8" s="8"/>
      <c r="C8" s="8"/>
      <c r="D8" s="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F85B-A466-4584-8364-3BFC19D8253E}">
  <dimension ref="A1:AJ25"/>
  <sheetViews>
    <sheetView topLeftCell="A628" workbookViewId="0">
      <selection activeCell="I934" sqref="I934"/>
    </sheetView>
  </sheetViews>
  <sheetFormatPr defaultRowHeight="14.4" x14ac:dyDescent="0.3"/>
  <cols>
    <col min="1" max="1" width="7.109375" bestFit="1" customWidth="1"/>
    <col min="2" max="2" width="10.5546875" bestFit="1" customWidth="1"/>
    <col min="3" max="3" width="12.6640625" bestFit="1" customWidth="1"/>
    <col min="4" max="4" width="9.33203125" bestFit="1" customWidth="1"/>
    <col min="5" max="5" width="6.77734375" bestFit="1" customWidth="1"/>
    <col min="6" max="6" width="12.21875" bestFit="1" customWidth="1"/>
    <col min="7" max="7" width="11.109375" bestFit="1" customWidth="1"/>
    <col min="8" max="8" width="10.109375" bestFit="1" customWidth="1"/>
    <col min="9" max="9" width="22.21875" bestFit="1" customWidth="1"/>
    <col min="10" max="10" width="25.33203125" bestFit="1" customWidth="1"/>
    <col min="11" max="11" width="19" bestFit="1" customWidth="1"/>
    <col min="12" max="12" width="23.6640625" bestFit="1" customWidth="1"/>
    <col min="13" max="13" width="32.44140625" style="32" bestFit="1" customWidth="1"/>
    <col min="14" max="14" width="12.6640625" bestFit="1" customWidth="1"/>
    <col min="15" max="15" width="9.33203125" bestFit="1" customWidth="1"/>
    <col min="16" max="16" width="29" bestFit="1" customWidth="1"/>
    <col min="17" max="17" width="23" style="32" bestFit="1" customWidth="1"/>
    <col min="18" max="18" width="20" style="32" bestFit="1" customWidth="1"/>
    <col min="19" max="19" width="18" style="32" bestFit="1" customWidth="1"/>
    <col min="20" max="20" width="26.109375" style="32" bestFit="1" customWidth="1"/>
    <col min="21" max="21" width="21.6640625" style="32" bestFit="1" customWidth="1"/>
    <col min="22" max="22" width="20.44140625" style="32" bestFit="1" customWidth="1"/>
    <col min="23" max="23" width="20.33203125" style="32" bestFit="1" customWidth="1"/>
    <col min="24" max="24" width="24.109375" style="32" bestFit="1" customWidth="1"/>
    <col min="25" max="25" width="33.77734375" style="32" bestFit="1" customWidth="1"/>
    <col min="26" max="26" width="26.77734375" style="32" bestFit="1" customWidth="1"/>
    <col min="27" max="27" width="25.5546875" style="32" bestFit="1" customWidth="1"/>
    <col min="28" max="28" width="29.77734375" style="32" bestFit="1" customWidth="1"/>
    <col min="29" max="29" width="28.5546875" style="32" bestFit="1" customWidth="1"/>
    <col min="30" max="30" width="26.77734375" style="32" bestFit="1" customWidth="1"/>
    <col min="31" max="31" width="25.5546875" style="32" bestFit="1" customWidth="1"/>
    <col min="32" max="32" width="15.33203125" style="32" bestFit="1" customWidth="1"/>
    <col min="33" max="33" width="8.77734375" style="32" bestFit="1" customWidth="1"/>
    <col min="34" max="34" width="15.5546875" style="32" bestFit="1" customWidth="1"/>
    <col min="35" max="35" width="18.21875" style="32" bestFit="1" customWidth="1"/>
    <col min="36" max="36" width="20.33203125" bestFit="1" customWidth="1"/>
  </cols>
  <sheetData>
    <row r="1" spans="1:36" x14ac:dyDescent="0.3">
      <c r="A1" t="s">
        <v>8</v>
      </c>
      <c r="B1" t="s">
        <v>9</v>
      </c>
      <c r="C1" t="s">
        <v>2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0</v>
      </c>
      <c r="K1" t="s">
        <v>1</v>
      </c>
      <c r="L1" t="s">
        <v>50</v>
      </c>
      <c r="M1" s="32" t="s">
        <v>51</v>
      </c>
      <c r="N1" t="s">
        <v>52</v>
      </c>
      <c r="O1" t="s">
        <v>53</v>
      </c>
      <c r="P1" t="s">
        <v>54</v>
      </c>
      <c r="Q1" s="32" t="s">
        <v>55</v>
      </c>
      <c r="R1" s="32" t="s">
        <v>56</v>
      </c>
      <c r="S1" s="32" t="s">
        <v>24</v>
      </c>
      <c r="T1" s="32" t="s">
        <v>57</v>
      </c>
      <c r="U1" s="32" t="s">
        <v>58</v>
      </c>
      <c r="V1" s="32" t="s">
        <v>59</v>
      </c>
      <c r="W1" s="32" t="s">
        <v>60</v>
      </c>
      <c r="X1" s="32" t="s">
        <v>61</v>
      </c>
      <c r="Y1" s="32" t="s">
        <v>62</v>
      </c>
      <c r="Z1" s="32" t="s">
        <v>63</v>
      </c>
      <c r="AA1" s="32" t="s">
        <v>64</v>
      </c>
      <c r="AB1" s="32" t="s">
        <v>65</v>
      </c>
      <c r="AC1" s="32" t="s">
        <v>66</v>
      </c>
      <c r="AD1" s="32" t="s">
        <v>67</v>
      </c>
      <c r="AE1" s="32" t="s">
        <v>68</v>
      </c>
      <c r="AF1" s="32" t="s">
        <v>69</v>
      </c>
      <c r="AG1" s="32" t="s">
        <v>70</v>
      </c>
      <c r="AH1" s="32" t="s">
        <v>71</v>
      </c>
      <c r="AI1" s="32" t="s">
        <v>72</v>
      </c>
      <c r="AJ1" t="s">
        <v>73</v>
      </c>
    </row>
    <row r="2" spans="1:36" x14ac:dyDescent="0.3">
      <c r="A2">
        <v>2026</v>
      </c>
      <c r="B2" s="9">
        <v>46023</v>
      </c>
      <c r="C2" t="s">
        <v>201</v>
      </c>
      <c r="D2">
        <v>1.9</v>
      </c>
      <c r="E2">
        <v>0.15</v>
      </c>
      <c r="F2" t="s">
        <v>78</v>
      </c>
      <c r="G2" t="s">
        <v>347</v>
      </c>
      <c r="H2">
        <v>15</v>
      </c>
      <c r="I2" s="9">
        <v>46023</v>
      </c>
      <c r="J2" t="s">
        <v>189</v>
      </c>
      <c r="K2" t="s">
        <v>190</v>
      </c>
      <c r="L2" t="s">
        <v>5</v>
      </c>
      <c r="M2" s="32">
        <v>86.557111168364187</v>
      </c>
      <c r="N2" t="s">
        <v>227</v>
      </c>
      <c r="O2" t="s">
        <v>212</v>
      </c>
      <c r="P2">
        <v>1</v>
      </c>
      <c r="Q2" s="32">
        <v>1000</v>
      </c>
      <c r="R2" s="32">
        <v>1010.2</v>
      </c>
      <c r="S2" s="32">
        <v>10.200000000000045</v>
      </c>
      <c r="T2" s="32">
        <v>4866.666666666667</v>
      </c>
      <c r="U2" s="32">
        <v>730</v>
      </c>
      <c r="V2" s="32">
        <v>730</v>
      </c>
      <c r="W2" s="32">
        <v>71.568627450980074</v>
      </c>
      <c r="X2" s="32">
        <v>0.87599999999999989</v>
      </c>
      <c r="Y2" s="32">
        <v>0.87599999999999989</v>
      </c>
      <c r="Z2" s="32">
        <v>1056.4112011790687</v>
      </c>
      <c r="AA2" s="32">
        <v>88.034266764922407</v>
      </c>
      <c r="AB2" s="32">
        <v>1083.6966637546927</v>
      </c>
      <c r="AC2" s="32">
        <v>90.308055312891057</v>
      </c>
      <c r="AD2" s="32">
        <v>1200</v>
      </c>
      <c r="AE2" s="32">
        <v>100</v>
      </c>
      <c r="AF2" s="32" t="s">
        <v>77</v>
      </c>
      <c r="AG2" s="32">
        <v>0.24914675767918087</v>
      </c>
      <c r="AH2" s="32">
        <v>7.2999999999999995E-2</v>
      </c>
      <c r="AI2" s="32">
        <v>730</v>
      </c>
      <c r="AJ2" t="s">
        <v>76</v>
      </c>
    </row>
    <row r="3" spans="1:36" x14ac:dyDescent="0.3">
      <c r="A3">
        <v>2026</v>
      </c>
      <c r="B3" s="9">
        <v>46023</v>
      </c>
      <c r="C3" t="s">
        <v>201</v>
      </c>
      <c r="D3">
        <v>1.9</v>
      </c>
      <c r="E3">
        <v>0.15</v>
      </c>
      <c r="F3" t="s">
        <v>78</v>
      </c>
      <c r="G3" t="s">
        <v>347</v>
      </c>
      <c r="H3">
        <v>15</v>
      </c>
      <c r="I3" s="9">
        <v>46023</v>
      </c>
      <c r="J3" t="s">
        <v>189</v>
      </c>
      <c r="K3" t="s">
        <v>190</v>
      </c>
      <c r="L3" t="s">
        <v>5</v>
      </c>
      <c r="M3" s="32">
        <v>86.557111168364187</v>
      </c>
      <c r="N3" t="s">
        <v>205</v>
      </c>
      <c r="O3" t="s">
        <v>204</v>
      </c>
      <c r="P3">
        <v>1</v>
      </c>
      <c r="Q3" s="32">
        <v>1010.2</v>
      </c>
      <c r="R3" s="32">
        <v>1022</v>
      </c>
      <c r="S3" s="32">
        <v>11.799999999999955</v>
      </c>
      <c r="T3" s="32">
        <v>6666.666666666667</v>
      </c>
      <c r="U3" s="32">
        <v>1000</v>
      </c>
      <c r="V3" s="32">
        <v>1000</v>
      </c>
      <c r="W3" s="32">
        <v>84.745762711864742</v>
      </c>
      <c r="X3" s="32">
        <v>1.2000000000000002</v>
      </c>
      <c r="Y3" s="32">
        <v>1.2000000000000002</v>
      </c>
      <c r="Z3" s="32">
        <v>1056.4112011790687</v>
      </c>
      <c r="AA3" s="32">
        <v>88.034266764922407</v>
      </c>
      <c r="AB3" s="32">
        <v>1083.6966637546927</v>
      </c>
      <c r="AC3" s="32">
        <v>90.308055312891057</v>
      </c>
      <c r="AD3" s="32">
        <v>1200</v>
      </c>
      <c r="AE3" s="32">
        <v>100</v>
      </c>
      <c r="AF3" s="32" t="s">
        <v>77</v>
      </c>
      <c r="AG3" s="32">
        <v>0.34129692832764508</v>
      </c>
      <c r="AH3" s="32">
        <v>0.1</v>
      </c>
      <c r="AI3" s="32">
        <v>1000</v>
      </c>
      <c r="AJ3" t="s">
        <v>76</v>
      </c>
    </row>
    <row r="4" spans="1:36" x14ac:dyDescent="0.3">
      <c r="A4">
        <v>2026</v>
      </c>
      <c r="B4" s="9">
        <v>46023</v>
      </c>
      <c r="C4" t="s">
        <v>201</v>
      </c>
      <c r="D4">
        <v>1.9</v>
      </c>
      <c r="E4">
        <v>0.16</v>
      </c>
      <c r="F4" t="s">
        <v>74</v>
      </c>
      <c r="G4" t="s">
        <v>347</v>
      </c>
      <c r="H4">
        <v>25</v>
      </c>
      <c r="I4" s="9">
        <v>46023</v>
      </c>
      <c r="J4" t="s">
        <v>191</v>
      </c>
      <c r="K4" t="s">
        <v>192</v>
      </c>
      <c r="L4" t="s">
        <v>5</v>
      </c>
      <c r="M4" s="32">
        <v>125.23160472227366</v>
      </c>
      <c r="N4" t="s">
        <v>224</v>
      </c>
      <c r="O4" t="s">
        <v>212</v>
      </c>
      <c r="P4">
        <v>1</v>
      </c>
      <c r="Q4" s="32">
        <v>2000</v>
      </c>
      <c r="R4" s="32">
        <v>2011.1</v>
      </c>
      <c r="S4" s="32">
        <v>11.099999999999909</v>
      </c>
      <c r="T4" s="32">
        <v>7500</v>
      </c>
      <c r="U4" s="32">
        <v>1200</v>
      </c>
      <c r="V4" s="32">
        <v>1200</v>
      </c>
      <c r="W4" s="32">
        <v>108.10810810810899</v>
      </c>
      <c r="X4" s="32">
        <v>0.92307692307692313</v>
      </c>
      <c r="Y4" s="32">
        <v>0.92307692307692313</v>
      </c>
      <c r="Z4" s="32">
        <v>1477.1333130883693</v>
      </c>
      <c r="AA4" s="32">
        <v>123.09444275736412</v>
      </c>
      <c r="AB4" s="32">
        <v>1464.4344428121058</v>
      </c>
      <c r="AC4" s="32">
        <v>122.03620356767549</v>
      </c>
      <c r="AD4" s="32">
        <v>2022.4719101123387</v>
      </c>
      <c r="AE4" s="32">
        <v>168.53932584269489</v>
      </c>
      <c r="AF4" s="32" t="s">
        <v>77</v>
      </c>
      <c r="AG4" s="32">
        <v>0.24489795918367346</v>
      </c>
      <c r="AH4" s="32">
        <v>9.2307692307692313E-2</v>
      </c>
      <c r="AI4" s="32">
        <v>1200</v>
      </c>
      <c r="AJ4" t="s">
        <v>76</v>
      </c>
    </row>
    <row r="5" spans="1:36" x14ac:dyDescent="0.3">
      <c r="A5">
        <v>2026</v>
      </c>
      <c r="B5" s="9">
        <v>46023</v>
      </c>
      <c r="C5" t="s">
        <v>201</v>
      </c>
      <c r="D5">
        <v>1.9</v>
      </c>
      <c r="E5">
        <v>0.16</v>
      </c>
      <c r="F5" t="s">
        <v>74</v>
      </c>
      <c r="G5" t="s">
        <v>347</v>
      </c>
      <c r="H5">
        <v>25</v>
      </c>
      <c r="I5" s="9">
        <v>46023</v>
      </c>
      <c r="J5" t="s">
        <v>191</v>
      </c>
      <c r="K5" t="s">
        <v>192</v>
      </c>
      <c r="L5" t="s">
        <v>5</v>
      </c>
      <c r="M5" s="32">
        <v>125.23160472227366</v>
      </c>
      <c r="N5" t="s">
        <v>225</v>
      </c>
      <c r="O5" t="s">
        <v>204</v>
      </c>
      <c r="P5">
        <v>1</v>
      </c>
      <c r="Q5" s="32">
        <v>2011.1</v>
      </c>
      <c r="R5" s="32">
        <v>2020</v>
      </c>
      <c r="S5" s="32">
        <v>8.9000000000000909</v>
      </c>
      <c r="T5" s="32">
        <v>9375</v>
      </c>
      <c r="U5" s="32">
        <v>1500</v>
      </c>
      <c r="V5" s="32">
        <v>1500</v>
      </c>
      <c r="W5" s="32">
        <v>168.53932584269489</v>
      </c>
      <c r="X5" s="32">
        <v>1.153846153846154</v>
      </c>
      <c r="Y5" s="32">
        <v>1.153846153846154</v>
      </c>
      <c r="Z5" s="32">
        <v>1477.1333130883693</v>
      </c>
      <c r="AA5" s="32">
        <v>123.09444275736412</v>
      </c>
      <c r="AB5" s="32">
        <v>1464.4344428121058</v>
      </c>
      <c r="AC5" s="32">
        <v>122.03620356767549</v>
      </c>
      <c r="AD5" s="32">
        <v>2022.4719101123387</v>
      </c>
      <c r="AE5" s="32">
        <v>168.53932584269489</v>
      </c>
      <c r="AF5" s="32" t="s">
        <v>75</v>
      </c>
      <c r="AG5" s="32">
        <v>0.30612244897959184</v>
      </c>
      <c r="AH5" s="32">
        <v>0.11538461538461539</v>
      </c>
      <c r="AI5" s="32">
        <v>1500</v>
      </c>
      <c r="AJ5" t="s">
        <v>76</v>
      </c>
    </row>
    <row r="6" spans="1:36" x14ac:dyDescent="0.3">
      <c r="A6">
        <v>2026</v>
      </c>
      <c r="B6" s="9">
        <v>46023</v>
      </c>
      <c r="C6" t="s">
        <v>201</v>
      </c>
      <c r="D6">
        <v>1.9</v>
      </c>
      <c r="E6">
        <v>0.15</v>
      </c>
      <c r="F6" t="s">
        <v>78</v>
      </c>
      <c r="G6" t="s">
        <v>347</v>
      </c>
      <c r="H6">
        <v>15</v>
      </c>
      <c r="I6" s="9">
        <v>46023</v>
      </c>
      <c r="J6" t="s">
        <v>193</v>
      </c>
      <c r="K6" t="s">
        <v>194</v>
      </c>
      <c r="L6" t="s">
        <v>6</v>
      </c>
      <c r="M6" s="32">
        <v>132.35446577920268</v>
      </c>
      <c r="N6" t="s">
        <v>228</v>
      </c>
      <c r="O6" t="s">
        <v>212</v>
      </c>
      <c r="P6">
        <v>1</v>
      </c>
      <c r="Q6" s="32">
        <v>1200</v>
      </c>
      <c r="R6" s="32">
        <v>1208</v>
      </c>
      <c r="S6" s="32">
        <v>8</v>
      </c>
      <c r="T6" s="32">
        <v>3333.3333333333335</v>
      </c>
      <c r="U6" s="32">
        <v>500</v>
      </c>
      <c r="V6" s="32">
        <v>500</v>
      </c>
      <c r="W6" s="32">
        <v>62.5</v>
      </c>
      <c r="X6" s="32">
        <v>0.60000000000000009</v>
      </c>
      <c r="Y6" s="32">
        <v>0.60000000000000009</v>
      </c>
      <c r="Z6" s="32">
        <v>1688.5714285714289</v>
      </c>
      <c r="AA6" s="32">
        <v>140.71428571428572</v>
      </c>
      <c r="AB6" s="32">
        <v>1918.6651560407868</v>
      </c>
      <c r="AC6" s="32">
        <v>159.88876300339891</v>
      </c>
      <c r="AD6" s="32">
        <v>2280</v>
      </c>
      <c r="AE6" s="32">
        <v>190</v>
      </c>
      <c r="AF6" s="32" t="s">
        <v>77</v>
      </c>
      <c r="AG6" s="32">
        <v>0.19920318725099601</v>
      </c>
      <c r="AH6" s="32">
        <v>0.05</v>
      </c>
      <c r="AI6" s="32">
        <v>500</v>
      </c>
      <c r="AJ6" t="s">
        <v>76</v>
      </c>
    </row>
    <row r="7" spans="1:36" x14ac:dyDescent="0.3">
      <c r="A7">
        <v>2026</v>
      </c>
      <c r="B7" s="9">
        <v>46023</v>
      </c>
      <c r="C7" t="s">
        <v>201</v>
      </c>
      <c r="D7">
        <v>1.9</v>
      </c>
      <c r="E7">
        <v>0.15</v>
      </c>
      <c r="F7" t="s">
        <v>78</v>
      </c>
      <c r="G7" t="s">
        <v>347</v>
      </c>
      <c r="H7">
        <v>15</v>
      </c>
      <c r="I7" s="9">
        <v>46023</v>
      </c>
      <c r="J7" t="s">
        <v>193</v>
      </c>
      <c r="K7" t="s">
        <v>194</v>
      </c>
      <c r="L7" t="s">
        <v>6</v>
      </c>
      <c r="M7" s="32">
        <v>132.35446577920268</v>
      </c>
      <c r="N7" t="s">
        <v>230</v>
      </c>
      <c r="O7" t="s">
        <v>204</v>
      </c>
      <c r="P7">
        <v>1</v>
      </c>
      <c r="Q7" s="32">
        <v>1208</v>
      </c>
      <c r="R7" s="32">
        <v>1215</v>
      </c>
      <c r="S7" s="32">
        <v>7</v>
      </c>
      <c r="T7" s="32">
        <v>4333.3333333333339</v>
      </c>
      <c r="U7" s="32">
        <v>650</v>
      </c>
      <c r="V7" s="32">
        <v>650</v>
      </c>
      <c r="W7" s="32">
        <v>92.857142857142861</v>
      </c>
      <c r="X7" s="32">
        <v>0.78</v>
      </c>
      <c r="Y7" s="32">
        <v>0.78</v>
      </c>
      <c r="Z7" s="32">
        <v>1688.5714285714289</v>
      </c>
      <c r="AA7" s="32">
        <v>140.71428571428572</v>
      </c>
      <c r="AB7" s="32">
        <v>1918.6651560407868</v>
      </c>
      <c r="AC7" s="32">
        <v>159.88876300339891</v>
      </c>
      <c r="AD7" s="32">
        <v>2280</v>
      </c>
      <c r="AE7" s="32">
        <v>190</v>
      </c>
      <c r="AF7" s="32" t="s">
        <v>77</v>
      </c>
      <c r="AG7" s="32">
        <v>0.25896414342629481</v>
      </c>
      <c r="AH7" s="32">
        <v>6.5000000000000002E-2</v>
      </c>
      <c r="AI7" s="32">
        <v>650</v>
      </c>
      <c r="AJ7" t="s">
        <v>76</v>
      </c>
    </row>
    <row r="8" spans="1:36" x14ac:dyDescent="0.3">
      <c r="A8">
        <v>2026</v>
      </c>
      <c r="B8" s="9">
        <v>46023</v>
      </c>
      <c r="C8" t="s">
        <v>201</v>
      </c>
      <c r="D8">
        <v>1.9</v>
      </c>
      <c r="E8">
        <v>0.16</v>
      </c>
      <c r="F8" t="s">
        <v>74</v>
      </c>
      <c r="G8" t="s">
        <v>347</v>
      </c>
      <c r="H8">
        <v>25</v>
      </c>
      <c r="I8" s="9">
        <v>46023</v>
      </c>
      <c r="J8" t="s">
        <v>195</v>
      </c>
      <c r="K8" t="s">
        <v>196</v>
      </c>
      <c r="L8" t="s">
        <v>6</v>
      </c>
      <c r="M8" s="32">
        <v>96.809137699999269</v>
      </c>
      <c r="N8" t="s">
        <v>231</v>
      </c>
      <c r="O8" t="s">
        <v>212</v>
      </c>
      <c r="P8">
        <v>1</v>
      </c>
      <c r="Q8" s="32">
        <v>2100</v>
      </c>
      <c r="R8" s="32">
        <v>2109</v>
      </c>
      <c r="S8" s="32">
        <v>9</v>
      </c>
      <c r="T8" s="32">
        <v>4375</v>
      </c>
      <c r="U8" s="32">
        <v>700</v>
      </c>
      <c r="V8" s="32">
        <v>700</v>
      </c>
      <c r="W8" s="32">
        <v>77.777777777777771</v>
      </c>
      <c r="X8" s="32">
        <v>0.53846153846153855</v>
      </c>
      <c r="Y8" s="32">
        <v>0.53846153846153855</v>
      </c>
      <c r="Z8" s="32">
        <v>1088.3333333333333</v>
      </c>
      <c r="AA8" s="32">
        <v>90.694444444444443</v>
      </c>
      <c r="AB8" s="32">
        <v>1089.6986804200351</v>
      </c>
      <c r="AC8" s="32">
        <v>90.808223368336272</v>
      </c>
      <c r="AD8" s="32">
        <v>1440</v>
      </c>
      <c r="AE8" s="32">
        <v>120</v>
      </c>
      <c r="AF8" s="32" t="s">
        <v>77</v>
      </c>
      <c r="AG8" s="32">
        <v>0.23178807947019867</v>
      </c>
      <c r="AH8" s="32">
        <v>5.3846153846153849E-2</v>
      </c>
      <c r="AI8" s="32">
        <v>700</v>
      </c>
      <c r="AJ8" t="s">
        <v>76</v>
      </c>
    </row>
    <row r="9" spans="1:36" x14ac:dyDescent="0.3">
      <c r="A9">
        <v>2026</v>
      </c>
      <c r="B9" s="9">
        <v>46023</v>
      </c>
      <c r="C9" t="s">
        <v>201</v>
      </c>
      <c r="D9">
        <v>1.9</v>
      </c>
      <c r="E9">
        <v>0.16</v>
      </c>
      <c r="F9" t="s">
        <v>74</v>
      </c>
      <c r="G9" t="s">
        <v>347</v>
      </c>
      <c r="H9">
        <v>25</v>
      </c>
      <c r="I9" s="9">
        <v>46023</v>
      </c>
      <c r="J9" t="s">
        <v>195</v>
      </c>
      <c r="K9" t="s">
        <v>196</v>
      </c>
      <c r="L9" t="s">
        <v>6</v>
      </c>
      <c r="M9" s="32">
        <v>96.809137699999269</v>
      </c>
      <c r="N9" t="s">
        <v>226</v>
      </c>
      <c r="O9" t="s">
        <v>204</v>
      </c>
      <c r="P9">
        <v>1</v>
      </c>
      <c r="Q9" s="32">
        <v>2109</v>
      </c>
      <c r="R9" s="32">
        <v>2120</v>
      </c>
      <c r="S9" s="32">
        <v>11</v>
      </c>
      <c r="T9" s="32">
        <v>5125</v>
      </c>
      <c r="U9" s="32">
        <v>820</v>
      </c>
      <c r="V9" s="32">
        <v>820</v>
      </c>
      <c r="W9" s="32">
        <v>74.545454545454547</v>
      </c>
      <c r="X9" s="32">
        <v>0.63076923076923075</v>
      </c>
      <c r="Y9" s="32">
        <v>0.63076923076923075</v>
      </c>
      <c r="Z9" s="32">
        <v>1088.3333333333333</v>
      </c>
      <c r="AA9" s="32">
        <v>90.694444444444443</v>
      </c>
      <c r="AB9" s="32">
        <v>1089.6986804200351</v>
      </c>
      <c r="AC9" s="32">
        <v>90.808223368336272</v>
      </c>
      <c r="AD9" s="32">
        <v>1440</v>
      </c>
      <c r="AE9" s="32">
        <v>120</v>
      </c>
      <c r="AF9" s="32" t="s">
        <v>77</v>
      </c>
      <c r="AG9" s="32">
        <v>0.27152317880794702</v>
      </c>
      <c r="AH9" s="32">
        <v>6.3076923076923072E-2</v>
      </c>
      <c r="AI9" s="32">
        <v>820</v>
      </c>
      <c r="AJ9" t="s">
        <v>76</v>
      </c>
    </row>
    <row r="10" spans="1:36" x14ac:dyDescent="0.3">
      <c r="A10">
        <v>2026</v>
      </c>
      <c r="B10" s="9">
        <v>46023</v>
      </c>
      <c r="C10" t="s">
        <v>201</v>
      </c>
      <c r="D10">
        <v>1.9</v>
      </c>
      <c r="E10">
        <v>0.15</v>
      </c>
      <c r="F10" t="s">
        <v>78</v>
      </c>
      <c r="G10" t="s">
        <v>347</v>
      </c>
      <c r="H10">
        <v>15</v>
      </c>
      <c r="I10" s="9">
        <v>46023</v>
      </c>
      <c r="J10" t="s">
        <v>197</v>
      </c>
      <c r="K10" t="s">
        <v>198</v>
      </c>
      <c r="L10" t="s">
        <v>7</v>
      </c>
      <c r="M10" s="32">
        <v>64.881272401433691</v>
      </c>
      <c r="N10" t="s">
        <v>348</v>
      </c>
      <c r="O10" t="s">
        <v>212</v>
      </c>
      <c r="P10">
        <v>1</v>
      </c>
      <c r="Q10" s="32">
        <v>500</v>
      </c>
      <c r="R10" s="32">
        <v>512</v>
      </c>
      <c r="S10" s="32">
        <v>12</v>
      </c>
      <c r="T10" s="32">
        <v>2866.666666666667</v>
      </c>
      <c r="U10" s="32">
        <v>430</v>
      </c>
      <c r="V10" s="32">
        <v>430</v>
      </c>
      <c r="W10" s="32">
        <v>35.833333333333336</v>
      </c>
      <c r="X10" s="32">
        <v>0.51600000000000001</v>
      </c>
      <c r="Y10" s="32">
        <v>0.51600000000000001</v>
      </c>
      <c r="Z10" s="32">
        <v>809.16666666666674</v>
      </c>
      <c r="AA10" s="32">
        <v>67.430555555555557</v>
      </c>
      <c r="AB10" s="32">
        <v>897.94380952380925</v>
      </c>
      <c r="AC10" s="32">
        <v>74.82865079365078</v>
      </c>
      <c r="AD10" s="32">
        <v>900</v>
      </c>
      <c r="AE10" s="32">
        <v>75</v>
      </c>
      <c r="AF10" s="32" t="s">
        <v>77</v>
      </c>
      <c r="AG10" s="32">
        <v>0.21287128712871287</v>
      </c>
      <c r="AH10" s="32">
        <v>4.2999999999999997E-2</v>
      </c>
      <c r="AI10" s="32">
        <v>430</v>
      </c>
      <c r="AJ10" t="s">
        <v>76</v>
      </c>
    </row>
    <row r="11" spans="1:36" x14ac:dyDescent="0.3">
      <c r="A11">
        <v>2026</v>
      </c>
      <c r="B11" s="9">
        <v>46023</v>
      </c>
      <c r="C11" t="s">
        <v>201</v>
      </c>
      <c r="D11">
        <v>1.9</v>
      </c>
      <c r="E11">
        <v>0.15</v>
      </c>
      <c r="F11" t="s">
        <v>78</v>
      </c>
      <c r="G11" t="s">
        <v>347</v>
      </c>
      <c r="H11">
        <v>15</v>
      </c>
      <c r="I11" s="9">
        <v>46023</v>
      </c>
      <c r="J11" t="s">
        <v>197</v>
      </c>
      <c r="K11" t="s">
        <v>198</v>
      </c>
      <c r="L11" t="s">
        <v>7</v>
      </c>
      <c r="M11" s="32">
        <v>64.881272401433691</v>
      </c>
      <c r="N11" t="s">
        <v>349</v>
      </c>
      <c r="O11" t="s">
        <v>204</v>
      </c>
      <c r="P11">
        <v>1</v>
      </c>
      <c r="Q11" s="32">
        <v>512</v>
      </c>
      <c r="R11" s="32">
        <v>520</v>
      </c>
      <c r="S11" s="32">
        <v>8</v>
      </c>
      <c r="T11" s="32">
        <v>4000</v>
      </c>
      <c r="U11" s="32">
        <v>600</v>
      </c>
      <c r="V11" s="32">
        <v>600</v>
      </c>
      <c r="W11" s="32">
        <v>75</v>
      </c>
      <c r="X11" s="32">
        <v>0.72</v>
      </c>
      <c r="Y11" s="32">
        <v>0.72</v>
      </c>
      <c r="Z11" s="32">
        <v>809.16666666666674</v>
      </c>
      <c r="AA11" s="32">
        <v>67.430555555555557</v>
      </c>
      <c r="AB11" s="32">
        <v>897.94380952380925</v>
      </c>
      <c r="AC11" s="32">
        <v>74.82865079365078</v>
      </c>
      <c r="AD11" s="32">
        <v>900</v>
      </c>
      <c r="AE11" s="32">
        <v>75</v>
      </c>
      <c r="AF11" s="32" t="s">
        <v>75</v>
      </c>
      <c r="AG11" s="32">
        <v>0.29702970297029702</v>
      </c>
      <c r="AH11" s="32">
        <v>0.06</v>
      </c>
      <c r="AI11" s="32">
        <v>600</v>
      </c>
      <c r="AJ11" t="s">
        <v>76</v>
      </c>
    </row>
    <row r="12" spans="1:36" x14ac:dyDescent="0.3">
      <c r="A12">
        <v>2026</v>
      </c>
      <c r="B12" s="9">
        <v>46023</v>
      </c>
      <c r="C12" t="s">
        <v>201</v>
      </c>
      <c r="D12">
        <v>1.9</v>
      </c>
      <c r="E12">
        <v>0.16</v>
      </c>
      <c r="F12" t="s">
        <v>74</v>
      </c>
      <c r="G12" t="s">
        <v>347</v>
      </c>
      <c r="H12">
        <v>25</v>
      </c>
      <c r="I12" s="9">
        <v>46023</v>
      </c>
      <c r="J12" t="s">
        <v>199</v>
      </c>
      <c r="K12" t="s">
        <v>200</v>
      </c>
      <c r="L12" t="s">
        <v>7</v>
      </c>
      <c r="M12" s="32">
        <v>82.751428571428562</v>
      </c>
      <c r="N12" t="s">
        <v>350</v>
      </c>
      <c r="O12" t="s">
        <v>212</v>
      </c>
      <c r="P12">
        <v>1</v>
      </c>
      <c r="Q12" s="32">
        <v>700</v>
      </c>
      <c r="R12" s="32">
        <v>705</v>
      </c>
      <c r="S12" s="32">
        <v>5</v>
      </c>
      <c r="T12" s="32">
        <v>2187.5</v>
      </c>
      <c r="U12" s="32">
        <v>350</v>
      </c>
      <c r="V12" s="32">
        <v>350</v>
      </c>
      <c r="W12" s="32">
        <v>70</v>
      </c>
      <c r="X12" s="32">
        <v>0.26923076923076927</v>
      </c>
      <c r="Y12" s="32">
        <v>0.26923076923076927</v>
      </c>
      <c r="Z12" s="32">
        <v>954</v>
      </c>
      <c r="AA12" s="32">
        <v>79.5</v>
      </c>
      <c r="AB12" s="32">
        <v>978.6193548387098</v>
      </c>
      <c r="AC12" s="32">
        <v>81.551612903225831</v>
      </c>
      <c r="AD12" s="32">
        <v>1152</v>
      </c>
      <c r="AE12" s="32">
        <v>96</v>
      </c>
      <c r="AF12" s="32" t="s">
        <v>77</v>
      </c>
      <c r="AG12" s="32">
        <v>0.17948717948717949</v>
      </c>
      <c r="AH12" s="32">
        <v>2.6923076923076925E-2</v>
      </c>
      <c r="AI12" s="32">
        <v>350</v>
      </c>
      <c r="AJ12" t="s">
        <v>76</v>
      </c>
    </row>
    <row r="13" spans="1:36" x14ac:dyDescent="0.3">
      <c r="A13">
        <v>2026</v>
      </c>
      <c r="B13" s="9">
        <v>46023</v>
      </c>
      <c r="C13" t="s">
        <v>201</v>
      </c>
      <c r="D13">
        <v>1.9</v>
      </c>
      <c r="E13">
        <v>0.16</v>
      </c>
      <c r="F13" t="s">
        <v>74</v>
      </c>
      <c r="G13" t="s">
        <v>347</v>
      </c>
      <c r="H13">
        <v>25</v>
      </c>
      <c r="I13" s="9">
        <v>46023</v>
      </c>
      <c r="J13" t="s">
        <v>199</v>
      </c>
      <c r="K13" t="s">
        <v>200</v>
      </c>
      <c r="L13" t="s">
        <v>7</v>
      </c>
      <c r="M13" s="32">
        <v>82.751428571428562</v>
      </c>
      <c r="N13" t="s">
        <v>351</v>
      </c>
      <c r="O13" t="s">
        <v>204</v>
      </c>
      <c r="P13">
        <v>1</v>
      </c>
      <c r="Q13" s="32">
        <v>705</v>
      </c>
      <c r="R13" s="32">
        <v>715</v>
      </c>
      <c r="S13" s="32">
        <v>10</v>
      </c>
      <c r="T13" s="32">
        <v>5000</v>
      </c>
      <c r="U13" s="32">
        <v>800</v>
      </c>
      <c r="V13" s="32">
        <v>800</v>
      </c>
      <c r="W13" s="32">
        <v>80</v>
      </c>
      <c r="X13" s="32">
        <v>0.61538461538461542</v>
      </c>
      <c r="Y13" s="32">
        <v>0.61538461538461542</v>
      </c>
      <c r="Z13" s="32">
        <v>954</v>
      </c>
      <c r="AA13" s="32">
        <v>79.5</v>
      </c>
      <c r="AB13" s="32">
        <v>978.6193548387098</v>
      </c>
      <c r="AC13" s="32">
        <v>81.551612903225831</v>
      </c>
      <c r="AD13" s="32">
        <v>1152</v>
      </c>
      <c r="AE13" s="32">
        <v>96</v>
      </c>
      <c r="AF13" s="32" t="s">
        <v>79</v>
      </c>
      <c r="AG13" s="32">
        <v>0.41025641025641024</v>
      </c>
      <c r="AH13" s="32">
        <v>6.1538461538461542E-2</v>
      </c>
      <c r="AI13" s="32">
        <v>800</v>
      </c>
      <c r="AJ13" t="s">
        <v>76</v>
      </c>
    </row>
    <row r="14" spans="1:36" x14ac:dyDescent="0.3">
      <c r="A14">
        <v>2026</v>
      </c>
      <c r="B14" s="9">
        <v>46023</v>
      </c>
      <c r="C14" t="s">
        <v>201</v>
      </c>
      <c r="D14">
        <v>1.9</v>
      </c>
      <c r="E14">
        <v>0.15</v>
      </c>
      <c r="F14" t="s">
        <v>78</v>
      </c>
      <c r="G14" t="s">
        <v>347</v>
      </c>
      <c r="H14">
        <v>15</v>
      </c>
      <c r="I14" s="9">
        <v>46024</v>
      </c>
      <c r="J14" t="s">
        <v>189</v>
      </c>
      <c r="K14" t="s">
        <v>190</v>
      </c>
      <c r="L14" t="s">
        <v>5</v>
      </c>
      <c r="M14" s="32">
        <v>86.557111168364187</v>
      </c>
      <c r="N14" t="s">
        <v>227</v>
      </c>
      <c r="O14" t="s">
        <v>212</v>
      </c>
      <c r="P14">
        <v>1</v>
      </c>
      <c r="Q14" s="32">
        <v>1022</v>
      </c>
      <c r="R14" s="32">
        <v>1026</v>
      </c>
      <c r="S14" s="32">
        <v>4</v>
      </c>
      <c r="T14" s="32">
        <v>2666.666666666667</v>
      </c>
      <c r="U14" s="32">
        <v>400</v>
      </c>
      <c r="V14" s="32">
        <v>400</v>
      </c>
      <c r="W14" s="32">
        <v>100</v>
      </c>
      <c r="X14" s="32">
        <v>0.48</v>
      </c>
      <c r="Y14" s="32">
        <v>0.48</v>
      </c>
      <c r="Z14" s="32">
        <v>1056.4112011790687</v>
      </c>
      <c r="AA14" s="32">
        <v>88.034266764922407</v>
      </c>
      <c r="AB14" s="32">
        <v>1083.6966637546927</v>
      </c>
      <c r="AC14" s="32">
        <v>90.308055312891057</v>
      </c>
      <c r="AD14" s="32">
        <v>1200</v>
      </c>
      <c r="AE14" s="32">
        <v>100</v>
      </c>
      <c r="AF14" s="32" t="s">
        <v>75</v>
      </c>
      <c r="AG14" s="32">
        <v>0.13651877133105803</v>
      </c>
      <c r="AH14" s="32">
        <v>0.04</v>
      </c>
      <c r="AI14" s="32">
        <v>400</v>
      </c>
      <c r="AJ14" t="s">
        <v>76</v>
      </c>
    </row>
    <row r="15" spans="1:36" x14ac:dyDescent="0.3">
      <c r="A15">
        <v>2026</v>
      </c>
      <c r="B15" s="9">
        <v>46023</v>
      </c>
      <c r="C15" t="s">
        <v>201</v>
      </c>
      <c r="D15">
        <v>1.9</v>
      </c>
      <c r="E15">
        <v>0.15</v>
      </c>
      <c r="F15" t="s">
        <v>78</v>
      </c>
      <c r="G15" t="s">
        <v>347</v>
      </c>
      <c r="H15">
        <v>15</v>
      </c>
      <c r="I15" s="9">
        <v>46024</v>
      </c>
      <c r="J15" t="s">
        <v>189</v>
      </c>
      <c r="K15" t="s">
        <v>190</v>
      </c>
      <c r="L15" t="s">
        <v>5</v>
      </c>
      <c r="M15" s="32">
        <v>86.557111168364187</v>
      </c>
      <c r="N15" t="s">
        <v>205</v>
      </c>
      <c r="O15" t="s">
        <v>204</v>
      </c>
      <c r="P15">
        <v>1</v>
      </c>
      <c r="Q15" s="32">
        <v>1026</v>
      </c>
      <c r="R15" s="32">
        <v>1035.2</v>
      </c>
      <c r="S15" s="32">
        <v>9.2000000000000455</v>
      </c>
      <c r="T15" s="32">
        <v>5333.3333333333339</v>
      </c>
      <c r="U15" s="32">
        <v>800</v>
      </c>
      <c r="V15" s="32">
        <v>800</v>
      </c>
      <c r="W15" s="32">
        <v>86.956521739130011</v>
      </c>
      <c r="X15" s="32">
        <v>0.96</v>
      </c>
      <c r="Y15" s="32">
        <v>0.96</v>
      </c>
      <c r="Z15" s="32">
        <v>1056.4112011790687</v>
      </c>
      <c r="AA15" s="32">
        <v>88.034266764922407</v>
      </c>
      <c r="AB15" s="32">
        <v>1083.6966637546927</v>
      </c>
      <c r="AC15" s="32">
        <v>90.308055312891057</v>
      </c>
      <c r="AD15" s="32">
        <v>1200</v>
      </c>
      <c r="AE15" s="32">
        <v>100</v>
      </c>
      <c r="AF15" s="32" t="s">
        <v>77</v>
      </c>
      <c r="AG15" s="32">
        <v>0.27303754266211605</v>
      </c>
      <c r="AH15" s="32">
        <v>0.08</v>
      </c>
      <c r="AI15" s="32">
        <v>800</v>
      </c>
      <c r="AJ15" t="s">
        <v>76</v>
      </c>
    </row>
    <row r="16" spans="1:36" x14ac:dyDescent="0.3">
      <c r="A16">
        <v>2026</v>
      </c>
      <c r="B16" s="9">
        <v>46023</v>
      </c>
      <c r="C16" t="s">
        <v>201</v>
      </c>
      <c r="D16">
        <v>1.9</v>
      </c>
      <c r="E16">
        <v>0.16</v>
      </c>
      <c r="F16" t="s">
        <v>74</v>
      </c>
      <c r="G16" t="s">
        <v>347</v>
      </c>
      <c r="H16">
        <v>25</v>
      </c>
      <c r="I16" s="9">
        <v>46024</v>
      </c>
      <c r="J16" t="s">
        <v>191</v>
      </c>
      <c r="K16" t="s">
        <v>192</v>
      </c>
      <c r="L16" t="s">
        <v>5</v>
      </c>
      <c r="M16" s="32">
        <v>125.23160472227366</v>
      </c>
      <c r="N16" t="s">
        <v>224</v>
      </c>
      <c r="O16" t="s">
        <v>212</v>
      </c>
      <c r="P16">
        <v>1</v>
      </c>
      <c r="Q16" s="32">
        <v>2020</v>
      </c>
      <c r="R16" s="32">
        <v>2030</v>
      </c>
      <c r="S16" s="32">
        <v>10</v>
      </c>
      <c r="T16" s="32">
        <v>7500</v>
      </c>
      <c r="U16" s="32">
        <v>1200</v>
      </c>
      <c r="V16" s="32">
        <v>1200</v>
      </c>
      <c r="W16" s="32">
        <v>120</v>
      </c>
      <c r="X16" s="32">
        <v>0.92307692307692313</v>
      </c>
      <c r="Y16" s="32">
        <v>0.92307692307692313</v>
      </c>
      <c r="Z16" s="32">
        <v>1477.1333130883693</v>
      </c>
      <c r="AA16" s="32">
        <v>123.09444275736412</v>
      </c>
      <c r="AB16" s="32">
        <v>1464.4344428121058</v>
      </c>
      <c r="AC16" s="32">
        <v>122.03620356767549</v>
      </c>
      <c r="AD16" s="32">
        <v>2022.4719101123387</v>
      </c>
      <c r="AE16" s="32">
        <v>168.53932584269489</v>
      </c>
      <c r="AF16" s="32" t="s">
        <v>77</v>
      </c>
      <c r="AG16" s="32">
        <v>0.24489795918367346</v>
      </c>
      <c r="AH16" s="32">
        <v>9.2307692307692313E-2</v>
      </c>
      <c r="AI16" s="32">
        <v>1200</v>
      </c>
      <c r="AJ16" t="s">
        <v>76</v>
      </c>
    </row>
    <row r="17" spans="1:36" x14ac:dyDescent="0.3">
      <c r="A17">
        <v>2026</v>
      </c>
      <c r="B17" s="9">
        <v>46023</v>
      </c>
      <c r="C17" t="s">
        <v>201</v>
      </c>
      <c r="D17">
        <v>1.9</v>
      </c>
      <c r="E17">
        <v>0.16</v>
      </c>
      <c r="F17" t="s">
        <v>74</v>
      </c>
      <c r="G17" t="s">
        <v>347</v>
      </c>
      <c r="H17">
        <v>25</v>
      </c>
      <c r="I17" s="9">
        <v>46024</v>
      </c>
      <c r="J17" t="s">
        <v>191</v>
      </c>
      <c r="K17" t="s">
        <v>192</v>
      </c>
      <c r="L17" t="s">
        <v>5</v>
      </c>
      <c r="M17" s="32">
        <v>125.23160472227366</v>
      </c>
      <c r="N17" t="s">
        <v>225</v>
      </c>
      <c r="O17" t="s">
        <v>204</v>
      </c>
      <c r="P17">
        <v>1</v>
      </c>
      <c r="Q17" s="32">
        <v>2030</v>
      </c>
      <c r="R17" s="32">
        <v>2040</v>
      </c>
      <c r="S17" s="32">
        <v>10</v>
      </c>
      <c r="T17" s="32">
        <v>6250</v>
      </c>
      <c r="U17" s="32">
        <v>1000</v>
      </c>
      <c r="V17" s="32">
        <v>1000</v>
      </c>
      <c r="W17" s="32">
        <v>100</v>
      </c>
      <c r="X17" s="32">
        <v>0.76923076923076927</v>
      </c>
      <c r="Y17" s="32">
        <v>0.76923076923076927</v>
      </c>
      <c r="Z17" s="32">
        <v>1477.1333130883693</v>
      </c>
      <c r="AA17" s="32">
        <v>123.09444275736412</v>
      </c>
      <c r="AB17" s="32">
        <v>1464.4344428121058</v>
      </c>
      <c r="AC17" s="32">
        <v>122.03620356767549</v>
      </c>
      <c r="AD17" s="32">
        <v>2022.4719101123387</v>
      </c>
      <c r="AE17" s="32">
        <v>168.53932584269489</v>
      </c>
      <c r="AF17" s="32" t="s">
        <v>77</v>
      </c>
      <c r="AG17" s="32">
        <v>0.20408163265306123</v>
      </c>
      <c r="AH17" s="32">
        <v>7.6923076923076927E-2</v>
      </c>
      <c r="AI17" s="32">
        <v>1000</v>
      </c>
      <c r="AJ17" t="s">
        <v>76</v>
      </c>
    </row>
    <row r="18" spans="1:36" x14ac:dyDescent="0.3">
      <c r="A18">
        <v>2026</v>
      </c>
      <c r="B18" s="9">
        <v>46023</v>
      </c>
      <c r="C18" t="s">
        <v>201</v>
      </c>
      <c r="D18">
        <v>1.9</v>
      </c>
      <c r="E18">
        <v>0.15</v>
      </c>
      <c r="F18" t="s">
        <v>78</v>
      </c>
      <c r="G18" t="s">
        <v>347</v>
      </c>
      <c r="H18">
        <v>15</v>
      </c>
      <c r="I18" s="9">
        <v>46024</v>
      </c>
      <c r="J18" t="s">
        <v>193</v>
      </c>
      <c r="K18" t="s">
        <v>194</v>
      </c>
      <c r="L18" t="s">
        <v>6</v>
      </c>
      <c r="M18" s="32">
        <v>132.35446577920268</v>
      </c>
      <c r="N18" t="s">
        <v>228</v>
      </c>
      <c r="O18" t="s">
        <v>212</v>
      </c>
      <c r="P18">
        <v>1</v>
      </c>
      <c r="Q18" s="32">
        <v>1215</v>
      </c>
      <c r="R18" s="32">
        <v>1219</v>
      </c>
      <c r="S18" s="32">
        <v>4</v>
      </c>
      <c r="T18" s="32">
        <v>4000</v>
      </c>
      <c r="U18" s="32">
        <v>600</v>
      </c>
      <c r="V18" s="32">
        <v>600</v>
      </c>
      <c r="W18" s="32">
        <v>150</v>
      </c>
      <c r="X18" s="32">
        <v>0.72</v>
      </c>
      <c r="Y18" s="32">
        <v>0.72</v>
      </c>
      <c r="Z18" s="32">
        <v>1688.5714285714289</v>
      </c>
      <c r="AA18" s="32">
        <v>140.71428571428572</v>
      </c>
      <c r="AB18" s="32">
        <v>1918.6651560407868</v>
      </c>
      <c r="AC18" s="32">
        <v>159.88876300339891</v>
      </c>
      <c r="AD18" s="32">
        <v>2280</v>
      </c>
      <c r="AE18" s="32">
        <v>190</v>
      </c>
      <c r="AF18" s="32" t="s">
        <v>79</v>
      </c>
      <c r="AG18" s="32">
        <v>0.23904382470119523</v>
      </c>
      <c r="AH18" s="32">
        <v>0.06</v>
      </c>
      <c r="AI18" s="32">
        <v>600</v>
      </c>
      <c r="AJ18" t="s">
        <v>76</v>
      </c>
    </row>
    <row r="19" spans="1:36" x14ac:dyDescent="0.3">
      <c r="A19">
        <v>2026</v>
      </c>
      <c r="B19" s="9">
        <v>46023</v>
      </c>
      <c r="C19" t="s">
        <v>201</v>
      </c>
      <c r="D19">
        <v>1.9</v>
      </c>
      <c r="E19">
        <v>0.15</v>
      </c>
      <c r="F19" t="s">
        <v>78</v>
      </c>
      <c r="G19" t="s">
        <v>347</v>
      </c>
      <c r="H19">
        <v>15</v>
      </c>
      <c r="I19" s="9">
        <v>46024</v>
      </c>
      <c r="J19" t="s">
        <v>193</v>
      </c>
      <c r="K19" t="s">
        <v>194</v>
      </c>
      <c r="L19" t="s">
        <v>6</v>
      </c>
      <c r="M19" s="32">
        <v>132.35446577920268</v>
      </c>
      <c r="N19" t="s">
        <v>230</v>
      </c>
      <c r="O19" t="s">
        <v>204</v>
      </c>
      <c r="P19">
        <v>1</v>
      </c>
      <c r="Q19" s="32">
        <v>1219</v>
      </c>
      <c r="R19" s="32">
        <v>1223</v>
      </c>
      <c r="S19" s="32">
        <v>4</v>
      </c>
      <c r="T19" s="32">
        <v>5066.666666666667</v>
      </c>
      <c r="U19" s="32">
        <v>760</v>
      </c>
      <c r="V19" s="32">
        <v>760</v>
      </c>
      <c r="W19" s="32">
        <v>190</v>
      </c>
      <c r="X19" s="32">
        <v>0.91199999999999992</v>
      </c>
      <c r="Y19" s="32">
        <v>0.91199999999999992</v>
      </c>
      <c r="Z19" s="32">
        <v>1688.5714285714289</v>
      </c>
      <c r="AA19" s="32">
        <v>140.71428571428572</v>
      </c>
      <c r="AB19" s="32">
        <v>1918.6651560407868</v>
      </c>
      <c r="AC19" s="32">
        <v>159.88876300339891</v>
      </c>
      <c r="AD19" s="32">
        <v>2280</v>
      </c>
      <c r="AE19" s="32">
        <v>190</v>
      </c>
      <c r="AF19" s="32" t="s">
        <v>75</v>
      </c>
      <c r="AG19" s="32">
        <v>0.30278884462151395</v>
      </c>
      <c r="AH19" s="32">
        <v>7.5999999999999998E-2</v>
      </c>
      <c r="AI19" s="32">
        <v>760</v>
      </c>
      <c r="AJ19" t="s">
        <v>76</v>
      </c>
    </row>
    <row r="20" spans="1:36" x14ac:dyDescent="0.3">
      <c r="A20">
        <v>2026</v>
      </c>
      <c r="B20" s="9">
        <v>46023</v>
      </c>
      <c r="C20" t="s">
        <v>201</v>
      </c>
      <c r="D20">
        <v>1.9</v>
      </c>
      <c r="E20">
        <v>0.16</v>
      </c>
      <c r="F20" t="s">
        <v>74</v>
      </c>
      <c r="G20" t="s">
        <v>347</v>
      </c>
      <c r="H20">
        <v>25</v>
      </c>
      <c r="I20" s="9">
        <v>46024</v>
      </c>
      <c r="J20" t="s">
        <v>195</v>
      </c>
      <c r="K20" t="s">
        <v>196</v>
      </c>
      <c r="L20" t="s">
        <v>6</v>
      </c>
      <c r="M20" s="32">
        <v>96.809137699999269</v>
      </c>
      <c r="N20" t="s">
        <v>231</v>
      </c>
      <c r="O20" t="s">
        <v>212</v>
      </c>
      <c r="P20">
        <v>1</v>
      </c>
      <c r="Q20" s="32">
        <v>2120</v>
      </c>
      <c r="R20" s="32">
        <v>2130</v>
      </c>
      <c r="S20" s="32">
        <v>10</v>
      </c>
      <c r="T20" s="32">
        <v>5625</v>
      </c>
      <c r="U20" s="32">
        <v>900</v>
      </c>
      <c r="V20" s="32">
        <v>900</v>
      </c>
      <c r="W20" s="32">
        <v>90</v>
      </c>
      <c r="X20" s="32">
        <v>0.69230769230769229</v>
      </c>
      <c r="Y20" s="32">
        <v>0.69230769230769229</v>
      </c>
      <c r="Z20" s="32">
        <v>1088.3333333333333</v>
      </c>
      <c r="AA20" s="32">
        <v>90.694444444444443</v>
      </c>
      <c r="AB20" s="32">
        <v>1089.6986804200351</v>
      </c>
      <c r="AC20" s="32">
        <v>90.808223368336272</v>
      </c>
      <c r="AD20" s="32">
        <v>1440</v>
      </c>
      <c r="AE20" s="32">
        <v>120</v>
      </c>
      <c r="AF20" s="32" t="s">
        <v>77</v>
      </c>
      <c r="AG20" s="32">
        <v>0.29801324503311261</v>
      </c>
      <c r="AH20" s="32">
        <v>6.9230769230769235E-2</v>
      </c>
      <c r="AI20" s="32">
        <v>900</v>
      </c>
      <c r="AJ20" t="s">
        <v>76</v>
      </c>
    </row>
    <row r="21" spans="1:36" x14ac:dyDescent="0.3">
      <c r="A21">
        <v>2026</v>
      </c>
      <c r="B21" s="9">
        <v>46023</v>
      </c>
      <c r="C21" t="s">
        <v>201</v>
      </c>
      <c r="D21">
        <v>1.9</v>
      </c>
      <c r="E21">
        <v>0.16</v>
      </c>
      <c r="F21" t="s">
        <v>74</v>
      </c>
      <c r="G21" t="s">
        <v>347</v>
      </c>
      <c r="H21">
        <v>25</v>
      </c>
      <c r="I21" s="9">
        <v>46024</v>
      </c>
      <c r="J21" t="s">
        <v>195</v>
      </c>
      <c r="K21" t="s">
        <v>196</v>
      </c>
      <c r="L21" t="s">
        <v>6</v>
      </c>
      <c r="M21" s="32">
        <v>96.809137699999269</v>
      </c>
      <c r="N21" t="s">
        <v>226</v>
      </c>
      <c r="O21" t="s">
        <v>204</v>
      </c>
      <c r="P21">
        <v>1</v>
      </c>
      <c r="Q21" s="32">
        <v>2130</v>
      </c>
      <c r="R21" s="32">
        <v>2135</v>
      </c>
      <c r="S21" s="32">
        <v>5</v>
      </c>
      <c r="T21" s="32">
        <v>3750</v>
      </c>
      <c r="U21" s="32">
        <v>600</v>
      </c>
      <c r="V21" s="32">
        <v>600</v>
      </c>
      <c r="W21" s="32">
        <v>120</v>
      </c>
      <c r="X21" s="32">
        <v>0.46153846153846156</v>
      </c>
      <c r="Y21" s="32">
        <v>0.46153846153846156</v>
      </c>
      <c r="Z21" s="32">
        <v>1088.3333333333333</v>
      </c>
      <c r="AA21" s="32">
        <v>90.694444444444443</v>
      </c>
      <c r="AB21" s="32">
        <v>1089.6986804200351</v>
      </c>
      <c r="AC21" s="32">
        <v>90.808223368336272</v>
      </c>
      <c r="AD21" s="32">
        <v>1440</v>
      </c>
      <c r="AE21" s="32">
        <v>120</v>
      </c>
      <c r="AF21" s="32" t="s">
        <v>75</v>
      </c>
      <c r="AG21" s="32">
        <v>0.19867549668874171</v>
      </c>
      <c r="AH21" s="32">
        <v>4.6153846153846156E-2</v>
      </c>
      <c r="AI21" s="32">
        <v>600</v>
      </c>
      <c r="AJ21" t="s">
        <v>76</v>
      </c>
    </row>
    <row r="22" spans="1:36" x14ac:dyDescent="0.3">
      <c r="A22">
        <v>2026</v>
      </c>
      <c r="B22" s="9">
        <v>46023</v>
      </c>
      <c r="C22" t="s">
        <v>201</v>
      </c>
      <c r="D22">
        <v>1.9</v>
      </c>
      <c r="E22">
        <v>0.15</v>
      </c>
      <c r="F22" t="s">
        <v>78</v>
      </c>
      <c r="G22" t="s">
        <v>347</v>
      </c>
      <c r="H22">
        <v>15</v>
      </c>
      <c r="I22" s="9">
        <v>46024</v>
      </c>
      <c r="J22" t="s">
        <v>197</v>
      </c>
      <c r="K22" t="s">
        <v>198</v>
      </c>
      <c r="L22" t="s">
        <v>7</v>
      </c>
      <c r="M22" s="32">
        <v>64.881272401433691</v>
      </c>
      <c r="N22" t="s">
        <v>348</v>
      </c>
      <c r="O22" t="s">
        <v>212</v>
      </c>
      <c r="P22">
        <v>1</v>
      </c>
      <c r="Q22" s="32">
        <v>520</v>
      </c>
      <c r="R22" s="32">
        <v>529</v>
      </c>
      <c r="S22" s="32">
        <v>9</v>
      </c>
      <c r="T22" s="32">
        <v>3933.3333333333335</v>
      </c>
      <c r="U22" s="32">
        <v>590</v>
      </c>
      <c r="V22" s="32">
        <v>590</v>
      </c>
      <c r="W22" s="32">
        <v>65.555555555555557</v>
      </c>
      <c r="X22" s="32">
        <v>0.70799999999999996</v>
      </c>
      <c r="Y22" s="32">
        <v>0.70799999999999996</v>
      </c>
      <c r="Z22" s="32">
        <v>809.16666666666674</v>
      </c>
      <c r="AA22" s="32">
        <v>67.430555555555557</v>
      </c>
      <c r="AB22" s="32">
        <v>897.94380952380925</v>
      </c>
      <c r="AC22" s="32">
        <v>74.82865079365078</v>
      </c>
      <c r="AD22" s="32">
        <v>900</v>
      </c>
      <c r="AE22" s="32">
        <v>75</v>
      </c>
      <c r="AF22" s="32" t="s">
        <v>77</v>
      </c>
      <c r="AG22" s="32">
        <v>0.29207920792079206</v>
      </c>
      <c r="AH22" s="32">
        <v>5.8999999999999997E-2</v>
      </c>
      <c r="AI22" s="32">
        <v>590</v>
      </c>
      <c r="AJ22" t="s">
        <v>76</v>
      </c>
    </row>
    <row r="23" spans="1:36" x14ac:dyDescent="0.3">
      <c r="A23">
        <v>2026</v>
      </c>
      <c r="B23" s="9">
        <v>46023</v>
      </c>
      <c r="C23" t="s">
        <v>201</v>
      </c>
      <c r="D23">
        <v>1.9</v>
      </c>
      <c r="E23">
        <v>0.15</v>
      </c>
      <c r="F23" t="s">
        <v>78</v>
      </c>
      <c r="G23" t="s">
        <v>347</v>
      </c>
      <c r="H23">
        <v>15</v>
      </c>
      <c r="I23" s="9">
        <v>46024</v>
      </c>
      <c r="J23" t="s">
        <v>197</v>
      </c>
      <c r="K23" t="s">
        <v>198</v>
      </c>
      <c r="L23" t="s">
        <v>7</v>
      </c>
      <c r="M23" s="32">
        <v>64.881272401433691</v>
      </c>
      <c r="N23" t="s">
        <v>349</v>
      </c>
      <c r="O23" t="s">
        <v>204</v>
      </c>
      <c r="P23">
        <v>1</v>
      </c>
      <c r="Q23" s="32">
        <v>529</v>
      </c>
      <c r="R23" s="32">
        <v>535</v>
      </c>
      <c r="S23" s="32">
        <v>6</v>
      </c>
      <c r="T23" s="32">
        <v>2666.666666666667</v>
      </c>
      <c r="U23" s="32">
        <v>400</v>
      </c>
      <c r="V23" s="32">
        <v>400</v>
      </c>
      <c r="W23" s="32">
        <v>66.666666666666671</v>
      </c>
      <c r="X23" s="32">
        <v>0.48</v>
      </c>
      <c r="Y23" s="32">
        <v>0.48</v>
      </c>
      <c r="Z23" s="32">
        <v>809.16666666666674</v>
      </c>
      <c r="AA23" s="32">
        <v>67.430555555555557</v>
      </c>
      <c r="AB23" s="32">
        <v>897.94380952380925</v>
      </c>
      <c r="AC23" s="32">
        <v>74.82865079365078</v>
      </c>
      <c r="AD23" s="32">
        <v>900</v>
      </c>
      <c r="AE23" s="32">
        <v>75</v>
      </c>
      <c r="AF23" s="32" t="s">
        <v>77</v>
      </c>
      <c r="AG23" s="32">
        <v>0.19801980198019803</v>
      </c>
      <c r="AH23" s="32">
        <v>0.04</v>
      </c>
      <c r="AI23" s="32">
        <v>400</v>
      </c>
      <c r="AJ23" t="s">
        <v>76</v>
      </c>
    </row>
    <row r="24" spans="1:36" x14ac:dyDescent="0.3">
      <c r="A24">
        <v>2026</v>
      </c>
      <c r="B24" s="9">
        <v>46023</v>
      </c>
      <c r="C24" t="s">
        <v>201</v>
      </c>
      <c r="D24">
        <v>1.9</v>
      </c>
      <c r="E24">
        <v>0.16</v>
      </c>
      <c r="F24" t="s">
        <v>74</v>
      </c>
      <c r="G24" t="s">
        <v>347</v>
      </c>
      <c r="H24">
        <v>25</v>
      </c>
      <c r="I24" s="9">
        <v>46024</v>
      </c>
      <c r="J24" t="s">
        <v>199</v>
      </c>
      <c r="K24" t="s">
        <v>200</v>
      </c>
      <c r="L24" t="s">
        <v>7</v>
      </c>
      <c r="M24" s="32">
        <v>82.751428571428562</v>
      </c>
      <c r="N24" t="s">
        <v>350</v>
      </c>
      <c r="O24" t="s">
        <v>212</v>
      </c>
      <c r="P24">
        <v>1</v>
      </c>
      <c r="Q24" s="32">
        <v>715</v>
      </c>
      <c r="R24" s="32">
        <v>720</v>
      </c>
      <c r="S24" s="32">
        <v>5</v>
      </c>
      <c r="T24" s="32">
        <v>3000</v>
      </c>
      <c r="U24" s="32">
        <v>480</v>
      </c>
      <c r="V24" s="32">
        <v>480</v>
      </c>
      <c r="W24" s="32">
        <v>96</v>
      </c>
      <c r="X24" s="32">
        <v>0.36923076923076925</v>
      </c>
      <c r="Y24" s="32">
        <v>0.36923076923076925</v>
      </c>
      <c r="Z24" s="32">
        <v>954</v>
      </c>
      <c r="AA24" s="32">
        <v>79.5</v>
      </c>
      <c r="AB24" s="32">
        <v>978.6193548387098</v>
      </c>
      <c r="AC24" s="32">
        <v>81.551612903225831</v>
      </c>
      <c r="AD24" s="32">
        <v>1152</v>
      </c>
      <c r="AE24" s="32">
        <v>96</v>
      </c>
      <c r="AF24" s="32" t="s">
        <v>75</v>
      </c>
      <c r="AG24" s="32">
        <v>0.24615384615384617</v>
      </c>
      <c r="AH24" s="32">
        <v>3.6923076923076927E-2</v>
      </c>
      <c r="AI24" s="32">
        <v>480</v>
      </c>
      <c r="AJ24" t="s">
        <v>76</v>
      </c>
    </row>
    <row r="25" spans="1:36" x14ac:dyDescent="0.3">
      <c r="A25">
        <v>2026</v>
      </c>
      <c r="B25" s="9">
        <v>46023</v>
      </c>
      <c r="C25" t="s">
        <v>201</v>
      </c>
      <c r="D25">
        <v>1.9</v>
      </c>
      <c r="E25">
        <v>0.16</v>
      </c>
      <c r="F25" t="s">
        <v>74</v>
      </c>
      <c r="G25" t="s">
        <v>347</v>
      </c>
      <c r="H25">
        <v>25</v>
      </c>
      <c r="I25" s="9">
        <v>46024</v>
      </c>
      <c r="J25" t="s">
        <v>199</v>
      </c>
      <c r="K25" t="s">
        <v>200</v>
      </c>
      <c r="L25" t="s">
        <v>7</v>
      </c>
      <c r="M25" s="32">
        <v>82.751428571428562</v>
      </c>
      <c r="N25" t="s">
        <v>351</v>
      </c>
      <c r="O25" t="s">
        <v>204</v>
      </c>
      <c r="P25">
        <v>1</v>
      </c>
      <c r="Q25" s="32">
        <v>720</v>
      </c>
      <c r="R25" s="32">
        <v>725</v>
      </c>
      <c r="S25" s="32">
        <v>5</v>
      </c>
      <c r="T25" s="32">
        <v>2000</v>
      </c>
      <c r="U25" s="32">
        <v>320</v>
      </c>
      <c r="V25" s="32">
        <v>320</v>
      </c>
      <c r="W25" s="32">
        <v>64</v>
      </c>
      <c r="X25" s="32">
        <v>0.24615384615384617</v>
      </c>
      <c r="Y25" s="32">
        <v>0.24615384615384617</v>
      </c>
      <c r="Z25" s="32">
        <v>954</v>
      </c>
      <c r="AA25" s="32">
        <v>79.5</v>
      </c>
      <c r="AB25" s="32">
        <v>978.6193548387098</v>
      </c>
      <c r="AC25" s="32">
        <v>81.551612903225831</v>
      </c>
      <c r="AD25" s="32">
        <v>1152</v>
      </c>
      <c r="AE25" s="32">
        <v>96</v>
      </c>
      <c r="AF25" s="32" t="s">
        <v>77</v>
      </c>
      <c r="AG25" s="32">
        <v>0.1641025641025641</v>
      </c>
      <c r="AH25" s="32">
        <v>2.4615384615384615E-2</v>
      </c>
      <c r="AI25" s="32">
        <v>320</v>
      </c>
      <c r="AJ25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56C1-97B5-4CC6-8BCC-1D42A4F89A20}">
  <dimension ref="A1:AF7"/>
  <sheetViews>
    <sheetView workbookViewId="0">
      <selection activeCell="I934" sqref="I934"/>
    </sheetView>
  </sheetViews>
  <sheetFormatPr defaultRowHeight="14.4" x14ac:dyDescent="0.3"/>
  <cols>
    <col min="1" max="1" width="7.109375" bestFit="1" customWidth="1"/>
    <col min="2" max="3" width="10.5546875" bestFit="1" customWidth="1"/>
    <col min="4" max="4" width="25.33203125" bestFit="1" customWidth="1"/>
    <col min="5" max="5" width="19" bestFit="1" customWidth="1"/>
    <col min="6" max="6" width="23.6640625" bestFit="1" customWidth="1"/>
    <col min="7" max="7" width="28.33203125" bestFit="1" customWidth="1"/>
    <col min="8" max="8" width="7.88671875" style="33" bestFit="1" customWidth="1"/>
    <col min="9" max="9" width="19.6640625" style="33" bestFit="1" customWidth="1"/>
    <col min="10" max="10" width="20.109375" style="33" bestFit="1" customWidth="1"/>
    <col min="11" max="11" width="17.109375" style="33" bestFit="1" customWidth="1"/>
    <col min="12" max="12" width="13.77734375" bestFit="1" customWidth="1"/>
    <col min="13" max="13" width="31.21875" bestFit="1" customWidth="1"/>
    <col min="14" max="14" width="7.88671875" style="33" bestFit="1" customWidth="1"/>
    <col min="15" max="16" width="19.6640625" style="33" bestFit="1" customWidth="1"/>
    <col min="17" max="17" width="16.6640625" style="33" bestFit="1" customWidth="1"/>
    <col min="18" max="18" width="13.33203125" bestFit="1" customWidth="1"/>
    <col min="19" max="19" width="9.109375" bestFit="1" customWidth="1"/>
    <col min="20" max="20" width="13.109375" style="32" bestFit="1" customWidth="1"/>
    <col min="21" max="21" width="12.6640625" style="32" bestFit="1" customWidth="1"/>
    <col min="22" max="22" width="24.21875" style="32" bestFit="1" customWidth="1"/>
    <col min="23" max="23" width="15" style="32" bestFit="1" customWidth="1"/>
    <col min="24" max="24" width="23.88671875" style="32" bestFit="1" customWidth="1"/>
    <col min="25" max="25" width="18.21875" style="32" bestFit="1" customWidth="1"/>
    <col min="26" max="26" width="18" style="32" bestFit="1" customWidth="1"/>
    <col min="27" max="27" width="26.44140625" style="32" bestFit="1" customWidth="1"/>
    <col min="28" max="28" width="27" style="32" bestFit="1" customWidth="1"/>
    <col min="29" max="29" width="19.5546875" style="29" bestFit="1" customWidth="1"/>
    <col min="30" max="30" width="22.44140625" style="29" bestFit="1" customWidth="1"/>
    <col min="31" max="31" width="19.5546875" style="32" bestFit="1" customWidth="1"/>
    <col min="32" max="32" width="21.77734375" bestFit="1" customWidth="1"/>
  </cols>
  <sheetData>
    <row r="1" spans="1:32" x14ac:dyDescent="0.3">
      <c r="A1" t="s">
        <v>8</v>
      </c>
      <c r="B1" t="s">
        <v>9</v>
      </c>
      <c r="C1" t="s">
        <v>80</v>
      </c>
      <c r="D1" t="s">
        <v>0</v>
      </c>
      <c r="E1" t="s">
        <v>1</v>
      </c>
      <c r="F1" t="s">
        <v>50</v>
      </c>
      <c r="G1" t="s">
        <v>81</v>
      </c>
      <c r="H1" s="33" t="s">
        <v>82</v>
      </c>
      <c r="I1" s="33" t="s">
        <v>83</v>
      </c>
      <c r="J1" s="33" t="s">
        <v>84</v>
      </c>
      <c r="K1" s="33" t="s">
        <v>85</v>
      </c>
      <c r="L1" t="s">
        <v>36</v>
      </c>
      <c r="M1" t="s">
        <v>86</v>
      </c>
      <c r="N1" s="33" t="s">
        <v>87</v>
      </c>
      <c r="O1" s="33" t="s">
        <v>88</v>
      </c>
      <c r="P1" s="33" t="s">
        <v>89</v>
      </c>
      <c r="Q1" s="33" t="s">
        <v>90</v>
      </c>
      <c r="R1" t="s">
        <v>39</v>
      </c>
      <c r="S1" t="s">
        <v>91</v>
      </c>
      <c r="T1" s="32" t="s">
        <v>92</v>
      </c>
      <c r="U1" s="32" t="s">
        <v>93</v>
      </c>
      <c r="V1" s="32" t="s">
        <v>94</v>
      </c>
      <c r="W1" s="32" t="s">
        <v>95</v>
      </c>
      <c r="X1" s="32" t="s">
        <v>96</v>
      </c>
      <c r="Y1" s="32" t="s">
        <v>97</v>
      </c>
      <c r="Z1" s="32" t="s">
        <v>24</v>
      </c>
      <c r="AA1" s="32" t="s">
        <v>98</v>
      </c>
      <c r="AB1" s="32" t="s">
        <v>99</v>
      </c>
      <c r="AC1" s="29" t="s">
        <v>100</v>
      </c>
      <c r="AD1" s="29" t="s">
        <v>101</v>
      </c>
      <c r="AE1" s="32" t="s">
        <v>102</v>
      </c>
      <c r="AF1" t="s">
        <v>103</v>
      </c>
    </row>
    <row r="2" spans="1:32" x14ac:dyDescent="0.3">
      <c r="A2">
        <v>2026</v>
      </c>
      <c r="B2" s="9">
        <v>46023</v>
      </c>
      <c r="C2" s="9">
        <v>46023</v>
      </c>
      <c r="D2" t="s">
        <v>189</v>
      </c>
      <c r="E2" t="s">
        <v>190</v>
      </c>
      <c r="F2" t="s">
        <v>5</v>
      </c>
      <c r="G2" t="s">
        <v>81</v>
      </c>
      <c r="H2" s="33">
        <v>1</v>
      </c>
      <c r="I2" s="33" t="s">
        <v>206</v>
      </c>
      <c r="J2" s="33" t="s">
        <v>207</v>
      </c>
      <c r="K2" s="33">
        <v>1</v>
      </c>
      <c r="L2" t="s">
        <v>4</v>
      </c>
      <c r="M2" t="s">
        <v>86</v>
      </c>
      <c r="N2" s="33">
        <v>1</v>
      </c>
      <c r="O2" s="33" t="s">
        <v>208</v>
      </c>
      <c r="P2" s="33" t="s">
        <v>209</v>
      </c>
      <c r="Q2" s="33">
        <v>1</v>
      </c>
      <c r="R2" t="s">
        <v>4</v>
      </c>
      <c r="S2" t="s">
        <v>91</v>
      </c>
      <c r="T2" s="32">
        <v>23</v>
      </c>
      <c r="U2" s="32">
        <v>11</v>
      </c>
      <c r="V2" s="32">
        <v>17</v>
      </c>
      <c r="W2" s="32">
        <v>48</v>
      </c>
      <c r="X2" s="32">
        <v>34</v>
      </c>
      <c r="Y2" s="32">
        <v>0</v>
      </c>
      <c r="Z2" s="32">
        <v>14</v>
      </c>
      <c r="AA2" s="32">
        <v>2</v>
      </c>
      <c r="AB2" s="32">
        <v>12</v>
      </c>
      <c r="AC2" s="29" t="s">
        <v>210</v>
      </c>
      <c r="AD2" s="29" t="s">
        <v>211</v>
      </c>
      <c r="AE2" s="32" t="s">
        <v>159</v>
      </c>
      <c r="AF2" t="s">
        <v>142</v>
      </c>
    </row>
    <row r="3" spans="1:32" x14ac:dyDescent="0.3">
      <c r="A3">
        <v>2026</v>
      </c>
      <c r="B3" s="9">
        <v>46023</v>
      </c>
      <c r="C3" s="9">
        <v>46023</v>
      </c>
      <c r="D3" t="s">
        <v>191</v>
      </c>
      <c r="E3" t="s">
        <v>192</v>
      </c>
      <c r="F3" t="s">
        <v>5</v>
      </c>
      <c r="G3" t="s">
        <v>81</v>
      </c>
      <c r="H3" s="33">
        <v>1</v>
      </c>
      <c r="I3" s="33" t="s">
        <v>165</v>
      </c>
      <c r="J3" s="33" t="s">
        <v>165</v>
      </c>
      <c r="L3" t="s">
        <v>175</v>
      </c>
      <c r="M3" t="s">
        <v>86</v>
      </c>
      <c r="N3" s="33">
        <v>1</v>
      </c>
      <c r="O3" s="33" t="s">
        <v>213</v>
      </c>
      <c r="P3" s="33" t="s">
        <v>214</v>
      </c>
      <c r="Q3" s="33">
        <v>1</v>
      </c>
      <c r="R3" t="s">
        <v>4</v>
      </c>
      <c r="S3" t="s">
        <v>91</v>
      </c>
      <c r="T3" s="32">
        <v>0</v>
      </c>
      <c r="U3" s="32">
        <v>22</v>
      </c>
      <c r="V3" s="32">
        <v>11</v>
      </c>
      <c r="W3" s="32">
        <v>24</v>
      </c>
      <c r="X3" s="32">
        <v>22</v>
      </c>
      <c r="Y3" s="32">
        <v>0</v>
      </c>
      <c r="Z3" s="32">
        <v>2</v>
      </c>
      <c r="AA3" s="32">
        <v>2</v>
      </c>
      <c r="AB3" s="32">
        <v>0</v>
      </c>
      <c r="AC3" s="29" t="s">
        <v>215</v>
      </c>
      <c r="AD3" s="29" t="s">
        <v>216</v>
      </c>
      <c r="AE3" s="32" t="s">
        <v>179</v>
      </c>
      <c r="AF3" t="s">
        <v>142</v>
      </c>
    </row>
    <row r="4" spans="1:32" x14ac:dyDescent="0.3">
      <c r="A4">
        <v>2026</v>
      </c>
      <c r="B4" s="9">
        <v>46023</v>
      </c>
      <c r="C4" s="9">
        <v>46023</v>
      </c>
      <c r="D4" t="s">
        <v>193</v>
      </c>
      <c r="E4" t="s">
        <v>194</v>
      </c>
      <c r="F4" t="s">
        <v>6</v>
      </c>
      <c r="G4" t="s">
        <v>81</v>
      </c>
      <c r="H4" s="33">
        <v>1</v>
      </c>
      <c r="I4" s="33" t="s">
        <v>4</v>
      </c>
      <c r="J4" s="33" t="s">
        <v>4</v>
      </c>
      <c r="L4" t="s">
        <v>104</v>
      </c>
      <c r="M4" t="s">
        <v>86</v>
      </c>
      <c r="N4" s="33">
        <v>1</v>
      </c>
      <c r="O4" s="33" t="s">
        <v>4</v>
      </c>
      <c r="P4" s="33" t="s">
        <v>4</v>
      </c>
      <c r="R4" t="s">
        <v>104</v>
      </c>
      <c r="S4" t="s">
        <v>91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29" t="s">
        <v>4</v>
      </c>
      <c r="AD4" s="29" t="s">
        <v>4</v>
      </c>
      <c r="AE4" s="32" t="s">
        <v>4</v>
      </c>
      <c r="AF4" t="s">
        <v>105</v>
      </c>
    </row>
    <row r="5" spans="1:32" x14ac:dyDescent="0.3">
      <c r="A5">
        <v>2026</v>
      </c>
      <c r="B5" s="9">
        <v>46023</v>
      </c>
      <c r="C5" s="9">
        <v>46023</v>
      </c>
      <c r="D5" t="s">
        <v>195</v>
      </c>
      <c r="E5" t="s">
        <v>196</v>
      </c>
      <c r="F5" t="s">
        <v>6</v>
      </c>
      <c r="G5" t="s">
        <v>81</v>
      </c>
      <c r="H5" s="33">
        <v>1</v>
      </c>
      <c r="I5" s="33" t="s">
        <v>144</v>
      </c>
      <c r="J5" s="33" t="s">
        <v>144</v>
      </c>
      <c r="K5" s="33">
        <v>0</v>
      </c>
      <c r="L5" t="s">
        <v>4</v>
      </c>
      <c r="M5" t="s">
        <v>86</v>
      </c>
      <c r="N5" s="33">
        <v>1</v>
      </c>
      <c r="O5" s="33" t="s">
        <v>144</v>
      </c>
      <c r="P5" s="33" t="s">
        <v>144</v>
      </c>
      <c r="Q5" s="33">
        <v>0</v>
      </c>
      <c r="R5" t="s">
        <v>4</v>
      </c>
      <c r="S5" t="s">
        <v>91</v>
      </c>
      <c r="T5" s="32">
        <v>24</v>
      </c>
      <c r="U5" s="32">
        <v>24</v>
      </c>
      <c r="V5" s="32">
        <v>24</v>
      </c>
      <c r="W5" s="32">
        <v>48</v>
      </c>
      <c r="X5" s="32">
        <v>48</v>
      </c>
      <c r="Y5" s="32">
        <v>0</v>
      </c>
      <c r="Z5" s="32">
        <v>0</v>
      </c>
      <c r="AA5" s="32">
        <v>0</v>
      </c>
      <c r="AB5" s="32">
        <v>0</v>
      </c>
      <c r="AC5" s="29" t="s">
        <v>159</v>
      </c>
      <c r="AD5" s="29" t="s">
        <v>159</v>
      </c>
      <c r="AE5" s="32" t="s">
        <v>159</v>
      </c>
      <c r="AF5" t="s">
        <v>142</v>
      </c>
    </row>
    <row r="6" spans="1:32" x14ac:dyDescent="0.3">
      <c r="A6">
        <v>2026</v>
      </c>
      <c r="B6" s="9">
        <v>46023</v>
      </c>
      <c r="C6" s="9">
        <v>46023</v>
      </c>
      <c r="D6" t="s">
        <v>197</v>
      </c>
      <c r="E6" t="s">
        <v>198</v>
      </c>
      <c r="F6" t="s">
        <v>7</v>
      </c>
      <c r="G6" t="s">
        <v>81</v>
      </c>
      <c r="H6" s="33">
        <v>1</v>
      </c>
      <c r="I6" s="33" t="s">
        <v>217</v>
      </c>
      <c r="J6" s="33" t="s">
        <v>218</v>
      </c>
      <c r="K6" s="33">
        <v>1</v>
      </c>
      <c r="L6" t="s">
        <v>4</v>
      </c>
      <c r="M6" t="s">
        <v>86</v>
      </c>
      <c r="N6" s="33">
        <v>1</v>
      </c>
      <c r="O6" s="33" t="s">
        <v>219</v>
      </c>
      <c r="P6" s="33" t="s">
        <v>220</v>
      </c>
      <c r="Q6" s="33">
        <v>1</v>
      </c>
      <c r="R6" t="s">
        <v>4</v>
      </c>
      <c r="S6" t="s">
        <v>91</v>
      </c>
      <c r="T6" s="32">
        <v>2</v>
      </c>
      <c r="U6" s="32">
        <v>15</v>
      </c>
      <c r="V6" s="32">
        <v>9</v>
      </c>
      <c r="W6" s="32">
        <v>24</v>
      </c>
      <c r="X6" s="32">
        <v>18</v>
      </c>
      <c r="Y6" s="32">
        <v>0</v>
      </c>
      <c r="Z6" s="32">
        <v>6</v>
      </c>
      <c r="AA6" s="32">
        <v>5</v>
      </c>
      <c r="AB6" s="32">
        <v>1</v>
      </c>
      <c r="AC6" s="29" t="s">
        <v>221</v>
      </c>
      <c r="AD6" s="29" t="s">
        <v>222</v>
      </c>
      <c r="AE6" s="32" t="s">
        <v>223</v>
      </c>
      <c r="AF6" t="s">
        <v>142</v>
      </c>
    </row>
    <row r="7" spans="1:32" x14ac:dyDescent="0.3">
      <c r="A7">
        <v>2026</v>
      </c>
      <c r="B7" s="9">
        <v>46023</v>
      </c>
      <c r="C7" s="9">
        <v>46023</v>
      </c>
      <c r="D7" t="s">
        <v>199</v>
      </c>
      <c r="E7" t="s">
        <v>200</v>
      </c>
      <c r="F7" t="s">
        <v>7</v>
      </c>
      <c r="G7" t="s">
        <v>81</v>
      </c>
      <c r="H7" s="33">
        <v>1</v>
      </c>
      <c r="I7" s="33" t="s">
        <v>4</v>
      </c>
      <c r="J7" s="33" t="s">
        <v>4</v>
      </c>
      <c r="L7" t="s">
        <v>104</v>
      </c>
      <c r="M7" t="s">
        <v>86</v>
      </c>
      <c r="N7" s="33">
        <v>1</v>
      </c>
      <c r="O7" s="33" t="s">
        <v>4</v>
      </c>
      <c r="P7" s="33" t="s">
        <v>4</v>
      </c>
      <c r="R7" t="s">
        <v>104</v>
      </c>
      <c r="S7" t="s">
        <v>91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29" t="s">
        <v>4</v>
      </c>
      <c r="AD7" s="29" t="s">
        <v>4</v>
      </c>
      <c r="AE7" s="32" t="s">
        <v>4</v>
      </c>
      <c r="AF7" t="s">
        <v>105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B9C3-4F8A-4AD2-8BA4-92E60B862321}">
  <dimension ref="A1:AL73"/>
  <sheetViews>
    <sheetView topLeftCell="B1" workbookViewId="0">
      <selection activeCell="I934" sqref="I934"/>
    </sheetView>
  </sheetViews>
  <sheetFormatPr defaultRowHeight="14.4" x14ac:dyDescent="0.3"/>
  <cols>
    <col min="1" max="1" width="7.109375" bestFit="1" customWidth="1"/>
    <col min="2" max="3" width="10.5546875" bestFit="1" customWidth="1"/>
    <col min="4" max="4" width="25.33203125" bestFit="1" customWidth="1"/>
    <col min="5" max="5" width="9.33203125" bestFit="1" customWidth="1"/>
    <col min="6" max="6" width="12.6640625" bestFit="1" customWidth="1"/>
    <col min="7" max="7" width="19" bestFit="1" customWidth="1"/>
    <col min="8" max="8" width="23.6640625" bestFit="1" customWidth="1"/>
    <col min="9" max="9" width="28.33203125" bestFit="1" customWidth="1"/>
    <col min="10" max="10" width="6.77734375" bestFit="1" customWidth="1"/>
    <col min="11" max="11" width="19.6640625" bestFit="1" customWidth="1"/>
    <col min="12" max="12" width="20.109375" bestFit="1" customWidth="1"/>
    <col min="13" max="13" width="17.109375" bestFit="1" customWidth="1"/>
    <col min="14" max="14" width="13.77734375" bestFit="1" customWidth="1"/>
    <col min="15" max="15" width="31.21875" bestFit="1" customWidth="1"/>
    <col min="16" max="16" width="6.33203125" bestFit="1" customWidth="1"/>
    <col min="17" max="18" width="19.6640625" bestFit="1" customWidth="1"/>
    <col min="19" max="19" width="16.6640625" bestFit="1" customWidth="1"/>
    <col min="20" max="20" width="13.33203125" bestFit="1" customWidth="1"/>
    <col min="21" max="21" width="9.109375" bestFit="1" customWidth="1"/>
    <col min="22" max="22" width="13.109375" bestFit="1" customWidth="1"/>
    <col min="23" max="23" width="12.6640625" bestFit="1" customWidth="1"/>
    <col min="24" max="24" width="24.21875" bestFit="1" customWidth="1"/>
    <col min="25" max="25" width="15" bestFit="1" customWidth="1"/>
    <col min="26" max="26" width="21.21875" bestFit="1" customWidth="1"/>
    <col min="27" max="27" width="23.88671875" bestFit="1" customWidth="1"/>
    <col min="28" max="28" width="18.21875" bestFit="1" customWidth="1"/>
    <col min="29" max="29" width="18" bestFit="1" customWidth="1"/>
    <col min="30" max="30" width="24.21875" bestFit="1" customWidth="1"/>
    <col min="31" max="31" width="17.77734375" bestFit="1" customWidth="1"/>
    <col min="32" max="32" width="26.44140625" bestFit="1" customWidth="1"/>
    <col min="33" max="33" width="27" bestFit="1" customWidth="1"/>
    <col min="34" max="34" width="28.44140625" bestFit="1" customWidth="1"/>
    <col min="35" max="35" width="19.5546875" bestFit="1" customWidth="1"/>
    <col min="36" max="36" width="22.44140625" bestFit="1" customWidth="1"/>
    <col min="37" max="37" width="19.5546875" bestFit="1" customWidth="1"/>
    <col min="38" max="38" width="21.77734375" bestFit="1" customWidth="1"/>
  </cols>
  <sheetData>
    <row r="1" spans="1:38" x14ac:dyDescent="0.3">
      <c r="A1" t="s">
        <v>8</v>
      </c>
      <c r="B1" t="s">
        <v>9</v>
      </c>
      <c r="C1" t="s">
        <v>80</v>
      </c>
      <c r="D1" t="s">
        <v>0</v>
      </c>
      <c r="E1" t="s">
        <v>53</v>
      </c>
      <c r="F1" t="s">
        <v>52</v>
      </c>
      <c r="G1" t="s">
        <v>1</v>
      </c>
      <c r="H1" t="s">
        <v>50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36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39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184</v>
      </c>
      <c r="AA1" t="s">
        <v>96</v>
      </c>
      <c r="AB1" t="s">
        <v>97</v>
      </c>
      <c r="AC1" t="s">
        <v>24</v>
      </c>
      <c r="AD1" t="s">
        <v>185</v>
      </c>
      <c r="AE1" t="s">
        <v>176</v>
      </c>
      <c r="AF1" t="s">
        <v>98</v>
      </c>
      <c r="AG1" t="s">
        <v>99</v>
      </c>
      <c r="AH1" t="s">
        <v>186</v>
      </c>
      <c r="AI1" t="s">
        <v>100</v>
      </c>
      <c r="AJ1" t="s">
        <v>101</v>
      </c>
      <c r="AK1" t="s">
        <v>102</v>
      </c>
      <c r="AL1" t="s">
        <v>103</v>
      </c>
    </row>
    <row r="2" spans="1:38" x14ac:dyDescent="0.3">
      <c r="A2">
        <v>2026</v>
      </c>
      <c r="B2" s="9">
        <v>46023</v>
      </c>
      <c r="C2" s="9">
        <v>46023</v>
      </c>
      <c r="D2" t="s">
        <v>189</v>
      </c>
      <c r="E2" t="s">
        <v>204</v>
      </c>
      <c r="F2" t="s">
        <v>205</v>
      </c>
      <c r="G2" t="s">
        <v>190</v>
      </c>
      <c r="H2" t="s">
        <v>5</v>
      </c>
      <c r="I2" t="s">
        <v>81</v>
      </c>
      <c r="J2">
        <v>1</v>
      </c>
      <c r="K2" t="s">
        <v>206</v>
      </c>
      <c r="L2" t="s">
        <v>207</v>
      </c>
      <c r="M2">
        <v>1</v>
      </c>
      <c r="N2" t="s">
        <v>175</v>
      </c>
      <c r="O2" t="s">
        <v>86</v>
      </c>
      <c r="P2">
        <v>1</v>
      </c>
      <c r="Q2" t="s">
        <v>208</v>
      </c>
      <c r="R2" t="s">
        <v>209</v>
      </c>
      <c r="S2">
        <v>1</v>
      </c>
      <c r="T2" t="s">
        <v>167</v>
      </c>
      <c r="U2" t="s">
        <v>91</v>
      </c>
      <c r="V2">
        <v>7</v>
      </c>
      <c r="W2">
        <v>5</v>
      </c>
      <c r="X2">
        <v>6</v>
      </c>
      <c r="Y2">
        <v>12</v>
      </c>
      <c r="Z2" t="s">
        <v>187</v>
      </c>
      <c r="AA2">
        <v>12</v>
      </c>
      <c r="AB2">
        <v>0</v>
      </c>
      <c r="AC2">
        <v>0</v>
      </c>
      <c r="AD2" t="s">
        <v>187</v>
      </c>
      <c r="AE2" t="s">
        <v>159</v>
      </c>
      <c r="AF2">
        <v>0</v>
      </c>
      <c r="AG2">
        <v>0</v>
      </c>
      <c r="AH2" t="s">
        <v>187</v>
      </c>
      <c r="AI2" t="s">
        <v>210</v>
      </c>
      <c r="AJ2" t="s">
        <v>211</v>
      </c>
      <c r="AK2" t="s">
        <v>159</v>
      </c>
      <c r="AL2" t="s">
        <v>143</v>
      </c>
    </row>
    <row r="3" spans="1:38" x14ac:dyDescent="0.3">
      <c r="A3">
        <v>2026</v>
      </c>
      <c r="B3" s="9">
        <v>46023</v>
      </c>
      <c r="C3" s="9">
        <v>46023</v>
      </c>
      <c r="D3" t="s">
        <v>191</v>
      </c>
      <c r="E3" t="s">
        <v>212</v>
      </c>
      <c r="F3" t="s">
        <v>4</v>
      </c>
      <c r="G3" t="s">
        <v>192</v>
      </c>
      <c r="H3" t="s">
        <v>5</v>
      </c>
      <c r="I3" t="s">
        <v>81</v>
      </c>
      <c r="J3">
        <v>1</v>
      </c>
      <c r="K3" t="s">
        <v>165</v>
      </c>
      <c r="L3" t="s">
        <v>165</v>
      </c>
      <c r="N3" t="s">
        <v>175</v>
      </c>
      <c r="O3" t="s">
        <v>86</v>
      </c>
      <c r="P3">
        <v>1</v>
      </c>
      <c r="Q3" t="s">
        <v>213</v>
      </c>
      <c r="R3" t="s">
        <v>214</v>
      </c>
      <c r="S3">
        <v>1</v>
      </c>
      <c r="T3" t="s">
        <v>4</v>
      </c>
      <c r="U3" t="s">
        <v>91</v>
      </c>
      <c r="V3">
        <v>0</v>
      </c>
      <c r="W3">
        <v>0</v>
      </c>
      <c r="X3">
        <v>0</v>
      </c>
      <c r="Y3">
        <v>0</v>
      </c>
      <c r="Z3" t="s">
        <v>187</v>
      </c>
      <c r="AA3">
        <v>0</v>
      </c>
      <c r="AB3">
        <v>0</v>
      </c>
      <c r="AC3">
        <v>0</v>
      </c>
      <c r="AD3" t="s">
        <v>187</v>
      </c>
      <c r="AE3" t="s">
        <v>177</v>
      </c>
      <c r="AF3">
        <v>0</v>
      </c>
      <c r="AG3">
        <v>0</v>
      </c>
      <c r="AH3" t="s">
        <v>187</v>
      </c>
      <c r="AI3" t="s">
        <v>215</v>
      </c>
      <c r="AJ3" t="s">
        <v>216</v>
      </c>
      <c r="AK3" t="s">
        <v>179</v>
      </c>
      <c r="AL3" t="s">
        <v>105</v>
      </c>
    </row>
    <row r="4" spans="1:38" x14ac:dyDescent="0.3">
      <c r="A4">
        <v>2026</v>
      </c>
      <c r="B4" s="9">
        <v>46023</v>
      </c>
      <c r="C4" s="9">
        <v>46023</v>
      </c>
      <c r="D4" t="s">
        <v>191</v>
      </c>
      <c r="E4" t="s">
        <v>204</v>
      </c>
      <c r="F4" t="s">
        <v>4</v>
      </c>
      <c r="G4" t="s">
        <v>192</v>
      </c>
      <c r="H4" t="s">
        <v>5</v>
      </c>
      <c r="I4" t="s">
        <v>81</v>
      </c>
      <c r="J4">
        <v>1</v>
      </c>
      <c r="K4" t="s">
        <v>165</v>
      </c>
      <c r="L4" t="s">
        <v>165</v>
      </c>
      <c r="N4" t="s">
        <v>175</v>
      </c>
      <c r="O4" t="s">
        <v>86</v>
      </c>
      <c r="P4">
        <v>1</v>
      </c>
      <c r="Q4" t="s">
        <v>213</v>
      </c>
      <c r="R4" t="s">
        <v>214</v>
      </c>
      <c r="S4">
        <v>1</v>
      </c>
      <c r="T4" t="s">
        <v>4</v>
      </c>
      <c r="U4" t="s">
        <v>91</v>
      </c>
      <c r="V4">
        <v>0</v>
      </c>
      <c r="W4">
        <v>0</v>
      </c>
      <c r="X4">
        <v>0</v>
      </c>
      <c r="Y4">
        <v>0</v>
      </c>
      <c r="Z4" t="s">
        <v>187</v>
      </c>
      <c r="AA4">
        <v>0</v>
      </c>
      <c r="AB4">
        <v>0</v>
      </c>
      <c r="AC4">
        <v>0</v>
      </c>
      <c r="AD4" t="s">
        <v>187</v>
      </c>
      <c r="AE4" t="s">
        <v>177</v>
      </c>
      <c r="AF4">
        <v>0</v>
      </c>
      <c r="AG4">
        <v>0</v>
      </c>
      <c r="AH4" t="s">
        <v>187</v>
      </c>
      <c r="AI4" t="s">
        <v>215</v>
      </c>
      <c r="AJ4" t="s">
        <v>216</v>
      </c>
      <c r="AK4" t="s">
        <v>179</v>
      </c>
      <c r="AL4" t="s">
        <v>105</v>
      </c>
    </row>
    <row r="5" spans="1:38" x14ac:dyDescent="0.3">
      <c r="A5">
        <v>2026</v>
      </c>
      <c r="B5" s="9">
        <v>46023</v>
      </c>
      <c r="C5" s="9">
        <v>46023</v>
      </c>
      <c r="D5" t="s">
        <v>193</v>
      </c>
      <c r="E5" t="s">
        <v>212</v>
      </c>
      <c r="F5" t="s">
        <v>4</v>
      </c>
      <c r="G5" t="s">
        <v>194</v>
      </c>
      <c r="H5" t="s">
        <v>6</v>
      </c>
      <c r="I5" t="s">
        <v>81</v>
      </c>
      <c r="J5">
        <v>1</v>
      </c>
      <c r="K5" t="s">
        <v>4</v>
      </c>
      <c r="L5" t="s">
        <v>4</v>
      </c>
      <c r="N5" t="s">
        <v>104</v>
      </c>
      <c r="O5" t="s">
        <v>86</v>
      </c>
      <c r="P5">
        <v>1</v>
      </c>
      <c r="Q5" t="s">
        <v>4</v>
      </c>
      <c r="R5" t="s">
        <v>4</v>
      </c>
      <c r="T5" t="s">
        <v>104</v>
      </c>
      <c r="U5" t="s">
        <v>91</v>
      </c>
      <c r="V5">
        <v>0</v>
      </c>
      <c r="W5">
        <v>0</v>
      </c>
      <c r="X5">
        <v>0</v>
      </c>
      <c r="Y5">
        <v>0</v>
      </c>
      <c r="Z5" t="s">
        <v>187</v>
      </c>
      <c r="AA5">
        <v>0</v>
      </c>
      <c r="AB5">
        <v>0</v>
      </c>
      <c r="AC5">
        <v>0</v>
      </c>
      <c r="AD5" t="s">
        <v>187</v>
      </c>
      <c r="AE5" t="s">
        <v>177</v>
      </c>
      <c r="AF5">
        <v>0</v>
      </c>
      <c r="AG5">
        <v>0</v>
      </c>
      <c r="AH5" t="s">
        <v>187</v>
      </c>
      <c r="AI5" t="s">
        <v>4</v>
      </c>
      <c r="AJ5" t="s">
        <v>4</v>
      </c>
      <c r="AK5" t="s">
        <v>4</v>
      </c>
      <c r="AL5" t="s">
        <v>105</v>
      </c>
    </row>
    <row r="6" spans="1:38" x14ac:dyDescent="0.3">
      <c r="A6">
        <v>2026</v>
      </c>
      <c r="B6" s="9">
        <v>46023</v>
      </c>
      <c r="C6" s="9">
        <v>46023</v>
      </c>
      <c r="D6" t="s">
        <v>193</v>
      </c>
      <c r="E6" t="s">
        <v>204</v>
      </c>
      <c r="F6" t="s">
        <v>4</v>
      </c>
      <c r="G6" t="s">
        <v>194</v>
      </c>
      <c r="H6" t="s">
        <v>6</v>
      </c>
      <c r="I6" t="s">
        <v>81</v>
      </c>
      <c r="J6">
        <v>1</v>
      </c>
      <c r="K6" t="s">
        <v>4</v>
      </c>
      <c r="L6" t="s">
        <v>4</v>
      </c>
      <c r="N6" t="s">
        <v>104</v>
      </c>
      <c r="O6" t="s">
        <v>86</v>
      </c>
      <c r="P6">
        <v>1</v>
      </c>
      <c r="Q6" t="s">
        <v>4</v>
      </c>
      <c r="R6" t="s">
        <v>4</v>
      </c>
      <c r="T6" t="s">
        <v>104</v>
      </c>
      <c r="U6" t="s">
        <v>91</v>
      </c>
      <c r="V6">
        <v>0</v>
      </c>
      <c r="W6">
        <v>0</v>
      </c>
      <c r="X6">
        <v>0</v>
      </c>
      <c r="Y6">
        <v>0</v>
      </c>
      <c r="Z6" t="s">
        <v>187</v>
      </c>
      <c r="AA6">
        <v>0</v>
      </c>
      <c r="AB6">
        <v>0</v>
      </c>
      <c r="AC6">
        <v>0</v>
      </c>
      <c r="AD6" t="s">
        <v>187</v>
      </c>
      <c r="AE6" t="s">
        <v>177</v>
      </c>
      <c r="AF6">
        <v>0</v>
      </c>
      <c r="AG6">
        <v>0</v>
      </c>
      <c r="AH6" t="s">
        <v>187</v>
      </c>
      <c r="AI6" t="s">
        <v>4</v>
      </c>
      <c r="AJ6" t="s">
        <v>4</v>
      </c>
      <c r="AK6" t="s">
        <v>4</v>
      </c>
      <c r="AL6" t="s">
        <v>105</v>
      </c>
    </row>
    <row r="7" spans="1:38" x14ac:dyDescent="0.3">
      <c r="A7">
        <v>2026</v>
      </c>
      <c r="B7" s="9">
        <v>46023</v>
      </c>
      <c r="C7" s="9">
        <v>46023</v>
      </c>
      <c r="D7" t="s">
        <v>195</v>
      </c>
      <c r="E7" t="s">
        <v>212</v>
      </c>
      <c r="F7" t="s">
        <v>4</v>
      </c>
      <c r="G7" t="s">
        <v>196</v>
      </c>
      <c r="H7" t="s">
        <v>6</v>
      </c>
      <c r="I7" t="s">
        <v>81</v>
      </c>
      <c r="J7">
        <v>1</v>
      </c>
      <c r="K7" t="s">
        <v>144</v>
      </c>
      <c r="L7" t="s">
        <v>144</v>
      </c>
      <c r="M7">
        <v>0</v>
      </c>
      <c r="N7" t="s">
        <v>4</v>
      </c>
      <c r="O7" t="s">
        <v>86</v>
      </c>
      <c r="P7">
        <v>1</v>
      </c>
      <c r="Q7" t="s">
        <v>144</v>
      </c>
      <c r="R7" t="s">
        <v>144</v>
      </c>
      <c r="S7">
        <v>0</v>
      </c>
      <c r="T7" t="s">
        <v>4</v>
      </c>
      <c r="U7" t="s">
        <v>91</v>
      </c>
      <c r="V7">
        <v>0</v>
      </c>
      <c r="W7">
        <v>0</v>
      </c>
      <c r="X7">
        <v>0</v>
      </c>
      <c r="Y7">
        <v>0</v>
      </c>
      <c r="Z7" t="s">
        <v>187</v>
      </c>
      <c r="AA7">
        <v>0</v>
      </c>
      <c r="AB7">
        <v>0</v>
      </c>
      <c r="AC7">
        <v>0</v>
      </c>
      <c r="AD7" t="s">
        <v>187</v>
      </c>
      <c r="AE7" t="s">
        <v>177</v>
      </c>
      <c r="AF7">
        <v>0</v>
      </c>
      <c r="AG7">
        <v>0</v>
      </c>
      <c r="AH7" t="s">
        <v>187</v>
      </c>
      <c r="AI7" t="s">
        <v>159</v>
      </c>
      <c r="AJ7" t="s">
        <v>159</v>
      </c>
      <c r="AK7" t="s">
        <v>159</v>
      </c>
      <c r="AL7" t="s">
        <v>105</v>
      </c>
    </row>
    <row r="8" spans="1:38" x14ac:dyDescent="0.3">
      <c r="A8">
        <v>2026</v>
      </c>
      <c r="B8" s="9">
        <v>46023</v>
      </c>
      <c r="C8" s="9">
        <v>46023</v>
      </c>
      <c r="D8" t="s">
        <v>195</v>
      </c>
      <c r="E8" t="s">
        <v>204</v>
      </c>
      <c r="F8" t="s">
        <v>4</v>
      </c>
      <c r="G8" t="s">
        <v>196</v>
      </c>
      <c r="H8" t="s">
        <v>6</v>
      </c>
      <c r="I8" t="s">
        <v>81</v>
      </c>
      <c r="J8">
        <v>1</v>
      </c>
      <c r="K8" t="s">
        <v>144</v>
      </c>
      <c r="L8" t="s">
        <v>144</v>
      </c>
      <c r="M8">
        <v>0</v>
      </c>
      <c r="N8" t="s">
        <v>4</v>
      </c>
      <c r="O8" t="s">
        <v>86</v>
      </c>
      <c r="P8">
        <v>1</v>
      </c>
      <c r="Q8" t="s">
        <v>144</v>
      </c>
      <c r="R8" t="s">
        <v>144</v>
      </c>
      <c r="S8">
        <v>0</v>
      </c>
      <c r="T8" t="s">
        <v>4</v>
      </c>
      <c r="U8" t="s">
        <v>91</v>
      </c>
      <c r="V8">
        <v>0</v>
      </c>
      <c r="W8">
        <v>0</v>
      </c>
      <c r="X8">
        <v>0</v>
      </c>
      <c r="Y8">
        <v>0</v>
      </c>
      <c r="Z8" t="s">
        <v>187</v>
      </c>
      <c r="AA8">
        <v>0</v>
      </c>
      <c r="AB8">
        <v>0</v>
      </c>
      <c r="AC8">
        <v>0</v>
      </c>
      <c r="AD8" t="s">
        <v>187</v>
      </c>
      <c r="AE8" t="s">
        <v>177</v>
      </c>
      <c r="AF8">
        <v>0</v>
      </c>
      <c r="AG8">
        <v>0</v>
      </c>
      <c r="AH8" t="s">
        <v>187</v>
      </c>
      <c r="AI8" t="s">
        <v>159</v>
      </c>
      <c r="AJ8" t="s">
        <v>159</v>
      </c>
      <c r="AK8" t="s">
        <v>159</v>
      </c>
      <c r="AL8" t="s">
        <v>105</v>
      </c>
    </row>
    <row r="9" spans="1:38" x14ac:dyDescent="0.3">
      <c r="A9">
        <v>2026</v>
      </c>
      <c r="B9" s="9">
        <v>46023</v>
      </c>
      <c r="C9" s="9">
        <v>46023</v>
      </c>
      <c r="D9" t="s">
        <v>197</v>
      </c>
      <c r="E9" t="s">
        <v>212</v>
      </c>
      <c r="F9" t="s">
        <v>4</v>
      </c>
      <c r="G9" t="s">
        <v>198</v>
      </c>
      <c r="H9" t="s">
        <v>7</v>
      </c>
      <c r="I9" t="s">
        <v>81</v>
      </c>
      <c r="J9">
        <v>1</v>
      </c>
      <c r="K9" t="s">
        <v>217</v>
      </c>
      <c r="L9" t="s">
        <v>218</v>
      </c>
      <c r="M9">
        <v>1</v>
      </c>
      <c r="N9" t="s">
        <v>4</v>
      </c>
      <c r="O9" t="s">
        <v>86</v>
      </c>
      <c r="P9">
        <v>1</v>
      </c>
      <c r="Q9" t="s">
        <v>219</v>
      </c>
      <c r="R9" t="s">
        <v>220</v>
      </c>
      <c r="S9">
        <v>1</v>
      </c>
      <c r="T9" t="s">
        <v>4</v>
      </c>
      <c r="U9" t="s">
        <v>91</v>
      </c>
      <c r="V9">
        <v>0</v>
      </c>
      <c r="W9">
        <v>0</v>
      </c>
      <c r="X9">
        <v>0</v>
      </c>
      <c r="Y9">
        <v>0</v>
      </c>
      <c r="Z9" t="s">
        <v>187</v>
      </c>
      <c r="AA9">
        <v>0</v>
      </c>
      <c r="AB9">
        <v>0</v>
      </c>
      <c r="AC9">
        <v>0</v>
      </c>
      <c r="AD9" t="s">
        <v>187</v>
      </c>
      <c r="AE9" t="s">
        <v>177</v>
      </c>
      <c r="AF9">
        <v>0</v>
      </c>
      <c r="AG9">
        <v>0</v>
      </c>
      <c r="AH9" t="s">
        <v>187</v>
      </c>
      <c r="AI9" t="s">
        <v>221</v>
      </c>
      <c r="AJ9" t="s">
        <v>222</v>
      </c>
      <c r="AK9" t="s">
        <v>223</v>
      </c>
      <c r="AL9" t="s">
        <v>105</v>
      </c>
    </row>
    <row r="10" spans="1:38" x14ac:dyDescent="0.3">
      <c r="A10">
        <v>2026</v>
      </c>
      <c r="B10" s="9">
        <v>46023</v>
      </c>
      <c r="C10" s="9">
        <v>46023</v>
      </c>
      <c r="D10" t="s">
        <v>197</v>
      </c>
      <c r="E10" t="s">
        <v>204</v>
      </c>
      <c r="F10" t="s">
        <v>4</v>
      </c>
      <c r="G10" t="s">
        <v>198</v>
      </c>
      <c r="H10" t="s">
        <v>7</v>
      </c>
      <c r="I10" t="s">
        <v>81</v>
      </c>
      <c r="J10">
        <v>1</v>
      </c>
      <c r="K10" t="s">
        <v>217</v>
      </c>
      <c r="L10" t="s">
        <v>218</v>
      </c>
      <c r="M10">
        <v>1</v>
      </c>
      <c r="N10" t="s">
        <v>4</v>
      </c>
      <c r="O10" t="s">
        <v>86</v>
      </c>
      <c r="P10">
        <v>1</v>
      </c>
      <c r="Q10" t="s">
        <v>219</v>
      </c>
      <c r="R10" t="s">
        <v>220</v>
      </c>
      <c r="S10">
        <v>1</v>
      </c>
      <c r="T10" t="s">
        <v>4</v>
      </c>
      <c r="U10" t="s">
        <v>91</v>
      </c>
      <c r="V10">
        <v>0</v>
      </c>
      <c r="W10">
        <v>0</v>
      </c>
      <c r="X10">
        <v>0</v>
      </c>
      <c r="Y10">
        <v>0</v>
      </c>
      <c r="Z10" t="s">
        <v>187</v>
      </c>
      <c r="AA10">
        <v>0</v>
      </c>
      <c r="AB10">
        <v>0</v>
      </c>
      <c r="AC10">
        <v>0</v>
      </c>
      <c r="AD10" t="s">
        <v>187</v>
      </c>
      <c r="AE10" t="s">
        <v>177</v>
      </c>
      <c r="AF10">
        <v>0</v>
      </c>
      <c r="AG10">
        <v>0</v>
      </c>
      <c r="AH10" t="s">
        <v>187</v>
      </c>
      <c r="AI10" t="s">
        <v>221</v>
      </c>
      <c r="AJ10" t="s">
        <v>222</v>
      </c>
      <c r="AK10" t="s">
        <v>223</v>
      </c>
      <c r="AL10" t="s">
        <v>105</v>
      </c>
    </row>
    <row r="11" spans="1:38" x14ac:dyDescent="0.3">
      <c r="A11">
        <v>2026</v>
      </c>
      <c r="B11" s="9">
        <v>46023</v>
      </c>
      <c r="C11" s="9">
        <v>46023</v>
      </c>
      <c r="D11" t="s">
        <v>199</v>
      </c>
      <c r="E11" t="s">
        <v>212</v>
      </c>
      <c r="F11" t="s">
        <v>4</v>
      </c>
      <c r="G11" t="s">
        <v>200</v>
      </c>
      <c r="H11" t="s">
        <v>7</v>
      </c>
      <c r="I11" t="s">
        <v>81</v>
      </c>
      <c r="J11">
        <v>1</v>
      </c>
      <c r="K11" t="s">
        <v>4</v>
      </c>
      <c r="L11" t="s">
        <v>4</v>
      </c>
      <c r="N11" t="s">
        <v>104</v>
      </c>
      <c r="O11" t="s">
        <v>86</v>
      </c>
      <c r="P11">
        <v>1</v>
      </c>
      <c r="Q11" t="s">
        <v>4</v>
      </c>
      <c r="R11" t="s">
        <v>4</v>
      </c>
      <c r="T11" t="s">
        <v>104</v>
      </c>
      <c r="U11" t="s">
        <v>91</v>
      </c>
      <c r="V11">
        <v>0</v>
      </c>
      <c r="W11">
        <v>0</v>
      </c>
      <c r="X11">
        <v>0</v>
      </c>
      <c r="Y11">
        <v>0</v>
      </c>
      <c r="Z11" t="s">
        <v>187</v>
      </c>
      <c r="AA11">
        <v>0</v>
      </c>
      <c r="AB11">
        <v>0</v>
      </c>
      <c r="AC11">
        <v>0</v>
      </c>
      <c r="AD11" t="s">
        <v>187</v>
      </c>
      <c r="AE11" t="s">
        <v>177</v>
      </c>
      <c r="AF11">
        <v>0</v>
      </c>
      <c r="AG11">
        <v>0</v>
      </c>
      <c r="AH11" t="s">
        <v>187</v>
      </c>
      <c r="AI11" t="s">
        <v>4</v>
      </c>
      <c r="AJ11" t="s">
        <v>4</v>
      </c>
      <c r="AK11" t="s">
        <v>4</v>
      </c>
      <c r="AL11" t="s">
        <v>105</v>
      </c>
    </row>
    <row r="12" spans="1:38" x14ac:dyDescent="0.3">
      <c r="A12">
        <v>2026</v>
      </c>
      <c r="B12" s="9">
        <v>46023</v>
      </c>
      <c r="C12" s="9">
        <v>46023</v>
      </c>
      <c r="D12" t="s">
        <v>199</v>
      </c>
      <c r="E12" t="s">
        <v>204</v>
      </c>
      <c r="F12" t="s">
        <v>4</v>
      </c>
      <c r="G12" t="s">
        <v>200</v>
      </c>
      <c r="H12" t="s">
        <v>7</v>
      </c>
      <c r="I12" t="s">
        <v>81</v>
      </c>
      <c r="J12">
        <v>1</v>
      </c>
      <c r="K12" t="s">
        <v>4</v>
      </c>
      <c r="L12" t="s">
        <v>4</v>
      </c>
      <c r="N12" t="s">
        <v>104</v>
      </c>
      <c r="O12" t="s">
        <v>86</v>
      </c>
      <c r="P12">
        <v>1</v>
      </c>
      <c r="Q12" t="s">
        <v>4</v>
      </c>
      <c r="R12" t="s">
        <v>4</v>
      </c>
      <c r="T12" t="s">
        <v>104</v>
      </c>
      <c r="U12" t="s">
        <v>91</v>
      </c>
      <c r="V12">
        <v>0</v>
      </c>
      <c r="W12">
        <v>0</v>
      </c>
      <c r="X12">
        <v>0</v>
      </c>
      <c r="Y12">
        <v>0</v>
      </c>
      <c r="Z12" t="s">
        <v>187</v>
      </c>
      <c r="AA12">
        <v>0</v>
      </c>
      <c r="AB12">
        <v>0</v>
      </c>
      <c r="AC12">
        <v>0</v>
      </c>
      <c r="AD12" t="s">
        <v>187</v>
      </c>
      <c r="AE12" t="s">
        <v>177</v>
      </c>
      <c r="AF12">
        <v>0</v>
      </c>
      <c r="AG12">
        <v>0</v>
      </c>
      <c r="AH12" t="s">
        <v>187</v>
      </c>
      <c r="AI12" t="s">
        <v>4</v>
      </c>
      <c r="AJ12" t="s">
        <v>4</v>
      </c>
      <c r="AK12" t="s">
        <v>4</v>
      </c>
      <c r="AL12" t="s">
        <v>105</v>
      </c>
    </row>
    <row r="13" spans="1:38" x14ac:dyDescent="0.3">
      <c r="A13">
        <v>2026</v>
      </c>
      <c r="B13" s="9">
        <v>46023</v>
      </c>
      <c r="C13" s="9">
        <v>46024</v>
      </c>
      <c r="D13" t="s">
        <v>189</v>
      </c>
      <c r="E13" t="s">
        <v>212</v>
      </c>
      <c r="F13" t="s">
        <v>4</v>
      </c>
      <c r="G13" t="s">
        <v>190</v>
      </c>
      <c r="H13" t="s">
        <v>5</v>
      </c>
      <c r="I13" t="s">
        <v>81</v>
      </c>
      <c r="J13">
        <v>1</v>
      </c>
      <c r="K13" t="s">
        <v>206</v>
      </c>
      <c r="L13" t="s">
        <v>207</v>
      </c>
      <c r="M13">
        <v>1</v>
      </c>
      <c r="N13" t="s">
        <v>4</v>
      </c>
      <c r="O13" t="s">
        <v>86</v>
      </c>
      <c r="P13">
        <v>1</v>
      </c>
      <c r="Q13" t="s">
        <v>208</v>
      </c>
      <c r="R13" t="s">
        <v>209</v>
      </c>
      <c r="S13">
        <v>1</v>
      </c>
      <c r="T13" t="s">
        <v>4</v>
      </c>
      <c r="U13" t="s">
        <v>91</v>
      </c>
      <c r="V13">
        <v>0</v>
      </c>
      <c r="W13">
        <v>0</v>
      </c>
      <c r="X13">
        <v>0</v>
      </c>
      <c r="Y13">
        <v>0</v>
      </c>
      <c r="Z13" t="s">
        <v>187</v>
      </c>
      <c r="AA13">
        <v>0</v>
      </c>
      <c r="AB13">
        <v>0</v>
      </c>
      <c r="AC13">
        <v>0</v>
      </c>
      <c r="AD13" t="s">
        <v>187</v>
      </c>
      <c r="AE13" t="s">
        <v>177</v>
      </c>
      <c r="AF13">
        <v>0</v>
      </c>
      <c r="AG13">
        <v>0</v>
      </c>
      <c r="AH13" t="s">
        <v>187</v>
      </c>
      <c r="AI13" t="s">
        <v>210</v>
      </c>
      <c r="AJ13" t="s">
        <v>211</v>
      </c>
      <c r="AK13" t="s">
        <v>159</v>
      </c>
      <c r="AL13" t="s">
        <v>105</v>
      </c>
    </row>
    <row r="14" spans="1:38" x14ac:dyDescent="0.3">
      <c r="A14">
        <v>2026</v>
      </c>
      <c r="B14" s="9">
        <v>46023</v>
      </c>
      <c r="C14" s="9">
        <v>46024</v>
      </c>
      <c r="D14" t="s">
        <v>189</v>
      </c>
      <c r="E14" t="s">
        <v>204</v>
      </c>
      <c r="F14" t="s">
        <v>4</v>
      </c>
      <c r="G14" t="s">
        <v>190</v>
      </c>
      <c r="H14" t="s">
        <v>5</v>
      </c>
      <c r="I14" t="s">
        <v>81</v>
      </c>
      <c r="J14">
        <v>1</v>
      </c>
      <c r="K14" t="s">
        <v>206</v>
      </c>
      <c r="L14" t="s">
        <v>207</v>
      </c>
      <c r="M14">
        <v>1</v>
      </c>
      <c r="N14" t="s">
        <v>4</v>
      </c>
      <c r="O14" t="s">
        <v>86</v>
      </c>
      <c r="P14">
        <v>1</v>
      </c>
      <c r="Q14" t="s">
        <v>208</v>
      </c>
      <c r="R14" t="s">
        <v>209</v>
      </c>
      <c r="S14">
        <v>1</v>
      </c>
      <c r="T14" t="s">
        <v>4</v>
      </c>
      <c r="U14" t="s">
        <v>91</v>
      </c>
      <c r="V14">
        <v>0</v>
      </c>
      <c r="W14">
        <v>0</v>
      </c>
      <c r="X14">
        <v>0</v>
      </c>
      <c r="Y14">
        <v>0</v>
      </c>
      <c r="Z14" t="s">
        <v>187</v>
      </c>
      <c r="AA14">
        <v>0</v>
      </c>
      <c r="AB14">
        <v>0</v>
      </c>
      <c r="AC14">
        <v>0</v>
      </c>
      <c r="AD14" t="s">
        <v>187</v>
      </c>
      <c r="AE14" t="s">
        <v>177</v>
      </c>
      <c r="AF14">
        <v>0</v>
      </c>
      <c r="AG14">
        <v>0</v>
      </c>
      <c r="AH14" t="s">
        <v>187</v>
      </c>
      <c r="AI14" t="s">
        <v>210</v>
      </c>
      <c r="AJ14" t="s">
        <v>211</v>
      </c>
      <c r="AK14" t="s">
        <v>159</v>
      </c>
      <c r="AL14" t="s">
        <v>105</v>
      </c>
    </row>
    <row r="15" spans="1:38" x14ac:dyDescent="0.3">
      <c r="A15">
        <v>2026</v>
      </c>
      <c r="B15" s="9">
        <v>46023</v>
      </c>
      <c r="C15" s="9">
        <v>46024</v>
      </c>
      <c r="D15" t="s">
        <v>191</v>
      </c>
      <c r="E15" t="s">
        <v>212</v>
      </c>
      <c r="F15" t="s">
        <v>4</v>
      </c>
      <c r="G15" t="s">
        <v>192</v>
      </c>
      <c r="H15" t="s">
        <v>5</v>
      </c>
      <c r="I15" t="s">
        <v>81</v>
      </c>
      <c r="J15">
        <v>1</v>
      </c>
      <c r="K15" t="s">
        <v>165</v>
      </c>
      <c r="L15" t="s">
        <v>165</v>
      </c>
      <c r="N15" t="s">
        <v>175</v>
      </c>
      <c r="O15" t="s">
        <v>86</v>
      </c>
      <c r="P15">
        <v>1</v>
      </c>
      <c r="Q15" t="s">
        <v>213</v>
      </c>
      <c r="R15" t="s">
        <v>214</v>
      </c>
      <c r="S15">
        <v>1</v>
      </c>
      <c r="T15" t="s">
        <v>4</v>
      </c>
      <c r="U15" t="s">
        <v>91</v>
      </c>
      <c r="V15">
        <v>0</v>
      </c>
      <c r="W15">
        <v>0</v>
      </c>
      <c r="X15">
        <v>0</v>
      </c>
      <c r="Y15">
        <v>0</v>
      </c>
      <c r="Z15" t="s">
        <v>187</v>
      </c>
      <c r="AA15">
        <v>0</v>
      </c>
      <c r="AB15">
        <v>0</v>
      </c>
      <c r="AC15">
        <v>0</v>
      </c>
      <c r="AD15" t="s">
        <v>187</v>
      </c>
      <c r="AE15" t="s">
        <v>177</v>
      </c>
      <c r="AF15">
        <v>0</v>
      </c>
      <c r="AG15">
        <v>0</v>
      </c>
      <c r="AH15" t="s">
        <v>187</v>
      </c>
      <c r="AI15" t="s">
        <v>215</v>
      </c>
      <c r="AJ15" t="s">
        <v>216</v>
      </c>
      <c r="AK15" t="s">
        <v>179</v>
      </c>
      <c r="AL15" t="s">
        <v>105</v>
      </c>
    </row>
    <row r="16" spans="1:38" x14ac:dyDescent="0.3">
      <c r="A16">
        <v>2026</v>
      </c>
      <c r="B16" s="9">
        <v>46023</v>
      </c>
      <c r="C16" s="9">
        <v>46024</v>
      </c>
      <c r="D16" t="s">
        <v>191</v>
      </c>
      <c r="E16" t="s">
        <v>204</v>
      </c>
      <c r="F16" t="s">
        <v>4</v>
      </c>
      <c r="G16" t="s">
        <v>192</v>
      </c>
      <c r="H16" t="s">
        <v>5</v>
      </c>
      <c r="I16" t="s">
        <v>81</v>
      </c>
      <c r="J16">
        <v>1</v>
      </c>
      <c r="K16" t="s">
        <v>165</v>
      </c>
      <c r="L16" t="s">
        <v>165</v>
      </c>
      <c r="N16" t="s">
        <v>175</v>
      </c>
      <c r="O16" t="s">
        <v>86</v>
      </c>
      <c r="P16">
        <v>1</v>
      </c>
      <c r="Q16" t="s">
        <v>213</v>
      </c>
      <c r="R16" t="s">
        <v>214</v>
      </c>
      <c r="S16">
        <v>1</v>
      </c>
      <c r="T16" t="s">
        <v>4</v>
      </c>
      <c r="U16" t="s">
        <v>91</v>
      </c>
      <c r="V16">
        <v>0</v>
      </c>
      <c r="W16">
        <v>0</v>
      </c>
      <c r="X16">
        <v>0</v>
      </c>
      <c r="Y16">
        <v>0</v>
      </c>
      <c r="Z16" t="s">
        <v>187</v>
      </c>
      <c r="AA16">
        <v>0</v>
      </c>
      <c r="AB16">
        <v>0</v>
      </c>
      <c r="AC16">
        <v>0</v>
      </c>
      <c r="AD16" t="s">
        <v>187</v>
      </c>
      <c r="AE16" t="s">
        <v>177</v>
      </c>
      <c r="AF16">
        <v>0</v>
      </c>
      <c r="AG16">
        <v>0</v>
      </c>
      <c r="AH16" t="s">
        <v>187</v>
      </c>
      <c r="AI16" t="s">
        <v>215</v>
      </c>
      <c r="AJ16" t="s">
        <v>216</v>
      </c>
      <c r="AK16" t="s">
        <v>179</v>
      </c>
      <c r="AL16" t="s">
        <v>105</v>
      </c>
    </row>
    <row r="17" spans="1:38" x14ac:dyDescent="0.3">
      <c r="A17">
        <v>2026</v>
      </c>
      <c r="B17" s="9">
        <v>46023</v>
      </c>
      <c r="C17" s="9">
        <v>46024</v>
      </c>
      <c r="D17" t="s">
        <v>193</v>
      </c>
      <c r="E17" t="s">
        <v>212</v>
      </c>
      <c r="F17" t="s">
        <v>4</v>
      </c>
      <c r="G17" t="s">
        <v>194</v>
      </c>
      <c r="H17" t="s">
        <v>6</v>
      </c>
      <c r="I17" t="s">
        <v>81</v>
      </c>
      <c r="J17">
        <v>1</v>
      </c>
      <c r="K17" t="s">
        <v>4</v>
      </c>
      <c r="L17" t="s">
        <v>4</v>
      </c>
      <c r="N17" t="s">
        <v>104</v>
      </c>
      <c r="O17" t="s">
        <v>86</v>
      </c>
      <c r="P17">
        <v>1</v>
      </c>
      <c r="Q17" t="s">
        <v>4</v>
      </c>
      <c r="R17" t="s">
        <v>4</v>
      </c>
      <c r="T17" t="s">
        <v>104</v>
      </c>
      <c r="U17" t="s">
        <v>91</v>
      </c>
      <c r="V17">
        <v>0</v>
      </c>
      <c r="W17">
        <v>0</v>
      </c>
      <c r="X17">
        <v>0</v>
      </c>
      <c r="Y17">
        <v>0</v>
      </c>
      <c r="Z17" t="s">
        <v>187</v>
      </c>
      <c r="AA17">
        <v>0</v>
      </c>
      <c r="AB17">
        <v>0</v>
      </c>
      <c r="AC17">
        <v>0</v>
      </c>
      <c r="AD17" t="s">
        <v>187</v>
      </c>
      <c r="AE17" t="s">
        <v>177</v>
      </c>
      <c r="AF17">
        <v>0</v>
      </c>
      <c r="AG17">
        <v>0</v>
      </c>
      <c r="AH17" t="s">
        <v>187</v>
      </c>
      <c r="AI17" t="s">
        <v>4</v>
      </c>
      <c r="AJ17" t="s">
        <v>4</v>
      </c>
      <c r="AK17" t="s">
        <v>4</v>
      </c>
      <c r="AL17" t="s">
        <v>105</v>
      </c>
    </row>
    <row r="18" spans="1:38" x14ac:dyDescent="0.3">
      <c r="A18">
        <v>2026</v>
      </c>
      <c r="B18" s="9">
        <v>46023</v>
      </c>
      <c r="C18" s="9">
        <v>46024</v>
      </c>
      <c r="D18" t="s">
        <v>193</v>
      </c>
      <c r="E18" t="s">
        <v>204</v>
      </c>
      <c r="F18" t="s">
        <v>4</v>
      </c>
      <c r="G18" t="s">
        <v>194</v>
      </c>
      <c r="H18" t="s">
        <v>6</v>
      </c>
      <c r="I18" t="s">
        <v>81</v>
      </c>
      <c r="J18">
        <v>1</v>
      </c>
      <c r="K18" t="s">
        <v>4</v>
      </c>
      <c r="L18" t="s">
        <v>4</v>
      </c>
      <c r="N18" t="s">
        <v>104</v>
      </c>
      <c r="O18" t="s">
        <v>86</v>
      </c>
      <c r="P18">
        <v>1</v>
      </c>
      <c r="Q18" t="s">
        <v>4</v>
      </c>
      <c r="R18" t="s">
        <v>4</v>
      </c>
      <c r="T18" t="s">
        <v>104</v>
      </c>
      <c r="U18" t="s">
        <v>91</v>
      </c>
      <c r="V18">
        <v>0</v>
      </c>
      <c r="W18">
        <v>0</v>
      </c>
      <c r="X18">
        <v>0</v>
      </c>
      <c r="Y18">
        <v>0</v>
      </c>
      <c r="Z18" t="s">
        <v>187</v>
      </c>
      <c r="AA18">
        <v>0</v>
      </c>
      <c r="AB18">
        <v>0</v>
      </c>
      <c r="AC18">
        <v>0</v>
      </c>
      <c r="AD18" t="s">
        <v>187</v>
      </c>
      <c r="AE18" t="s">
        <v>177</v>
      </c>
      <c r="AF18">
        <v>0</v>
      </c>
      <c r="AG18">
        <v>0</v>
      </c>
      <c r="AH18" t="s">
        <v>187</v>
      </c>
      <c r="AI18" t="s">
        <v>4</v>
      </c>
      <c r="AJ18" t="s">
        <v>4</v>
      </c>
      <c r="AK18" t="s">
        <v>4</v>
      </c>
      <c r="AL18" t="s">
        <v>105</v>
      </c>
    </row>
    <row r="19" spans="1:38" x14ac:dyDescent="0.3">
      <c r="A19">
        <v>2026</v>
      </c>
      <c r="B19" s="9">
        <v>46023</v>
      </c>
      <c r="C19" s="9">
        <v>46024</v>
      </c>
      <c r="D19" t="s">
        <v>195</v>
      </c>
      <c r="E19" t="s">
        <v>212</v>
      </c>
      <c r="F19" t="s">
        <v>224</v>
      </c>
      <c r="G19" t="s">
        <v>196</v>
      </c>
      <c r="H19" t="s">
        <v>6</v>
      </c>
      <c r="I19" t="s">
        <v>81</v>
      </c>
      <c r="J19">
        <v>0</v>
      </c>
      <c r="K19" t="s">
        <v>144</v>
      </c>
      <c r="L19" t="s">
        <v>144</v>
      </c>
      <c r="M19">
        <v>0</v>
      </c>
      <c r="N19" t="s">
        <v>4</v>
      </c>
      <c r="O19" t="s">
        <v>86</v>
      </c>
      <c r="P19">
        <v>1</v>
      </c>
      <c r="Q19" t="s">
        <v>144</v>
      </c>
      <c r="R19" t="s">
        <v>144</v>
      </c>
      <c r="S19">
        <v>0</v>
      </c>
      <c r="T19" t="s">
        <v>4</v>
      </c>
      <c r="U19" t="s">
        <v>91</v>
      </c>
      <c r="V19">
        <v>12</v>
      </c>
      <c r="W19">
        <v>0</v>
      </c>
      <c r="X19">
        <v>6</v>
      </c>
      <c r="Y19">
        <v>12</v>
      </c>
      <c r="Z19" t="s">
        <v>187</v>
      </c>
      <c r="AA19">
        <v>12</v>
      </c>
      <c r="AB19">
        <v>0</v>
      </c>
      <c r="AC19">
        <v>0</v>
      </c>
      <c r="AD19" t="s">
        <v>187</v>
      </c>
      <c r="AE19" t="s">
        <v>159</v>
      </c>
      <c r="AF19">
        <v>0</v>
      </c>
      <c r="AG19">
        <v>0</v>
      </c>
      <c r="AH19" t="s">
        <v>187</v>
      </c>
      <c r="AI19" t="s">
        <v>159</v>
      </c>
      <c r="AJ19" t="s">
        <v>159</v>
      </c>
      <c r="AK19" t="s">
        <v>159</v>
      </c>
      <c r="AL19" t="s">
        <v>105</v>
      </c>
    </row>
    <row r="20" spans="1:38" x14ac:dyDescent="0.3">
      <c r="A20">
        <v>2026</v>
      </c>
      <c r="B20" s="9">
        <v>46023</v>
      </c>
      <c r="C20" s="9">
        <v>46024</v>
      </c>
      <c r="D20" t="s">
        <v>195</v>
      </c>
      <c r="E20" t="s">
        <v>204</v>
      </c>
      <c r="F20" t="s">
        <v>225</v>
      </c>
      <c r="G20" t="s">
        <v>196</v>
      </c>
      <c r="H20" t="s">
        <v>6</v>
      </c>
      <c r="I20" t="s">
        <v>81</v>
      </c>
      <c r="J20">
        <v>1</v>
      </c>
      <c r="K20" t="s">
        <v>144</v>
      </c>
      <c r="L20" t="s">
        <v>144</v>
      </c>
      <c r="M20">
        <v>0</v>
      </c>
      <c r="N20" t="s">
        <v>4</v>
      </c>
      <c r="O20" t="s">
        <v>86</v>
      </c>
      <c r="P20">
        <v>0</v>
      </c>
      <c r="Q20" t="s">
        <v>144</v>
      </c>
      <c r="R20" t="s">
        <v>144</v>
      </c>
      <c r="S20">
        <v>0</v>
      </c>
      <c r="T20" t="s">
        <v>4</v>
      </c>
      <c r="U20" t="s">
        <v>91</v>
      </c>
      <c r="V20">
        <v>0</v>
      </c>
      <c r="W20">
        <v>12</v>
      </c>
      <c r="X20">
        <v>6</v>
      </c>
      <c r="Y20">
        <v>12</v>
      </c>
      <c r="Z20" t="s">
        <v>187</v>
      </c>
      <c r="AA20">
        <v>12</v>
      </c>
      <c r="AB20">
        <v>0</v>
      </c>
      <c r="AC20">
        <v>0</v>
      </c>
      <c r="AD20" t="s">
        <v>187</v>
      </c>
      <c r="AE20" t="s">
        <v>159</v>
      </c>
      <c r="AF20">
        <v>0</v>
      </c>
      <c r="AG20">
        <v>0</v>
      </c>
      <c r="AH20" t="s">
        <v>187</v>
      </c>
      <c r="AI20" t="s">
        <v>159</v>
      </c>
      <c r="AJ20" t="s">
        <v>159</v>
      </c>
      <c r="AK20" t="s">
        <v>159</v>
      </c>
      <c r="AL20" t="s">
        <v>105</v>
      </c>
    </row>
    <row r="21" spans="1:38" x14ac:dyDescent="0.3">
      <c r="A21">
        <v>2026</v>
      </c>
      <c r="B21" s="9">
        <v>46023</v>
      </c>
      <c r="C21" s="9">
        <v>46024</v>
      </c>
      <c r="D21" t="s">
        <v>197</v>
      </c>
      <c r="E21" t="s">
        <v>212</v>
      </c>
      <c r="F21" t="s">
        <v>4</v>
      </c>
      <c r="G21" t="s">
        <v>198</v>
      </c>
      <c r="H21" t="s">
        <v>7</v>
      </c>
      <c r="I21" t="s">
        <v>81</v>
      </c>
      <c r="J21">
        <v>1</v>
      </c>
      <c r="K21" t="s">
        <v>217</v>
      </c>
      <c r="L21" t="s">
        <v>218</v>
      </c>
      <c r="M21">
        <v>1</v>
      </c>
      <c r="N21" t="s">
        <v>4</v>
      </c>
      <c r="O21" t="s">
        <v>86</v>
      </c>
      <c r="P21">
        <v>1</v>
      </c>
      <c r="Q21" t="s">
        <v>219</v>
      </c>
      <c r="R21" t="s">
        <v>220</v>
      </c>
      <c r="S21">
        <v>1</v>
      </c>
      <c r="T21" t="s">
        <v>4</v>
      </c>
      <c r="U21" t="s">
        <v>91</v>
      </c>
      <c r="V21">
        <v>0</v>
      </c>
      <c r="W21">
        <v>0</v>
      </c>
      <c r="X21">
        <v>0</v>
      </c>
      <c r="Y21">
        <v>0</v>
      </c>
      <c r="Z21" t="s">
        <v>187</v>
      </c>
      <c r="AA21">
        <v>0</v>
      </c>
      <c r="AB21">
        <v>0</v>
      </c>
      <c r="AC21">
        <v>0</v>
      </c>
      <c r="AD21" t="s">
        <v>187</v>
      </c>
      <c r="AE21" t="s">
        <v>177</v>
      </c>
      <c r="AF21">
        <v>0</v>
      </c>
      <c r="AG21">
        <v>0</v>
      </c>
      <c r="AH21" t="s">
        <v>187</v>
      </c>
      <c r="AI21" t="s">
        <v>221</v>
      </c>
      <c r="AJ21" t="s">
        <v>222</v>
      </c>
      <c r="AK21" t="s">
        <v>223</v>
      </c>
      <c r="AL21" t="s">
        <v>105</v>
      </c>
    </row>
    <row r="22" spans="1:38" x14ac:dyDescent="0.3">
      <c r="A22">
        <v>2026</v>
      </c>
      <c r="B22" s="9">
        <v>46023</v>
      </c>
      <c r="C22" s="9">
        <v>46024</v>
      </c>
      <c r="D22" t="s">
        <v>197</v>
      </c>
      <c r="E22" t="s">
        <v>204</v>
      </c>
      <c r="F22" t="s">
        <v>4</v>
      </c>
      <c r="G22" t="s">
        <v>198</v>
      </c>
      <c r="H22" t="s">
        <v>7</v>
      </c>
      <c r="I22" t="s">
        <v>81</v>
      </c>
      <c r="J22">
        <v>1</v>
      </c>
      <c r="K22" t="s">
        <v>217</v>
      </c>
      <c r="L22" t="s">
        <v>218</v>
      </c>
      <c r="M22">
        <v>1</v>
      </c>
      <c r="N22" t="s">
        <v>4</v>
      </c>
      <c r="O22" t="s">
        <v>86</v>
      </c>
      <c r="P22">
        <v>1</v>
      </c>
      <c r="Q22" t="s">
        <v>219</v>
      </c>
      <c r="R22" t="s">
        <v>220</v>
      </c>
      <c r="S22">
        <v>1</v>
      </c>
      <c r="T22" t="s">
        <v>4</v>
      </c>
      <c r="U22" t="s">
        <v>91</v>
      </c>
      <c r="V22">
        <v>0</v>
      </c>
      <c r="W22">
        <v>0</v>
      </c>
      <c r="X22">
        <v>0</v>
      </c>
      <c r="Y22">
        <v>0</v>
      </c>
      <c r="Z22" t="s">
        <v>187</v>
      </c>
      <c r="AA22">
        <v>0</v>
      </c>
      <c r="AB22">
        <v>0</v>
      </c>
      <c r="AC22">
        <v>0</v>
      </c>
      <c r="AD22" t="s">
        <v>187</v>
      </c>
      <c r="AE22" t="s">
        <v>177</v>
      </c>
      <c r="AF22">
        <v>0</v>
      </c>
      <c r="AG22">
        <v>0</v>
      </c>
      <c r="AH22" t="s">
        <v>187</v>
      </c>
      <c r="AI22" t="s">
        <v>221</v>
      </c>
      <c r="AJ22" t="s">
        <v>222</v>
      </c>
      <c r="AK22" t="s">
        <v>223</v>
      </c>
      <c r="AL22" t="s">
        <v>105</v>
      </c>
    </row>
    <row r="23" spans="1:38" x14ac:dyDescent="0.3">
      <c r="A23">
        <v>2026</v>
      </c>
      <c r="B23" s="9">
        <v>46023</v>
      </c>
      <c r="C23" s="9">
        <v>46024</v>
      </c>
      <c r="D23" t="s">
        <v>199</v>
      </c>
      <c r="E23" t="s">
        <v>212</v>
      </c>
      <c r="F23" t="s">
        <v>4</v>
      </c>
      <c r="G23" t="s">
        <v>200</v>
      </c>
      <c r="H23" t="s">
        <v>7</v>
      </c>
      <c r="I23" t="s">
        <v>81</v>
      </c>
      <c r="J23">
        <v>1</v>
      </c>
      <c r="K23" t="s">
        <v>4</v>
      </c>
      <c r="L23" t="s">
        <v>4</v>
      </c>
      <c r="N23" t="s">
        <v>104</v>
      </c>
      <c r="O23" t="s">
        <v>86</v>
      </c>
      <c r="P23">
        <v>1</v>
      </c>
      <c r="Q23" t="s">
        <v>4</v>
      </c>
      <c r="R23" t="s">
        <v>4</v>
      </c>
      <c r="T23" t="s">
        <v>104</v>
      </c>
      <c r="U23" t="s">
        <v>91</v>
      </c>
      <c r="V23">
        <v>0</v>
      </c>
      <c r="W23">
        <v>0</v>
      </c>
      <c r="X23">
        <v>0</v>
      </c>
      <c r="Y23">
        <v>0</v>
      </c>
      <c r="Z23" t="s">
        <v>187</v>
      </c>
      <c r="AA23">
        <v>0</v>
      </c>
      <c r="AB23">
        <v>0</v>
      </c>
      <c r="AC23">
        <v>0</v>
      </c>
      <c r="AD23" t="s">
        <v>187</v>
      </c>
      <c r="AE23" t="s">
        <v>177</v>
      </c>
      <c r="AF23">
        <v>0</v>
      </c>
      <c r="AG23">
        <v>0</v>
      </c>
      <c r="AH23" t="s">
        <v>187</v>
      </c>
      <c r="AI23" t="s">
        <v>4</v>
      </c>
      <c r="AJ23" t="s">
        <v>4</v>
      </c>
      <c r="AK23" t="s">
        <v>4</v>
      </c>
      <c r="AL23" t="s">
        <v>105</v>
      </c>
    </row>
    <row r="24" spans="1:38" x14ac:dyDescent="0.3">
      <c r="A24">
        <v>2026</v>
      </c>
      <c r="B24" s="9">
        <v>46023</v>
      </c>
      <c r="C24" s="9">
        <v>46024</v>
      </c>
      <c r="D24" t="s">
        <v>199</v>
      </c>
      <c r="E24" t="s">
        <v>204</v>
      </c>
      <c r="F24" t="s">
        <v>4</v>
      </c>
      <c r="G24" t="s">
        <v>200</v>
      </c>
      <c r="H24" t="s">
        <v>7</v>
      </c>
      <c r="I24" t="s">
        <v>81</v>
      </c>
      <c r="J24">
        <v>1</v>
      </c>
      <c r="K24" t="s">
        <v>4</v>
      </c>
      <c r="L24" t="s">
        <v>4</v>
      </c>
      <c r="N24" t="s">
        <v>104</v>
      </c>
      <c r="O24" t="s">
        <v>86</v>
      </c>
      <c r="P24">
        <v>1</v>
      </c>
      <c r="Q24" t="s">
        <v>4</v>
      </c>
      <c r="R24" t="s">
        <v>4</v>
      </c>
      <c r="T24" t="s">
        <v>104</v>
      </c>
      <c r="U24" t="s">
        <v>91</v>
      </c>
      <c r="V24">
        <v>0</v>
      </c>
      <c r="W24">
        <v>0</v>
      </c>
      <c r="X24">
        <v>0</v>
      </c>
      <c r="Y24">
        <v>0</v>
      </c>
      <c r="Z24" t="s">
        <v>187</v>
      </c>
      <c r="AA24">
        <v>0</v>
      </c>
      <c r="AB24">
        <v>0</v>
      </c>
      <c r="AC24">
        <v>0</v>
      </c>
      <c r="AD24" t="s">
        <v>187</v>
      </c>
      <c r="AE24" t="s">
        <v>177</v>
      </c>
      <c r="AF24">
        <v>0</v>
      </c>
      <c r="AG24">
        <v>0</v>
      </c>
      <c r="AH24" t="s">
        <v>187</v>
      </c>
      <c r="AI24" t="s">
        <v>4</v>
      </c>
      <c r="AJ24" t="s">
        <v>4</v>
      </c>
      <c r="AK24" t="s">
        <v>4</v>
      </c>
      <c r="AL24" t="s">
        <v>105</v>
      </c>
    </row>
    <row r="25" spans="1:38" x14ac:dyDescent="0.3">
      <c r="A25">
        <v>2026</v>
      </c>
      <c r="B25" s="9">
        <v>46023</v>
      </c>
      <c r="C25" s="9">
        <v>46025</v>
      </c>
      <c r="D25" t="s">
        <v>189</v>
      </c>
      <c r="E25" t="s">
        <v>204</v>
      </c>
      <c r="F25" t="s">
        <v>205</v>
      </c>
      <c r="G25" t="s">
        <v>190</v>
      </c>
      <c r="H25" t="s">
        <v>5</v>
      </c>
      <c r="I25" t="s">
        <v>81</v>
      </c>
      <c r="J25">
        <v>0</v>
      </c>
      <c r="K25" t="s">
        <v>206</v>
      </c>
      <c r="L25" t="s">
        <v>207</v>
      </c>
      <c r="M25">
        <v>1</v>
      </c>
      <c r="N25" t="s">
        <v>167</v>
      </c>
      <c r="O25" t="s">
        <v>86</v>
      </c>
      <c r="P25">
        <v>1</v>
      </c>
      <c r="Q25" t="s">
        <v>208</v>
      </c>
      <c r="R25" t="s">
        <v>209</v>
      </c>
      <c r="S25">
        <v>1</v>
      </c>
      <c r="T25" t="s">
        <v>4</v>
      </c>
      <c r="U25" t="s">
        <v>91</v>
      </c>
      <c r="V25">
        <v>12</v>
      </c>
      <c r="W25">
        <v>0</v>
      </c>
      <c r="X25">
        <v>6</v>
      </c>
      <c r="Y25">
        <v>12</v>
      </c>
      <c r="Z25" t="s">
        <v>187</v>
      </c>
      <c r="AA25">
        <v>12</v>
      </c>
      <c r="AB25">
        <v>0</v>
      </c>
      <c r="AC25">
        <v>0</v>
      </c>
      <c r="AD25" t="s">
        <v>187</v>
      </c>
      <c r="AE25" t="s">
        <v>159</v>
      </c>
      <c r="AF25">
        <v>0</v>
      </c>
      <c r="AG25">
        <v>0</v>
      </c>
      <c r="AH25" t="s">
        <v>187</v>
      </c>
      <c r="AI25" t="s">
        <v>210</v>
      </c>
      <c r="AJ25" t="s">
        <v>211</v>
      </c>
      <c r="AK25" t="s">
        <v>159</v>
      </c>
      <c r="AL25" t="s">
        <v>143</v>
      </c>
    </row>
    <row r="26" spans="1:38" x14ac:dyDescent="0.3">
      <c r="A26">
        <v>2026</v>
      </c>
      <c r="B26" s="9">
        <v>46023</v>
      </c>
      <c r="C26" s="9">
        <v>46025</v>
      </c>
      <c r="D26" t="s">
        <v>191</v>
      </c>
      <c r="E26" t="s">
        <v>212</v>
      </c>
      <c r="F26" t="s">
        <v>4</v>
      </c>
      <c r="G26" t="s">
        <v>192</v>
      </c>
      <c r="H26" t="s">
        <v>5</v>
      </c>
      <c r="I26" t="s">
        <v>81</v>
      </c>
      <c r="J26">
        <v>1</v>
      </c>
      <c r="K26" t="s">
        <v>165</v>
      </c>
      <c r="L26" t="s">
        <v>165</v>
      </c>
      <c r="N26" t="s">
        <v>175</v>
      </c>
      <c r="O26" t="s">
        <v>86</v>
      </c>
      <c r="P26">
        <v>1</v>
      </c>
      <c r="Q26" t="s">
        <v>213</v>
      </c>
      <c r="R26" t="s">
        <v>214</v>
      </c>
      <c r="S26">
        <v>1</v>
      </c>
      <c r="T26" t="s">
        <v>4</v>
      </c>
      <c r="U26" t="s">
        <v>91</v>
      </c>
      <c r="V26">
        <v>0</v>
      </c>
      <c r="W26">
        <v>0</v>
      </c>
      <c r="X26">
        <v>0</v>
      </c>
      <c r="Y26">
        <v>0</v>
      </c>
      <c r="Z26" t="s">
        <v>187</v>
      </c>
      <c r="AA26">
        <v>0</v>
      </c>
      <c r="AB26">
        <v>0</v>
      </c>
      <c r="AC26">
        <v>0</v>
      </c>
      <c r="AD26" t="s">
        <v>187</v>
      </c>
      <c r="AE26" t="s">
        <v>177</v>
      </c>
      <c r="AF26">
        <v>0</v>
      </c>
      <c r="AG26">
        <v>0</v>
      </c>
      <c r="AH26" t="s">
        <v>187</v>
      </c>
      <c r="AI26" t="s">
        <v>215</v>
      </c>
      <c r="AJ26" t="s">
        <v>216</v>
      </c>
      <c r="AK26" t="s">
        <v>179</v>
      </c>
      <c r="AL26" t="s">
        <v>105</v>
      </c>
    </row>
    <row r="27" spans="1:38" x14ac:dyDescent="0.3">
      <c r="A27">
        <v>2026</v>
      </c>
      <c r="B27" s="9">
        <v>46023</v>
      </c>
      <c r="C27" s="9">
        <v>46025</v>
      </c>
      <c r="D27" t="s">
        <v>191</v>
      </c>
      <c r="E27" t="s">
        <v>204</v>
      </c>
      <c r="F27" t="s">
        <v>4</v>
      </c>
      <c r="G27" t="s">
        <v>192</v>
      </c>
      <c r="H27" t="s">
        <v>5</v>
      </c>
      <c r="I27" t="s">
        <v>81</v>
      </c>
      <c r="J27">
        <v>1</v>
      </c>
      <c r="K27" t="s">
        <v>165</v>
      </c>
      <c r="L27" t="s">
        <v>165</v>
      </c>
      <c r="N27" t="s">
        <v>175</v>
      </c>
      <c r="O27" t="s">
        <v>86</v>
      </c>
      <c r="P27">
        <v>1</v>
      </c>
      <c r="Q27" t="s">
        <v>213</v>
      </c>
      <c r="R27" t="s">
        <v>214</v>
      </c>
      <c r="S27">
        <v>1</v>
      </c>
      <c r="T27" t="s">
        <v>4</v>
      </c>
      <c r="U27" t="s">
        <v>91</v>
      </c>
      <c r="V27">
        <v>0</v>
      </c>
      <c r="W27">
        <v>0</v>
      </c>
      <c r="X27">
        <v>0</v>
      </c>
      <c r="Y27">
        <v>0</v>
      </c>
      <c r="Z27" t="s">
        <v>187</v>
      </c>
      <c r="AA27">
        <v>0</v>
      </c>
      <c r="AB27">
        <v>0</v>
      </c>
      <c r="AC27">
        <v>0</v>
      </c>
      <c r="AD27" t="s">
        <v>187</v>
      </c>
      <c r="AE27" t="s">
        <v>177</v>
      </c>
      <c r="AF27">
        <v>0</v>
      </c>
      <c r="AG27">
        <v>0</v>
      </c>
      <c r="AH27" t="s">
        <v>187</v>
      </c>
      <c r="AI27" t="s">
        <v>215</v>
      </c>
      <c r="AJ27" t="s">
        <v>216</v>
      </c>
      <c r="AK27" t="s">
        <v>179</v>
      </c>
      <c r="AL27" t="s">
        <v>105</v>
      </c>
    </row>
    <row r="28" spans="1:38" x14ac:dyDescent="0.3">
      <c r="A28">
        <v>2026</v>
      </c>
      <c r="B28" s="9">
        <v>46023</v>
      </c>
      <c r="C28" s="9">
        <v>46025</v>
      </c>
      <c r="D28" t="s">
        <v>193</v>
      </c>
      <c r="E28" t="s">
        <v>212</v>
      </c>
      <c r="F28" t="s">
        <v>4</v>
      </c>
      <c r="G28" t="s">
        <v>194</v>
      </c>
      <c r="H28" t="s">
        <v>6</v>
      </c>
      <c r="I28" t="s">
        <v>81</v>
      </c>
      <c r="J28">
        <v>1</v>
      </c>
      <c r="K28" t="s">
        <v>4</v>
      </c>
      <c r="L28" t="s">
        <v>4</v>
      </c>
      <c r="N28" t="s">
        <v>104</v>
      </c>
      <c r="O28" t="s">
        <v>86</v>
      </c>
      <c r="P28">
        <v>1</v>
      </c>
      <c r="Q28" t="s">
        <v>4</v>
      </c>
      <c r="R28" t="s">
        <v>4</v>
      </c>
      <c r="T28" t="s">
        <v>104</v>
      </c>
      <c r="U28" t="s">
        <v>91</v>
      </c>
      <c r="V28">
        <v>0</v>
      </c>
      <c r="W28">
        <v>0</v>
      </c>
      <c r="X28">
        <v>0</v>
      </c>
      <c r="Y28">
        <v>0</v>
      </c>
      <c r="Z28" t="s">
        <v>187</v>
      </c>
      <c r="AA28">
        <v>0</v>
      </c>
      <c r="AB28">
        <v>0</v>
      </c>
      <c r="AC28">
        <v>0</v>
      </c>
      <c r="AD28" t="s">
        <v>187</v>
      </c>
      <c r="AE28" t="s">
        <v>177</v>
      </c>
      <c r="AF28">
        <v>0</v>
      </c>
      <c r="AG28">
        <v>0</v>
      </c>
      <c r="AH28" t="s">
        <v>187</v>
      </c>
      <c r="AI28" t="s">
        <v>4</v>
      </c>
      <c r="AJ28" t="s">
        <v>4</v>
      </c>
      <c r="AK28" t="s">
        <v>4</v>
      </c>
      <c r="AL28" t="s">
        <v>105</v>
      </c>
    </row>
    <row r="29" spans="1:38" x14ac:dyDescent="0.3">
      <c r="A29">
        <v>2026</v>
      </c>
      <c r="B29" s="9">
        <v>46023</v>
      </c>
      <c r="C29" s="9">
        <v>46025</v>
      </c>
      <c r="D29" t="s">
        <v>193</v>
      </c>
      <c r="E29" t="s">
        <v>204</v>
      </c>
      <c r="F29" t="s">
        <v>4</v>
      </c>
      <c r="G29" t="s">
        <v>194</v>
      </c>
      <c r="H29" t="s">
        <v>6</v>
      </c>
      <c r="I29" t="s">
        <v>81</v>
      </c>
      <c r="J29">
        <v>1</v>
      </c>
      <c r="K29" t="s">
        <v>4</v>
      </c>
      <c r="L29" t="s">
        <v>4</v>
      </c>
      <c r="N29" t="s">
        <v>104</v>
      </c>
      <c r="O29" t="s">
        <v>86</v>
      </c>
      <c r="P29">
        <v>1</v>
      </c>
      <c r="Q29" t="s">
        <v>4</v>
      </c>
      <c r="R29" t="s">
        <v>4</v>
      </c>
      <c r="T29" t="s">
        <v>104</v>
      </c>
      <c r="U29" t="s">
        <v>91</v>
      </c>
      <c r="V29">
        <v>0</v>
      </c>
      <c r="W29">
        <v>0</v>
      </c>
      <c r="X29">
        <v>0</v>
      </c>
      <c r="Y29">
        <v>0</v>
      </c>
      <c r="Z29" t="s">
        <v>187</v>
      </c>
      <c r="AA29">
        <v>0</v>
      </c>
      <c r="AB29">
        <v>0</v>
      </c>
      <c r="AC29">
        <v>0</v>
      </c>
      <c r="AD29" t="s">
        <v>187</v>
      </c>
      <c r="AE29" t="s">
        <v>177</v>
      </c>
      <c r="AF29">
        <v>0</v>
      </c>
      <c r="AG29">
        <v>0</v>
      </c>
      <c r="AH29" t="s">
        <v>187</v>
      </c>
      <c r="AI29" t="s">
        <v>4</v>
      </c>
      <c r="AJ29" t="s">
        <v>4</v>
      </c>
      <c r="AK29" t="s">
        <v>4</v>
      </c>
      <c r="AL29" t="s">
        <v>105</v>
      </c>
    </row>
    <row r="30" spans="1:38" x14ac:dyDescent="0.3">
      <c r="A30">
        <v>2026</v>
      </c>
      <c r="B30" s="9">
        <v>46023</v>
      </c>
      <c r="C30" s="9">
        <v>46025</v>
      </c>
      <c r="D30" t="s">
        <v>195</v>
      </c>
      <c r="E30" t="s">
        <v>212</v>
      </c>
      <c r="F30" t="s">
        <v>4</v>
      </c>
      <c r="G30" t="s">
        <v>196</v>
      </c>
      <c r="H30" t="s">
        <v>6</v>
      </c>
      <c r="I30" t="s">
        <v>81</v>
      </c>
      <c r="J30">
        <v>1</v>
      </c>
      <c r="K30" t="s">
        <v>144</v>
      </c>
      <c r="L30" t="s">
        <v>144</v>
      </c>
      <c r="M30">
        <v>0</v>
      </c>
      <c r="N30" t="s">
        <v>4</v>
      </c>
      <c r="O30" t="s">
        <v>86</v>
      </c>
      <c r="P30">
        <v>1</v>
      </c>
      <c r="Q30" t="s">
        <v>144</v>
      </c>
      <c r="R30" t="s">
        <v>144</v>
      </c>
      <c r="S30">
        <v>0</v>
      </c>
      <c r="T30" t="s">
        <v>4</v>
      </c>
      <c r="U30" t="s">
        <v>91</v>
      </c>
      <c r="V30">
        <v>0</v>
      </c>
      <c r="W30">
        <v>0</v>
      </c>
      <c r="X30">
        <v>0</v>
      </c>
      <c r="Y30">
        <v>0</v>
      </c>
      <c r="Z30" t="s">
        <v>187</v>
      </c>
      <c r="AA30">
        <v>0</v>
      </c>
      <c r="AB30">
        <v>0</v>
      </c>
      <c r="AC30">
        <v>0</v>
      </c>
      <c r="AD30" t="s">
        <v>187</v>
      </c>
      <c r="AE30" t="s">
        <v>177</v>
      </c>
      <c r="AF30">
        <v>0</v>
      </c>
      <c r="AG30">
        <v>0</v>
      </c>
      <c r="AH30" t="s">
        <v>187</v>
      </c>
      <c r="AI30" t="s">
        <v>159</v>
      </c>
      <c r="AJ30" t="s">
        <v>159</v>
      </c>
      <c r="AK30" t="s">
        <v>159</v>
      </c>
      <c r="AL30" t="s">
        <v>105</v>
      </c>
    </row>
    <row r="31" spans="1:38" x14ac:dyDescent="0.3">
      <c r="A31">
        <v>2026</v>
      </c>
      <c r="B31" s="9">
        <v>46023</v>
      </c>
      <c r="C31" s="9">
        <v>46025</v>
      </c>
      <c r="D31" t="s">
        <v>195</v>
      </c>
      <c r="E31" t="s">
        <v>204</v>
      </c>
      <c r="F31" t="s">
        <v>4</v>
      </c>
      <c r="G31" t="s">
        <v>196</v>
      </c>
      <c r="H31" t="s">
        <v>6</v>
      </c>
      <c r="I31" t="s">
        <v>81</v>
      </c>
      <c r="J31">
        <v>1</v>
      </c>
      <c r="K31" t="s">
        <v>144</v>
      </c>
      <c r="L31" t="s">
        <v>144</v>
      </c>
      <c r="M31">
        <v>0</v>
      </c>
      <c r="N31" t="s">
        <v>4</v>
      </c>
      <c r="O31" t="s">
        <v>86</v>
      </c>
      <c r="P31">
        <v>1</v>
      </c>
      <c r="Q31" t="s">
        <v>144</v>
      </c>
      <c r="R31" t="s">
        <v>144</v>
      </c>
      <c r="S31">
        <v>0</v>
      </c>
      <c r="T31" t="s">
        <v>4</v>
      </c>
      <c r="U31" t="s">
        <v>91</v>
      </c>
      <c r="V31">
        <v>0</v>
      </c>
      <c r="W31">
        <v>0</v>
      </c>
      <c r="X31">
        <v>0</v>
      </c>
      <c r="Y31">
        <v>0</v>
      </c>
      <c r="Z31" t="s">
        <v>187</v>
      </c>
      <c r="AA31">
        <v>0</v>
      </c>
      <c r="AB31">
        <v>0</v>
      </c>
      <c r="AC31">
        <v>0</v>
      </c>
      <c r="AD31" t="s">
        <v>187</v>
      </c>
      <c r="AE31" t="s">
        <v>177</v>
      </c>
      <c r="AF31">
        <v>0</v>
      </c>
      <c r="AG31">
        <v>0</v>
      </c>
      <c r="AH31" t="s">
        <v>187</v>
      </c>
      <c r="AI31" t="s">
        <v>159</v>
      </c>
      <c r="AJ31" t="s">
        <v>159</v>
      </c>
      <c r="AK31" t="s">
        <v>159</v>
      </c>
      <c r="AL31" t="s">
        <v>105</v>
      </c>
    </row>
    <row r="32" spans="1:38" x14ac:dyDescent="0.3">
      <c r="A32">
        <v>2026</v>
      </c>
      <c r="B32" s="9">
        <v>46023</v>
      </c>
      <c r="C32" s="9">
        <v>46025</v>
      </c>
      <c r="D32" t="s">
        <v>197</v>
      </c>
      <c r="E32" t="s">
        <v>212</v>
      </c>
      <c r="F32" t="s">
        <v>4</v>
      </c>
      <c r="G32" t="s">
        <v>198</v>
      </c>
      <c r="H32" t="s">
        <v>7</v>
      </c>
      <c r="I32" t="s">
        <v>81</v>
      </c>
      <c r="J32">
        <v>1</v>
      </c>
      <c r="K32" t="s">
        <v>217</v>
      </c>
      <c r="L32" t="s">
        <v>218</v>
      </c>
      <c r="M32">
        <v>1</v>
      </c>
      <c r="N32" t="s">
        <v>4</v>
      </c>
      <c r="O32" t="s">
        <v>86</v>
      </c>
      <c r="P32">
        <v>1</v>
      </c>
      <c r="Q32" t="s">
        <v>219</v>
      </c>
      <c r="R32" t="s">
        <v>220</v>
      </c>
      <c r="S32">
        <v>1</v>
      </c>
      <c r="T32" t="s">
        <v>4</v>
      </c>
      <c r="U32" t="s">
        <v>91</v>
      </c>
      <c r="V32">
        <v>0</v>
      </c>
      <c r="W32">
        <v>0</v>
      </c>
      <c r="X32">
        <v>0</v>
      </c>
      <c r="Y32">
        <v>0</v>
      </c>
      <c r="Z32" t="s">
        <v>187</v>
      </c>
      <c r="AA32">
        <v>0</v>
      </c>
      <c r="AB32">
        <v>0</v>
      </c>
      <c r="AC32">
        <v>0</v>
      </c>
      <c r="AD32" t="s">
        <v>187</v>
      </c>
      <c r="AE32" t="s">
        <v>177</v>
      </c>
      <c r="AF32">
        <v>0</v>
      </c>
      <c r="AG32">
        <v>0</v>
      </c>
      <c r="AH32" t="s">
        <v>187</v>
      </c>
      <c r="AI32" t="s">
        <v>221</v>
      </c>
      <c r="AJ32" t="s">
        <v>222</v>
      </c>
      <c r="AK32" t="s">
        <v>223</v>
      </c>
      <c r="AL32" t="s">
        <v>105</v>
      </c>
    </row>
    <row r="33" spans="1:38" x14ac:dyDescent="0.3">
      <c r="A33">
        <v>2026</v>
      </c>
      <c r="B33" s="9">
        <v>46023</v>
      </c>
      <c r="C33" s="9">
        <v>46025</v>
      </c>
      <c r="D33" t="s">
        <v>197</v>
      </c>
      <c r="E33" t="s">
        <v>204</v>
      </c>
      <c r="F33" t="s">
        <v>4</v>
      </c>
      <c r="G33" t="s">
        <v>198</v>
      </c>
      <c r="H33" t="s">
        <v>7</v>
      </c>
      <c r="I33" t="s">
        <v>81</v>
      </c>
      <c r="J33">
        <v>1</v>
      </c>
      <c r="K33" t="s">
        <v>217</v>
      </c>
      <c r="L33" t="s">
        <v>218</v>
      </c>
      <c r="M33">
        <v>1</v>
      </c>
      <c r="N33" t="s">
        <v>4</v>
      </c>
      <c r="O33" t="s">
        <v>86</v>
      </c>
      <c r="P33">
        <v>1</v>
      </c>
      <c r="Q33" t="s">
        <v>219</v>
      </c>
      <c r="R33" t="s">
        <v>220</v>
      </c>
      <c r="S33">
        <v>1</v>
      </c>
      <c r="T33" t="s">
        <v>4</v>
      </c>
      <c r="U33" t="s">
        <v>91</v>
      </c>
      <c r="V33">
        <v>0</v>
      </c>
      <c r="W33">
        <v>0</v>
      </c>
      <c r="X33">
        <v>0</v>
      </c>
      <c r="Y33">
        <v>0</v>
      </c>
      <c r="Z33" t="s">
        <v>187</v>
      </c>
      <c r="AA33">
        <v>0</v>
      </c>
      <c r="AB33">
        <v>0</v>
      </c>
      <c r="AC33">
        <v>0</v>
      </c>
      <c r="AD33" t="s">
        <v>187</v>
      </c>
      <c r="AE33" t="s">
        <v>177</v>
      </c>
      <c r="AF33">
        <v>0</v>
      </c>
      <c r="AG33">
        <v>0</v>
      </c>
      <c r="AH33" t="s">
        <v>187</v>
      </c>
      <c r="AI33" t="s">
        <v>221</v>
      </c>
      <c r="AJ33" t="s">
        <v>222</v>
      </c>
      <c r="AK33" t="s">
        <v>223</v>
      </c>
      <c r="AL33" t="s">
        <v>105</v>
      </c>
    </row>
    <row r="34" spans="1:38" x14ac:dyDescent="0.3">
      <c r="A34">
        <v>2026</v>
      </c>
      <c r="B34" s="9">
        <v>46023</v>
      </c>
      <c r="C34" s="9">
        <v>46025</v>
      </c>
      <c r="D34" t="s">
        <v>199</v>
      </c>
      <c r="E34" t="s">
        <v>212</v>
      </c>
      <c r="F34" t="s">
        <v>4</v>
      </c>
      <c r="G34" t="s">
        <v>200</v>
      </c>
      <c r="H34" t="s">
        <v>7</v>
      </c>
      <c r="I34" t="s">
        <v>81</v>
      </c>
      <c r="J34">
        <v>1</v>
      </c>
      <c r="K34" t="s">
        <v>4</v>
      </c>
      <c r="L34" t="s">
        <v>4</v>
      </c>
      <c r="N34" t="s">
        <v>104</v>
      </c>
      <c r="O34" t="s">
        <v>86</v>
      </c>
      <c r="P34">
        <v>1</v>
      </c>
      <c r="Q34" t="s">
        <v>4</v>
      </c>
      <c r="R34" t="s">
        <v>4</v>
      </c>
      <c r="T34" t="s">
        <v>104</v>
      </c>
      <c r="U34" t="s">
        <v>91</v>
      </c>
      <c r="V34">
        <v>0</v>
      </c>
      <c r="W34">
        <v>0</v>
      </c>
      <c r="X34">
        <v>0</v>
      </c>
      <c r="Y34">
        <v>0</v>
      </c>
      <c r="Z34" t="s">
        <v>187</v>
      </c>
      <c r="AA34">
        <v>0</v>
      </c>
      <c r="AB34">
        <v>0</v>
      </c>
      <c r="AC34">
        <v>0</v>
      </c>
      <c r="AD34" t="s">
        <v>187</v>
      </c>
      <c r="AE34" t="s">
        <v>177</v>
      </c>
      <c r="AF34">
        <v>0</v>
      </c>
      <c r="AG34">
        <v>0</v>
      </c>
      <c r="AH34" t="s">
        <v>187</v>
      </c>
      <c r="AI34" t="s">
        <v>4</v>
      </c>
      <c r="AJ34" t="s">
        <v>4</v>
      </c>
      <c r="AK34" t="s">
        <v>4</v>
      </c>
      <c r="AL34" t="s">
        <v>105</v>
      </c>
    </row>
    <row r="35" spans="1:38" x14ac:dyDescent="0.3">
      <c r="A35">
        <v>2026</v>
      </c>
      <c r="B35" s="9">
        <v>46023</v>
      </c>
      <c r="C35" s="9">
        <v>46025</v>
      </c>
      <c r="D35" t="s">
        <v>199</v>
      </c>
      <c r="E35" t="s">
        <v>204</v>
      </c>
      <c r="F35" t="s">
        <v>4</v>
      </c>
      <c r="G35" t="s">
        <v>200</v>
      </c>
      <c r="H35" t="s">
        <v>7</v>
      </c>
      <c r="I35" t="s">
        <v>81</v>
      </c>
      <c r="J35">
        <v>1</v>
      </c>
      <c r="K35" t="s">
        <v>4</v>
      </c>
      <c r="L35" t="s">
        <v>4</v>
      </c>
      <c r="N35" t="s">
        <v>104</v>
      </c>
      <c r="O35" t="s">
        <v>86</v>
      </c>
      <c r="P35">
        <v>1</v>
      </c>
      <c r="Q35" t="s">
        <v>4</v>
      </c>
      <c r="R35" t="s">
        <v>4</v>
      </c>
      <c r="T35" t="s">
        <v>104</v>
      </c>
      <c r="U35" t="s">
        <v>91</v>
      </c>
      <c r="V35">
        <v>0</v>
      </c>
      <c r="W35">
        <v>0</v>
      </c>
      <c r="X35">
        <v>0</v>
      </c>
      <c r="Y35">
        <v>0</v>
      </c>
      <c r="Z35" t="s">
        <v>187</v>
      </c>
      <c r="AA35">
        <v>0</v>
      </c>
      <c r="AB35">
        <v>0</v>
      </c>
      <c r="AC35">
        <v>0</v>
      </c>
      <c r="AD35" t="s">
        <v>187</v>
      </c>
      <c r="AE35" t="s">
        <v>177</v>
      </c>
      <c r="AF35">
        <v>0</v>
      </c>
      <c r="AG35">
        <v>0</v>
      </c>
      <c r="AH35" t="s">
        <v>187</v>
      </c>
      <c r="AI35" t="s">
        <v>4</v>
      </c>
      <c r="AJ35" t="s">
        <v>4</v>
      </c>
      <c r="AK35" t="s">
        <v>4</v>
      </c>
      <c r="AL35" t="s">
        <v>105</v>
      </c>
    </row>
    <row r="36" spans="1:38" x14ac:dyDescent="0.3">
      <c r="A36">
        <v>2026</v>
      </c>
      <c r="B36" s="9">
        <v>46023</v>
      </c>
      <c r="C36" s="9">
        <v>46026</v>
      </c>
      <c r="D36" t="s">
        <v>189</v>
      </c>
      <c r="E36" t="s">
        <v>212</v>
      </c>
      <c r="F36" t="s">
        <v>4</v>
      </c>
      <c r="G36" t="s">
        <v>190</v>
      </c>
      <c r="H36" t="s">
        <v>5</v>
      </c>
      <c r="I36" t="s">
        <v>81</v>
      </c>
      <c r="J36">
        <v>1</v>
      </c>
      <c r="K36" t="s">
        <v>206</v>
      </c>
      <c r="L36" t="s">
        <v>207</v>
      </c>
      <c r="M36">
        <v>1</v>
      </c>
      <c r="N36" t="s">
        <v>4</v>
      </c>
      <c r="O36" t="s">
        <v>86</v>
      </c>
      <c r="P36">
        <v>1</v>
      </c>
      <c r="Q36" t="s">
        <v>208</v>
      </c>
      <c r="R36" t="s">
        <v>209</v>
      </c>
      <c r="S36">
        <v>1</v>
      </c>
      <c r="T36" t="s">
        <v>4</v>
      </c>
      <c r="U36" t="s">
        <v>91</v>
      </c>
      <c r="V36">
        <v>0</v>
      </c>
      <c r="W36">
        <v>0</v>
      </c>
      <c r="X36">
        <v>0</v>
      </c>
      <c r="Y36">
        <v>0</v>
      </c>
      <c r="Z36" t="s">
        <v>187</v>
      </c>
      <c r="AA36">
        <v>0</v>
      </c>
      <c r="AB36">
        <v>0</v>
      </c>
      <c r="AC36">
        <v>0</v>
      </c>
      <c r="AD36" t="s">
        <v>187</v>
      </c>
      <c r="AE36" t="s">
        <v>177</v>
      </c>
      <c r="AF36">
        <v>0</v>
      </c>
      <c r="AG36">
        <v>0</v>
      </c>
      <c r="AH36" t="s">
        <v>187</v>
      </c>
      <c r="AI36" t="s">
        <v>210</v>
      </c>
      <c r="AJ36" t="s">
        <v>211</v>
      </c>
      <c r="AK36" t="s">
        <v>159</v>
      </c>
      <c r="AL36" t="s">
        <v>105</v>
      </c>
    </row>
    <row r="37" spans="1:38" x14ac:dyDescent="0.3">
      <c r="A37">
        <v>2026</v>
      </c>
      <c r="B37" s="9">
        <v>46023</v>
      </c>
      <c r="C37" s="9">
        <v>46026</v>
      </c>
      <c r="D37" t="s">
        <v>189</v>
      </c>
      <c r="E37" t="s">
        <v>204</v>
      </c>
      <c r="F37" t="s">
        <v>4</v>
      </c>
      <c r="G37" t="s">
        <v>190</v>
      </c>
      <c r="H37" t="s">
        <v>5</v>
      </c>
      <c r="I37" t="s">
        <v>81</v>
      </c>
      <c r="J37">
        <v>1</v>
      </c>
      <c r="K37" t="s">
        <v>206</v>
      </c>
      <c r="L37" t="s">
        <v>207</v>
      </c>
      <c r="M37">
        <v>1</v>
      </c>
      <c r="N37" t="s">
        <v>4</v>
      </c>
      <c r="O37" t="s">
        <v>86</v>
      </c>
      <c r="P37">
        <v>1</v>
      </c>
      <c r="Q37" t="s">
        <v>208</v>
      </c>
      <c r="R37" t="s">
        <v>209</v>
      </c>
      <c r="S37">
        <v>1</v>
      </c>
      <c r="T37" t="s">
        <v>4</v>
      </c>
      <c r="U37" t="s">
        <v>91</v>
      </c>
      <c r="V37">
        <v>0</v>
      </c>
      <c r="W37">
        <v>0</v>
      </c>
      <c r="X37">
        <v>0</v>
      </c>
      <c r="Y37">
        <v>0</v>
      </c>
      <c r="Z37" t="s">
        <v>187</v>
      </c>
      <c r="AA37">
        <v>0</v>
      </c>
      <c r="AB37">
        <v>0</v>
      </c>
      <c r="AC37">
        <v>0</v>
      </c>
      <c r="AD37" t="s">
        <v>187</v>
      </c>
      <c r="AE37" t="s">
        <v>177</v>
      </c>
      <c r="AF37">
        <v>0</v>
      </c>
      <c r="AG37">
        <v>0</v>
      </c>
      <c r="AH37" t="s">
        <v>187</v>
      </c>
      <c r="AI37" t="s">
        <v>210</v>
      </c>
      <c r="AJ37" t="s">
        <v>211</v>
      </c>
      <c r="AK37" t="s">
        <v>159</v>
      </c>
      <c r="AL37" t="s">
        <v>105</v>
      </c>
    </row>
    <row r="38" spans="1:38" x14ac:dyDescent="0.3">
      <c r="A38">
        <v>2026</v>
      </c>
      <c r="B38" s="9">
        <v>46023</v>
      </c>
      <c r="C38" s="9">
        <v>46026</v>
      </c>
      <c r="D38" t="s">
        <v>191</v>
      </c>
      <c r="E38" t="s">
        <v>212</v>
      </c>
      <c r="F38" t="s">
        <v>4</v>
      </c>
      <c r="G38" t="s">
        <v>192</v>
      </c>
      <c r="H38" t="s">
        <v>5</v>
      </c>
      <c r="I38" t="s">
        <v>81</v>
      </c>
      <c r="J38">
        <v>1</v>
      </c>
      <c r="K38" t="s">
        <v>165</v>
      </c>
      <c r="L38" t="s">
        <v>165</v>
      </c>
      <c r="N38" t="s">
        <v>175</v>
      </c>
      <c r="O38" t="s">
        <v>86</v>
      </c>
      <c r="P38">
        <v>1</v>
      </c>
      <c r="Q38" t="s">
        <v>213</v>
      </c>
      <c r="R38" t="s">
        <v>214</v>
      </c>
      <c r="S38">
        <v>1</v>
      </c>
      <c r="T38" t="s">
        <v>4</v>
      </c>
      <c r="U38" t="s">
        <v>91</v>
      </c>
      <c r="V38">
        <v>0</v>
      </c>
      <c r="W38">
        <v>0</v>
      </c>
      <c r="X38">
        <v>0</v>
      </c>
      <c r="Y38">
        <v>0</v>
      </c>
      <c r="Z38" t="s">
        <v>187</v>
      </c>
      <c r="AA38">
        <v>0</v>
      </c>
      <c r="AB38">
        <v>0</v>
      </c>
      <c r="AC38">
        <v>0</v>
      </c>
      <c r="AD38" t="s">
        <v>187</v>
      </c>
      <c r="AE38" t="s">
        <v>177</v>
      </c>
      <c r="AF38">
        <v>0</v>
      </c>
      <c r="AG38">
        <v>0</v>
      </c>
      <c r="AH38" t="s">
        <v>187</v>
      </c>
      <c r="AI38" t="s">
        <v>215</v>
      </c>
      <c r="AJ38" t="s">
        <v>216</v>
      </c>
      <c r="AK38" t="s">
        <v>179</v>
      </c>
      <c r="AL38" t="s">
        <v>105</v>
      </c>
    </row>
    <row r="39" spans="1:38" x14ac:dyDescent="0.3">
      <c r="A39">
        <v>2026</v>
      </c>
      <c r="B39" s="9">
        <v>46023</v>
      </c>
      <c r="C39" s="9">
        <v>46026</v>
      </c>
      <c r="D39" t="s">
        <v>191</v>
      </c>
      <c r="E39" t="s">
        <v>204</v>
      </c>
      <c r="F39" t="s">
        <v>4</v>
      </c>
      <c r="G39" t="s">
        <v>192</v>
      </c>
      <c r="H39" t="s">
        <v>5</v>
      </c>
      <c r="I39" t="s">
        <v>81</v>
      </c>
      <c r="J39">
        <v>1</v>
      </c>
      <c r="K39" t="s">
        <v>165</v>
      </c>
      <c r="L39" t="s">
        <v>165</v>
      </c>
      <c r="N39" t="s">
        <v>175</v>
      </c>
      <c r="O39" t="s">
        <v>86</v>
      </c>
      <c r="P39">
        <v>1</v>
      </c>
      <c r="Q39" t="s">
        <v>213</v>
      </c>
      <c r="R39" t="s">
        <v>214</v>
      </c>
      <c r="S39">
        <v>1</v>
      </c>
      <c r="T39" t="s">
        <v>4</v>
      </c>
      <c r="U39" t="s">
        <v>91</v>
      </c>
      <c r="V39">
        <v>0</v>
      </c>
      <c r="W39">
        <v>0</v>
      </c>
      <c r="X39">
        <v>0</v>
      </c>
      <c r="Y39">
        <v>0</v>
      </c>
      <c r="Z39" t="s">
        <v>187</v>
      </c>
      <c r="AA39">
        <v>0</v>
      </c>
      <c r="AB39">
        <v>0</v>
      </c>
      <c r="AC39">
        <v>0</v>
      </c>
      <c r="AD39" t="s">
        <v>187</v>
      </c>
      <c r="AE39" t="s">
        <v>177</v>
      </c>
      <c r="AF39">
        <v>0</v>
      </c>
      <c r="AG39">
        <v>0</v>
      </c>
      <c r="AH39" t="s">
        <v>187</v>
      </c>
      <c r="AI39" t="s">
        <v>215</v>
      </c>
      <c r="AJ39" t="s">
        <v>216</v>
      </c>
      <c r="AK39" t="s">
        <v>179</v>
      </c>
      <c r="AL39" t="s">
        <v>105</v>
      </c>
    </row>
    <row r="40" spans="1:38" x14ac:dyDescent="0.3">
      <c r="A40">
        <v>2026</v>
      </c>
      <c r="B40" s="9">
        <v>46023</v>
      </c>
      <c r="C40" s="9">
        <v>46026</v>
      </c>
      <c r="D40" t="s">
        <v>193</v>
      </c>
      <c r="E40" t="s">
        <v>212</v>
      </c>
      <c r="F40" t="s">
        <v>4</v>
      </c>
      <c r="G40" t="s">
        <v>194</v>
      </c>
      <c r="H40" t="s">
        <v>6</v>
      </c>
      <c r="I40" t="s">
        <v>81</v>
      </c>
      <c r="J40">
        <v>1</v>
      </c>
      <c r="K40" t="s">
        <v>4</v>
      </c>
      <c r="L40" t="s">
        <v>4</v>
      </c>
      <c r="N40" t="s">
        <v>104</v>
      </c>
      <c r="O40" t="s">
        <v>86</v>
      </c>
      <c r="P40">
        <v>1</v>
      </c>
      <c r="Q40" t="s">
        <v>4</v>
      </c>
      <c r="R40" t="s">
        <v>4</v>
      </c>
      <c r="T40" t="s">
        <v>104</v>
      </c>
      <c r="U40" t="s">
        <v>91</v>
      </c>
      <c r="V40">
        <v>0</v>
      </c>
      <c r="W40">
        <v>0</v>
      </c>
      <c r="X40">
        <v>0</v>
      </c>
      <c r="Y40">
        <v>0</v>
      </c>
      <c r="Z40" t="s">
        <v>187</v>
      </c>
      <c r="AA40">
        <v>0</v>
      </c>
      <c r="AB40">
        <v>0</v>
      </c>
      <c r="AC40">
        <v>0</v>
      </c>
      <c r="AD40" t="s">
        <v>187</v>
      </c>
      <c r="AE40" t="s">
        <v>177</v>
      </c>
      <c r="AF40">
        <v>0</v>
      </c>
      <c r="AG40">
        <v>0</v>
      </c>
      <c r="AH40" t="s">
        <v>187</v>
      </c>
      <c r="AI40" t="s">
        <v>4</v>
      </c>
      <c r="AJ40" t="s">
        <v>4</v>
      </c>
      <c r="AK40" t="s">
        <v>4</v>
      </c>
      <c r="AL40" t="s">
        <v>105</v>
      </c>
    </row>
    <row r="41" spans="1:38" x14ac:dyDescent="0.3">
      <c r="A41">
        <v>2026</v>
      </c>
      <c r="B41" s="9">
        <v>46023</v>
      </c>
      <c r="C41" s="9">
        <v>46026</v>
      </c>
      <c r="D41" t="s">
        <v>193</v>
      </c>
      <c r="E41" t="s">
        <v>204</v>
      </c>
      <c r="F41" t="s">
        <v>4</v>
      </c>
      <c r="G41" t="s">
        <v>194</v>
      </c>
      <c r="H41" t="s">
        <v>6</v>
      </c>
      <c r="I41" t="s">
        <v>81</v>
      </c>
      <c r="J41">
        <v>1</v>
      </c>
      <c r="K41" t="s">
        <v>4</v>
      </c>
      <c r="L41" t="s">
        <v>4</v>
      </c>
      <c r="N41" t="s">
        <v>104</v>
      </c>
      <c r="O41" t="s">
        <v>86</v>
      </c>
      <c r="P41">
        <v>1</v>
      </c>
      <c r="Q41" t="s">
        <v>4</v>
      </c>
      <c r="R41" t="s">
        <v>4</v>
      </c>
      <c r="T41" t="s">
        <v>104</v>
      </c>
      <c r="U41" t="s">
        <v>91</v>
      </c>
      <c r="V41">
        <v>0</v>
      </c>
      <c r="W41">
        <v>0</v>
      </c>
      <c r="X41">
        <v>0</v>
      </c>
      <c r="Y41">
        <v>0</v>
      </c>
      <c r="Z41" t="s">
        <v>187</v>
      </c>
      <c r="AA41">
        <v>0</v>
      </c>
      <c r="AB41">
        <v>0</v>
      </c>
      <c r="AC41">
        <v>0</v>
      </c>
      <c r="AD41" t="s">
        <v>187</v>
      </c>
      <c r="AE41" t="s">
        <v>177</v>
      </c>
      <c r="AF41">
        <v>0</v>
      </c>
      <c r="AG41">
        <v>0</v>
      </c>
      <c r="AH41" t="s">
        <v>187</v>
      </c>
      <c r="AI41" t="s">
        <v>4</v>
      </c>
      <c r="AJ41" t="s">
        <v>4</v>
      </c>
      <c r="AK41" t="s">
        <v>4</v>
      </c>
      <c r="AL41" t="s">
        <v>105</v>
      </c>
    </row>
    <row r="42" spans="1:38" x14ac:dyDescent="0.3">
      <c r="A42">
        <v>2026</v>
      </c>
      <c r="B42" s="9">
        <v>46023</v>
      </c>
      <c r="C42" s="9">
        <v>46026</v>
      </c>
      <c r="D42" t="s">
        <v>195</v>
      </c>
      <c r="E42" t="s">
        <v>212</v>
      </c>
      <c r="F42" t="s">
        <v>224</v>
      </c>
      <c r="G42" t="s">
        <v>196</v>
      </c>
      <c r="H42" t="s">
        <v>6</v>
      </c>
      <c r="I42" t="s">
        <v>81</v>
      </c>
      <c r="J42">
        <v>1</v>
      </c>
      <c r="K42" t="s">
        <v>144</v>
      </c>
      <c r="L42" t="s">
        <v>144</v>
      </c>
      <c r="M42">
        <v>0</v>
      </c>
      <c r="N42" t="s">
        <v>4</v>
      </c>
      <c r="O42" t="s">
        <v>86</v>
      </c>
      <c r="P42">
        <v>0</v>
      </c>
      <c r="Q42" t="s">
        <v>144</v>
      </c>
      <c r="R42" t="s">
        <v>144</v>
      </c>
      <c r="S42">
        <v>0</v>
      </c>
      <c r="T42" t="s">
        <v>4</v>
      </c>
      <c r="U42" t="s">
        <v>91</v>
      </c>
      <c r="V42">
        <v>0</v>
      </c>
      <c r="W42">
        <v>12</v>
      </c>
      <c r="X42">
        <v>6</v>
      </c>
      <c r="Y42">
        <v>12</v>
      </c>
      <c r="Z42" t="s">
        <v>187</v>
      </c>
      <c r="AA42">
        <v>12</v>
      </c>
      <c r="AB42">
        <v>0</v>
      </c>
      <c r="AC42">
        <v>0</v>
      </c>
      <c r="AD42" t="s">
        <v>187</v>
      </c>
      <c r="AE42" t="s">
        <v>159</v>
      </c>
      <c r="AF42">
        <v>0</v>
      </c>
      <c r="AG42">
        <v>0</v>
      </c>
      <c r="AH42" t="s">
        <v>187</v>
      </c>
      <c r="AI42" t="s">
        <v>159</v>
      </c>
      <c r="AJ42" t="s">
        <v>159</v>
      </c>
      <c r="AK42" t="s">
        <v>159</v>
      </c>
      <c r="AL42" t="s">
        <v>105</v>
      </c>
    </row>
    <row r="43" spans="1:38" x14ac:dyDescent="0.3">
      <c r="A43">
        <v>2026</v>
      </c>
      <c r="B43" s="9">
        <v>46023</v>
      </c>
      <c r="C43" s="9">
        <v>46026</v>
      </c>
      <c r="D43" t="s">
        <v>195</v>
      </c>
      <c r="E43" t="s">
        <v>204</v>
      </c>
      <c r="F43" t="s">
        <v>225</v>
      </c>
      <c r="G43" t="s">
        <v>196</v>
      </c>
      <c r="H43" t="s">
        <v>6</v>
      </c>
      <c r="I43" t="s">
        <v>81</v>
      </c>
      <c r="J43">
        <v>0</v>
      </c>
      <c r="K43" t="s">
        <v>144</v>
      </c>
      <c r="L43" t="s">
        <v>144</v>
      </c>
      <c r="M43">
        <v>0</v>
      </c>
      <c r="N43" t="s">
        <v>4</v>
      </c>
      <c r="O43" t="s">
        <v>86</v>
      </c>
      <c r="P43">
        <v>1</v>
      </c>
      <c r="Q43" t="s">
        <v>144</v>
      </c>
      <c r="R43" t="s">
        <v>144</v>
      </c>
      <c r="S43">
        <v>0</v>
      </c>
      <c r="T43" t="s">
        <v>4</v>
      </c>
      <c r="U43" t="s">
        <v>91</v>
      </c>
      <c r="V43">
        <v>12</v>
      </c>
      <c r="W43">
        <v>0</v>
      </c>
      <c r="X43">
        <v>6</v>
      </c>
      <c r="Y43">
        <v>12</v>
      </c>
      <c r="Z43" t="s">
        <v>187</v>
      </c>
      <c r="AA43">
        <v>12</v>
      </c>
      <c r="AB43">
        <v>0</v>
      </c>
      <c r="AC43">
        <v>0</v>
      </c>
      <c r="AD43" t="s">
        <v>187</v>
      </c>
      <c r="AE43" t="s">
        <v>159</v>
      </c>
      <c r="AF43">
        <v>0</v>
      </c>
      <c r="AG43">
        <v>0</v>
      </c>
      <c r="AH43" t="s">
        <v>187</v>
      </c>
      <c r="AI43" t="s">
        <v>159</v>
      </c>
      <c r="AJ43" t="s">
        <v>159</v>
      </c>
      <c r="AK43" t="s">
        <v>159</v>
      </c>
      <c r="AL43" t="s">
        <v>105</v>
      </c>
    </row>
    <row r="44" spans="1:38" x14ac:dyDescent="0.3">
      <c r="A44">
        <v>2026</v>
      </c>
      <c r="B44" s="9">
        <v>46023</v>
      </c>
      <c r="C44" s="9">
        <v>46026</v>
      </c>
      <c r="D44" t="s">
        <v>197</v>
      </c>
      <c r="E44" t="s">
        <v>212</v>
      </c>
      <c r="F44" t="s">
        <v>4</v>
      </c>
      <c r="G44" t="s">
        <v>198</v>
      </c>
      <c r="H44" t="s">
        <v>7</v>
      </c>
      <c r="I44" t="s">
        <v>81</v>
      </c>
      <c r="J44">
        <v>1</v>
      </c>
      <c r="K44" t="s">
        <v>217</v>
      </c>
      <c r="L44" t="s">
        <v>218</v>
      </c>
      <c r="M44">
        <v>1</v>
      </c>
      <c r="N44" t="s">
        <v>4</v>
      </c>
      <c r="O44" t="s">
        <v>86</v>
      </c>
      <c r="P44">
        <v>1</v>
      </c>
      <c r="Q44" t="s">
        <v>219</v>
      </c>
      <c r="R44" t="s">
        <v>220</v>
      </c>
      <c r="S44">
        <v>1</v>
      </c>
      <c r="T44" t="s">
        <v>4</v>
      </c>
      <c r="U44" t="s">
        <v>91</v>
      </c>
      <c r="V44">
        <v>0</v>
      </c>
      <c r="W44">
        <v>0</v>
      </c>
      <c r="X44">
        <v>0</v>
      </c>
      <c r="Y44">
        <v>0</v>
      </c>
      <c r="Z44" t="s">
        <v>187</v>
      </c>
      <c r="AA44">
        <v>0</v>
      </c>
      <c r="AB44">
        <v>0</v>
      </c>
      <c r="AC44">
        <v>0</v>
      </c>
      <c r="AD44" t="s">
        <v>187</v>
      </c>
      <c r="AE44" t="s">
        <v>177</v>
      </c>
      <c r="AF44">
        <v>0</v>
      </c>
      <c r="AG44">
        <v>0</v>
      </c>
      <c r="AH44" t="s">
        <v>187</v>
      </c>
      <c r="AI44" t="s">
        <v>221</v>
      </c>
      <c r="AJ44" t="s">
        <v>222</v>
      </c>
      <c r="AK44" t="s">
        <v>223</v>
      </c>
      <c r="AL44" t="s">
        <v>105</v>
      </c>
    </row>
    <row r="45" spans="1:38" x14ac:dyDescent="0.3">
      <c r="A45">
        <v>2026</v>
      </c>
      <c r="B45" s="9">
        <v>46023</v>
      </c>
      <c r="C45" s="9">
        <v>46026</v>
      </c>
      <c r="D45" t="s">
        <v>197</v>
      </c>
      <c r="E45" t="s">
        <v>204</v>
      </c>
      <c r="F45" t="s">
        <v>4</v>
      </c>
      <c r="G45" t="s">
        <v>198</v>
      </c>
      <c r="H45" t="s">
        <v>7</v>
      </c>
      <c r="I45" t="s">
        <v>81</v>
      </c>
      <c r="J45">
        <v>1</v>
      </c>
      <c r="K45" t="s">
        <v>217</v>
      </c>
      <c r="L45" t="s">
        <v>218</v>
      </c>
      <c r="M45">
        <v>1</v>
      </c>
      <c r="N45" t="s">
        <v>4</v>
      </c>
      <c r="O45" t="s">
        <v>86</v>
      </c>
      <c r="P45">
        <v>1</v>
      </c>
      <c r="Q45" t="s">
        <v>219</v>
      </c>
      <c r="R45" t="s">
        <v>220</v>
      </c>
      <c r="S45">
        <v>1</v>
      </c>
      <c r="T45" t="s">
        <v>4</v>
      </c>
      <c r="U45" t="s">
        <v>91</v>
      </c>
      <c r="V45">
        <v>0</v>
      </c>
      <c r="W45">
        <v>0</v>
      </c>
      <c r="X45">
        <v>0</v>
      </c>
      <c r="Y45">
        <v>0</v>
      </c>
      <c r="Z45" t="s">
        <v>187</v>
      </c>
      <c r="AA45">
        <v>0</v>
      </c>
      <c r="AB45">
        <v>0</v>
      </c>
      <c r="AC45">
        <v>0</v>
      </c>
      <c r="AD45" t="s">
        <v>187</v>
      </c>
      <c r="AE45" t="s">
        <v>177</v>
      </c>
      <c r="AF45">
        <v>0</v>
      </c>
      <c r="AG45">
        <v>0</v>
      </c>
      <c r="AH45" t="s">
        <v>187</v>
      </c>
      <c r="AI45" t="s">
        <v>221</v>
      </c>
      <c r="AJ45" t="s">
        <v>222</v>
      </c>
      <c r="AK45" t="s">
        <v>223</v>
      </c>
      <c r="AL45" t="s">
        <v>105</v>
      </c>
    </row>
    <row r="46" spans="1:38" x14ac:dyDescent="0.3">
      <c r="A46">
        <v>2026</v>
      </c>
      <c r="B46" s="9">
        <v>46023</v>
      </c>
      <c r="C46" s="9">
        <v>46026</v>
      </c>
      <c r="D46" t="s">
        <v>199</v>
      </c>
      <c r="E46" t="s">
        <v>212</v>
      </c>
      <c r="F46" t="s">
        <v>4</v>
      </c>
      <c r="G46" t="s">
        <v>200</v>
      </c>
      <c r="H46" t="s">
        <v>7</v>
      </c>
      <c r="I46" t="s">
        <v>81</v>
      </c>
      <c r="J46">
        <v>1</v>
      </c>
      <c r="K46" t="s">
        <v>4</v>
      </c>
      <c r="L46" t="s">
        <v>4</v>
      </c>
      <c r="N46" t="s">
        <v>104</v>
      </c>
      <c r="O46" t="s">
        <v>86</v>
      </c>
      <c r="P46">
        <v>1</v>
      </c>
      <c r="Q46" t="s">
        <v>4</v>
      </c>
      <c r="R46" t="s">
        <v>4</v>
      </c>
      <c r="T46" t="s">
        <v>104</v>
      </c>
      <c r="U46" t="s">
        <v>91</v>
      </c>
      <c r="V46">
        <v>0</v>
      </c>
      <c r="W46">
        <v>0</v>
      </c>
      <c r="X46">
        <v>0</v>
      </c>
      <c r="Y46">
        <v>0</v>
      </c>
      <c r="Z46" t="s">
        <v>187</v>
      </c>
      <c r="AA46">
        <v>0</v>
      </c>
      <c r="AB46">
        <v>0</v>
      </c>
      <c r="AC46">
        <v>0</v>
      </c>
      <c r="AD46" t="s">
        <v>187</v>
      </c>
      <c r="AE46" t="s">
        <v>177</v>
      </c>
      <c r="AF46">
        <v>0</v>
      </c>
      <c r="AG46">
        <v>0</v>
      </c>
      <c r="AH46" t="s">
        <v>187</v>
      </c>
      <c r="AI46" t="s">
        <v>4</v>
      </c>
      <c r="AJ46" t="s">
        <v>4</v>
      </c>
      <c r="AK46" t="s">
        <v>4</v>
      </c>
      <c r="AL46" t="s">
        <v>105</v>
      </c>
    </row>
    <row r="47" spans="1:38" x14ac:dyDescent="0.3">
      <c r="A47">
        <v>2026</v>
      </c>
      <c r="B47" s="9">
        <v>46023</v>
      </c>
      <c r="C47" s="9">
        <v>46026</v>
      </c>
      <c r="D47" t="s">
        <v>199</v>
      </c>
      <c r="E47" t="s">
        <v>204</v>
      </c>
      <c r="F47" t="s">
        <v>4</v>
      </c>
      <c r="G47" t="s">
        <v>200</v>
      </c>
      <c r="H47" t="s">
        <v>7</v>
      </c>
      <c r="I47" t="s">
        <v>81</v>
      </c>
      <c r="J47">
        <v>1</v>
      </c>
      <c r="K47" t="s">
        <v>4</v>
      </c>
      <c r="L47" t="s">
        <v>4</v>
      </c>
      <c r="N47" t="s">
        <v>104</v>
      </c>
      <c r="O47" t="s">
        <v>86</v>
      </c>
      <c r="P47">
        <v>1</v>
      </c>
      <c r="Q47" t="s">
        <v>4</v>
      </c>
      <c r="R47" t="s">
        <v>4</v>
      </c>
      <c r="T47" t="s">
        <v>104</v>
      </c>
      <c r="U47" t="s">
        <v>91</v>
      </c>
      <c r="V47">
        <v>0</v>
      </c>
      <c r="W47">
        <v>0</v>
      </c>
      <c r="X47">
        <v>0</v>
      </c>
      <c r="Y47">
        <v>0</v>
      </c>
      <c r="Z47" t="s">
        <v>187</v>
      </c>
      <c r="AA47">
        <v>0</v>
      </c>
      <c r="AB47">
        <v>0</v>
      </c>
      <c r="AC47">
        <v>0</v>
      </c>
      <c r="AD47" t="s">
        <v>187</v>
      </c>
      <c r="AE47" t="s">
        <v>177</v>
      </c>
      <c r="AF47">
        <v>0</v>
      </c>
      <c r="AG47">
        <v>0</v>
      </c>
      <c r="AH47" t="s">
        <v>187</v>
      </c>
      <c r="AI47" t="s">
        <v>4</v>
      </c>
      <c r="AJ47" t="s">
        <v>4</v>
      </c>
      <c r="AK47" t="s">
        <v>4</v>
      </c>
      <c r="AL47" t="s">
        <v>105</v>
      </c>
    </row>
    <row r="48" spans="1:38" x14ac:dyDescent="0.3">
      <c r="A48">
        <v>2026</v>
      </c>
      <c r="B48" s="9">
        <v>46023</v>
      </c>
      <c r="C48" s="9">
        <v>46027</v>
      </c>
      <c r="D48" t="s">
        <v>189</v>
      </c>
      <c r="E48" t="s">
        <v>212</v>
      </c>
      <c r="F48" t="s">
        <v>4</v>
      </c>
      <c r="G48" t="s">
        <v>190</v>
      </c>
      <c r="H48" t="s">
        <v>5</v>
      </c>
      <c r="I48" t="s">
        <v>81</v>
      </c>
      <c r="J48">
        <v>1</v>
      </c>
      <c r="K48" t="s">
        <v>206</v>
      </c>
      <c r="L48" t="s">
        <v>207</v>
      </c>
      <c r="M48">
        <v>1</v>
      </c>
      <c r="N48" t="s">
        <v>4</v>
      </c>
      <c r="O48" t="s">
        <v>86</v>
      </c>
      <c r="P48">
        <v>1</v>
      </c>
      <c r="Q48" t="s">
        <v>208</v>
      </c>
      <c r="R48" t="s">
        <v>209</v>
      </c>
      <c r="S48">
        <v>1</v>
      </c>
      <c r="T48" t="s">
        <v>4</v>
      </c>
      <c r="U48" t="s">
        <v>91</v>
      </c>
      <c r="V48">
        <v>0</v>
      </c>
      <c r="W48">
        <v>0</v>
      </c>
      <c r="X48">
        <v>0</v>
      </c>
      <c r="Y48">
        <v>0</v>
      </c>
      <c r="Z48" t="s">
        <v>187</v>
      </c>
      <c r="AA48">
        <v>0</v>
      </c>
      <c r="AB48">
        <v>0</v>
      </c>
      <c r="AC48">
        <v>0</v>
      </c>
      <c r="AD48" t="s">
        <v>187</v>
      </c>
      <c r="AE48" t="s">
        <v>177</v>
      </c>
      <c r="AF48">
        <v>0</v>
      </c>
      <c r="AG48">
        <v>0</v>
      </c>
      <c r="AH48" t="s">
        <v>187</v>
      </c>
      <c r="AI48" t="s">
        <v>210</v>
      </c>
      <c r="AJ48" t="s">
        <v>211</v>
      </c>
      <c r="AK48" t="s">
        <v>159</v>
      </c>
      <c r="AL48" t="s">
        <v>105</v>
      </c>
    </row>
    <row r="49" spans="1:38" x14ac:dyDescent="0.3">
      <c r="A49">
        <v>2026</v>
      </c>
      <c r="B49" s="9">
        <v>46023</v>
      </c>
      <c r="C49" s="9">
        <v>46027</v>
      </c>
      <c r="D49" t="s">
        <v>189</v>
      </c>
      <c r="E49" t="s">
        <v>204</v>
      </c>
      <c r="F49" t="s">
        <v>4</v>
      </c>
      <c r="G49" t="s">
        <v>190</v>
      </c>
      <c r="H49" t="s">
        <v>5</v>
      </c>
      <c r="I49" t="s">
        <v>81</v>
      </c>
      <c r="J49">
        <v>1</v>
      </c>
      <c r="K49" t="s">
        <v>206</v>
      </c>
      <c r="L49" t="s">
        <v>207</v>
      </c>
      <c r="M49">
        <v>1</v>
      </c>
      <c r="N49" t="s">
        <v>4</v>
      </c>
      <c r="O49" t="s">
        <v>86</v>
      </c>
      <c r="P49">
        <v>1</v>
      </c>
      <c r="Q49" t="s">
        <v>208</v>
      </c>
      <c r="R49" t="s">
        <v>209</v>
      </c>
      <c r="S49">
        <v>1</v>
      </c>
      <c r="T49" t="s">
        <v>4</v>
      </c>
      <c r="U49" t="s">
        <v>91</v>
      </c>
      <c r="V49">
        <v>0</v>
      </c>
      <c r="W49">
        <v>0</v>
      </c>
      <c r="X49">
        <v>0</v>
      </c>
      <c r="Y49">
        <v>0</v>
      </c>
      <c r="Z49" t="s">
        <v>187</v>
      </c>
      <c r="AA49">
        <v>0</v>
      </c>
      <c r="AB49">
        <v>0</v>
      </c>
      <c r="AC49">
        <v>0</v>
      </c>
      <c r="AD49" t="s">
        <v>187</v>
      </c>
      <c r="AE49" t="s">
        <v>177</v>
      </c>
      <c r="AF49">
        <v>0</v>
      </c>
      <c r="AG49">
        <v>0</v>
      </c>
      <c r="AH49" t="s">
        <v>187</v>
      </c>
      <c r="AI49" t="s">
        <v>210</v>
      </c>
      <c r="AJ49" t="s">
        <v>211</v>
      </c>
      <c r="AK49" t="s">
        <v>159</v>
      </c>
      <c r="AL49" t="s">
        <v>105</v>
      </c>
    </row>
    <row r="50" spans="1:38" x14ac:dyDescent="0.3">
      <c r="A50">
        <v>2026</v>
      </c>
      <c r="B50" s="9">
        <v>46023</v>
      </c>
      <c r="C50" s="9">
        <v>46027</v>
      </c>
      <c r="D50" t="s">
        <v>191</v>
      </c>
      <c r="E50" t="s">
        <v>212</v>
      </c>
      <c r="F50" t="s">
        <v>4</v>
      </c>
      <c r="G50" t="s">
        <v>192</v>
      </c>
      <c r="H50" t="s">
        <v>5</v>
      </c>
      <c r="I50" t="s">
        <v>81</v>
      </c>
      <c r="J50">
        <v>1</v>
      </c>
      <c r="K50" t="s">
        <v>165</v>
      </c>
      <c r="L50" t="s">
        <v>165</v>
      </c>
      <c r="N50" t="s">
        <v>175</v>
      </c>
      <c r="O50" t="s">
        <v>86</v>
      </c>
      <c r="P50">
        <v>1</v>
      </c>
      <c r="Q50" t="s">
        <v>213</v>
      </c>
      <c r="R50" t="s">
        <v>214</v>
      </c>
      <c r="S50">
        <v>1</v>
      </c>
      <c r="T50" t="s">
        <v>4</v>
      </c>
      <c r="U50" t="s">
        <v>91</v>
      </c>
      <c r="V50">
        <v>0</v>
      </c>
      <c r="W50">
        <v>0</v>
      </c>
      <c r="X50">
        <v>0</v>
      </c>
      <c r="Y50">
        <v>0</v>
      </c>
      <c r="Z50" t="s">
        <v>187</v>
      </c>
      <c r="AA50">
        <v>0</v>
      </c>
      <c r="AB50">
        <v>0</v>
      </c>
      <c r="AC50">
        <v>0</v>
      </c>
      <c r="AD50" t="s">
        <v>187</v>
      </c>
      <c r="AE50" t="s">
        <v>177</v>
      </c>
      <c r="AF50">
        <v>0</v>
      </c>
      <c r="AG50">
        <v>0</v>
      </c>
      <c r="AH50" t="s">
        <v>187</v>
      </c>
      <c r="AI50" t="s">
        <v>215</v>
      </c>
      <c r="AJ50" t="s">
        <v>216</v>
      </c>
      <c r="AK50" t="s">
        <v>179</v>
      </c>
      <c r="AL50" t="s">
        <v>105</v>
      </c>
    </row>
    <row r="51" spans="1:38" x14ac:dyDescent="0.3">
      <c r="A51">
        <v>2026</v>
      </c>
      <c r="B51" s="9">
        <v>46023</v>
      </c>
      <c r="C51" s="9">
        <v>46027</v>
      </c>
      <c r="D51" t="s">
        <v>191</v>
      </c>
      <c r="E51" t="s">
        <v>204</v>
      </c>
      <c r="F51" t="s">
        <v>4</v>
      </c>
      <c r="G51" t="s">
        <v>192</v>
      </c>
      <c r="H51" t="s">
        <v>5</v>
      </c>
      <c r="I51" t="s">
        <v>81</v>
      </c>
      <c r="J51">
        <v>1</v>
      </c>
      <c r="K51" t="s">
        <v>165</v>
      </c>
      <c r="L51" t="s">
        <v>165</v>
      </c>
      <c r="N51" t="s">
        <v>175</v>
      </c>
      <c r="O51" t="s">
        <v>86</v>
      </c>
      <c r="P51">
        <v>1</v>
      </c>
      <c r="Q51" t="s">
        <v>213</v>
      </c>
      <c r="R51" t="s">
        <v>214</v>
      </c>
      <c r="S51">
        <v>1</v>
      </c>
      <c r="T51" t="s">
        <v>4</v>
      </c>
      <c r="U51" t="s">
        <v>91</v>
      </c>
      <c r="V51">
        <v>0</v>
      </c>
      <c r="W51">
        <v>0</v>
      </c>
      <c r="X51">
        <v>0</v>
      </c>
      <c r="Y51">
        <v>0</v>
      </c>
      <c r="Z51" t="s">
        <v>187</v>
      </c>
      <c r="AA51">
        <v>0</v>
      </c>
      <c r="AB51">
        <v>0</v>
      </c>
      <c r="AC51">
        <v>0</v>
      </c>
      <c r="AD51" t="s">
        <v>187</v>
      </c>
      <c r="AE51" t="s">
        <v>177</v>
      </c>
      <c r="AF51">
        <v>0</v>
      </c>
      <c r="AG51">
        <v>0</v>
      </c>
      <c r="AH51" t="s">
        <v>187</v>
      </c>
      <c r="AI51" t="s">
        <v>215</v>
      </c>
      <c r="AJ51" t="s">
        <v>216</v>
      </c>
      <c r="AK51" t="s">
        <v>179</v>
      </c>
      <c r="AL51" t="s">
        <v>105</v>
      </c>
    </row>
    <row r="52" spans="1:38" x14ac:dyDescent="0.3">
      <c r="A52">
        <v>2026</v>
      </c>
      <c r="B52" s="9">
        <v>46023</v>
      </c>
      <c r="C52" s="9">
        <v>46027</v>
      </c>
      <c r="D52" t="s">
        <v>193</v>
      </c>
      <c r="E52" t="s">
        <v>212</v>
      </c>
      <c r="F52" t="s">
        <v>4</v>
      </c>
      <c r="G52" t="s">
        <v>194</v>
      </c>
      <c r="H52" t="s">
        <v>6</v>
      </c>
      <c r="I52" t="s">
        <v>81</v>
      </c>
      <c r="J52">
        <v>1</v>
      </c>
      <c r="K52" t="s">
        <v>4</v>
      </c>
      <c r="L52" t="s">
        <v>4</v>
      </c>
      <c r="N52" t="s">
        <v>104</v>
      </c>
      <c r="O52" t="s">
        <v>86</v>
      </c>
      <c r="P52">
        <v>1</v>
      </c>
      <c r="Q52" t="s">
        <v>4</v>
      </c>
      <c r="R52" t="s">
        <v>4</v>
      </c>
      <c r="T52" t="s">
        <v>104</v>
      </c>
      <c r="U52" t="s">
        <v>91</v>
      </c>
      <c r="V52">
        <v>0</v>
      </c>
      <c r="W52">
        <v>0</v>
      </c>
      <c r="X52">
        <v>0</v>
      </c>
      <c r="Y52">
        <v>0</v>
      </c>
      <c r="Z52" t="s">
        <v>187</v>
      </c>
      <c r="AA52">
        <v>0</v>
      </c>
      <c r="AB52">
        <v>0</v>
      </c>
      <c r="AC52">
        <v>0</v>
      </c>
      <c r="AD52" t="s">
        <v>187</v>
      </c>
      <c r="AE52" t="s">
        <v>177</v>
      </c>
      <c r="AF52">
        <v>0</v>
      </c>
      <c r="AG52">
        <v>0</v>
      </c>
      <c r="AH52" t="s">
        <v>187</v>
      </c>
      <c r="AI52" t="s">
        <v>4</v>
      </c>
      <c r="AJ52" t="s">
        <v>4</v>
      </c>
      <c r="AK52" t="s">
        <v>4</v>
      </c>
      <c r="AL52" t="s">
        <v>105</v>
      </c>
    </row>
    <row r="53" spans="1:38" x14ac:dyDescent="0.3">
      <c r="A53">
        <v>2026</v>
      </c>
      <c r="B53" s="9">
        <v>46023</v>
      </c>
      <c r="C53" s="9">
        <v>46027</v>
      </c>
      <c r="D53" t="s">
        <v>193</v>
      </c>
      <c r="E53" t="s">
        <v>204</v>
      </c>
      <c r="F53" t="s">
        <v>4</v>
      </c>
      <c r="G53" t="s">
        <v>194</v>
      </c>
      <c r="H53" t="s">
        <v>6</v>
      </c>
      <c r="I53" t="s">
        <v>81</v>
      </c>
      <c r="J53">
        <v>1</v>
      </c>
      <c r="K53" t="s">
        <v>4</v>
      </c>
      <c r="L53" t="s">
        <v>4</v>
      </c>
      <c r="N53" t="s">
        <v>104</v>
      </c>
      <c r="O53" t="s">
        <v>86</v>
      </c>
      <c r="P53">
        <v>1</v>
      </c>
      <c r="Q53" t="s">
        <v>4</v>
      </c>
      <c r="R53" t="s">
        <v>4</v>
      </c>
      <c r="T53" t="s">
        <v>104</v>
      </c>
      <c r="U53" t="s">
        <v>91</v>
      </c>
      <c r="V53">
        <v>0</v>
      </c>
      <c r="W53">
        <v>0</v>
      </c>
      <c r="X53">
        <v>0</v>
      </c>
      <c r="Y53">
        <v>0</v>
      </c>
      <c r="Z53" t="s">
        <v>187</v>
      </c>
      <c r="AA53">
        <v>0</v>
      </c>
      <c r="AB53">
        <v>0</v>
      </c>
      <c r="AC53">
        <v>0</v>
      </c>
      <c r="AD53" t="s">
        <v>187</v>
      </c>
      <c r="AE53" t="s">
        <v>177</v>
      </c>
      <c r="AF53">
        <v>0</v>
      </c>
      <c r="AG53">
        <v>0</v>
      </c>
      <c r="AH53" t="s">
        <v>187</v>
      </c>
      <c r="AI53" t="s">
        <v>4</v>
      </c>
      <c r="AJ53" t="s">
        <v>4</v>
      </c>
      <c r="AK53" t="s">
        <v>4</v>
      </c>
      <c r="AL53" t="s">
        <v>105</v>
      </c>
    </row>
    <row r="54" spans="1:38" x14ac:dyDescent="0.3">
      <c r="A54">
        <v>2026</v>
      </c>
      <c r="B54" s="9">
        <v>46023</v>
      </c>
      <c r="C54" s="9">
        <v>46027</v>
      </c>
      <c r="D54" t="s">
        <v>195</v>
      </c>
      <c r="E54" t="s">
        <v>212</v>
      </c>
      <c r="F54" t="s">
        <v>4</v>
      </c>
      <c r="G54" t="s">
        <v>196</v>
      </c>
      <c r="H54" t="s">
        <v>6</v>
      </c>
      <c r="I54" t="s">
        <v>81</v>
      </c>
      <c r="J54">
        <v>1</v>
      </c>
      <c r="K54" t="s">
        <v>144</v>
      </c>
      <c r="L54" t="s">
        <v>144</v>
      </c>
      <c r="M54">
        <v>0</v>
      </c>
      <c r="N54" t="s">
        <v>4</v>
      </c>
      <c r="O54" t="s">
        <v>86</v>
      </c>
      <c r="P54">
        <v>1</v>
      </c>
      <c r="Q54" t="s">
        <v>144</v>
      </c>
      <c r="R54" t="s">
        <v>144</v>
      </c>
      <c r="S54">
        <v>0</v>
      </c>
      <c r="T54" t="s">
        <v>4</v>
      </c>
      <c r="U54" t="s">
        <v>91</v>
      </c>
      <c r="V54">
        <v>0</v>
      </c>
      <c r="W54">
        <v>0</v>
      </c>
      <c r="X54">
        <v>0</v>
      </c>
      <c r="Y54">
        <v>0</v>
      </c>
      <c r="Z54" t="s">
        <v>187</v>
      </c>
      <c r="AA54">
        <v>0</v>
      </c>
      <c r="AB54">
        <v>0</v>
      </c>
      <c r="AC54">
        <v>0</v>
      </c>
      <c r="AD54" t="s">
        <v>187</v>
      </c>
      <c r="AE54" t="s">
        <v>177</v>
      </c>
      <c r="AF54">
        <v>0</v>
      </c>
      <c r="AG54">
        <v>0</v>
      </c>
      <c r="AH54" t="s">
        <v>187</v>
      </c>
      <c r="AI54" t="s">
        <v>159</v>
      </c>
      <c r="AJ54" t="s">
        <v>159</v>
      </c>
      <c r="AK54" t="s">
        <v>159</v>
      </c>
      <c r="AL54" t="s">
        <v>105</v>
      </c>
    </row>
    <row r="55" spans="1:38" x14ac:dyDescent="0.3">
      <c r="A55">
        <v>2026</v>
      </c>
      <c r="B55" s="9">
        <v>46023</v>
      </c>
      <c r="C55" s="9">
        <v>46027</v>
      </c>
      <c r="D55" t="s">
        <v>195</v>
      </c>
      <c r="E55" t="s">
        <v>204</v>
      </c>
      <c r="F55" t="s">
        <v>4</v>
      </c>
      <c r="G55" t="s">
        <v>196</v>
      </c>
      <c r="H55" t="s">
        <v>6</v>
      </c>
      <c r="I55" t="s">
        <v>81</v>
      </c>
      <c r="J55">
        <v>1</v>
      </c>
      <c r="K55" t="s">
        <v>144</v>
      </c>
      <c r="L55" t="s">
        <v>144</v>
      </c>
      <c r="M55">
        <v>0</v>
      </c>
      <c r="N55" t="s">
        <v>4</v>
      </c>
      <c r="O55" t="s">
        <v>86</v>
      </c>
      <c r="P55">
        <v>1</v>
      </c>
      <c r="Q55" t="s">
        <v>144</v>
      </c>
      <c r="R55" t="s">
        <v>144</v>
      </c>
      <c r="S55">
        <v>0</v>
      </c>
      <c r="T55" t="s">
        <v>4</v>
      </c>
      <c r="U55" t="s">
        <v>91</v>
      </c>
      <c r="V55">
        <v>0</v>
      </c>
      <c r="W55">
        <v>0</v>
      </c>
      <c r="X55">
        <v>0</v>
      </c>
      <c r="Y55">
        <v>0</v>
      </c>
      <c r="Z55" t="s">
        <v>187</v>
      </c>
      <c r="AA55">
        <v>0</v>
      </c>
      <c r="AB55">
        <v>0</v>
      </c>
      <c r="AC55">
        <v>0</v>
      </c>
      <c r="AD55" t="s">
        <v>187</v>
      </c>
      <c r="AE55" t="s">
        <v>177</v>
      </c>
      <c r="AF55">
        <v>0</v>
      </c>
      <c r="AG55">
        <v>0</v>
      </c>
      <c r="AH55" t="s">
        <v>187</v>
      </c>
      <c r="AI55" t="s">
        <v>159</v>
      </c>
      <c r="AJ55" t="s">
        <v>159</v>
      </c>
      <c r="AK55" t="s">
        <v>159</v>
      </c>
      <c r="AL55" t="s">
        <v>105</v>
      </c>
    </row>
    <row r="56" spans="1:38" x14ac:dyDescent="0.3">
      <c r="A56">
        <v>2026</v>
      </c>
      <c r="B56" s="9">
        <v>46023</v>
      </c>
      <c r="C56" s="9">
        <v>46027</v>
      </c>
      <c r="D56" t="s">
        <v>199</v>
      </c>
      <c r="E56" t="s">
        <v>212</v>
      </c>
      <c r="F56" t="s">
        <v>4</v>
      </c>
      <c r="G56" t="s">
        <v>200</v>
      </c>
      <c r="H56" t="s">
        <v>7</v>
      </c>
      <c r="I56" t="s">
        <v>81</v>
      </c>
      <c r="J56">
        <v>1</v>
      </c>
      <c r="K56" t="s">
        <v>4</v>
      </c>
      <c r="L56" t="s">
        <v>4</v>
      </c>
      <c r="N56" t="s">
        <v>104</v>
      </c>
      <c r="O56" t="s">
        <v>86</v>
      </c>
      <c r="P56">
        <v>1</v>
      </c>
      <c r="Q56" t="s">
        <v>4</v>
      </c>
      <c r="R56" t="s">
        <v>4</v>
      </c>
      <c r="T56" t="s">
        <v>104</v>
      </c>
      <c r="U56" t="s">
        <v>91</v>
      </c>
      <c r="V56">
        <v>0</v>
      </c>
      <c r="W56">
        <v>0</v>
      </c>
      <c r="X56">
        <v>0</v>
      </c>
      <c r="Y56">
        <v>0</v>
      </c>
      <c r="Z56" t="s">
        <v>187</v>
      </c>
      <c r="AA56">
        <v>0</v>
      </c>
      <c r="AB56">
        <v>0</v>
      </c>
      <c r="AC56">
        <v>0</v>
      </c>
      <c r="AD56" t="s">
        <v>187</v>
      </c>
      <c r="AE56" t="s">
        <v>177</v>
      </c>
      <c r="AF56">
        <v>0</v>
      </c>
      <c r="AG56">
        <v>0</v>
      </c>
      <c r="AH56" t="s">
        <v>187</v>
      </c>
      <c r="AI56" t="s">
        <v>4</v>
      </c>
      <c r="AJ56" t="s">
        <v>4</v>
      </c>
      <c r="AK56" t="s">
        <v>4</v>
      </c>
      <c r="AL56" t="s">
        <v>105</v>
      </c>
    </row>
    <row r="57" spans="1:38" x14ac:dyDescent="0.3">
      <c r="A57">
        <v>2026</v>
      </c>
      <c r="B57" s="9">
        <v>46023</v>
      </c>
      <c r="C57" s="9">
        <v>46027</v>
      </c>
      <c r="D57" t="s">
        <v>199</v>
      </c>
      <c r="E57" t="s">
        <v>204</v>
      </c>
      <c r="F57" t="s">
        <v>4</v>
      </c>
      <c r="G57" t="s">
        <v>200</v>
      </c>
      <c r="H57" t="s">
        <v>7</v>
      </c>
      <c r="I57" t="s">
        <v>81</v>
      </c>
      <c r="J57">
        <v>1</v>
      </c>
      <c r="K57" t="s">
        <v>4</v>
      </c>
      <c r="L57" t="s">
        <v>4</v>
      </c>
      <c r="N57" t="s">
        <v>104</v>
      </c>
      <c r="O57" t="s">
        <v>86</v>
      </c>
      <c r="P57">
        <v>1</v>
      </c>
      <c r="Q57" t="s">
        <v>4</v>
      </c>
      <c r="R57" t="s">
        <v>4</v>
      </c>
      <c r="T57" t="s">
        <v>104</v>
      </c>
      <c r="U57" t="s">
        <v>91</v>
      </c>
      <c r="V57">
        <v>0</v>
      </c>
      <c r="W57">
        <v>0</v>
      </c>
      <c r="X57">
        <v>0</v>
      </c>
      <c r="Y57">
        <v>0</v>
      </c>
      <c r="Z57" t="s">
        <v>187</v>
      </c>
      <c r="AA57">
        <v>0</v>
      </c>
      <c r="AB57">
        <v>0</v>
      </c>
      <c r="AC57">
        <v>0</v>
      </c>
      <c r="AD57" t="s">
        <v>187</v>
      </c>
      <c r="AE57" t="s">
        <v>177</v>
      </c>
      <c r="AF57">
        <v>0</v>
      </c>
      <c r="AG57">
        <v>0</v>
      </c>
      <c r="AH57" t="s">
        <v>187</v>
      </c>
      <c r="AI57" t="s">
        <v>4</v>
      </c>
      <c r="AJ57" t="s">
        <v>4</v>
      </c>
      <c r="AK57" t="s">
        <v>4</v>
      </c>
      <c r="AL57" t="s">
        <v>105</v>
      </c>
    </row>
    <row r="58" spans="1:38" x14ac:dyDescent="0.3">
      <c r="A58">
        <v>2026</v>
      </c>
      <c r="B58" s="9">
        <v>46023</v>
      </c>
      <c r="C58" s="9">
        <v>46028</v>
      </c>
      <c r="D58" t="s">
        <v>189</v>
      </c>
      <c r="E58" t="s">
        <v>212</v>
      </c>
      <c r="F58" t="s">
        <v>4</v>
      </c>
      <c r="G58" t="s">
        <v>190</v>
      </c>
      <c r="H58" t="s">
        <v>5</v>
      </c>
      <c r="I58" t="s">
        <v>81</v>
      </c>
      <c r="J58">
        <v>1</v>
      </c>
      <c r="K58" t="s">
        <v>206</v>
      </c>
      <c r="L58" t="s">
        <v>207</v>
      </c>
      <c r="M58">
        <v>1</v>
      </c>
      <c r="N58" t="s">
        <v>4</v>
      </c>
      <c r="O58" t="s">
        <v>86</v>
      </c>
      <c r="P58">
        <v>1</v>
      </c>
      <c r="Q58" t="s">
        <v>208</v>
      </c>
      <c r="R58" t="s">
        <v>209</v>
      </c>
      <c r="S58">
        <v>1</v>
      </c>
      <c r="T58" t="s">
        <v>4</v>
      </c>
      <c r="U58" t="s">
        <v>91</v>
      </c>
      <c r="V58">
        <v>0</v>
      </c>
      <c r="W58">
        <v>0</v>
      </c>
      <c r="X58">
        <v>0</v>
      </c>
      <c r="Y58">
        <v>0</v>
      </c>
      <c r="Z58" t="s">
        <v>187</v>
      </c>
      <c r="AA58">
        <v>0</v>
      </c>
      <c r="AB58">
        <v>0</v>
      </c>
      <c r="AC58">
        <v>0</v>
      </c>
      <c r="AD58" t="s">
        <v>187</v>
      </c>
      <c r="AE58" t="s">
        <v>177</v>
      </c>
      <c r="AF58">
        <v>0</v>
      </c>
      <c r="AG58">
        <v>0</v>
      </c>
      <c r="AH58" t="s">
        <v>187</v>
      </c>
      <c r="AI58" t="s">
        <v>210</v>
      </c>
      <c r="AJ58" t="s">
        <v>211</v>
      </c>
      <c r="AK58" t="s">
        <v>159</v>
      </c>
      <c r="AL58" t="s">
        <v>105</v>
      </c>
    </row>
    <row r="59" spans="1:38" x14ac:dyDescent="0.3">
      <c r="A59">
        <v>2026</v>
      </c>
      <c r="B59" s="9">
        <v>46023</v>
      </c>
      <c r="C59" s="9">
        <v>46028</v>
      </c>
      <c r="D59" t="s">
        <v>189</v>
      </c>
      <c r="E59" t="s">
        <v>204</v>
      </c>
      <c r="F59" t="s">
        <v>4</v>
      </c>
      <c r="G59" t="s">
        <v>190</v>
      </c>
      <c r="H59" t="s">
        <v>5</v>
      </c>
      <c r="I59" t="s">
        <v>81</v>
      </c>
      <c r="J59">
        <v>1</v>
      </c>
      <c r="K59" t="s">
        <v>206</v>
      </c>
      <c r="L59" t="s">
        <v>207</v>
      </c>
      <c r="M59">
        <v>1</v>
      </c>
      <c r="N59" t="s">
        <v>4</v>
      </c>
      <c r="O59" t="s">
        <v>86</v>
      </c>
      <c r="P59">
        <v>1</v>
      </c>
      <c r="Q59" t="s">
        <v>208</v>
      </c>
      <c r="R59" t="s">
        <v>209</v>
      </c>
      <c r="S59">
        <v>1</v>
      </c>
      <c r="T59" t="s">
        <v>4</v>
      </c>
      <c r="U59" t="s">
        <v>91</v>
      </c>
      <c r="V59">
        <v>0</v>
      </c>
      <c r="W59">
        <v>0</v>
      </c>
      <c r="X59">
        <v>0</v>
      </c>
      <c r="Y59">
        <v>0</v>
      </c>
      <c r="Z59" t="s">
        <v>187</v>
      </c>
      <c r="AA59">
        <v>0</v>
      </c>
      <c r="AB59">
        <v>0</v>
      </c>
      <c r="AC59">
        <v>0</v>
      </c>
      <c r="AD59" t="s">
        <v>187</v>
      </c>
      <c r="AE59" t="s">
        <v>177</v>
      </c>
      <c r="AF59">
        <v>0</v>
      </c>
      <c r="AG59">
        <v>0</v>
      </c>
      <c r="AH59" t="s">
        <v>187</v>
      </c>
      <c r="AI59" t="s">
        <v>210</v>
      </c>
      <c r="AJ59" t="s">
        <v>211</v>
      </c>
      <c r="AK59" t="s">
        <v>159</v>
      </c>
      <c r="AL59" t="s">
        <v>105</v>
      </c>
    </row>
    <row r="60" spans="1:38" x14ac:dyDescent="0.3">
      <c r="A60">
        <v>2026</v>
      </c>
      <c r="B60" s="9">
        <v>46023</v>
      </c>
      <c r="C60" s="9">
        <v>46028</v>
      </c>
      <c r="D60" t="s">
        <v>191</v>
      </c>
      <c r="E60" t="s">
        <v>204</v>
      </c>
      <c r="F60" t="s">
        <v>226</v>
      </c>
      <c r="G60" t="s">
        <v>192</v>
      </c>
      <c r="H60" t="s">
        <v>5</v>
      </c>
      <c r="I60" t="s">
        <v>81</v>
      </c>
      <c r="J60">
        <v>1</v>
      </c>
      <c r="K60" t="s">
        <v>165</v>
      </c>
      <c r="L60" t="s">
        <v>165</v>
      </c>
      <c r="N60" t="s">
        <v>175</v>
      </c>
      <c r="O60" t="s">
        <v>86</v>
      </c>
      <c r="P60">
        <v>0</v>
      </c>
      <c r="Q60" t="s">
        <v>213</v>
      </c>
      <c r="R60" t="s">
        <v>214</v>
      </c>
      <c r="S60">
        <v>1</v>
      </c>
      <c r="T60" t="s">
        <v>175</v>
      </c>
      <c r="U60" t="s">
        <v>91</v>
      </c>
      <c r="V60">
        <v>0</v>
      </c>
      <c r="W60">
        <v>12</v>
      </c>
      <c r="X60">
        <v>6</v>
      </c>
      <c r="Y60">
        <v>12</v>
      </c>
      <c r="Z60" t="s">
        <v>187</v>
      </c>
      <c r="AA60">
        <v>12</v>
      </c>
      <c r="AB60">
        <v>0</v>
      </c>
      <c r="AC60">
        <v>0</v>
      </c>
      <c r="AD60" t="s">
        <v>187</v>
      </c>
      <c r="AE60" t="s">
        <v>159</v>
      </c>
      <c r="AF60">
        <v>0</v>
      </c>
      <c r="AG60">
        <v>0</v>
      </c>
      <c r="AH60" t="s">
        <v>187</v>
      </c>
      <c r="AI60" t="s">
        <v>215</v>
      </c>
      <c r="AJ60" t="s">
        <v>216</v>
      </c>
      <c r="AK60" t="s">
        <v>179</v>
      </c>
      <c r="AL60" t="s">
        <v>143</v>
      </c>
    </row>
    <row r="61" spans="1:38" x14ac:dyDescent="0.3">
      <c r="A61">
        <v>2026</v>
      </c>
      <c r="B61" s="9">
        <v>46023</v>
      </c>
      <c r="C61" s="9">
        <v>46028</v>
      </c>
      <c r="D61" t="s">
        <v>193</v>
      </c>
      <c r="E61" t="s">
        <v>212</v>
      </c>
      <c r="F61" t="s">
        <v>4</v>
      </c>
      <c r="G61" t="s">
        <v>194</v>
      </c>
      <c r="H61" t="s">
        <v>6</v>
      </c>
      <c r="I61" t="s">
        <v>81</v>
      </c>
      <c r="J61">
        <v>1</v>
      </c>
      <c r="K61" t="s">
        <v>4</v>
      </c>
      <c r="L61" t="s">
        <v>4</v>
      </c>
      <c r="N61" t="s">
        <v>104</v>
      </c>
      <c r="O61" t="s">
        <v>86</v>
      </c>
      <c r="P61">
        <v>1</v>
      </c>
      <c r="Q61" t="s">
        <v>4</v>
      </c>
      <c r="R61" t="s">
        <v>4</v>
      </c>
      <c r="T61" t="s">
        <v>104</v>
      </c>
      <c r="U61" t="s">
        <v>91</v>
      </c>
      <c r="V61">
        <v>0</v>
      </c>
      <c r="W61">
        <v>0</v>
      </c>
      <c r="X61">
        <v>0</v>
      </c>
      <c r="Y61">
        <v>0</v>
      </c>
      <c r="Z61" t="s">
        <v>187</v>
      </c>
      <c r="AA61">
        <v>0</v>
      </c>
      <c r="AB61">
        <v>0</v>
      </c>
      <c r="AC61">
        <v>0</v>
      </c>
      <c r="AD61" t="s">
        <v>187</v>
      </c>
      <c r="AE61" t="s">
        <v>177</v>
      </c>
      <c r="AF61">
        <v>0</v>
      </c>
      <c r="AG61">
        <v>0</v>
      </c>
      <c r="AH61" t="s">
        <v>187</v>
      </c>
      <c r="AI61" t="s">
        <v>4</v>
      </c>
      <c r="AJ61" t="s">
        <v>4</v>
      </c>
      <c r="AK61" t="s">
        <v>4</v>
      </c>
      <c r="AL61" t="s">
        <v>105</v>
      </c>
    </row>
    <row r="62" spans="1:38" x14ac:dyDescent="0.3">
      <c r="A62">
        <v>2026</v>
      </c>
      <c r="B62" s="9">
        <v>46023</v>
      </c>
      <c r="C62" s="9">
        <v>46028</v>
      </c>
      <c r="D62" t="s">
        <v>193</v>
      </c>
      <c r="E62" t="s">
        <v>204</v>
      </c>
      <c r="F62" t="s">
        <v>4</v>
      </c>
      <c r="G62" t="s">
        <v>194</v>
      </c>
      <c r="H62" t="s">
        <v>6</v>
      </c>
      <c r="I62" t="s">
        <v>81</v>
      </c>
      <c r="J62">
        <v>1</v>
      </c>
      <c r="K62" t="s">
        <v>4</v>
      </c>
      <c r="L62" t="s">
        <v>4</v>
      </c>
      <c r="N62" t="s">
        <v>104</v>
      </c>
      <c r="O62" t="s">
        <v>86</v>
      </c>
      <c r="P62">
        <v>1</v>
      </c>
      <c r="Q62" t="s">
        <v>4</v>
      </c>
      <c r="R62" t="s">
        <v>4</v>
      </c>
      <c r="T62" t="s">
        <v>104</v>
      </c>
      <c r="U62" t="s">
        <v>91</v>
      </c>
      <c r="V62">
        <v>0</v>
      </c>
      <c r="W62">
        <v>0</v>
      </c>
      <c r="X62">
        <v>0</v>
      </c>
      <c r="Y62">
        <v>0</v>
      </c>
      <c r="Z62" t="s">
        <v>187</v>
      </c>
      <c r="AA62">
        <v>0</v>
      </c>
      <c r="AB62">
        <v>0</v>
      </c>
      <c r="AC62">
        <v>0</v>
      </c>
      <c r="AD62" t="s">
        <v>187</v>
      </c>
      <c r="AE62" t="s">
        <v>177</v>
      </c>
      <c r="AF62">
        <v>0</v>
      </c>
      <c r="AG62">
        <v>0</v>
      </c>
      <c r="AH62" t="s">
        <v>187</v>
      </c>
      <c r="AI62" t="s">
        <v>4</v>
      </c>
      <c r="AJ62" t="s">
        <v>4</v>
      </c>
      <c r="AK62" t="s">
        <v>4</v>
      </c>
      <c r="AL62" t="s">
        <v>105</v>
      </c>
    </row>
    <row r="63" spans="1:38" x14ac:dyDescent="0.3">
      <c r="A63">
        <v>2026</v>
      </c>
      <c r="B63" s="9">
        <v>46023</v>
      </c>
      <c r="C63" s="9">
        <v>46028</v>
      </c>
      <c r="D63" t="s">
        <v>195</v>
      </c>
      <c r="E63" t="s">
        <v>212</v>
      </c>
      <c r="F63" t="s">
        <v>4</v>
      </c>
      <c r="G63" t="s">
        <v>196</v>
      </c>
      <c r="H63" t="s">
        <v>6</v>
      </c>
      <c r="I63" t="s">
        <v>81</v>
      </c>
      <c r="J63">
        <v>1</v>
      </c>
      <c r="K63" t="s">
        <v>144</v>
      </c>
      <c r="L63" t="s">
        <v>144</v>
      </c>
      <c r="M63">
        <v>0</v>
      </c>
      <c r="N63" t="s">
        <v>4</v>
      </c>
      <c r="O63" t="s">
        <v>86</v>
      </c>
      <c r="P63">
        <v>1</v>
      </c>
      <c r="Q63" t="s">
        <v>144</v>
      </c>
      <c r="R63" t="s">
        <v>144</v>
      </c>
      <c r="S63">
        <v>0</v>
      </c>
      <c r="T63" t="s">
        <v>4</v>
      </c>
      <c r="U63" t="s">
        <v>91</v>
      </c>
      <c r="V63">
        <v>0</v>
      </c>
      <c r="W63">
        <v>0</v>
      </c>
      <c r="X63">
        <v>0</v>
      </c>
      <c r="Y63">
        <v>0</v>
      </c>
      <c r="Z63" t="s">
        <v>187</v>
      </c>
      <c r="AA63">
        <v>0</v>
      </c>
      <c r="AB63">
        <v>0</v>
      </c>
      <c r="AC63">
        <v>0</v>
      </c>
      <c r="AD63" t="s">
        <v>187</v>
      </c>
      <c r="AE63" t="s">
        <v>177</v>
      </c>
      <c r="AF63">
        <v>0</v>
      </c>
      <c r="AG63">
        <v>0</v>
      </c>
      <c r="AH63" t="s">
        <v>187</v>
      </c>
      <c r="AI63" t="s">
        <v>159</v>
      </c>
      <c r="AJ63" t="s">
        <v>159</v>
      </c>
      <c r="AK63" t="s">
        <v>159</v>
      </c>
      <c r="AL63" t="s">
        <v>105</v>
      </c>
    </row>
    <row r="64" spans="1:38" x14ac:dyDescent="0.3">
      <c r="A64">
        <v>2026</v>
      </c>
      <c r="B64" s="9">
        <v>46023</v>
      </c>
      <c r="C64" s="9">
        <v>46028</v>
      </c>
      <c r="D64" t="s">
        <v>195</v>
      </c>
      <c r="E64" t="s">
        <v>204</v>
      </c>
      <c r="F64" t="s">
        <v>4</v>
      </c>
      <c r="G64" t="s">
        <v>196</v>
      </c>
      <c r="H64" t="s">
        <v>6</v>
      </c>
      <c r="I64" t="s">
        <v>81</v>
      </c>
      <c r="J64">
        <v>1</v>
      </c>
      <c r="K64" t="s">
        <v>144</v>
      </c>
      <c r="L64" t="s">
        <v>144</v>
      </c>
      <c r="M64">
        <v>0</v>
      </c>
      <c r="N64" t="s">
        <v>4</v>
      </c>
      <c r="O64" t="s">
        <v>86</v>
      </c>
      <c r="P64">
        <v>1</v>
      </c>
      <c r="Q64" t="s">
        <v>144</v>
      </c>
      <c r="R64" t="s">
        <v>144</v>
      </c>
      <c r="S64">
        <v>0</v>
      </c>
      <c r="T64" t="s">
        <v>4</v>
      </c>
      <c r="U64" t="s">
        <v>91</v>
      </c>
      <c r="V64">
        <v>0</v>
      </c>
      <c r="W64">
        <v>0</v>
      </c>
      <c r="X64">
        <v>0</v>
      </c>
      <c r="Y64">
        <v>0</v>
      </c>
      <c r="Z64" t="s">
        <v>187</v>
      </c>
      <c r="AA64">
        <v>0</v>
      </c>
      <c r="AB64">
        <v>0</v>
      </c>
      <c r="AC64">
        <v>0</v>
      </c>
      <c r="AD64" t="s">
        <v>187</v>
      </c>
      <c r="AE64" t="s">
        <v>177</v>
      </c>
      <c r="AF64">
        <v>0</v>
      </c>
      <c r="AG64">
        <v>0</v>
      </c>
      <c r="AH64" t="s">
        <v>187</v>
      </c>
      <c r="AI64" t="s">
        <v>159</v>
      </c>
      <c r="AJ64" t="s">
        <v>159</v>
      </c>
      <c r="AK64" t="s">
        <v>159</v>
      </c>
      <c r="AL64" t="s">
        <v>105</v>
      </c>
    </row>
    <row r="65" spans="1:38" x14ac:dyDescent="0.3">
      <c r="A65">
        <v>2026</v>
      </c>
      <c r="B65" s="9">
        <v>46023</v>
      </c>
      <c r="C65" s="9">
        <v>46028</v>
      </c>
      <c r="D65" t="s">
        <v>197</v>
      </c>
      <c r="E65" t="s">
        <v>212</v>
      </c>
      <c r="F65" t="s">
        <v>4</v>
      </c>
      <c r="G65" t="s">
        <v>198</v>
      </c>
      <c r="H65" t="s">
        <v>7</v>
      </c>
      <c r="I65" t="s">
        <v>81</v>
      </c>
      <c r="J65">
        <v>1</v>
      </c>
      <c r="K65" t="s">
        <v>217</v>
      </c>
      <c r="L65" t="s">
        <v>218</v>
      </c>
      <c r="M65">
        <v>1</v>
      </c>
      <c r="N65" t="s">
        <v>4</v>
      </c>
      <c r="O65" t="s">
        <v>86</v>
      </c>
      <c r="P65">
        <v>1</v>
      </c>
      <c r="Q65" t="s">
        <v>219</v>
      </c>
      <c r="R65" t="s">
        <v>220</v>
      </c>
      <c r="S65">
        <v>1</v>
      </c>
      <c r="T65" t="s">
        <v>4</v>
      </c>
      <c r="U65" t="s">
        <v>91</v>
      </c>
      <c r="V65">
        <v>0</v>
      </c>
      <c r="W65">
        <v>0</v>
      </c>
      <c r="X65">
        <v>0</v>
      </c>
      <c r="Y65">
        <v>0</v>
      </c>
      <c r="Z65" t="s">
        <v>187</v>
      </c>
      <c r="AA65">
        <v>0</v>
      </c>
      <c r="AB65">
        <v>0</v>
      </c>
      <c r="AC65">
        <v>0</v>
      </c>
      <c r="AD65" t="s">
        <v>187</v>
      </c>
      <c r="AE65" t="s">
        <v>177</v>
      </c>
      <c r="AF65">
        <v>0</v>
      </c>
      <c r="AG65">
        <v>0</v>
      </c>
      <c r="AH65" t="s">
        <v>187</v>
      </c>
      <c r="AI65" t="s">
        <v>221</v>
      </c>
      <c r="AJ65" t="s">
        <v>222</v>
      </c>
      <c r="AK65" t="s">
        <v>223</v>
      </c>
      <c r="AL65" t="s">
        <v>105</v>
      </c>
    </row>
    <row r="66" spans="1:38" x14ac:dyDescent="0.3">
      <c r="A66">
        <v>2026</v>
      </c>
      <c r="B66" s="9">
        <v>46023</v>
      </c>
      <c r="C66" s="9">
        <v>46028</v>
      </c>
      <c r="D66" t="s">
        <v>197</v>
      </c>
      <c r="E66" t="s">
        <v>204</v>
      </c>
      <c r="F66" t="s">
        <v>4</v>
      </c>
      <c r="G66" t="s">
        <v>198</v>
      </c>
      <c r="H66" t="s">
        <v>7</v>
      </c>
      <c r="I66" t="s">
        <v>81</v>
      </c>
      <c r="J66">
        <v>1</v>
      </c>
      <c r="K66" t="s">
        <v>217</v>
      </c>
      <c r="L66" t="s">
        <v>218</v>
      </c>
      <c r="M66">
        <v>1</v>
      </c>
      <c r="N66" t="s">
        <v>4</v>
      </c>
      <c r="O66" t="s">
        <v>86</v>
      </c>
      <c r="P66">
        <v>1</v>
      </c>
      <c r="Q66" t="s">
        <v>219</v>
      </c>
      <c r="R66" t="s">
        <v>220</v>
      </c>
      <c r="S66">
        <v>1</v>
      </c>
      <c r="T66" t="s">
        <v>4</v>
      </c>
      <c r="U66" t="s">
        <v>91</v>
      </c>
      <c r="V66">
        <v>0</v>
      </c>
      <c r="W66">
        <v>0</v>
      </c>
      <c r="X66">
        <v>0</v>
      </c>
      <c r="Y66">
        <v>0</v>
      </c>
      <c r="Z66" t="s">
        <v>187</v>
      </c>
      <c r="AA66">
        <v>0</v>
      </c>
      <c r="AB66">
        <v>0</v>
      </c>
      <c r="AC66">
        <v>0</v>
      </c>
      <c r="AD66" t="s">
        <v>187</v>
      </c>
      <c r="AE66" t="s">
        <v>177</v>
      </c>
      <c r="AF66">
        <v>0</v>
      </c>
      <c r="AG66">
        <v>0</v>
      </c>
      <c r="AH66" t="s">
        <v>187</v>
      </c>
      <c r="AI66" t="s">
        <v>221</v>
      </c>
      <c r="AJ66" t="s">
        <v>222</v>
      </c>
      <c r="AK66" t="s">
        <v>223</v>
      </c>
      <c r="AL66" t="s">
        <v>105</v>
      </c>
    </row>
    <row r="67" spans="1:38" x14ac:dyDescent="0.3">
      <c r="A67">
        <v>2026</v>
      </c>
      <c r="B67" s="9">
        <v>46023</v>
      </c>
      <c r="C67" s="9">
        <v>46028</v>
      </c>
      <c r="D67" t="s">
        <v>199</v>
      </c>
      <c r="E67" t="s">
        <v>212</v>
      </c>
      <c r="F67" t="s">
        <v>4</v>
      </c>
      <c r="G67" t="s">
        <v>200</v>
      </c>
      <c r="H67" t="s">
        <v>7</v>
      </c>
      <c r="I67" t="s">
        <v>81</v>
      </c>
      <c r="J67">
        <v>1</v>
      </c>
      <c r="K67" t="s">
        <v>4</v>
      </c>
      <c r="L67" t="s">
        <v>4</v>
      </c>
      <c r="N67" t="s">
        <v>104</v>
      </c>
      <c r="O67" t="s">
        <v>86</v>
      </c>
      <c r="P67">
        <v>1</v>
      </c>
      <c r="Q67" t="s">
        <v>4</v>
      </c>
      <c r="R67" t="s">
        <v>4</v>
      </c>
      <c r="T67" t="s">
        <v>104</v>
      </c>
      <c r="U67" t="s">
        <v>91</v>
      </c>
      <c r="V67">
        <v>0</v>
      </c>
      <c r="W67">
        <v>0</v>
      </c>
      <c r="X67">
        <v>0</v>
      </c>
      <c r="Y67">
        <v>0</v>
      </c>
      <c r="Z67" t="s">
        <v>187</v>
      </c>
      <c r="AA67">
        <v>0</v>
      </c>
      <c r="AB67">
        <v>0</v>
      </c>
      <c r="AC67">
        <v>0</v>
      </c>
      <c r="AD67" t="s">
        <v>187</v>
      </c>
      <c r="AE67" t="s">
        <v>177</v>
      </c>
      <c r="AF67">
        <v>0</v>
      </c>
      <c r="AG67">
        <v>0</v>
      </c>
      <c r="AH67" t="s">
        <v>187</v>
      </c>
      <c r="AI67" t="s">
        <v>4</v>
      </c>
      <c r="AJ67" t="s">
        <v>4</v>
      </c>
      <c r="AK67" t="s">
        <v>4</v>
      </c>
      <c r="AL67" t="s">
        <v>105</v>
      </c>
    </row>
    <row r="68" spans="1:38" x14ac:dyDescent="0.3">
      <c r="A68">
        <v>2026</v>
      </c>
      <c r="B68" s="9">
        <v>46023</v>
      </c>
      <c r="C68" s="9">
        <v>46028</v>
      </c>
      <c r="D68" t="s">
        <v>199</v>
      </c>
      <c r="E68" t="s">
        <v>204</v>
      </c>
      <c r="F68" t="s">
        <v>4</v>
      </c>
      <c r="G68" t="s">
        <v>200</v>
      </c>
      <c r="H68" t="s">
        <v>7</v>
      </c>
      <c r="I68" t="s">
        <v>81</v>
      </c>
      <c r="J68">
        <v>1</v>
      </c>
      <c r="K68" t="s">
        <v>4</v>
      </c>
      <c r="L68" t="s">
        <v>4</v>
      </c>
      <c r="N68" t="s">
        <v>104</v>
      </c>
      <c r="O68" t="s">
        <v>86</v>
      </c>
      <c r="P68">
        <v>1</v>
      </c>
      <c r="Q68" t="s">
        <v>4</v>
      </c>
      <c r="R68" t="s">
        <v>4</v>
      </c>
      <c r="T68" t="s">
        <v>104</v>
      </c>
      <c r="U68" t="s">
        <v>91</v>
      </c>
      <c r="V68">
        <v>0</v>
      </c>
      <c r="W68">
        <v>0</v>
      </c>
      <c r="X68">
        <v>0</v>
      </c>
      <c r="Y68">
        <v>0</v>
      </c>
      <c r="Z68" t="s">
        <v>187</v>
      </c>
      <c r="AA68">
        <v>0</v>
      </c>
      <c r="AB68">
        <v>0</v>
      </c>
      <c r="AC68">
        <v>0</v>
      </c>
      <c r="AD68" t="s">
        <v>187</v>
      </c>
      <c r="AE68" t="s">
        <v>177</v>
      </c>
      <c r="AF68">
        <v>0</v>
      </c>
      <c r="AG68">
        <v>0</v>
      </c>
      <c r="AH68" t="s">
        <v>187</v>
      </c>
      <c r="AI68" t="s">
        <v>4</v>
      </c>
      <c r="AJ68" t="s">
        <v>4</v>
      </c>
      <c r="AK68" t="s">
        <v>4</v>
      </c>
      <c r="AL68" t="s">
        <v>105</v>
      </c>
    </row>
    <row r="69" spans="1:38" x14ac:dyDescent="0.3">
      <c r="A69">
        <v>2026</v>
      </c>
      <c r="B69" s="9">
        <v>46023</v>
      </c>
      <c r="C69" s="9">
        <v>46023</v>
      </c>
      <c r="D69" t="s">
        <v>189</v>
      </c>
      <c r="E69" t="s">
        <v>212</v>
      </c>
      <c r="F69" t="s">
        <v>227</v>
      </c>
      <c r="G69" t="s">
        <v>190</v>
      </c>
      <c r="H69" t="s">
        <v>5</v>
      </c>
      <c r="I69" t="s">
        <v>81</v>
      </c>
      <c r="J69">
        <v>1</v>
      </c>
      <c r="K69" t="s">
        <v>206</v>
      </c>
      <c r="L69" t="s">
        <v>207</v>
      </c>
      <c r="M69">
        <v>1</v>
      </c>
      <c r="N69" t="s">
        <v>4</v>
      </c>
      <c r="O69" t="s">
        <v>86</v>
      </c>
      <c r="P69">
        <v>1</v>
      </c>
      <c r="Q69" t="s">
        <v>208</v>
      </c>
      <c r="R69" t="s">
        <v>209</v>
      </c>
      <c r="S69">
        <v>1</v>
      </c>
      <c r="T69" t="s">
        <v>167</v>
      </c>
      <c r="U69" t="s">
        <v>91</v>
      </c>
      <c r="V69">
        <v>4</v>
      </c>
      <c r="W69">
        <v>6</v>
      </c>
      <c r="X69">
        <v>5</v>
      </c>
      <c r="Y69">
        <v>12</v>
      </c>
      <c r="Z69" t="s">
        <v>187</v>
      </c>
      <c r="AA69">
        <v>10</v>
      </c>
      <c r="AB69">
        <v>0</v>
      </c>
      <c r="AC69">
        <v>2</v>
      </c>
      <c r="AD69" t="s">
        <v>187</v>
      </c>
      <c r="AE69" t="s">
        <v>146</v>
      </c>
      <c r="AF69">
        <v>0</v>
      </c>
      <c r="AG69">
        <v>2</v>
      </c>
      <c r="AH69" t="s">
        <v>188</v>
      </c>
      <c r="AI69" t="s">
        <v>210</v>
      </c>
      <c r="AJ69" t="s">
        <v>211</v>
      </c>
      <c r="AK69" t="s">
        <v>159</v>
      </c>
      <c r="AL69" t="s">
        <v>143</v>
      </c>
    </row>
    <row r="70" spans="1:38" x14ac:dyDescent="0.3">
      <c r="A70">
        <v>2026</v>
      </c>
      <c r="B70" s="9">
        <v>46023</v>
      </c>
      <c r="C70" s="9">
        <v>46025</v>
      </c>
      <c r="D70" t="s">
        <v>189</v>
      </c>
      <c r="E70" t="s">
        <v>212</v>
      </c>
      <c r="F70" t="s">
        <v>227</v>
      </c>
      <c r="G70" t="s">
        <v>190</v>
      </c>
      <c r="H70" t="s">
        <v>5</v>
      </c>
      <c r="I70" t="s">
        <v>81</v>
      </c>
      <c r="J70">
        <v>1</v>
      </c>
      <c r="K70" t="s">
        <v>206</v>
      </c>
      <c r="L70" t="s">
        <v>207</v>
      </c>
      <c r="M70">
        <v>1</v>
      </c>
      <c r="N70" t="s">
        <v>4</v>
      </c>
      <c r="O70" t="s">
        <v>86</v>
      </c>
      <c r="P70">
        <v>1</v>
      </c>
      <c r="Q70" t="s">
        <v>208</v>
      </c>
      <c r="R70" t="s">
        <v>209</v>
      </c>
      <c r="S70">
        <v>1</v>
      </c>
      <c r="T70" t="s">
        <v>4</v>
      </c>
      <c r="U70" t="s">
        <v>91</v>
      </c>
      <c r="V70">
        <v>0</v>
      </c>
      <c r="W70">
        <v>0</v>
      </c>
      <c r="X70">
        <v>0</v>
      </c>
      <c r="Y70">
        <v>12</v>
      </c>
      <c r="Z70" t="s">
        <v>187</v>
      </c>
      <c r="AA70">
        <v>0</v>
      </c>
      <c r="AB70">
        <v>0</v>
      </c>
      <c r="AC70">
        <v>12</v>
      </c>
      <c r="AD70" t="s">
        <v>187</v>
      </c>
      <c r="AE70" t="s">
        <v>177</v>
      </c>
      <c r="AF70">
        <v>0</v>
      </c>
      <c r="AG70">
        <v>12</v>
      </c>
      <c r="AH70" t="s">
        <v>188</v>
      </c>
      <c r="AI70" t="s">
        <v>210</v>
      </c>
      <c r="AJ70" t="s">
        <v>211</v>
      </c>
      <c r="AK70" t="s">
        <v>159</v>
      </c>
      <c r="AL70" t="s">
        <v>105</v>
      </c>
    </row>
    <row r="71" spans="1:38" x14ac:dyDescent="0.3">
      <c r="A71">
        <v>2026</v>
      </c>
      <c r="B71" s="9">
        <v>46023</v>
      </c>
      <c r="C71" s="9">
        <v>46027</v>
      </c>
      <c r="D71" t="s">
        <v>197</v>
      </c>
      <c r="E71" t="s">
        <v>212</v>
      </c>
      <c r="F71" t="s">
        <v>228</v>
      </c>
      <c r="G71" t="s">
        <v>198</v>
      </c>
      <c r="H71" t="s">
        <v>7</v>
      </c>
      <c r="I71" t="s">
        <v>81</v>
      </c>
      <c r="J71">
        <v>1</v>
      </c>
      <c r="K71" t="s">
        <v>217</v>
      </c>
      <c r="L71" t="s">
        <v>218</v>
      </c>
      <c r="M71">
        <v>1</v>
      </c>
      <c r="N71" t="s">
        <v>4</v>
      </c>
      <c r="O71" t="s">
        <v>86</v>
      </c>
      <c r="P71">
        <v>1</v>
      </c>
      <c r="Q71" t="s">
        <v>219</v>
      </c>
      <c r="R71" t="s">
        <v>220</v>
      </c>
      <c r="S71">
        <v>1</v>
      </c>
      <c r="T71" t="s">
        <v>175</v>
      </c>
      <c r="U71" t="s">
        <v>91</v>
      </c>
      <c r="V71">
        <v>0</v>
      </c>
      <c r="W71">
        <v>9</v>
      </c>
      <c r="X71">
        <v>4</v>
      </c>
      <c r="Y71">
        <v>12</v>
      </c>
      <c r="Z71" t="s">
        <v>187</v>
      </c>
      <c r="AA71">
        <v>9</v>
      </c>
      <c r="AB71">
        <v>0</v>
      </c>
      <c r="AC71">
        <v>3</v>
      </c>
      <c r="AD71" t="s">
        <v>187</v>
      </c>
      <c r="AE71" t="s">
        <v>229</v>
      </c>
      <c r="AF71">
        <v>0</v>
      </c>
      <c r="AG71">
        <v>3</v>
      </c>
      <c r="AH71" t="s">
        <v>188</v>
      </c>
      <c r="AI71" t="s">
        <v>221</v>
      </c>
      <c r="AJ71" t="s">
        <v>222</v>
      </c>
      <c r="AK71" t="s">
        <v>223</v>
      </c>
      <c r="AL71" t="s">
        <v>142</v>
      </c>
    </row>
    <row r="72" spans="1:38" x14ac:dyDescent="0.3">
      <c r="A72">
        <v>2026</v>
      </c>
      <c r="B72" s="9">
        <v>46023</v>
      </c>
      <c r="C72" s="9">
        <v>46027</v>
      </c>
      <c r="D72" t="s">
        <v>197</v>
      </c>
      <c r="E72" t="s">
        <v>204</v>
      </c>
      <c r="F72" t="s">
        <v>230</v>
      </c>
      <c r="G72" t="s">
        <v>198</v>
      </c>
      <c r="H72" t="s">
        <v>7</v>
      </c>
      <c r="I72" t="s">
        <v>81</v>
      </c>
      <c r="J72">
        <v>1</v>
      </c>
      <c r="K72" t="s">
        <v>217</v>
      </c>
      <c r="L72" t="s">
        <v>218</v>
      </c>
      <c r="M72">
        <v>1</v>
      </c>
      <c r="N72" t="s">
        <v>104</v>
      </c>
      <c r="O72" t="s">
        <v>86</v>
      </c>
      <c r="P72">
        <v>1</v>
      </c>
      <c r="Q72" t="s">
        <v>219</v>
      </c>
      <c r="R72" t="s">
        <v>220</v>
      </c>
      <c r="S72">
        <v>1</v>
      </c>
      <c r="T72" t="s">
        <v>4</v>
      </c>
      <c r="U72" t="s">
        <v>91</v>
      </c>
      <c r="V72">
        <v>2</v>
      </c>
      <c r="W72">
        <v>7</v>
      </c>
      <c r="X72">
        <v>4</v>
      </c>
      <c r="Y72">
        <v>12</v>
      </c>
      <c r="Z72" t="s">
        <v>187</v>
      </c>
      <c r="AA72">
        <v>9</v>
      </c>
      <c r="AB72">
        <v>0</v>
      </c>
      <c r="AC72">
        <v>3</v>
      </c>
      <c r="AD72" t="s">
        <v>187</v>
      </c>
      <c r="AE72" t="s">
        <v>179</v>
      </c>
      <c r="AF72">
        <v>0</v>
      </c>
      <c r="AG72">
        <v>3</v>
      </c>
      <c r="AH72" t="s">
        <v>188</v>
      </c>
      <c r="AI72" t="s">
        <v>221</v>
      </c>
      <c r="AJ72" t="s">
        <v>222</v>
      </c>
      <c r="AK72" t="s">
        <v>223</v>
      </c>
      <c r="AL72" t="s">
        <v>142</v>
      </c>
    </row>
    <row r="73" spans="1:38" x14ac:dyDescent="0.3">
      <c r="A73">
        <v>2026</v>
      </c>
      <c r="B73" s="9">
        <v>46023</v>
      </c>
      <c r="C73" s="9">
        <v>46028</v>
      </c>
      <c r="D73" t="s">
        <v>191</v>
      </c>
      <c r="E73" t="s">
        <v>212</v>
      </c>
      <c r="F73" t="s">
        <v>231</v>
      </c>
      <c r="G73" t="s">
        <v>192</v>
      </c>
      <c r="H73" t="s">
        <v>5</v>
      </c>
      <c r="I73" t="s">
        <v>81</v>
      </c>
      <c r="J73">
        <v>1</v>
      </c>
      <c r="K73" t="s">
        <v>165</v>
      </c>
      <c r="L73" t="s">
        <v>165</v>
      </c>
      <c r="N73" t="s">
        <v>175</v>
      </c>
      <c r="O73" t="s">
        <v>86</v>
      </c>
      <c r="P73">
        <v>1</v>
      </c>
      <c r="Q73" t="s">
        <v>213</v>
      </c>
      <c r="R73" t="s">
        <v>214</v>
      </c>
      <c r="S73">
        <v>1</v>
      </c>
      <c r="T73" t="s">
        <v>4</v>
      </c>
      <c r="U73" t="s">
        <v>91</v>
      </c>
      <c r="V73">
        <v>0</v>
      </c>
      <c r="W73">
        <v>10</v>
      </c>
      <c r="X73">
        <v>5</v>
      </c>
      <c r="Y73">
        <v>12</v>
      </c>
      <c r="Z73" t="s">
        <v>187</v>
      </c>
      <c r="AA73">
        <v>10</v>
      </c>
      <c r="AB73">
        <v>0</v>
      </c>
      <c r="AC73">
        <v>2</v>
      </c>
      <c r="AD73" t="s">
        <v>187</v>
      </c>
      <c r="AE73" t="s">
        <v>146</v>
      </c>
      <c r="AF73">
        <v>0</v>
      </c>
      <c r="AG73">
        <v>2</v>
      </c>
      <c r="AH73" t="s">
        <v>188</v>
      </c>
      <c r="AI73" t="s">
        <v>215</v>
      </c>
      <c r="AJ73" t="s">
        <v>216</v>
      </c>
      <c r="AK73" t="s">
        <v>179</v>
      </c>
      <c r="AL73" t="s">
        <v>141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CE43-9695-432D-A312-FEBB4F5C8C0F}">
  <dimension ref="A1:Z7"/>
  <sheetViews>
    <sheetView topLeftCell="L1" workbookViewId="0">
      <selection activeCell="I934" sqref="I934"/>
    </sheetView>
  </sheetViews>
  <sheetFormatPr defaultRowHeight="14.4" x14ac:dyDescent="0.3"/>
  <cols>
    <col min="1" max="1" width="19" bestFit="1" customWidth="1"/>
    <col min="2" max="2" width="23.6640625" bestFit="1" customWidth="1"/>
    <col min="3" max="3" width="20.21875" bestFit="1" customWidth="1"/>
    <col min="4" max="6" width="18.6640625" bestFit="1" customWidth="1"/>
    <col min="7" max="7" width="16.6640625" bestFit="1" customWidth="1"/>
    <col min="8" max="8" width="27.44140625" bestFit="1" customWidth="1"/>
    <col min="9" max="9" width="9.77734375" bestFit="1" customWidth="1"/>
    <col min="10" max="10" width="19.6640625" bestFit="1" customWidth="1"/>
    <col min="11" max="11" width="18.6640625" bestFit="1" customWidth="1"/>
    <col min="12" max="12" width="19.6640625" bestFit="1" customWidth="1"/>
    <col min="13" max="13" width="25.5546875" bestFit="1" customWidth="1"/>
    <col min="14" max="14" width="28.33203125" bestFit="1" customWidth="1"/>
    <col min="15" max="16" width="19.6640625" style="34" bestFit="1" customWidth="1"/>
    <col min="17" max="17" width="13" style="33" bestFit="1" customWidth="1"/>
    <col min="18" max="18" width="31.21875" bestFit="1" customWidth="1"/>
    <col min="19" max="20" width="19.6640625" style="33" bestFit="1" customWidth="1"/>
    <col min="21" max="21" width="15" style="33" bestFit="1" customWidth="1"/>
    <col min="22" max="22" width="9.109375" bestFit="1" customWidth="1"/>
    <col min="23" max="23" width="24.21875" style="29" bestFit="1" customWidth="1"/>
    <col min="24" max="26" width="18.6640625" style="29" bestFit="1" customWidth="1"/>
  </cols>
  <sheetData>
    <row r="1" spans="1:26" x14ac:dyDescent="0.3">
      <c r="A1" t="s">
        <v>106</v>
      </c>
      <c r="B1" t="s">
        <v>50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70</v>
      </c>
      <c r="K1" t="s">
        <v>114</v>
      </c>
      <c r="L1" t="s">
        <v>115</v>
      </c>
      <c r="M1" t="s">
        <v>116</v>
      </c>
      <c r="N1" t="s">
        <v>81</v>
      </c>
      <c r="O1" s="34" t="s">
        <v>117</v>
      </c>
      <c r="P1" s="34" t="s">
        <v>118</v>
      </c>
      <c r="Q1" s="33" t="s">
        <v>119</v>
      </c>
      <c r="R1" t="s">
        <v>86</v>
      </c>
      <c r="S1" s="33" t="s">
        <v>120</v>
      </c>
      <c r="T1" s="33" t="s">
        <v>121</v>
      </c>
      <c r="U1" s="33" t="s">
        <v>122</v>
      </c>
      <c r="V1" t="s">
        <v>91</v>
      </c>
      <c r="W1" s="29" t="s">
        <v>94</v>
      </c>
      <c r="X1" s="29" t="s">
        <v>123</v>
      </c>
      <c r="Y1" s="29" t="s">
        <v>124</v>
      </c>
      <c r="Z1" s="29" t="s">
        <v>125</v>
      </c>
    </row>
    <row r="2" spans="1:26" x14ac:dyDescent="0.3">
      <c r="A2" t="s">
        <v>190</v>
      </c>
      <c r="B2" t="s">
        <v>5</v>
      </c>
      <c r="C2" t="s">
        <v>210</v>
      </c>
      <c r="D2" t="s">
        <v>180</v>
      </c>
      <c r="E2" t="s">
        <v>164</v>
      </c>
      <c r="F2" t="s">
        <v>159</v>
      </c>
      <c r="G2">
        <v>12</v>
      </c>
      <c r="H2">
        <v>10</v>
      </c>
      <c r="I2" t="s">
        <v>79</v>
      </c>
      <c r="J2" t="s">
        <v>232</v>
      </c>
      <c r="K2" t="s">
        <v>233</v>
      </c>
      <c r="L2" t="s">
        <v>234</v>
      </c>
      <c r="M2" t="s">
        <v>235</v>
      </c>
      <c r="N2" t="s">
        <v>81</v>
      </c>
      <c r="O2" s="34" t="s">
        <v>206</v>
      </c>
      <c r="P2" s="34" t="s">
        <v>207</v>
      </c>
      <c r="Q2" s="33">
        <v>1</v>
      </c>
      <c r="R2" t="s">
        <v>86</v>
      </c>
      <c r="S2" s="33" t="s">
        <v>208</v>
      </c>
      <c r="T2" s="33" t="s">
        <v>209</v>
      </c>
      <c r="U2" s="33">
        <v>1</v>
      </c>
      <c r="V2" t="s">
        <v>91</v>
      </c>
      <c r="W2" s="29" t="s">
        <v>236</v>
      </c>
      <c r="X2" s="29" t="s">
        <v>210</v>
      </c>
      <c r="Y2" s="29" t="s">
        <v>211</v>
      </c>
      <c r="Z2" s="29" t="s">
        <v>159</v>
      </c>
    </row>
    <row r="3" spans="1:26" x14ac:dyDescent="0.3">
      <c r="A3" t="s">
        <v>192</v>
      </c>
      <c r="B3" t="s">
        <v>5</v>
      </c>
      <c r="C3" t="s">
        <v>210</v>
      </c>
      <c r="D3" t="s">
        <v>178</v>
      </c>
      <c r="E3" t="s">
        <v>237</v>
      </c>
      <c r="F3" t="s">
        <v>238</v>
      </c>
      <c r="G3">
        <v>9</v>
      </c>
      <c r="H3">
        <v>5</v>
      </c>
      <c r="I3" t="s">
        <v>79</v>
      </c>
      <c r="J3" t="s">
        <v>239</v>
      </c>
      <c r="K3" t="s">
        <v>240</v>
      </c>
      <c r="L3" t="s">
        <v>241</v>
      </c>
      <c r="M3" t="s">
        <v>242</v>
      </c>
      <c r="N3" t="s">
        <v>81</v>
      </c>
      <c r="O3" s="34" t="s">
        <v>165</v>
      </c>
      <c r="P3" s="34" t="s">
        <v>165</v>
      </c>
      <c r="R3" t="s">
        <v>86</v>
      </c>
      <c r="S3" s="33" t="s">
        <v>213</v>
      </c>
      <c r="T3" s="33" t="s">
        <v>214</v>
      </c>
      <c r="U3" s="33">
        <v>1</v>
      </c>
      <c r="V3" t="s">
        <v>91</v>
      </c>
      <c r="W3" s="29" t="s">
        <v>243</v>
      </c>
      <c r="X3" s="29" t="s">
        <v>215</v>
      </c>
      <c r="Y3" s="29" t="s">
        <v>216</v>
      </c>
      <c r="Z3" s="29" t="s">
        <v>179</v>
      </c>
    </row>
    <row r="4" spans="1:26" x14ac:dyDescent="0.3">
      <c r="A4" t="s">
        <v>194</v>
      </c>
      <c r="B4" t="s">
        <v>6</v>
      </c>
      <c r="C4" t="s">
        <v>4</v>
      </c>
      <c r="D4" t="s">
        <v>4</v>
      </c>
      <c r="E4" t="s">
        <v>4</v>
      </c>
      <c r="F4" t="s">
        <v>4</v>
      </c>
      <c r="G4">
        <v>0</v>
      </c>
      <c r="H4">
        <v>0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81</v>
      </c>
      <c r="O4" s="34" t="s">
        <v>4</v>
      </c>
      <c r="P4" s="34" t="s">
        <v>4</v>
      </c>
      <c r="R4" t="s">
        <v>86</v>
      </c>
      <c r="S4" s="33" t="s">
        <v>4</v>
      </c>
      <c r="T4" s="33" t="s">
        <v>4</v>
      </c>
      <c r="V4" t="s">
        <v>91</v>
      </c>
      <c r="W4" s="29" t="s">
        <v>4</v>
      </c>
      <c r="X4" s="29" t="s">
        <v>4</v>
      </c>
      <c r="Y4" s="29" t="s">
        <v>4</v>
      </c>
      <c r="Z4" s="29" t="s">
        <v>4</v>
      </c>
    </row>
    <row r="5" spans="1:26" x14ac:dyDescent="0.3">
      <c r="A5" t="s">
        <v>196</v>
      </c>
      <c r="B5" t="s">
        <v>6</v>
      </c>
      <c r="C5" t="s">
        <v>159</v>
      </c>
      <c r="D5" t="s">
        <v>159</v>
      </c>
      <c r="E5" t="s">
        <v>159</v>
      </c>
      <c r="F5" t="s">
        <v>159</v>
      </c>
      <c r="G5">
        <v>12</v>
      </c>
      <c r="H5">
        <v>4</v>
      </c>
      <c r="I5" t="s">
        <v>4</v>
      </c>
      <c r="J5" t="s">
        <v>165</v>
      </c>
      <c r="K5" t="s">
        <v>165</v>
      </c>
      <c r="L5" t="s">
        <v>165</v>
      </c>
      <c r="M5" t="s">
        <v>165</v>
      </c>
      <c r="N5" t="s">
        <v>81</v>
      </c>
      <c r="O5" s="34" t="s">
        <v>144</v>
      </c>
      <c r="P5" s="34" t="s">
        <v>144</v>
      </c>
      <c r="Q5" s="33">
        <v>0</v>
      </c>
      <c r="R5" t="s">
        <v>86</v>
      </c>
      <c r="S5" s="33" t="s">
        <v>144</v>
      </c>
      <c r="T5" s="33" t="s">
        <v>144</v>
      </c>
      <c r="U5" s="33">
        <v>0</v>
      </c>
      <c r="V5" t="s">
        <v>91</v>
      </c>
      <c r="W5" s="29" t="s">
        <v>159</v>
      </c>
      <c r="X5" s="29" t="s">
        <v>159</v>
      </c>
      <c r="Y5" s="29" t="s">
        <v>159</v>
      </c>
      <c r="Z5" s="29" t="s">
        <v>159</v>
      </c>
    </row>
    <row r="6" spans="1:26" x14ac:dyDescent="0.3">
      <c r="A6" t="s">
        <v>198</v>
      </c>
      <c r="B6" t="s">
        <v>7</v>
      </c>
      <c r="C6" t="s">
        <v>145</v>
      </c>
      <c r="D6" t="s">
        <v>244</v>
      </c>
      <c r="E6" t="s">
        <v>245</v>
      </c>
      <c r="F6" t="s">
        <v>246</v>
      </c>
      <c r="G6">
        <v>4</v>
      </c>
      <c r="H6">
        <v>10</v>
      </c>
      <c r="I6" t="s">
        <v>77</v>
      </c>
      <c r="J6" t="s">
        <v>247</v>
      </c>
      <c r="K6" t="s">
        <v>248</v>
      </c>
      <c r="L6" t="s">
        <v>249</v>
      </c>
      <c r="M6" t="s">
        <v>250</v>
      </c>
      <c r="N6" t="s">
        <v>81</v>
      </c>
      <c r="O6" s="34" t="s">
        <v>217</v>
      </c>
      <c r="P6" s="34" t="s">
        <v>218</v>
      </c>
      <c r="Q6" s="33">
        <v>1</v>
      </c>
      <c r="R6" t="s">
        <v>86</v>
      </c>
      <c r="S6" s="33" t="s">
        <v>219</v>
      </c>
      <c r="T6" s="33" t="s">
        <v>220</v>
      </c>
      <c r="U6" s="33">
        <v>1</v>
      </c>
      <c r="V6" t="s">
        <v>91</v>
      </c>
      <c r="W6" s="29" t="s">
        <v>251</v>
      </c>
      <c r="X6" s="29" t="s">
        <v>221</v>
      </c>
      <c r="Y6" s="29" t="s">
        <v>222</v>
      </c>
      <c r="Z6" s="29" t="s">
        <v>223</v>
      </c>
    </row>
    <row r="7" spans="1:26" x14ac:dyDescent="0.3">
      <c r="A7" t="s">
        <v>200</v>
      </c>
      <c r="B7" t="s">
        <v>7</v>
      </c>
      <c r="C7" t="s">
        <v>4</v>
      </c>
      <c r="D7" t="s">
        <v>4</v>
      </c>
      <c r="E7" t="s">
        <v>4</v>
      </c>
      <c r="F7" t="s">
        <v>4</v>
      </c>
      <c r="G7">
        <v>0</v>
      </c>
      <c r="H7">
        <v>0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81</v>
      </c>
      <c r="O7" s="34" t="s">
        <v>4</v>
      </c>
      <c r="P7" s="34" t="s">
        <v>4</v>
      </c>
      <c r="R7" t="s">
        <v>86</v>
      </c>
      <c r="S7" s="33" t="s">
        <v>4</v>
      </c>
      <c r="T7" s="33" t="s">
        <v>4</v>
      </c>
      <c r="V7" t="s">
        <v>91</v>
      </c>
      <c r="W7" s="29" t="s">
        <v>4</v>
      </c>
      <c r="X7" s="29" t="s">
        <v>4</v>
      </c>
      <c r="Y7" s="29" t="s">
        <v>4</v>
      </c>
      <c r="Z7" s="29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3F78-7E8F-4B28-894A-FBD8DFCA50B1}">
  <dimension ref="A1:AC18"/>
  <sheetViews>
    <sheetView workbookViewId="0">
      <selection activeCell="I934" sqref="I934"/>
    </sheetView>
  </sheetViews>
  <sheetFormatPr defaultRowHeight="14.4" x14ac:dyDescent="0.3"/>
  <cols>
    <col min="1" max="1" width="7.109375" bestFit="1" customWidth="1"/>
    <col min="2" max="3" width="10.5546875" bestFit="1" customWidth="1"/>
    <col min="4" max="4" width="12.6640625" style="26" bestFit="1" customWidth="1"/>
    <col min="5" max="5" width="25.33203125" bestFit="1" customWidth="1"/>
    <col min="6" max="6" width="19" bestFit="1" customWidth="1"/>
    <col min="7" max="7" width="23.6640625" bestFit="1" customWidth="1"/>
    <col min="8" max="8" width="23" bestFit="1" customWidth="1"/>
    <col min="9" max="9" width="29.21875" bestFit="1" customWidth="1"/>
    <col min="10" max="10" width="12.44140625" bestFit="1" customWidth="1"/>
    <col min="11" max="11" width="18" bestFit="1" customWidth="1"/>
    <col min="12" max="12" width="12" bestFit="1" customWidth="1"/>
    <col min="13" max="13" width="16.109375" bestFit="1" customWidth="1"/>
    <col min="14" max="14" width="18.5546875" bestFit="1" customWidth="1"/>
    <col min="15" max="15" width="13" bestFit="1" customWidth="1"/>
    <col min="16" max="16" width="22.5546875" bestFit="1" customWidth="1"/>
    <col min="17" max="17" width="16" bestFit="1" customWidth="1"/>
    <col min="18" max="18" width="25.5546875" bestFit="1" customWidth="1"/>
    <col min="19" max="19" width="13" bestFit="1" customWidth="1"/>
    <col min="20" max="20" width="22.5546875" bestFit="1" customWidth="1"/>
    <col min="21" max="21" width="15.33203125" bestFit="1" customWidth="1"/>
    <col min="22" max="22" width="11.77734375" bestFit="1" customWidth="1"/>
    <col min="23" max="23" width="11.33203125" bestFit="1" customWidth="1"/>
    <col min="24" max="24" width="17.6640625" bestFit="1" customWidth="1"/>
    <col min="25" max="25" width="18.109375" bestFit="1" customWidth="1"/>
    <col min="26" max="26" width="23.88671875" bestFit="1" customWidth="1"/>
    <col min="27" max="27" width="30" bestFit="1" customWidth="1"/>
    <col min="28" max="28" width="8.88671875" bestFit="1" customWidth="1"/>
    <col min="29" max="29" width="6.6640625" bestFit="1" customWidth="1"/>
  </cols>
  <sheetData>
    <row r="1" spans="1:29" x14ac:dyDescent="0.3">
      <c r="A1" t="s">
        <v>8</v>
      </c>
      <c r="B1" t="s">
        <v>9</v>
      </c>
      <c r="C1" t="s">
        <v>80</v>
      </c>
      <c r="D1" s="28" t="s">
        <v>2</v>
      </c>
      <c r="E1" t="s">
        <v>0</v>
      </c>
      <c r="F1" t="s">
        <v>1</v>
      </c>
      <c r="G1" t="s">
        <v>50</v>
      </c>
      <c r="H1" t="s">
        <v>55</v>
      </c>
      <c r="I1" t="s">
        <v>126</v>
      </c>
      <c r="J1" t="s">
        <v>30</v>
      </c>
      <c r="K1" t="s">
        <v>24</v>
      </c>
      <c r="L1" t="s">
        <v>127</v>
      </c>
      <c r="M1" t="s">
        <v>128</v>
      </c>
      <c r="N1" t="s">
        <v>129</v>
      </c>
      <c r="O1" t="s">
        <v>117</v>
      </c>
      <c r="P1" t="s">
        <v>130</v>
      </c>
      <c r="Q1" t="s">
        <v>118</v>
      </c>
      <c r="R1" t="s">
        <v>131</v>
      </c>
      <c r="S1" t="s">
        <v>119</v>
      </c>
      <c r="T1" t="s">
        <v>132</v>
      </c>
      <c r="U1" t="s">
        <v>69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</row>
    <row r="2" spans="1:29" x14ac:dyDescent="0.3">
      <c r="A2">
        <v>2026</v>
      </c>
      <c r="B2" s="9">
        <v>46023</v>
      </c>
      <c r="C2" s="9">
        <v>46023</v>
      </c>
      <c r="D2" s="27" t="str" cm="1">
        <f t="array" ref="D2">IFERROR(INDEX('BDT''s'!C:C,MATCH(1,('BDT''s'!K:K=Diesel!F2)*('BDT''s'!I:I=Diesel!C2),0)),"-")</f>
        <v>CONTRATO 1</v>
      </c>
      <c r="E2" t="s">
        <v>189</v>
      </c>
      <c r="F2" t="s">
        <v>190</v>
      </c>
      <c r="G2" t="s">
        <v>5</v>
      </c>
      <c r="H2">
        <v>1000</v>
      </c>
      <c r="I2">
        <v>1012</v>
      </c>
      <c r="J2">
        <v>100</v>
      </c>
      <c r="K2">
        <v>12</v>
      </c>
      <c r="L2">
        <v>8.3333333333333339</v>
      </c>
      <c r="M2" t="s">
        <v>105</v>
      </c>
      <c r="N2" t="s">
        <v>163</v>
      </c>
      <c r="O2" t="s">
        <v>252</v>
      </c>
      <c r="P2" t="s">
        <v>253</v>
      </c>
      <c r="Q2" t="s">
        <v>254</v>
      </c>
      <c r="R2" t="s">
        <v>255</v>
      </c>
      <c r="S2" t="s">
        <v>148</v>
      </c>
      <c r="T2" t="s">
        <v>163</v>
      </c>
      <c r="U2" t="s">
        <v>105</v>
      </c>
      <c r="V2" t="s">
        <v>256</v>
      </c>
      <c r="Y2">
        <v>5000</v>
      </c>
      <c r="Z2">
        <v>0</v>
      </c>
      <c r="AA2">
        <v>100</v>
      </c>
      <c r="AB2">
        <v>4900</v>
      </c>
    </row>
    <row r="3" spans="1:29" x14ac:dyDescent="0.3">
      <c r="A3">
        <v>2026</v>
      </c>
      <c r="B3" s="9">
        <v>46023</v>
      </c>
      <c r="C3" s="9">
        <v>46023</v>
      </c>
      <c r="D3" s="27" t="str" cm="1">
        <f t="array" ref="D3">IFERROR(INDEX('BDT''s'!C:C,MATCH(1,('BDT''s'!K:K=Diesel!F3)*('BDT''s'!I:I=Diesel!C3),0)),"-")</f>
        <v>CONTRATO 1</v>
      </c>
      <c r="E3" t="s">
        <v>191</v>
      </c>
      <c r="F3" t="s">
        <v>192</v>
      </c>
      <c r="G3" t="s">
        <v>5</v>
      </c>
      <c r="H3">
        <v>2000</v>
      </c>
      <c r="I3">
        <v>2008</v>
      </c>
      <c r="J3">
        <v>150</v>
      </c>
      <c r="K3">
        <v>8</v>
      </c>
      <c r="L3">
        <v>18.75</v>
      </c>
      <c r="M3" t="s">
        <v>105</v>
      </c>
      <c r="N3" t="s">
        <v>181</v>
      </c>
      <c r="O3" t="s">
        <v>257</v>
      </c>
      <c r="P3" t="s">
        <v>258</v>
      </c>
      <c r="Q3" t="s">
        <v>259</v>
      </c>
      <c r="R3" t="s">
        <v>260</v>
      </c>
      <c r="S3" t="s">
        <v>261</v>
      </c>
      <c r="T3" t="s">
        <v>181</v>
      </c>
      <c r="U3" t="s">
        <v>105</v>
      </c>
      <c r="V3" t="s">
        <v>256</v>
      </c>
      <c r="Y3">
        <v>4900</v>
      </c>
      <c r="Z3">
        <v>100</v>
      </c>
      <c r="AA3">
        <v>250</v>
      </c>
      <c r="AB3">
        <v>4750</v>
      </c>
    </row>
    <row r="4" spans="1:29" x14ac:dyDescent="0.3">
      <c r="A4">
        <v>2026</v>
      </c>
      <c r="B4" s="9">
        <v>46023</v>
      </c>
      <c r="C4" s="9">
        <v>46023</v>
      </c>
      <c r="D4" s="27" t="str" cm="1">
        <f t="array" ref="D4">IFERROR(INDEX('BDT''s'!C:C,MATCH(1,('BDT''s'!K:K=Diesel!F4)*('BDT''s'!I:I=Diesel!C4),0)),"-")</f>
        <v>CONTRATO 1</v>
      </c>
      <c r="E4" t="s">
        <v>193</v>
      </c>
      <c r="F4" t="s">
        <v>194</v>
      </c>
      <c r="G4" t="s">
        <v>6</v>
      </c>
      <c r="H4">
        <v>1200</v>
      </c>
      <c r="I4">
        <v>1215</v>
      </c>
      <c r="J4">
        <v>370</v>
      </c>
      <c r="K4">
        <v>15</v>
      </c>
      <c r="L4">
        <v>24.666666666666668</v>
      </c>
      <c r="M4" t="s">
        <v>141</v>
      </c>
      <c r="N4" t="s">
        <v>262</v>
      </c>
      <c r="O4" t="s">
        <v>263</v>
      </c>
      <c r="P4" t="s">
        <v>264</v>
      </c>
      <c r="Q4" t="s">
        <v>265</v>
      </c>
      <c r="R4" t="s">
        <v>266</v>
      </c>
      <c r="S4" t="s">
        <v>267</v>
      </c>
      <c r="T4" t="s">
        <v>153</v>
      </c>
      <c r="U4" t="s">
        <v>141</v>
      </c>
      <c r="V4" t="s">
        <v>256</v>
      </c>
      <c r="Y4">
        <v>4750</v>
      </c>
      <c r="Z4">
        <v>250</v>
      </c>
      <c r="AA4">
        <v>620</v>
      </c>
      <c r="AB4">
        <v>4380</v>
      </c>
    </row>
    <row r="5" spans="1:29" x14ac:dyDescent="0.3">
      <c r="A5">
        <v>2026</v>
      </c>
      <c r="B5" s="9">
        <v>46023</v>
      </c>
      <c r="C5" s="9">
        <v>46023</v>
      </c>
      <c r="D5" s="27" t="str" cm="1">
        <f t="array" ref="D5">IFERROR(INDEX('BDT''s'!C:C,MATCH(1,('BDT''s'!K:K=Diesel!F5)*('BDT''s'!I:I=Diesel!C5),0)),"-")</f>
        <v>CONTRATO 1</v>
      </c>
      <c r="E5" t="s">
        <v>195</v>
      </c>
      <c r="F5" t="s">
        <v>196</v>
      </c>
      <c r="G5" t="s">
        <v>6</v>
      </c>
      <c r="H5">
        <v>2100</v>
      </c>
      <c r="I5">
        <v>2106</v>
      </c>
      <c r="J5">
        <v>330</v>
      </c>
      <c r="K5">
        <v>6</v>
      </c>
      <c r="L5">
        <v>55</v>
      </c>
      <c r="M5" t="s">
        <v>142</v>
      </c>
      <c r="N5" t="s">
        <v>166</v>
      </c>
      <c r="O5" t="s">
        <v>268</v>
      </c>
      <c r="P5" t="s">
        <v>269</v>
      </c>
      <c r="Q5" t="s">
        <v>270</v>
      </c>
      <c r="R5" t="s">
        <v>271</v>
      </c>
      <c r="S5" t="s">
        <v>148</v>
      </c>
      <c r="T5" t="s">
        <v>272</v>
      </c>
      <c r="U5" t="s">
        <v>142</v>
      </c>
      <c r="V5" t="s">
        <v>256</v>
      </c>
      <c r="Y5">
        <v>4380</v>
      </c>
      <c r="Z5">
        <v>620</v>
      </c>
      <c r="AA5">
        <v>950</v>
      </c>
      <c r="AB5">
        <v>4050</v>
      </c>
    </row>
    <row r="6" spans="1:29" x14ac:dyDescent="0.3">
      <c r="A6">
        <v>2026</v>
      </c>
      <c r="B6" s="9">
        <v>46023</v>
      </c>
      <c r="C6" s="9">
        <v>46024</v>
      </c>
      <c r="D6" s="27" t="str" cm="1">
        <f t="array" ref="D6">IFERROR(INDEX('BDT''s'!C:C,MATCH(1,('BDT''s'!K:K=Diesel!F6)*('BDT''s'!I:I=Diesel!C6),0)),"-")</f>
        <v>CONTRATO 1</v>
      </c>
      <c r="E6" t="s">
        <v>191</v>
      </c>
      <c r="F6" t="s">
        <v>192</v>
      </c>
      <c r="G6" t="s">
        <v>5</v>
      </c>
      <c r="H6">
        <v>2008</v>
      </c>
      <c r="I6">
        <v>2012</v>
      </c>
      <c r="J6">
        <v>170</v>
      </c>
      <c r="K6">
        <v>4</v>
      </c>
      <c r="L6">
        <v>21.176470588235293</v>
      </c>
      <c r="M6" t="s">
        <v>105</v>
      </c>
      <c r="N6" t="s">
        <v>273</v>
      </c>
      <c r="O6" t="s">
        <v>257</v>
      </c>
      <c r="P6" t="s">
        <v>274</v>
      </c>
      <c r="Q6" t="s">
        <v>259</v>
      </c>
      <c r="R6" t="s">
        <v>275</v>
      </c>
      <c r="S6" t="s">
        <v>261</v>
      </c>
      <c r="T6" t="s">
        <v>276</v>
      </c>
      <c r="U6" t="s">
        <v>141</v>
      </c>
      <c r="V6" t="s">
        <v>256</v>
      </c>
      <c r="Y6">
        <v>4050</v>
      </c>
      <c r="Z6">
        <v>950</v>
      </c>
      <c r="AA6">
        <v>1120</v>
      </c>
      <c r="AB6">
        <v>3880</v>
      </c>
    </row>
    <row r="7" spans="1:29" x14ac:dyDescent="0.3">
      <c r="A7">
        <v>2026</v>
      </c>
      <c r="B7" s="9">
        <v>46023</v>
      </c>
      <c r="C7" s="9">
        <v>46024</v>
      </c>
      <c r="D7" s="27" t="str" cm="1">
        <f t="array" ref="D7">IFERROR(INDEX('BDT''s'!C:C,MATCH(1,('BDT''s'!K:K=Diesel!F7)*('BDT''s'!I:I=Diesel!C7),0)),"-")</f>
        <v>CONTRATO 1</v>
      </c>
      <c r="E7" t="s">
        <v>199</v>
      </c>
      <c r="F7" t="s">
        <v>200</v>
      </c>
      <c r="G7" t="s">
        <v>7</v>
      </c>
      <c r="H7">
        <v>700</v>
      </c>
      <c r="I7">
        <v>711</v>
      </c>
      <c r="J7">
        <v>380</v>
      </c>
      <c r="K7">
        <v>11</v>
      </c>
      <c r="L7">
        <v>34.545454545454547</v>
      </c>
      <c r="M7" t="s">
        <v>142</v>
      </c>
      <c r="N7" t="s">
        <v>277</v>
      </c>
      <c r="O7" t="s">
        <v>278</v>
      </c>
      <c r="P7" t="s">
        <v>279</v>
      </c>
      <c r="Q7" t="s">
        <v>280</v>
      </c>
      <c r="R7" t="s">
        <v>281</v>
      </c>
      <c r="S7" t="s">
        <v>183</v>
      </c>
      <c r="T7" t="s">
        <v>282</v>
      </c>
      <c r="U7" t="s">
        <v>142</v>
      </c>
      <c r="V7" t="s">
        <v>256</v>
      </c>
      <c r="Y7">
        <v>3880</v>
      </c>
      <c r="Z7">
        <v>1120</v>
      </c>
      <c r="AA7">
        <v>1500</v>
      </c>
      <c r="AB7">
        <v>3500</v>
      </c>
    </row>
    <row r="8" spans="1:29" x14ac:dyDescent="0.3">
      <c r="A8">
        <v>2026</v>
      </c>
      <c r="B8" s="9">
        <v>46023</v>
      </c>
      <c r="C8" s="9">
        <v>46024</v>
      </c>
      <c r="D8" s="27" t="str" cm="1">
        <f t="array" ref="D8">IFERROR(INDEX('BDT''s'!C:C,MATCH(1,('BDT''s'!K:K=Diesel!F8)*('BDT''s'!I:I=Diesel!C8),0)),"-")</f>
        <v>CONTRATO 1</v>
      </c>
      <c r="E8" t="s">
        <v>191</v>
      </c>
      <c r="F8" t="s">
        <v>192</v>
      </c>
      <c r="G8" t="s">
        <v>5</v>
      </c>
      <c r="H8">
        <v>2012</v>
      </c>
      <c r="I8">
        <v>2025</v>
      </c>
      <c r="J8">
        <v>190</v>
      </c>
      <c r="K8">
        <v>13</v>
      </c>
      <c r="L8">
        <v>21.176470588235293</v>
      </c>
      <c r="M8" t="s">
        <v>142</v>
      </c>
      <c r="N8" t="s">
        <v>283</v>
      </c>
      <c r="O8" t="s">
        <v>257</v>
      </c>
      <c r="P8" t="s">
        <v>284</v>
      </c>
      <c r="Q8" t="s">
        <v>259</v>
      </c>
      <c r="R8" t="s">
        <v>285</v>
      </c>
      <c r="S8" t="s">
        <v>261</v>
      </c>
      <c r="T8" t="s">
        <v>286</v>
      </c>
      <c r="U8" t="s">
        <v>141</v>
      </c>
      <c r="V8" t="s">
        <v>256</v>
      </c>
      <c r="Y8">
        <v>3500</v>
      </c>
      <c r="Z8">
        <v>1500</v>
      </c>
      <c r="AA8">
        <v>1690</v>
      </c>
      <c r="AB8">
        <v>3310</v>
      </c>
    </row>
    <row r="9" spans="1:29" x14ac:dyDescent="0.3">
      <c r="A9">
        <v>2026</v>
      </c>
      <c r="B9" s="9">
        <v>46023</v>
      </c>
      <c r="C9" s="9">
        <v>46024</v>
      </c>
      <c r="D9" s="27" t="str" cm="1">
        <f t="array" ref="D9">IFERROR(INDEX('BDT''s'!C:C,MATCH(1,('BDT''s'!K:K=Diesel!F9)*('BDT''s'!I:I=Diesel!C9),0)),"-")</f>
        <v>CONTRATO 1</v>
      </c>
      <c r="E9" t="s">
        <v>189</v>
      </c>
      <c r="F9" t="s">
        <v>190</v>
      </c>
      <c r="G9" t="s">
        <v>5</v>
      </c>
      <c r="H9">
        <v>1012</v>
      </c>
      <c r="I9">
        <v>1018</v>
      </c>
      <c r="J9">
        <v>110</v>
      </c>
      <c r="K9">
        <v>6</v>
      </c>
      <c r="L9">
        <v>18.333333333333332</v>
      </c>
      <c r="M9" t="s">
        <v>141</v>
      </c>
      <c r="N9" t="s">
        <v>287</v>
      </c>
      <c r="O9" t="s">
        <v>252</v>
      </c>
      <c r="P9" t="s">
        <v>288</v>
      </c>
      <c r="Q9" t="s">
        <v>254</v>
      </c>
      <c r="R9" t="s">
        <v>289</v>
      </c>
      <c r="S9" t="s">
        <v>148</v>
      </c>
      <c r="T9" t="s">
        <v>272</v>
      </c>
      <c r="U9" t="s">
        <v>141</v>
      </c>
      <c r="V9" t="s">
        <v>256</v>
      </c>
      <c r="Y9">
        <v>3310</v>
      </c>
      <c r="Z9">
        <v>1690</v>
      </c>
      <c r="AA9">
        <v>1800</v>
      </c>
      <c r="AB9">
        <v>3200</v>
      </c>
    </row>
    <row r="10" spans="1:29" x14ac:dyDescent="0.3">
      <c r="A10">
        <v>2026</v>
      </c>
      <c r="B10" s="9">
        <v>46023</v>
      </c>
      <c r="C10" s="9">
        <v>46024</v>
      </c>
      <c r="D10" s="27" t="str" cm="1">
        <f t="array" ref="D10">IFERROR(INDEX('BDT''s'!C:C,MATCH(1,('BDT''s'!K:K=Diesel!F10)*('BDT''s'!I:I=Diesel!C10),0)),"-")</f>
        <v>CONTRATO 1</v>
      </c>
      <c r="E10" t="s">
        <v>195</v>
      </c>
      <c r="F10" t="s">
        <v>196</v>
      </c>
      <c r="G10" t="s">
        <v>6</v>
      </c>
      <c r="H10">
        <v>2106</v>
      </c>
      <c r="I10">
        <v>2110</v>
      </c>
      <c r="J10">
        <v>200</v>
      </c>
      <c r="K10">
        <v>4</v>
      </c>
      <c r="L10">
        <v>33.333333333333336</v>
      </c>
      <c r="M10" t="s">
        <v>141</v>
      </c>
      <c r="N10" t="s">
        <v>290</v>
      </c>
      <c r="O10" t="s">
        <v>268</v>
      </c>
      <c r="P10" t="s">
        <v>291</v>
      </c>
      <c r="Q10" t="s">
        <v>270</v>
      </c>
      <c r="R10" t="s">
        <v>292</v>
      </c>
      <c r="S10" t="s">
        <v>148</v>
      </c>
      <c r="T10" t="s">
        <v>161</v>
      </c>
      <c r="U10" t="s">
        <v>143</v>
      </c>
      <c r="V10" t="s">
        <v>256</v>
      </c>
      <c r="Y10">
        <v>3200</v>
      </c>
      <c r="Z10">
        <v>1800</v>
      </c>
      <c r="AA10">
        <v>2000</v>
      </c>
      <c r="AB10">
        <v>3000</v>
      </c>
    </row>
    <row r="11" spans="1:29" x14ac:dyDescent="0.3">
      <c r="A11">
        <v>2026</v>
      </c>
      <c r="B11" s="9">
        <v>46023</v>
      </c>
      <c r="C11" s="9">
        <v>46024</v>
      </c>
      <c r="D11" s="27" t="str" cm="1">
        <f t="array" ref="D11">IFERROR(INDEX('BDT''s'!C:C,MATCH(1,('BDT''s'!K:K=Diesel!F11)*('BDT''s'!I:I=Diesel!C11),0)),"-")</f>
        <v>CONTRATO 1</v>
      </c>
      <c r="E11" t="s">
        <v>195</v>
      </c>
      <c r="F11" t="s">
        <v>196</v>
      </c>
      <c r="G11" t="s">
        <v>6</v>
      </c>
      <c r="H11">
        <v>2110</v>
      </c>
      <c r="I11">
        <v>2115</v>
      </c>
      <c r="J11">
        <v>100</v>
      </c>
      <c r="K11">
        <v>5</v>
      </c>
      <c r="L11">
        <v>33.333333333333336</v>
      </c>
      <c r="M11" t="s">
        <v>141</v>
      </c>
      <c r="N11" t="s">
        <v>153</v>
      </c>
      <c r="O11" t="s">
        <v>268</v>
      </c>
      <c r="P11" t="s">
        <v>293</v>
      </c>
      <c r="Q11" t="s">
        <v>270</v>
      </c>
      <c r="R11" t="s">
        <v>294</v>
      </c>
      <c r="S11" t="s">
        <v>148</v>
      </c>
      <c r="T11" t="s">
        <v>153</v>
      </c>
      <c r="U11" t="s">
        <v>105</v>
      </c>
      <c r="V11" t="s">
        <v>256</v>
      </c>
      <c r="Y11">
        <v>3000</v>
      </c>
      <c r="Z11">
        <v>2000</v>
      </c>
      <c r="AA11">
        <v>2100</v>
      </c>
      <c r="AB11">
        <v>2900</v>
      </c>
    </row>
    <row r="12" spans="1:29" x14ac:dyDescent="0.3">
      <c r="A12">
        <v>2026</v>
      </c>
      <c r="B12" s="9">
        <v>46023</v>
      </c>
      <c r="C12" s="9">
        <v>46025</v>
      </c>
      <c r="D12" s="27" t="str" cm="1">
        <f t="array" ref="D12">IFERROR(INDEX('BDT''s'!C:C,MATCH(1,('BDT''s'!K:K=Diesel!F12)*('BDT''s'!I:I=Diesel!C12),0)),"-")</f>
        <v>-</v>
      </c>
      <c r="E12" t="s">
        <v>189</v>
      </c>
      <c r="F12" t="s">
        <v>190</v>
      </c>
      <c r="G12" t="s">
        <v>5</v>
      </c>
      <c r="H12">
        <v>1018</v>
      </c>
      <c r="I12">
        <v>1025</v>
      </c>
      <c r="J12">
        <v>400</v>
      </c>
      <c r="K12">
        <v>7</v>
      </c>
      <c r="L12">
        <v>57.142857142857146</v>
      </c>
      <c r="M12" t="s">
        <v>142</v>
      </c>
      <c r="N12" t="s">
        <v>295</v>
      </c>
      <c r="O12" t="s">
        <v>252</v>
      </c>
      <c r="P12" t="s">
        <v>296</v>
      </c>
      <c r="Q12" t="s">
        <v>254</v>
      </c>
      <c r="R12" t="s">
        <v>297</v>
      </c>
      <c r="S12" t="s">
        <v>148</v>
      </c>
      <c r="T12" t="s">
        <v>162</v>
      </c>
      <c r="U12" t="s">
        <v>142</v>
      </c>
      <c r="V12" t="s">
        <v>256</v>
      </c>
      <c r="Y12">
        <v>2900</v>
      </c>
      <c r="Z12">
        <v>2100</v>
      </c>
      <c r="AA12">
        <v>2500</v>
      </c>
      <c r="AB12">
        <v>2500</v>
      </c>
    </row>
    <row r="13" spans="1:29" x14ac:dyDescent="0.3">
      <c r="A13">
        <v>2026</v>
      </c>
      <c r="B13" s="9">
        <v>46023</v>
      </c>
      <c r="C13" s="9">
        <v>46025</v>
      </c>
      <c r="D13" s="27" t="str" cm="1">
        <f t="array" ref="D13">IFERROR(INDEX('BDT''s'!C:C,MATCH(1,('BDT''s'!K:K=Diesel!F13)*('BDT''s'!I:I=Diesel!C13),0)),"-")</f>
        <v>-</v>
      </c>
      <c r="E13" t="s">
        <v>197</v>
      </c>
      <c r="F13" t="s">
        <v>198</v>
      </c>
      <c r="G13" t="s">
        <v>7</v>
      </c>
      <c r="H13">
        <v>500</v>
      </c>
      <c r="I13">
        <v>510</v>
      </c>
      <c r="J13">
        <v>400</v>
      </c>
      <c r="K13">
        <v>10</v>
      </c>
      <c r="L13">
        <v>40</v>
      </c>
      <c r="M13" t="s">
        <v>105</v>
      </c>
      <c r="N13" t="s">
        <v>149</v>
      </c>
      <c r="O13" t="s">
        <v>298</v>
      </c>
      <c r="P13" t="s">
        <v>149</v>
      </c>
      <c r="Q13" t="s">
        <v>298</v>
      </c>
      <c r="R13" t="s">
        <v>149</v>
      </c>
      <c r="S13" t="s">
        <v>298</v>
      </c>
      <c r="T13" t="s">
        <v>149</v>
      </c>
      <c r="U13" t="s">
        <v>105</v>
      </c>
      <c r="V13" t="s">
        <v>256</v>
      </c>
      <c r="Y13">
        <v>2500</v>
      </c>
      <c r="Z13">
        <v>2500</v>
      </c>
      <c r="AA13">
        <v>2900</v>
      </c>
      <c r="AB13">
        <v>2100</v>
      </c>
    </row>
    <row r="14" spans="1:29" x14ac:dyDescent="0.3">
      <c r="A14">
        <v>2026</v>
      </c>
      <c r="B14" s="9">
        <v>46023</v>
      </c>
      <c r="C14" s="9">
        <v>46025</v>
      </c>
      <c r="D14" s="27" t="str" cm="1">
        <f t="array" ref="D14">IFERROR(INDEX('BDT''s'!C:C,MATCH(1,('BDT''s'!K:K=Diesel!F14)*('BDT''s'!I:I=Diesel!C14),0)),"-")</f>
        <v>-</v>
      </c>
      <c r="E14" t="s">
        <v>193</v>
      </c>
      <c r="F14" t="s">
        <v>194</v>
      </c>
      <c r="G14" t="s">
        <v>6</v>
      </c>
      <c r="H14">
        <v>1215</v>
      </c>
      <c r="I14">
        <v>1219</v>
      </c>
      <c r="J14">
        <v>300</v>
      </c>
      <c r="K14">
        <v>4</v>
      </c>
      <c r="L14">
        <v>133.33333333333334</v>
      </c>
      <c r="M14" t="s">
        <v>142</v>
      </c>
      <c r="N14" t="s">
        <v>299</v>
      </c>
      <c r="O14" t="s">
        <v>263</v>
      </c>
      <c r="P14" t="s">
        <v>300</v>
      </c>
      <c r="Q14" t="s">
        <v>265</v>
      </c>
      <c r="R14" t="s">
        <v>301</v>
      </c>
      <c r="S14" t="s">
        <v>267</v>
      </c>
      <c r="T14" t="s">
        <v>299</v>
      </c>
      <c r="U14" t="s">
        <v>105</v>
      </c>
      <c r="V14" t="s">
        <v>256</v>
      </c>
      <c r="Y14">
        <v>2100</v>
      </c>
      <c r="Z14">
        <v>2900</v>
      </c>
      <c r="AA14">
        <v>3200</v>
      </c>
      <c r="AB14">
        <v>1800</v>
      </c>
    </row>
    <row r="15" spans="1:29" x14ac:dyDescent="0.3">
      <c r="A15">
        <v>2026</v>
      </c>
      <c r="B15" s="9">
        <v>46023</v>
      </c>
      <c r="C15" s="9">
        <v>46025</v>
      </c>
      <c r="D15" s="27" t="str" cm="1">
        <f t="array" ref="D15">IFERROR(INDEX('BDT''s'!C:C,MATCH(1,('BDT''s'!K:K=Diesel!F15)*('BDT''s'!I:I=Diesel!C15),0)),"-")</f>
        <v>-</v>
      </c>
      <c r="E15" t="s">
        <v>199</v>
      </c>
      <c r="F15" t="s">
        <v>200</v>
      </c>
      <c r="G15" t="s">
        <v>7</v>
      </c>
      <c r="H15">
        <v>711</v>
      </c>
      <c r="I15">
        <v>722</v>
      </c>
      <c r="J15">
        <v>340</v>
      </c>
      <c r="K15">
        <v>11</v>
      </c>
      <c r="L15">
        <v>30.90909090909091</v>
      </c>
      <c r="M15" t="s">
        <v>105</v>
      </c>
      <c r="N15" t="s">
        <v>282</v>
      </c>
      <c r="O15" t="s">
        <v>278</v>
      </c>
      <c r="P15" t="s">
        <v>279</v>
      </c>
      <c r="Q15" t="s">
        <v>280</v>
      </c>
      <c r="R15" t="s">
        <v>281</v>
      </c>
      <c r="S15" t="s">
        <v>183</v>
      </c>
      <c r="T15" t="s">
        <v>282</v>
      </c>
      <c r="U15" t="s">
        <v>105</v>
      </c>
      <c r="V15" t="s">
        <v>256</v>
      </c>
      <c r="Y15">
        <v>1800</v>
      </c>
      <c r="Z15">
        <v>3200</v>
      </c>
      <c r="AA15">
        <v>3540</v>
      </c>
      <c r="AB15">
        <v>1460</v>
      </c>
    </row>
    <row r="16" spans="1:29" x14ac:dyDescent="0.3">
      <c r="A16">
        <v>2026</v>
      </c>
      <c r="B16" s="9">
        <v>46023</v>
      </c>
      <c r="C16" s="9">
        <v>46025</v>
      </c>
      <c r="D16" s="27" t="str" cm="1">
        <f t="array" ref="D16">IFERROR(INDEX('BDT''s'!C:C,MATCH(1,('BDT''s'!K:K=Diesel!F16)*('BDT''s'!I:I=Diesel!C16),0)),"-")</f>
        <v>-</v>
      </c>
      <c r="E16" t="s">
        <v>195</v>
      </c>
      <c r="F16" t="s">
        <v>196</v>
      </c>
      <c r="G16" t="s">
        <v>6</v>
      </c>
      <c r="H16">
        <v>2115</v>
      </c>
      <c r="I16">
        <v>2123</v>
      </c>
      <c r="J16">
        <v>180</v>
      </c>
      <c r="K16">
        <v>8</v>
      </c>
      <c r="L16">
        <v>22.5</v>
      </c>
      <c r="M16" t="s">
        <v>141</v>
      </c>
      <c r="N16" t="s">
        <v>147</v>
      </c>
      <c r="O16" t="s">
        <v>268</v>
      </c>
      <c r="P16" t="s">
        <v>302</v>
      </c>
      <c r="Q16" t="s">
        <v>270</v>
      </c>
      <c r="R16" t="s">
        <v>303</v>
      </c>
      <c r="S16" t="s">
        <v>148</v>
      </c>
      <c r="T16" t="s">
        <v>160</v>
      </c>
      <c r="U16" t="s">
        <v>141</v>
      </c>
      <c r="V16" t="s">
        <v>256</v>
      </c>
      <c r="Y16">
        <v>1460</v>
      </c>
      <c r="Z16">
        <v>3540</v>
      </c>
      <c r="AA16">
        <v>3720</v>
      </c>
      <c r="AB16">
        <v>1280</v>
      </c>
    </row>
    <row r="17" spans="1:28" x14ac:dyDescent="0.3">
      <c r="A17">
        <v>2026</v>
      </c>
      <c r="B17" s="9">
        <v>46023</v>
      </c>
      <c r="C17" s="9">
        <v>46025</v>
      </c>
      <c r="D17" s="27" t="str" cm="1">
        <f t="array" ref="D17">IFERROR(INDEX('BDT''s'!C:C,MATCH(1,('BDT''s'!K:K=Diesel!F17)*('BDT''s'!I:I=Diesel!C17),0)),"-")</f>
        <v>-</v>
      </c>
      <c r="E17" t="s">
        <v>191</v>
      </c>
      <c r="F17" t="s">
        <v>192</v>
      </c>
      <c r="G17" t="s">
        <v>5</v>
      </c>
      <c r="H17">
        <v>2025</v>
      </c>
      <c r="I17">
        <v>2034</v>
      </c>
      <c r="J17">
        <v>280</v>
      </c>
      <c r="K17">
        <v>9</v>
      </c>
      <c r="L17">
        <v>31.111111111111111</v>
      </c>
      <c r="M17" t="s">
        <v>142</v>
      </c>
      <c r="N17" t="s">
        <v>304</v>
      </c>
      <c r="O17" t="s">
        <v>257</v>
      </c>
      <c r="P17" t="s">
        <v>305</v>
      </c>
      <c r="Q17" t="s">
        <v>259</v>
      </c>
      <c r="R17" t="s">
        <v>306</v>
      </c>
      <c r="S17" t="s">
        <v>261</v>
      </c>
      <c r="T17" t="s">
        <v>272</v>
      </c>
      <c r="U17" t="s">
        <v>142</v>
      </c>
      <c r="V17" t="s">
        <v>256</v>
      </c>
      <c r="Y17">
        <v>1280</v>
      </c>
      <c r="Z17">
        <v>3720</v>
      </c>
      <c r="AA17">
        <v>4000</v>
      </c>
      <c r="AB17">
        <v>1000</v>
      </c>
    </row>
    <row r="18" spans="1:28" x14ac:dyDescent="0.3">
      <c r="A18">
        <v>2026</v>
      </c>
      <c r="B18" s="9">
        <v>46023</v>
      </c>
      <c r="C18" s="9">
        <v>46025</v>
      </c>
      <c r="D18" s="27" t="str" cm="1">
        <f t="array" ref="D18">IFERROR(INDEX('BDT''s'!C:C,MATCH(1,('BDT''s'!K:K=Diesel!F18)*('BDT''s'!I:I=Diesel!C18),0)),"-")</f>
        <v>-</v>
      </c>
      <c r="E18" t="s">
        <v>193</v>
      </c>
      <c r="F18" t="s">
        <v>194</v>
      </c>
      <c r="G18" t="s">
        <v>6</v>
      </c>
      <c r="H18">
        <v>1219</v>
      </c>
      <c r="I18">
        <v>1221</v>
      </c>
      <c r="J18">
        <v>500</v>
      </c>
      <c r="K18">
        <v>2</v>
      </c>
      <c r="L18">
        <v>133.33333333333334</v>
      </c>
      <c r="M18" t="s">
        <v>105</v>
      </c>
      <c r="N18" t="s">
        <v>307</v>
      </c>
      <c r="O18" t="s">
        <v>263</v>
      </c>
      <c r="P18" t="s">
        <v>308</v>
      </c>
      <c r="Q18" t="s">
        <v>265</v>
      </c>
      <c r="R18" t="s">
        <v>309</v>
      </c>
      <c r="S18" t="s">
        <v>267</v>
      </c>
      <c r="T18" t="s">
        <v>261</v>
      </c>
      <c r="U18" t="s">
        <v>142</v>
      </c>
      <c r="V18" t="s">
        <v>256</v>
      </c>
      <c r="Y18">
        <v>1000</v>
      </c>
      <c r="Z18">
        <v>4000</v>
      </c>
      <c r="AA18">
        <v>4500</v>
      </c>
      <c r="AB18">
        <v>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C7E3-5F59-42CE-AFC0-D39DA0C17174}">
  <dimension ref="A1:P7"/>
  <sheetViews>
    <sheetView topLeftCell="D1" workbookViewId="0">
      <selection activeCell="I934" sqref="I934"/>
    </sheetView>
  </sheetViews>
  <sheetFormatPr defaultRowHeight="14.4" x14ac:dyDescent="0.3"/>
  <cols>
    <col min="1" max="1" width="19" bestFit="1" customWidth="1"/>
    <col min="2" max="3" width="23.6640625" bestFit="1" customWidth="1"/>
    <col min="4" max="6" width="14.77734375" bestFit="1" customWidth="1"/>
    <col min="7" max="7" width="20.109375" bestFit="1" customWidth="1"/>
    <col min="8" max="8" width="27.44140625" bestFit="1" customWidth="1"/>
    <col min="9" max="9" width="9.77734375" bestFit="1" customWidth="1"/>
    <col min="10" max="10" width="11.44140625" bestFit="1" customWidth="1"/>
    <col min="11" max="11" width="16.5546875" bestFit="1" customWidth="1"/>
    <col min="12" max="12" width="17.6640625" bestFit="1" customWidth="1"/>
    <col min="13" max="13" width="25.5546875" bestFit="1" customWidth="1"/>
    <col min="14" max="14" width="13" style="29" bestFit="1" customWidth="1"/>
    <col min="15" max="15" width="16" bestFit="1" customWidth="1"/>
    <col min="16" max="16" width="13" bestFit="1" customWidth="1"/>
  </cols>
  <sheetData>
    <row r="1" spans="1:16" x14ac:dyDescent="0.3">
      <c r="A1" t="s">
        <v>106</v>
      </c>
      <c r="B1" t="s">
        <v>50</v>
      </c>
      <c r="C1" t="s">
        <v>150</v>
      </c>
      <c r="D1" t="s">
        <v>108</v>
      </c>
      <c r="E1" t="s">
        <v>109</v>
      </c>
      <c r="F1" t="s">
        <v>110</v>
      </c>
      <c r="G1" t="s">
        <v>151</v>
      </c>
      <c r="H1" t="s">
        <v>112</v>
      </c>
      <c r="I1" t="s">
        <v>113</v>
      </c>
      <c r="J1" t="s">
        <v>70</v>
      </c>
      <c r="K1" t="s">
        <v>114</v>
      </c>
      <c r="L1" t="s">
        <v>115</v>
      </c>
      <c r="M1" t="s">
        <v>116</v>
      </c>
      <c r="N1" s="29" t="s">
        <v>117</v>
      </c>
      <c r="O1" t="s">
        <v>118</v>
      </c>
      <c r="P1" t="s">
        <v>119</v>
      </c>
    </row>
    <row r="2" spans="1:16" x14ac:dyDescent="0.3">
      <c r="A2" t="s">
        <v>190</v>
      </c>
      <c r="B2" t="s">
        <v>5</v>
      </c>
      <c r="C2" t="s">
        <v>310</v>
      </c>
      <c r="D2" t="s">
        <v>311</v>
      </c>
      <c r="E2" t="s">
        <v>312</v>
      </c>
      <c r="F2" t="s">
        <v>182</v>
      </c>
      <c r="G2">
        <v>400</v>
      </c>
      <c r="H2">
        <v>3</v>
      </c>
      <c r="I2" t="s">
        <v>79</v>
      </c>
      <c r="J2" t="s">
        <v>313</v>
      </c>
      <c r="K2" t="s">
        <v>314</v>
      </c>
      <c r="L2" t="s">
        <v>315</v>
      </c>
      <c r="M2" t="s">
        <v>316</v>
      </c>
      <c r="N2" s="29" t="s">
        <v>252</v>
      </c>
      <c r="O2" t="s">
        <v>254</v>
      </c>
      <c r="P2">
        <v>100</v>
      </c>
    </row>
    <row r="3" spans="1:16" x14ac:dyDescent="0.3">
      <c r="A3" t="s">
        <v>192</v>
      </c>
      <c r="B3" t="s">
        <v>5</v>
      </c>
      <c r="C3" t="s">
        <v>317</v>
      </c>
      <c r="D3" t="s">
        <v>318</v>
      </c>
      <c r="E3" t="s">
        <v>319</v>
      </c>
      <c r="F3" t="s">
        <v>320</v>
      </c>
      <c r="G3">
        <v>280</v>
      </c>
      <c r="H3">
        <v>4</v>
      </c>
      <c r="I3" t="s">
        <v>79</v>
      </c>
      <c r="J3" t="s">
        <v>321</v>
      </c>
      <c r="K3" t="s">
        <v>322</v>
      </c>
      <c r="L3" t="s">
        <v>323</v>
      </c>
      <c r="M3" t="s">
        <v>324</v>
      </c>
      <c r="N3" s="29" t="s">
        <v>257</v>
      </c>
      <c r="O3" t="s">
        <v>259</v>
      </c>
      <c r="P3">
        <v>150</v>
      </c>
    </row>
    <row r="4" spans="1:16" x14ac:dyDescent="0.3">
      <c r="A4" t="s">
        <v>194</v>
      </c>
      <c r="B4" t="s">
        <v>6</v>
      </c>
      <c r="C4" t="s">
        <v>325</v>
      </c>
      <c r="D4" t="s">
        <v>326</v>
      </c>
      <c r="E4" t="s">
        <v>327</v>
      </c>
      <c r="F4" t="s">
        <v>328</v>
      </c>
      <c r="G4">
        <v>500</v>
      </c>
      <c r="H4">
        <v>3</v>
      </c>
      <c r="I4" t="s">
        <v>79</v>
      </c>
      <c r="J4" t="s">
        <v>329</v>
      </c>
      <c r="K4" t="s">
        <v>330</v>
      </c>
      <c r="L4" t="s">
        <v>331</v>
      </c>
      <c r="M4" t="s">
        <v>332</v>
      </c>
      <c r="N4" s="29" t="s">
        <v>263</v>
      </c>
      <c r="O4" t="s">
        <v>265</v>
      </c>
      <c r="P4">
        <v>300</v>
      </c>
    </row>
    <row r="5" spans="1:16" x14ac:dyDescent="0.3">
      <c r="A5" t="s">
        <v>196</v>
      </c>
      <c r="B5" t="s">
        <v>6</v>
      </c>
      <c r="C5" t="s">
        <v>333</v>
      </c>
      <c r="D5" t="s">
        <v>334</v>
      </c>
      <c r="E5" t="s">
        <v>335</v>
      </c>
      <c r="F5" t="s">
        <v>336</v>
      </c>
      <c r="G5">
        <v>330</v>
      </c>
      <c r="H5">
        <v>4</v>
      </c>
      <c r="I5" t="s">
        <v>79</v>
      </c>
      <c r="J5" t="s">
        <v>337</v>
      </c>
      <c r="K5" t="s">
        <v>338</v>
      </c>
      <c r="L5" t="s">
        <v>339</v>
      </c>
      <c r="M5" t="s">
        <v>340</v>
      </c>
      <c r="N5" s="29" t="s">
        <v>268</v>
      </c>
      <c r="O5" t="s">
        <v>270</v>
      </c>
      <c r="P5">
        <v>100</v>
      </c>
    </row>
    <row r="6" spans="1:16" x14ac:dyDescent="0.3">
      <c r="A6" t="s">
        <v>198</v>
      </c>
      <c r="B6" t="s">
        <v>7</v>
      </c>
      <c r="C6" t="s">
        <v>298</v>
      </c>
      <c r="D6" t="s">
        <v>298</v>
      </c>
      <c r="E6" t="s">
        <v>298</v>
      </c>
      <c r="F6" t="s">
        <v>298</v>
      </c>
      <c r="G6">
        <v>400</v>
      </c>
      <c r="H6">
        <v>1</v>
      </c>
      <c r="I6" t="s">
        <v>4</v>
      </c>
      <c r="J6" t="s">
        <v>165</v>
      </c>
      <c r="K6" t="s">
        <v>165</v>
      </c>
      <c r="L6" t="s">
        <v>165</v>
      </c>
      <c r="M6" t="s">
        <v>165</v>
      </c>
      <c r="N6" s="29" t="s">
        <v>298</v>
      </c>
      <c r="O6" t="s">
        <v>298</v>
      </c>
      <c r="P6">
        <v>400</v>
      </c>
    </row>
    <row r="7" spans="1:16" x14ac:dyDescent="0.3">
      <c r="A7" t="s">
        <v>200</v>
      </c>
      <c r="B7" t="s">
        <v>7</v>
      </c>
      <c r="C7" t="s">
        <v>341</v>
      </c>
      <c r="D7" t="s">
        <v>341</v>
      </c>
      <c r="E7" t="s">
        <v>326</v>
      </c>
      <c r="F7" t="s">
        <v>342</v>
      </c>
      <c r="G7">
        <v>380</v>
      </c>
      <c r="H7">
        <v>2</v>
      </c>
      <c r="I7" t="s">
        <v>79</v>
      </c>
      <c r="J7" t="s">
        <v>343</v>
      </c>
      <c r="K7" t="s">
        <v>344</v>
      </c>
      <c r="L7" t="s">
        <v>345</v>
      </c>
      <c r="M7" t="s">
        <v>346</v>
      </c>
      <c r="N7" s="29" t="s">
        <v>278</v>
      </c>
      <c r="O7" t="s">
        <v>280</v>
      </c>
      <c r="P7">
        <v>340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43105-4D35-422C-AE25-D3E1D38E5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Metas Mensais</vt:lpstr>
      <vt:lpstr>Cadastros</vt:lpstr>
      <vt:lpstr>BDT's</vt:lpstr>
      <vt:lpstr>Controle Mensal</vt:lpstr>
      <vt:lpstr>Disponibilidade</vt:lpstr>
      <vt:lpstr>Metas DM &amp; DO</vt:lpstr>
      <vt:lpstr>Diesel</vt:lpstr>
      <vt:lpstr>Metas Diesel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Aprendiz-Lavras1</dc:creator>
  <cp:lastModifiedBy>Aprendiz Lavras1</cp:lastModifiedBy>
  <dcterms:created xsi:type="dcterms:W3CDTF">2015-06-05T18:19:34Z</dcterms:created>
  <dcterms:modified xsi:type="dcterms:W3CDTF">2026-02-05T14:24:04Z</dcterms:modified>
</cp:coreProperties>
</file>