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" sheetId="1" r:id="rId4"/>
    <sheet state="visible" name="Calcoli" sheetId="2" r:id="rId5"/>
    <sheet state="visible" name="Grafici" sheetId="3" r:id="rId6"/>
  </sheets>
  <definedNames>
    <definedName hidden="1" localSheetId="0" name="_xlnm._FilterDatabase">Dati!$A$1:$K$63</definedName>
  </definedNames>
  <calcPr/>
</workbook>
</file>

<file path=xl/sharedStrings.xml><?xml version="1.0" encoding="utf-8"?>
<sst xmlns="http://schemas.openxmlformats.org/spreadsheetml/2006/main" count="140" uniqueCount="136">
  <si>
    <t>Gratta e Vinci</t>
  </si>
  <si>
    <t>Costo</t>
  </si>
  <si>
    <t>Valore Atteso</t>
  </si>
  <si>
    <t>Perdita</t>
  </si>
  <si>
    <t>Perdità %</t>
  </si>
  <si>
    <t>% Vittoria</t>
  </si>
  <si>
    <t>1 000+</t>
  </si>
  <si>
    <t>10 000+</t>
  </si>
  <si>
    <t>100 000+</t>
  </si>
  <si>
    <t>Vincita Max</t>
  </si>
  <si>
    <t>Link</t>
  </si>
  <si>
    <t xml:space="preserve">Note </t>
  </si>
  <si>
    <t>https://www.grattaevinci.com/classico</t>
  </si>
  <si>
    <t>Testa o Croce</t>
  </si>
  <si>
    <t>https://www.grattaevinci.com/classico/testa-o-croce</t>
  </si>
  <si>
    <t>Verificare Correlazione tra Basso Valore Atteso e Alta Vincita Massima</t>
  </si>
  <si>
    <t>Ping Pong</t>
  </si>
  <si>
    <t>https://www.grattaevinci.com/classico/ping-pong</t>
  </si>
  <si>
    <t>Rifare Formattazione condizionale alla fine</t>
  </si>
  <si>
    <t>New Sette e Mezzo</t>
  </si>
  <si>
    <t>https://www.grattaevinci.com/classico/new-sette-e-mezzo</t>
  </si>
  <si>
    <t>Inserire vincita massima -&gt; Vedere link sotto griglia</t>
  </si>
  <si>
    <t>Monetine Fortunate</t>
  </si>
  <si>
    <t>https://www.grattaevinci.com/classico/monetine-fortunate</t>
  </si>
  <si>
    <t>Fai Scopa New</t>
  </si>
  <si>
    <t>https://www.grattaevinci.com/classico/fai-scopa-new</t>
  </si>
  <si>
    <t>Fare alcuni tentativi per verificare correlazioni</t>
  </si>
  <si>
    <t>Mia Ipotesi Se Vincita Max Alta percentuale vittoria bassa</t>
  </si>
  <si>
    <t>Portafortuna Mini</t>
  </si>
  <si>
    <t>https://www.grattaevinci.com/classico/portafortuna-mini</t>
  </si>
  <si>
    <t>- Valore Atteso e %Vittoria</t>
  </si>
  <si>
    <t>Mini Doppia Sfida</t>
  </si>
  <si>
    <t>https://www.grattaevinci.com/classico/mini-doppia-sfida</t>
  </si>
  <si>
    <t>- Valore Atteso e Vincita Max (meglio farlo con Perdita% in modo da riportare tutti i dati sulla stessa scala???)</t>
  </si>
  <si>
    <t>Il Tris Vincente</t>
  </si>
  <si>
    <t>https://www.grattaevinci.com/classico/il-tris-vincente</t>
  </si>
  <si>
    <t>- Valore Atteso e %Perdita (ha senso visto che la perdita è calcolata dal valore atteso???)</t>
  </si>
  <si>
    <t>Nuovo 10x</t>
  </si>
  <si>
    <t>https://www.grattaevinci.com/classico/10x-nuovo</t>
  </si>
  <si>
    <t>- %Vittoria e 1 000+</t>
  </si>
  <si>
    <t>Buongiorno</t>
  </si>
  <si>
    <t>https://www.grattaevinci.com/classico/buongiorno</t>
  </si>
  <si>
    <t>- %Vittoria e 10 000+</t>
  </si>
  <si>
    <t>Tombola Mini</t>
  </si>
  <si>
    <t>https://www.grattaevinci.com/classico/tombola-mini</t>
  </si>
  <si>
    <t>- %Vittoria e 100 000+</t>
  </si>
  <si>
    <t>Un'estate al mare mini</t>
  </si>
  <si>
    <t>https://www.grattaevinci.com/classico/un-estate-al-mare-mini</t>
  </si>
  <si>
    <t>- Vincita Max e %Vittoria</t>
  </si>
  <si>
    <t>Doppia Sfida Small</t>
  </si>
  <si>
    <t>https://www.grattaevinci.com/classico/doppia-sfida-small</t>
  </si>
  <si>
    <t>- Perdita% e Costo</t>
  </si>
  <si>
    <t>Nuovo 15x</t>
  </si>
  <si>
    <t>https://www.grattaevinci.com/classico/nuovo-15x</t>
  </si>
  <si>
    <t>- etc...</t>
  </si>
  <si>
    <t xml:space="preserve">Numeri Fortunati </t>
  </si>
  <si>
    <t>https://www.grattaevinci.com/classico/numeri-fortunati</t>
  </si>
  <si>
    <t>Crucijolly</t>
  </si>
  <si>
    <t>https://www.grattaevinci.com/classico/crucijolly</t>
  </si>
  <si>
    <t>-Confrontare con altri giochi famosi</t>
  </si>
  <si>
    <t>https://giocoresponsabile.info/statistiche-del-gioco/</t>
  </si>
  <si>
    <t>Numeri Fortunati New</t>
  </si>
  <si>
    <t>https://www.grattaevinci.com/classico/numeri-fortunati-new</t>
  </si>
  <si>
    <t>-%Perdita Gratta e Vinci vs Lotto</t>
  </si>
  <si>
    <t>Anni '70</t>
  </si>
  <si>
    <t>https://www.grattaevinci.com/classico/anni-70</t>
  </si>
  <si>
    <t>-%Perdita Gratta e Vinci vs Scommesse Sportive</t>
  </si>
  <si>
    <t>New Super Sette e Mezzo</t>
  </si>
  <si>
    <t>https://www.grattaevinci.com/classico/new-super-sette-e-mezzo</t>
  </si>
  <si>
    <t>Un magico natale</t>
  </si>
  <si>
    <t>https://www.grattaevinci.com/classico/un-magico-natale</t>
  </si>
  <si>
    <t>Il Miliardario</t>
  </si>
  <si>
    <t>https://www.grattaevinci.com/classico/il-miliardario</t>
  </si>
  <si>
    <t>- Scrivere un primo blog post su questa mia analisi</t>
  </si>
  <si>
    <t>Miliardario New</t>
  </si>
  <si>
    <t>https://www.grattaevinci.com/classico/miliardario-new</t>
  </si>
  <si>
    <r>
      <rPr/>
      <t xml:space="preserve">Prima leggere </t>
    </r>
    <r>
      <rPr>
        <color rgb="FF1155CC"/>
        <u/>
      </rPr>
      <t>https://www.paulgraham.com/essay.html</t>
    </r>
  </si>
  <si>
    <t>New Turista per Sempre</t>
  </si>
  <si>
    <t>https://www.grattaevinci.com/classico/new-turista-per-sempre</t>
  </si>
  <si>
    <t>Nuovo Doppia Sfida</t>
  </si>
  <si>
    <t>https://www.grattaevinci.com/classico/nuovo-doppia-sfida</t>
  </si>
  <si>
    <t>- Controllare anche Devianza per vedere differenze tra i vari gruppi???</t>
  </si>
  <si>
    <t>New Tutto Per Tutto</t>
  </si>
  <si>
    <t>https://www.grattaevinci.com/classico/new-tutto-per-tutto</t>
  </si>
  <si>
    <t>Speed Cash</t>
  </si>
  <si>
    <t>https://www.grattaevinci.com/classico/speed-cash</t>
  </si>
  <si>
    <t>- Fare tabella con media, varianza e devianza tra i gruppi</t>
  </si>
  <si>
    <t>Doppia Sfida Classic</t>
  </si>
  <si>
    <t>https://www.grattaevinci.com/classico/doppia-sfida-classic</t>
  </si>
  <si>
    <t>Nuovo 20x</t>
  </si>
  <si>
    <t>https://www.grattaevinci.com/classico/20x-nuovo</t>
  </si>
  <si>
    <t xml:space="preserve">Altre correlazioni: </t>
  </si>
  <si>
    <t>Il Turista per Sempre</t>
  </si>
  <si>
    <t>https://www.grattaevinci.com/classico/il-turista-per-sempre</t>
  </si>
  <si>
    <t>- Costo del biglietto e %Vittoria</t>
  </si>
  <si>
    <t>La Star</t>
  </si>
  <si>
    <t>https://www.grattaevinci.com/classico/LaStar</t>
  </si>
  <si>
    <t>Numerissimi</t>
  </si>
  <si>
    <t>https://www.grattaevinci.com/classico/numerissimi</t>
  </si>
  <si>
    <t>Portafortuna Plus</t>
  </si>
  <si>
    <t>Colpo Ricco</t>
  </si>
  <si>
    <t>Pop 5€</t>
  </si>
  <si>
    <t>Tombola Fortunata</t>
  </si>
  <si>
    <t>Un'estate al mare</t>
  </si>
  <si>
    <t>Tombola Classic</t>
  </si>
  <si>
    <t>500 Special Turbo</t>
  </si>
  <si>
    <t>Forza 100 200</t>
  </si>
  <si>
    <t>Il Miliardario Mega</t>
  </si>
  <si>
    <t>Mega Miliardario New</t>
  </si>
  <si>
    <t>Turbo Cash</t>
  </si>
  <si>
    <t>Nuovo 50X</t>
  </si>
  <si>
    <t>Premi Stellari</t>
  </si>
  <si>
    <t>Doppia Sfida Super</t>
  </si>
  <si>
    <t>Super Numerissimi</t>
  </si>
  <si>
    <t>Regina di Cuori</t>
  </si>
  <si>
    <t>Sfinge d'Oro</t>
  </si>
  <si>
    <t>New Bonus Tutto per Tutto</t>
  </si>
  <si>
    <t>Ricco Natale</t>
  </si>
  <si>
    <t>Sotto il Sole</t>
  </si>
  <si>
    <t>Tombola Super</t>
  </si>
  <si>
    <t>Un'estate al Mare Super</t>
  </si>
  <si>
    <t>€50&amp;€100</t>
  </si>
  <si>
    <t xml:space="preserve">La Grande Occasione </t>
  </si>
  <si>
    <t>Nuovo 100x</t>
  </si>
  <si>
    <t>Il Miliardario Maxi</t>
  </si>
  <si>
    <t>Maxi Miliardario New</t>
  </si>
  <si>
    <t>Ultra Numerissimi</t>
  </si>
  <si>
    <t>New Extra Tutto per Tutto</t>
  </si>
  <si>
    <t>Vinci in Grande</t>
  </si>
  <si>
    <t>Super Gold</t>
  </si>
  <si>
    <t>Gruppo</t>
  </si>
  <si>
    <t>Conteggio</t>
  </si>
  <si>
    <t>Perdita%</t>
  </si>
  <si>
    <t>1000+</t>
  </si>
  <si>
    <t>Tutti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</si>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</sst>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"/>
    <numFmt numFmtId="165" formatCode="0.000000%"/>
    <numFmt numFmtId="166" formatCode="0.0000000%"/>
    <numFmt numFmtId="167" formatCode="[$€-2]\ #,##0.00"/>
    <numFmt numFmtId="168" formatCode="#,##0&quot;€&quot;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2" fontId="3" numFmtId="2" xfId="0" applyFont="1" applyNumberFormat="1"/>
    <xf borderId="0" fillId="0" fontId="3" numFmtId="10" xfId="0" applyFont="1" applyNumberFormat="1"/>
    <xf borderId="0" fillId="0" fontId="3" numFmtId="165" xfId="0" applyFont="1" applyNumberFormat="1"/>
    <xf borderId="0" fillId="0" fontId="3" numFmtId="166" xfId="0" applyFont="1" applyNumberForma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5" numFmtId="0" xfId="0" applyAlignment="1" applyFont="1">
      <alignment readingOrder="0" shrinkToFit="0" wrapText="0"/>
    </xf>
    <xf borderId="0" fillId="2" fontId="3" numFmtId="4" xfId="0" applyFont="1" applyNumberFormat="1"/>
    <xf borderId="0" fillId="0" fontId="6" numFmtId="0" xfId="0" applyAlignment="1" applyFont="1">
      <alignment readingOrder="0"/>
    </xf>
    <xf borderId="0" fillId="2" fontId="3" numFmtId="2" xfId="0" applyAlignment="1" applyFont="1" applyNumberFormat="1">
      <alignment readingOrder="0"/>
    </xf>
    <xf borderId="0" fillId="2" fontId="3" numFmtId="1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4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 shrinkToFit="0" wrapText="0"/>
    </xf>
    <xf borderId="0" fillId="0" fontId="3" numFmtId="3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3" numFmtId="0" xfId="0" applyAlignment="1" applyFont="1">
      <alignment shrinkToFit="0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167" xfId="0" applyAlignment="1" applyBorder="1" applyFont="1" applyNumberFormat="1">
      <alignment readingOrder="0" shrinkToFit="0" vertical="center" wrapText="0"/>
    </xf>
    <xf borderId="5" fillId="0" fontId="3" numFmtId="3" xfId="0" applyAlignment="1" applyBorder="1" applyFont="1" applyNumberFormat="1">
      <alignment readingOrder="0" shrinkToFit="0" vertical="center" wrapText="0"/>
    </xf>
    <xf borderId="5" fillId="0" fontId="3" numFmtId="2" xfId="0" applyAlignment="1" applyBorder="1" applyFont="1" applyNumberFormat="1">
      <alignment shrinkToFit="0" vertical="center" wrapText="0"/>
    </xf>
    <xf borderId="5" fillId="0" fontId="3" numFmtId="10" xfId="0" applyAlignment="1" applyBorder="1" applyFont="1" applyNumberFormat="1">
      <alignment shrinkToFit="0" vertical="center" wrapText="0"/>
    </xf>
    <xf borderId="5" fillId="0" fontId="3" numFmtId="165" xfId="0" applyAlignment="1" applyBorder="1" applyFont="1" applyNumberFormat="1">
      <alignment shrinkToFit="0" vertical="center" wrapText="0"/>
    </xf>
    <xf borderId="6" fillId="0" fontId="3" numFmtId="166" xfId="0" applyAlignment="1" applyBorder="1" applyFont="1" applyNumberFormat="1">
      <alignment shrinkToFit="0" vertical="center" wrapText="0"/>
    </xf>
    <xf borderId="7" fillId="0" fontId="3" numFmtId="168" xfId="0" applyAlignment="1" applyBorder="1" applyFont="1" applyNumberFormat="1">
      <alignment readingOrder="0" shrinkToFit="0" vertical="center" wrapText="0"/>
    </xf>
    <xf borderId="8" fillId="0" fontId="3" numFmtId="3" xfId="0" applyAlignment="1" applyBorder="1" applyFont="1" applyNumberFormat="1">
      <alignment readingOrder="0" shrinkToFit="0" vertical="center" wrapText="0"/>
    </xf>
    <xf borderId="8" fillId="0" fontId="3" numFmtId="2" xfId="0" applyAlignment="1" applyBorder="1" applyFont="1" applyNumberFormat="1">
      <alignment shrinkToFit="0" vertical="center" wrapText="0"/>
    </xf>
    <xf borderId="8" fillId="0" fontId="3" numFmtId="10" xfId="0" applyAlignment="1" applyBorder="1" applyFont="1" applyNumberFormat="1">
      <alignment shrinkToFit="0" vertical="center" wrapText="0"/>
    </xf>
    <xf borderId="8" fillId="0" fontId="3" numFmtId="165" xfId="0" applyAlignment="1" applyBorder="1" applyFont="1" applyNumberFormat="1">
      <alignment shrinkToFit="0" vertical="center" wrapText="0"/>
    </xf>
    <xf borderId="9" fillId="0" fontId="3" numFmtId="166" xfId="0" applyAlignment="1" applyBorder="1" applyFont="1" applyNumberFormat="1">
      <alignment shrinkToFit="0" vertical="center" wrapText="0"/>
    </xf>
    <xf borderId="4" fillId="0" fontId="3" numFmtId="168" xfId="0" applyAlignment="1" applyBorder="1" applyFont="1" applyNumberFormat="1">
      <alignment readingOrder="0" shrinkToFit="0" vertical="center" wrapText="0"/>
    </xf>
    <xf borderId="7" fillId="0" fontId="3" numFmtId="164" xfId="0" applyAlignment="1" applyBorder="1" applyFont="1" applyNumberFormat="1">
      <alignment readingOrder="0" shrinkToFit="0" vertical="center" wrapText="0"/>
    </xf>
    <xf borderId="4" fillId="0" fontId="3" numFmtId="164" xfId="0" applyAlignment="1" applyBorder="1" applyFont="1" applyNumberFormat="1">
      <alignment readingOrder="0" shrinkToFit="0" vertical="center" wrapText="0"/>
    </xf>
    <xf borderId="8" fillId="0" fontId="3" numFmtId="3" xfId="0" applyAlignment="1" applyBorder="1" applyFont="1" applyNumberFormat="1">
      <alignment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3" numFmtId="3" xfId="0" applyAlignment="1" applyBorder="1" applyFont="1" applyNumberForma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10" xfId="0" applyAlignment="1" applyBorder="1" applyFont="1" applyNumberFormat="1">
      <alignment shrinkToFit="0" vertical="center" wrapText="0"/>
    </xf>
    <xf borderId="11" fillId="0" fontId="3" numFmtId="165" xfId="0" applyAlignment="1" applyBorder="1" applyFont="1" applyNumberFormat="1">
      <alignment shrinkToFit="0" vertical="center" wrapText="0"/>
    </xf>
    <xf borderId="12" fillId="0" fontId="3" numFmtId="166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alcol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Valore Atteso &amp; %Vittoria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5"/>
            <c:marker>
              <c:symbol val="none"/>
            </c:marker>
          </c:dPt>
          <c:xVal>
            <c:numRef>
              <c:f>Dati!$C$2:$C$1000</c:f>
            </c:numRef>
          </c:xVal>
          <c:yVal>
            <c:numRef>
              <c:f>Dati!$F$2:$F$1000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59247"/>
        <c:axId val="256624146"/>
      </c:scatterChart>
      <c:valAx>
        <c:axId val="18354592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Valore Atteso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624146"/>
      </c:valAx>
      <c:valAx>
        <c:axId val="256624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Vittoria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459247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Costo &amp; %Vittoria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Dati!$B$2:$B$1000</c:f>
            </c:numRef>
          </c:xVal>
          <c:yVal>
            <c:numRef>
              <c:f>Dati!$F$2:$F$1000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54545"/>
        <c:axId val="266560521"/>
      </c:scatterChart>
      <c:valAx>
        <c:axId val="8756545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560521"/>
      </c:valAx>
      <c:valAx>
        <c:axId val="266560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654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Costo &amp; Perdita%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Dati!$B$2:$B$1000</c:f>
            </c:numRef>
          </c:xVal>
          <c:yVal>
            <c:numRef>
              <c:f>Dati!$E$2:$E$1000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01975"/>
        <c:axId val="2040079999"/>
      </c:scatterChart>
      <c:valAx>
        <c:axId val="8223019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079999"/>
      </c:valAx>
      <c:valAx>
        <c:axId val="2040079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301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%Vittoria &amp; 1 000+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Dati!$G$2:$G$1000</c:f>
            </c:numRef>
          </c:xVal>
          <c:yVal>
            <c:numRef>
              <c:f>Dati!$F$2:$F$1000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21204"/>
        <c:axId val="820094104"/>
      </c:scatterChart>
      <c:valAx>
        <c:axId val="6306212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094104"/>
      </c:valAx>
      <c:valAx>
        <c:axId val="820094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621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%Vittoria &amp; 10 000+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Dati!$H$2:$H$1000</c:f>
            </c:numRef>
          </c:xVal>
          <c:yVal>
            <c:numRef>
              <c:f>Dati!$F$2:$F$1000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47695"/>
        <c:axId val="930513793"/>
      </c:scatterChart>
      <c:valAx>
        <c:axId val="486947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513793"/>
      </c:valAx>
      <c:valAx>
        <c:axId val="930513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947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%Vittoria &amp; 100 000+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4"/>
            <c:marker>
              <c:symbol val="none"/>
            </c:marker>
          </c:dPt>
          <c:xVal>
            <c:numRef>
              <c:f>Dati!$I$2:$I$1000</c:f>
            </c:numRef>
          </c:xVal>
          <c:yVal>
            <c:numRef>
              <c:f>Dati!$F$2:$F$1000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05715"/>
        <c:axId val="48986257"/>
      </c:scatterChart>
      <c:valAx>
        <c:axId val="881405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86257"/>
      </c:valAx>
      <c:valAx>
        <c:axId val="48986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405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Vincita Max &amp; Perdità%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Dati!$J$2:$J$1000</c:f>
            </c:numRef>
          </c:xVal>
          <c:yVal>
            <c:numRef>
              <c:f>Dati!$E$2:$E$1000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252669"/>
        <c:axId val="167676986"/>
      </c:scatterChart>
      <c:valAx>
        <c:axId val="10772526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76986"/>
      </c:valAx>
      <c:valAx>
        <c:axId val="167676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252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Vincita Max &amp; %Vittoria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Dati!$J$2:$J$1000</c:f>
            </c:numRef>
          </c:xVal>
          <c:yVal>
            <c:numRef>
              <c:f>Dati!$F$2:$F$1000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42181"/>
        <c:axId val="230464198"/>
      </c:scatterChart>
      <c:valAx>
        <c:axId val="20491421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464198"/>
      </c:valAx>
      <c:valAx>
        <c:axId val="230464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142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847725</xdr:colOff>
      <xdr:row>0</xdr:row>
      <xdr:rowOff>0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904875</xdr:colOff>
      <xdr:row>17</xdr:row>
      <xdr:rowOff>133350</xdr:rowOff>
    </xdr:from>
    <xdr:ext cx="5715000" cy="353377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847725</xdr:colOff>
      <xdr:row>17</xdr:row>
      <xdr:rowOff>133350</xdr:rowOff>
    </xdr:from>
    <xdr:ext cx="5715000" cy="3533775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66675</xdr:rowOff>
    </xdr:from>
    <xdr:ext cx="5715000" cy="3533775"/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904875</xdr:colOff>
      <xdr:row>35</xdr:row>
      <xdr:rowOff>66675</xdr:rowOff>
    </xdr:from>
    <xdr:ext cx="5715000" cy="3533775"/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12" displayName="Tabella_1" name="Tabella_1" id="1">
  <tableColumns count="8">
    <tableColumn name="Gruppo" id="1"/>
    <tableColumn name="Conteggio" id="2"/>
    <tableColumn name="Valore Atteso" id="3"/>
    <tableColumn name="Perdita%" id="4"/>
    <tableColumn name="% Vittoria" id="5"/>
    <tableColumn name="1000+" id="6"/>
    <tableColumn name="10 000+" id="7"/>
    <tableColumn name="100 000+" id="8"/>
  </tableColumns>
  <tableStyleInfo name="Calcol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rattaevinci.com/classico/anni-70" TargetMode="External"/><Relationship Id="rId22" Type="http://schemas.openxmlformats.org/officeDocument/2006/relationships/hyperlink" Target="https://www.grattaevinci.com/classico/un-magico-natale" TargetMode="External"/><Relationship Id="rId21" Type="http://schemas.openxmlformats.org/officeDocument/2006/relationships/hyperlink" Target="https://www.grattaevinci.com/classico/new-super-sette-e-mezzo" TargetMode="External"/><Relationship Id="rId24" Type="http://schemas.openxmlformats.org/officeDocument/2006/relationships/hyperlink" Target="https://www.grattaevinci.com/classico/miliardario-new" TargetMode="External"/><Relationship Id="rId23" Type="http://schemas.openxmlformats.org/officeDocument/2006/relationships/hyperlink" Target="https://www.grattaevinci.com/classico/il-miliardario" TargetMode="External"/><Relationship Id="rId1" Type="http://schemas.openxmlformats.org/officeDocument/2006/relationships/hyperlink" Target="https://www.grattaevinci.com/classico" TargetMode="External"/><Relationship Id="rId2" Type="http://schemas.openxmlformats.org/officeDocument/2006/relationships/hyperlink" Target="https://www.grattaevinci.com/classico/testa-o-croce" TargetMode="External"/><Relationship Id="rId3" Type="http://schemas.openxmlformats.org/officeDocument/2006/relationships/hyperlink" Target="https://www.grattaevinci.com/classico/ping-pong" TargetMode="External"/><Relationship Id="rId4" Type="http://schemas.openxmlformats.org/officeDocument/2006/relationships/hyperlink" Target="https://www.grattaevinci.com/classico/new-sette-e-mezzo" TargetMode="External"/><Relationship Id="rId9" Type="http://schemas.openxmlformats.org/officeDocument/2006/relationships/hyperlink" Target="https://www.grattaevinci.com/classico/il-tris-vincente" TargetMode="External"/><Relationship Id="rId26" Type="http://schemas.openxmlformats.org/officeDocument/2006/relationships/hyperlink" Target="https://www.grattaevinci.com/classico/new-turista-per-sempre" TargetMode="External"/><Relationship Id="rId25" Type="http://schemas.openxmlformats.org/officeDocument/2006/relationships/hyperlink" Target="https://www.paulgraham.com/essay.html" TargetMode="External"/><Relationship Id="rId28" Type="http://schemas.openxmlformats.org/officeDocument/2006/relationships/hyperlink" Target="https://www.grattaevinci.com/classico/new-tutto-per-tutto" TargetMode="External"/><Relationship Id="rId27" Type="http://schemas.openxmlformats.org/officeDocument/2006/relationships/hyperlink" Target="https://www.grattaevinci.com/classico/nuovo-doppia-sfida" TargetMode="External"/><Relationship Id="rId5" Type="http://schemas.openxmlformats.org/officeDocument/2006/relationships/hyperlink" Target="https://www.grattaevinci.com/classico/monetine-fortunate" TargetMode="External"/><Relationship Id="rId6" Type="http://schemas.openxmlformats.org/officeDocument/2006/relationships/hyperlink" Target="https://www.grattaevinci.com/classico/fai-scopa-new" TargetMode="External"/><Relationship Id="rId29" Type="http://schemas.openxmlformats.org/officeDocument/2006/relationships/hyperlink" Target="https://www.grattaevinci.com/classico/speed-cash" TargetMode="External"/><Relationship Id="rId7" Type="http://schemas.openxmlformats.org/officeDocument/2006/relationships/hyperlink" Target="https://www.grattaevinci.com/classico/portafortuna-mini" TargetMode="External"/><Relationship Id="rId8" Type="http://schemas.openxmlformats.org/officeDocument/2006/relationships/hyperlink" Target="https://www.grattaevinci.com/classico/mini-doppia-sfida" TargetMode="External"/><Relationship Id="rId31" Type="http://schemas.openxmlformats.org/officeDocument/2006/relationships/hyperlink" Target="https://www.grattaevinci.com/classico/20x-nuovo" TargetMode="External"/><Relationship Id="rId30" Type="http://schemas.openxmlformats.org/officeDocument/2006/relationships/hyperlink" Target="https://www.grattaevinci.com/classico/doppia-sfida-classic" TargetMode="External"/><Relationship Id="rId11" Type="http://schemas.openxmlformats.org/officeDocument/2006/relationships/hyperlink" Target="https://www.grattaevinci.com/classico/buongiorno" TargetMode="External"/><Relationship Id="rId33" Type="http://schemas.openxmlformats.org/officeDocument/2006/relationships/hyperlink" Target="https://www.grattaevinci.com/classico/LaStar" TargetMode="External"/><Relationship Id="rId10" Type="http://schemas.openxmlformats.org/officeDocument/2006/relationships/hyperlink" Target="https://www.grattaevinci.com/classico/10x-nuovo" TargetMode="External"/><Relationship Id="rId32" Type="http://schemas.openxmlformats.org/officeDocument/2006/relationships/hyperlink" Target="https://www.grattaevinci.com/classico/il-turista-per-sempre" TargetMode="External"/><Relationship Id="rId13" Type="http://schemas.openxmlformats.org/officeDocument/2006/relationships/hyperlink" Target="https://www.grattaevinci.com/classico/un-estate-al-mare-mini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www.grattaevinci.com/classico/tombola-mini" TargetMode="External"/><Relationship Id="rId34" Type="http://schemas.openxmlformats.org/officeDocument/2006/relationships/hyperlink" Target="https://www.grattaevinci.com/classico/numerissimi" TargetMode="External"/><Relationship Id="rId15" Type="http://schemas.openxmlformats.org/officeDocument/2006/relationships/hyperlink" Target="https://www.grattaevinci.com/classico/nuovo-15x" TargetMode="External"/><Relationship Id="rId14" Type="http://schemas.openxmlformats.org/officeDocument/2006/relationships/hyperlink" Target="https://www.grattaevinci.com/classico/doppia-sfida-small" TargetMode="External"/><Relationship Id="rId17" Type="http://schemas.openxmlformats.org/officeDocument/2006/relationships/hyperlink" Target="https://www.grattaevinci.com/classico/crucijolly" TargetMode="External"/><Relationship Id="rId16" Type="http://schemas.openxmlformats.org/officeDocument/2006/relationships/hyperlink" Target="https://www.grattaevinci.com/classico/numeri-fortunati" TargetMode="External"/><Relationship Id="rId19" Type="http://schemas.openxmlformats.org/officeDocument/2006/relationships/hyperlink" Target="https://www.grattaevinci.com/classico/numeri-fortunati-new" TargetMode="External"/><Relationship Id="rId18" Type="http://schemas.openxmlformats.org/officeDocument/2006/relationships/hyperlink" Target="https://giocoresponsabile.info/statistiche-del-gioco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10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M1" s="1" t="s">
        <v>11</v>
      </c>
      <c r="N1" s="4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13</v>
      </c>
      <c r="B2" s="6">
        <v>0.5</v>
      </c>
      <c r="C2" s="7">
        <f>(1*(1/13.64))+(5*(1/27.27))+(10*(1/125))+(25*(1/1200))+(50*(1/12000))+(100*(1/24000))+(250*(1/120000))+(1000*(1/240000))</f>
        <v>0.3720821182</v>
      </c>
      <c r="D2" s="7">
        <f t="shared" ref="D2:D63" si="1">C2-B2</f>
        <v>-0.1279178818</v>
      </c>
      <c r="E2" s="8">
        <f t="shared" ref="E2:E63" si="2">D2/B2</f>
        <v>-0.2558357637</v>
      </c>
      <c r="F2" s="8">
        <f>1/8.41</f>
        <v>0.1189060642</v>
      </c>
      <c r="G2" s="9">
        <f t="shared" ref="G2:G3" si="3">((1/240000))</f>
        <v>0.000004166666667</v>
      </c>
      <c r="H2" s="9">
        <v>0.0</v>
      </c>
      <c r="I2" s="10">
        <v>0.0</v>
      </c>
      <c r="J2" s="11">
        <v>1000.0</v>
      </c>
      <c r="K2" s="12" t="s">
        <v>14</v>
      </c>
      <c r="M2" s="13" t="s">
        <v>15</v>
      </c>
    </row>
    <row r="3">
      <c r="A3" s="6" t="s">
        <v>16</v>
      </c>
      <c r="B3" s="6">
        <v>0.5</v>
      </c>
      <c r="C3" s="7">
        <f>(1*(1/13.33))+(5*(1/33.33))+(10*(1/200))+(20*(10800/43200000))+(50*(1/24000))+(100*(1/48000))+(200*(1/120000))+(1000*(1/240000))</f>
        <v>0.2900337562</v>
      </c>
      <c r="D3" s="7">
        <f t="shared" si="1"/>
        <v>-0.2099662438</v>
      </c>
      <c r="E3" s="8">
        <f t="shared" si="2"/>
        <v>-0.4199324876</v>
      </c>
      <c r="F3" s="8">
        <f>1/9.06</f>
        <v>0.1103752759</v>
      </c>
      <c r="G3" s="9">
        <f t="shared" si="3"/>
        <v>0.000004166666667</v>
      </c>
      <c r="H3" s="9">
        <v>0.0</v>
      </c>
      <c r="I3" s="10">
        <v>0.0</v>
      </c>
      <c r="J3" s="11">
        <v>1000.0</v>
      </c>
      <c r="K3" s="12" t="s">
        <v>17</v>
      </c>
      <c r="M3" s="13" t="s">
        <v>18</v>
      </c>
    </row>
    <row r="4">
      <c r="A4" s="13" t="s">
        <v>19</v>
      </c>
      <c r="B4" s="13">
        <v>1.0</v>
      </c>
      <c r="C4" s="14">
        <f>(1*(5529600/46080000))+(2*(1/15.15))+(7*(1/44.12))+(10*(1/150))+(20*(1/470.59))+(40*(1/685.71))+(70*(1/16000))+(700*(1/240000))+(10000*(1/960000))</f>
        <v>0.5958799448</v>
      </c>
      <c r="D4" s="14">
        <f t="shared" si="1"/>
        <v>-0.4041200552</v>
      </c>
      <c r="E4" s="8">
        <f t="shared" si="2"/>
        <v>-0.4041200552</v>
      </c>
      <c r="F4" s="8">
        <f>1/10.1</f>
        <v>0.09900990099</v>
      </c>
      <c r="G4" s="9">
        <f>(1/960000)</f>
        <v>0.000001041666667</v>
      </c>
      <c r="H4" s="9">
        <f t="shared" ref="H4:H5" si="4">G4</f>
        <v>0.000001041666667</v>
      </c>
      <c r="I4" s="10">
        <v>0.0</v>
      </c>
      <c r="J4" s="11">
        <v>10000.0</v>
      </c>
      <c r="K4" s="12" t="s">
        <v>20</v>
      </c>
      <c r="M4" s="13" t="s">
        <v>21</v>
      </c>
    </row>
    <row r="5">
      <c r="A5" s="13" t="s">
        <v>22</v>
      </c>
      <c r="B5" s="13">
        <v>1.0</v>
      </c>
      <c r="C5" s="14">
        <f>(1*(6624000/43200000))+(3*(1/14.56))+(5*(1/65.22))+(10*(1/75))+(20*(1/1500))+(50*(1/16000))+(100*(1/120000))+(500*(1/480000))+(10000*(1/4320000))</f>
        <v>0.590022371</v>
      </c>
      <c r="D5" s="14">
        <f t="shared" si="1"/>
        <v>-0.409977629</v>
      </c>
      <c r="E5" s="8">
        <f t="shared" si="2"/>
        <v>-0.409977629</v>
      </c>
      <c r="F5" s="8">
        <f>1/10.2</f>
        <v>0.09803921569</v>
      </c>
      <c r="G5" s="9">
        <f>((1/4320000))</f>
        <v>0.0000002314814815</v>
      </c>
      <c r="H5" s="9">
        <f t="shared" si="4"/>
        <v>0.0000002314814815</v>
      </c>
      <c r="I5" s="10">
        <v>0.0</v>
      </c>
      <c r="J5" s="11">
        <v>10000.0</v>
      </c>
      <c r="K5" s="15" t="s">
        <v>23</v>
      </c>
    </row>
    <row r="6">
      <c r="A6" s="6" t="s">
        <v>24</v>
      </c>
      <c r="B6" s="6">
        <v>2.0</v>
      </c>
      <c r="C6" s="7">
        <f>(2*(3978240/26880000))+(5*(1/15))+(10*(1/57.69))+(25*(1/68.18))+(50*(1/800))+(100*(1/3428.57))+(200*(1/70736.84))+(500*(1/70736.84))+(1000*(1/70736.84))+(100000*(1/6720000))</f>
        <v>1.299930415</v>
      </c>
      <c r="D6" s="7">
        <f t="shared" si="1"/>
        <v>-0.700069585</v>
      </c>
      <c r="E6" s="8">
        <f t="shared" si="2"/>
        <v>-0.3500347925</v>
      </c>
      <c r="F6" s="8">
        <f>1/9.97</f>
        <v>0.1003009027</v>
      </c>
      <c r="G6" s="9">
        <f>((1/70736.84))+((1/6720000))</f>
        <v>0.00001428571471</v>
      </c>
      <c r="H6" s="9">
        <f t="shared" ref="H6:I6" si="5">((1/6720000))</f>
        <v>0.0000001488095238</v>
      </c>
      <c r="I6" s="10">
        <f t="shared" si="5"/>
        <v>0.0000001488095238</v>
      </c>
      <c r="J6" s="11">
        <v>100000.0</v>
      </c>
      <c r="K6" s="15" t="s">
        <v>25</v>
      </c>
      <c r="M6" s="13" t="s">
        <v>26</v>
      </c>
      <c r="P6" s="13" t="s">
        <v>27</v>
      </c>
    </row>
    <row r="7">
      <c r="A7" s="6" t="s">
        <v>28</v>
      </c>
      <c r="B7" s="6">
        <v>2.0</v>
      </c>
      <c r="C7" s="7">
        <f>(2*(6072000/39600000))+(5*(1/14.15))+(10*(1/50))+(15*(1/75))+(30*(1/480))+(50*(1/600))+(100*(1/2400))+(250*(1/49500))+(500*(1/396000))+(1000*(1/396000))+(10000*(1/3960000))+(100000*(1/7920000))</f>
        <v>1.271513456</v>
      </c>
      <c r="D7" s="7">
        <f t="shared" si="1"/>
        <v>-0.7284865439</v>
      </c>
      <c r="E7" s="8">
        <f t="shared" si="2"/>
        <v>-0.3642432719</v>
      </c>
      <c r="F7" s="8">
        <f>((1/14.15))+((1/50))+((1/75))+((1/480))+((1/600))+((1/2400))+((1/49500))+((1/396000))+((1/396000))+((1/3960000))+((1/7920000))</f>
        <v>0.1081970094</v>
      </c>
      <c r="G7" s="9">
        <f>((1/396000))+((1/3960000))+((1/7920000))</f>
        <v>0.000002904040404</v>
      </c>
      <c r="H7" s="9">
        <f>((1/3960000))+((1/7920000))</f>
        <v>0.0000003787878788</v>
      </c>
      <c r="I7" s="10">
        <f>((1/7920000))</f>
        <v>0.0000001262626263</v>
      </c>
      <c r="J7" s="11">
        <v>100000.0</v>
      </c>
      <c r="K7" s="15" t="s">
        <v>29</v>
      </c>
      <c r="M7" s="13" t="s">
        <v>30</v>
      </c>
    </row>
    <row r="8">
      <c r="A8" s="6" t="s">
        <v>31</v>
      </c>
      <c r="B8" s="6">
        <v>2.0</v>
      </c>
      <c r="C8" s="7">
        <f>(2*(5632000/38400000))+(5*(1/15.96))+(10*(1/50))+(15*(1/83.33))+(20*(1/150))+(50*(1/400))+(100*(1/2400))+(500*(1/384000))+(1000*(1/384000))+(100000*(1/9600000))</f>
        <v>1.300946658</v>
      </c>
      <c r="D8" s="7">
        <f t="shared" si="1"/>
        <v>-0.6990533417</v>
      </c>
      <c r="E8" s="8">
        <f t="shared" si="2"/>
        <v>-0.3495266708</v>
      </c>
      <c r="F8" s="8">
        <f>1/9.59</f>
        <v>0.1042752868</v>
      </c>
      <c r="G8" s="9">
        <f>((1/384000))+((1/9600000))</f>
        <v>0.000002708333333</v>
      </c>
      <c r="H8" s="9">
        <f t="shared" ref="H8:I8" si="6">((1/9600000))</f>
        <v>0.0000001041666667</v>
      </c>
      <c r="I8" s="10">
        <f t="shared" si="6"/>
        <v>0.0000001041666667</v>
      </c>
      <c r="J8" s="11">
        <v>100000.0</v>
      </c>
      <c r="K8" s="15" t="s">
        <v>32</v>
      </c>
      <c r="M8" s="13" t="s">
        <v>33</v>
      </c>
    </row>
    <row r="9">
      <c r="A9" s="6" t="s">
        <v>34</v>
      </c>
      <c r="B9" s="6">
        <v>2.0</v>
      </c>
      <c r="C9" s="16">
        <f>(2*(3340800/21600000))+(5*(1/15))+(10*(1/39.47))+(20*(1/68.18))+(50*(1/2068.97))+(100*(1/8000))+(200*(1/144000))+(500*(1/300000))+(1000*(1/600000))+(100000*(1/10800000))</f>
        <v>1.240012898</v>
      </c>
      <c r="D9" s="16">
        <f t="shared" si="1"/>
        <v>-0.7599871018</v>
      </c>
      <c r="E9" s="8">
        <f t="shared" si="2"/>
        <v>-0.3799935509</v>
      </c>
      <c r="F9" s="8">
        <f>1/9.32</f>
        <v>0.1072961373</v>
      </c>
      <c r="G9" s="9">
        <f>((1/600000))+((1/10800000))</f>
        <v>0.000001759259259</v>
      </c>
      <c r="H9" s="9">
        <f t="shared" ref="H9:I9" si="7">((1/10800000))</f>
        <v>0.00000009259259259</v>
      </c>
      <c r="I9" s="10">
        <f t="shared" si="7"/>
        <v>0.00000009259259259</v>
      </c>
      <c r="J9" s="11">
        <v>100000.0</v>
      </c>
      <c r="K9" s="15" t="s">
        <v>35</v>
      </c>
      <c r="M9" s="13" t="s">
        <v>36</v>
      </c>
    </row>
    <row r="10">
      <c r="A10" s="6" t="s">
        <v>37</v>
      </c>
      <c r="B10" s="6">
        <v>2.0</v>
      </c>
      <c r="C10" s="7">
        <f>(2*(4761600/38400000))+(5*(1/15.63))+(10*(1/53.57))+(20*(1/62.5))+(30*(1/1105.99))+(50*(1/342.86))+(100*(1/1200))+(200*(1/32000))+(300*(1/76800))+(500*(1/192000))+(1000*(1/1920000))+(3000*(1/2400000))+(10000*(1/2400000))+(100000*(1/9600000))</f>
        <v>1.359974331</v>
      </c>
      <c r="D10" s="7">
        <f t="shared" si="1"/>
        <v>-0.6400256687</v>
      </c>
      <c r="E10" s="8">
        <f t="shared" si="2"/>
        <v>-0.3200128344</v>
      </c>
      <c r="F10" s="8">
        <f>1/9.67</f>
        <v>0.1034126163</v>
      </c>
      <c r="G10" s="9">
        <f>((1/1920000))+((1/2400000))+((1/2400000))+((1/9600000))</f>
        <v>0.000001458333333</v>
      </c>
      <c r="H10" s="9">
        <f>((1/2400000))+((1/9600000))</f>
        <v>0.0000005208333333</v>
      </c>
      <c r="I10" s="10">
        <f>((1/9600000))</f>
        <v>0.0000001041666667</v>
      </c>
      <c r="J10" s="11">
        <v>100000.0</v>
      </c>
      <c r="K10" s="15" t="s">
        <v>38</v>
      </c>
      <c r="M10" s="13" t="s">
        <v>39</v>
      </c>
    </row>
    <row r="11">
      <c r="A11" s="6" t="s">
        <v>40</v>
      </c>
      <c r="B11" s="6">
        <v>2.0</v>
      </c>
      <c r="C11" s="7">
        <f>(2*(5456640/35280000))+(5*(1/15))+(10*(1/39.47))+(20*(1/68.18))+(50*(1/1142.86))+(100*(1/8000))+(200*(1/161095.89))+(500*(1/490000))+(1000*(1/1960000))+(2000*(1/2940000))+(10000*(1/3920000))+(100000*(1/11760000))</f>
        <v>1.260121496</v>
      </c>
      <c r="D11" s="7">
        <f t="shared" si="1"/>
        <v>-0.7398785042</v>
      </c>
      <c r="E11" s="8">
        <f t="shared" si="2"/>
        <v>-0.3699392521</v>
      </c>
      <c r="F11" s="8">
        <f>1/9.29</f>
        <v>0.1076426265</v>
      </c>
      <c r="G11" s="9">
        <f>((1/1960000))+((1/2940000))+((1/3920000))+((1/11760000))</f>
        <v>0.00000119047619</v>
      </c>
      <c r="H11" s="9">
        <f>((1/3920000))+((1/11760000))</f>
        <v>0.0000003401360544</v>
      </c>
      <c r="I11" s="10">
        <f>(1/11760000)</f>
        <v>0.00000008503401361</v>
      </c>
      <c r="J11" s="11">
        <v>100000.0</v>
      </c>
      <c r="K11" s="15" t="s">
        <v>41</v>
      </c>
      <c r="M11" s="13" t="s">
        <v>42</v>
      </c>
    </row>
    <row r="12">
      <c r="A12" s="6" t="s">
        <v>43</v>
      </c>
      <c r="B12" s="6">
        <v>2.0</v>
      </c>
      <c r="C12" s="7">
        <f>(2*(2880000/24000000))+(5*(1/12.3))+(10*(1/39.47))+(25*(1/83.33))+(50*(1/2400))+(100*(1/8000))+(500*(1/800000))+(1000*(1/1200000))+(100000*(1/12000000))</f>
        <v>1.242998046</v>
      </c>
      <c r="D12" s="7">
        <f t="shared" si="1"/>
        <v>-0.7570019545</v>
      </c>
      <c r="E12" s="8">
        <f t="shared" si="2"/>
        <v>-0.3785009772</v>
      </c>
      <c r="F12" s="8">
        <f>1/8.39</f>
        <v>0.1191895113</v>
      </c>
      <c r="G12" s="9">
        <f>((1/1200000))+((1/12000000))</f>
        <v>0.0000009166666667</v>
      </c>
      <c r="H12" s="9">
        <f t="shared" ref="H12:I12" si="8">(1/12000000)</f>
        <v>0.00000008333333333</v>
      </c>
      <c r="I12" s="10">
        <f t="shared" si="8"/>
        <v>0.00000008333333333</v>
      </c>
      <c r="J12" s="11">
        <v>100000.0</v>
      </c>
      <c r="K12" s="15" t="s">
        <v>44</v>
      </c>
      <c r="M12" s="13" t="s">
        <v>45</v>
      </c>
    </row>
    <row r="13">
      <c r="A13" s="6" t="s">
        <v>46</v>
      </c>
      <c r="B13" s="6">
        <v>2.0</v>
      </c>
      <c r="C13" s="7">
        <f>(2*(2368000/17760000))+(5*(1/10.14))+(10*(1/39.47))+(20*(1/107.14))+(50*(1/3000))+(100*(1/12000))+(500*(1/592000))+(1000*(1/1776000))+(100000*(1/8880000))</f>
        <v>1.237460857</v>
      </c>
      <c r="D13" s="7">
        <f t="shared" si="1"/>
        <v>-0.7625391429</v>
      </c>
      <c r="E13" s="8">
        <f t="shared" si="2"/>
        <v>-0.3812695715</v>
      </c>
      <c r="F13" s="8">
        <f>1/7.48</f>
        <v>0.1336898396</v>
      </c>
      <c r="G13" s="9">
        <f>((1/1776000))+((1/8880000))</f>
        <v>0.0000006756756757</v>
      </c>
      <c r="H13" s="9">
        <f t="shared" ref="H13:I13" si="9">((1/8880000))</f>
        <v>0.0000001126126126</v>
      </c>
      <c r="I13" s="10">
        <f t="shared" si="9"/>
        <v>0.0000001126126126</v>
      </c>
      <c r="J13" s="11">
        <v>100000.0</v>
      </c>
      <c r="K13" s="15" t="s">
        <v>47</v>
      </c>
      <c r="M13" s="13" t="s">
        <v>48</v>
      </c>
    </row>
    <row r="14">
      <c r="A14" s="13" t="s">
        <v>49</v>
      </c>
      <c r="B14" s="13">
        <v>3.0</v>
      </c>
      <c r="C14" s="14">
        <f>(3*(4636800/33600000))+(5*(1/11.9))+(10*(1/35.71))+(15*(1/41.67))+(20*(1/83.33))+(50*(1/228.57))+(100*(1/3428.57))+(150*(1/16000))+(500*(1/120000))+(1000*(1/123529.41))+(5000*(1/2800000))+(10000*(1/4200000))+(200000*(1/8400000))</f>
        <v>2.011713615</v>
      </c>
      <c r="D14" s="14">
        <f t="shared" si="1"/>
        <v>-0.9882863847</v>
      </c>
      <c r="E14" s="8">
        <f t="shared" si="2"/>
        <v>-0.3294287949</v>
      </c>
      <c r="F14" s="8">
        <f>1/6.55</f>
        <v>0.1526717557</v>
      </c>
      <c r="G14" s="9">
        <f>((1/123529.41))+((1/2800000))+((1/4200000))+((1/8400000))</f>
        <v>0.000008809523925</v>
      </c>
      <c r="H14" s="9">
        <f>((1/4200000))+((1/8400000))</f>
        <v>0.0000003571428571</v>
      </c>
      <c r="I14" s="10">
        <f>(1/8400000)</f>
        <v>0.000000119047619</v>
      </c>
      <c r="J14" s="11">
        <v>200000.0</v>
      </c>
      <c r="K14" s="15" t="s">
        <v>50</v>
      </c>
      <c r="M14" s="13" t="s">
        <v>51</v>
      </c>
    </row>
    <row r="15">
      <c r="A15" s="13" t="s">
        <v>52</v>
      </c>
      <c r="B15" s="13">
        <v>3.0</v>
      </c>
      <c r="C15" s="14">
        <f>(3*(4492800/34560000))+(5*(1/12.5))+(10*(1/38.46))+(15*(1/55.56))+(30*(1/100))+(50*(1/242.42))+(75*(1/1600))+(100*(1/1600))+(150*(1/2400))+(300*(1/120000))+(500*(1/148965.52))+(1000*(1/288000))+(1500*(1/432000))+(3000*(1/2160000))+(20000*(1/4320000))+(200000*(1/8640000))</f>
        <v>2.040085004</v>
      </c>
      <c r="D15" s="14">
        <f t="shared" si="1"/>
        <v>-0.9599149959</v>
      </c>
      <c r="E15" s="8">
        <f t="shared" si="2"/>
        <v>-0.3199716653</v>
      </c>
      <c r="F15" s="8">
        <f>1/7.15</f>
        <v>0.1398601399</v>
      </c>
      <c r="G15" s="9">
        <f>((1/288000))+((1/432000))+((1/2160000))+((1/4320000))+((1/8640000))</f>
        <v>0.000006597222222</v>
      </c>
      <c r="H15" s="9">
        <f>((1/4320000))+((1/8640000))</f>
        <v>0.0000003472222222</v>
      </c>
      <c r="I15" s="10">
        <f>(1/8640000)</f>
        <v>0.0000001157407407</v>
      </c>
      <c r="J15" s="11">
        <v>200000.0</v>
      </c>
      <c r="K15" s="15" t="s">
        <v>53</v>
      </c>
      <c r="M15" s="13" t="s">
        <v>54</v>
      </c>
    </row>
    <row r="16">
      <c r="A16" s="13" t="s">
        <v>55</v>
      </c>
      <c r="B16" s="13">
        <v>3.0</v>
      </c>
      <c r="C16" s="14">
        <f>(3*(4112640/32640000))+(5*(1/12.5))+(10*(1/50))+(15*(1/37.04))+(25*(1/62.5))+(50*(1/240))+(100*(1/4000))+(250*(1/81600))+(500*(1/163200))+(1000*(1/163200))+(10000*(1/8160000))+(200000*(1/8160000))</f>
        <v>2.054291132</v>
      </c>
      <c r="D16" s="14">
        <f t="shared" si="1"/>
        <v>-0.945708868</v>
      </c>
      <c r="E16" s="8">
        <f t="shared" si="2"/>
        <v>-0.3152362893</v>
      </c>
      <c r="F16" s="8">
        <f>1/6.78</f>
        <v>0.1474926254</v>
      </c>
      <c r="G16" s="9">
        <f>((1/163200))+((1/8160000))+((1/8160000))</f>
        <v>0.00000637254902</v>
      </c>
      <c r="H16" s="9">
        <f>((1/8160000))+((1/8160000))</f>
        <v>0.0000002450980392</v>
      </c>
      <c r="I16" s="10">
        <f>((1/8160000))</f>
        <v>0.0000001225490196</v>
      </c>
      <c r="J16" s="11">
        <v>200000.0</v>
      </c>
      <c r="K16" s="15" t="s">
        <v>56</v>
      </c>
    </row>
    <row r="17">
      <c r="A17" s="13" t="s">
        <v>57</v>
      </c>
      <c r="B17" s="13">
        <v>3.0</v>
      </c>
      <c r="C17" s="14">
        <f>(3*(4287360/27840000))+(10*(1/11.63))+(20*(1/41.67))+(50*(1/340.91))+(100*(1/12000))+(500*(1/158181.82))+(1000*(1/165714.29))+(200000*(1/6960000))</f>
        <v>1.994737474</v>
      </c>
      <c r="D17" s="14">
        <f t="shared" si="1"/>
        <v>-1.005262526</v>
      </c>
      <c r="E17" s="8">
        <f t="shared" si="2"/>
        <v>-0.3350875086</v>
      </c>
      <c r="F17" s="8">
        <f>1/8.85</f>
        <v>0.1129943503</v>
      </c>
      <c r="G17" s="9">
        <f>((1/165714.29))+((1/6960000))</f>
        <v>0.000006178160763</v>
      </c>
      <c r="H17" s="9">
        <f t="shared" ref="H17:I17" si="10">((1/6960000))</f>
        <v>0.0000001436781609</v>
      </c>
      <c r="I17" s="10">
        <f t="shared" si="10"/>
        <v>0.0000001436781609</v>
      </c>
      <c r="J17" s="11">
        <v>200000.0</v>
      </c>
      <c r="K17" s="15" t="s">
        <v>58</v>
      </c>
      <c r="M17" s="13" t="s">
        <v>59</v>
      </c>
      <c r="P17" s="17" t="s">
        <v>60</v>
      </c>
    </row>
    <row r="18">
      <c r="A18" s="13" t="s">
        <v>61</v>
      </c>
      <c r="B18" s="13">
        <v>3.0</v>
      </c>
      <c r="C18" s="14">
        <f>(3*(6350400/50400000))+(5*(1/12.5))+(10*(1/38.46))+(15*(1/38.46))+(25*(1/76.92))+(50*(1/233.01))+(100*(1/4800))+(250*(1/84000))+(500*(1/168000))+(1000*(1/186666.67))+(10000*(1/4200000))+(200000*(1/8400000))</f>
        <v>2.0259554</v>
      </c>
      <c r="D18" s="14">
        <f t="shared" si="1"/>
        <v>-0.9740446001</v>
      </c>
      <c r="E18" s="8">
        <f t="shared" si="2"/>
        <v>-0.3246815334</v>
      </c>
      <c r="F18" s="8">
        <f>1/6.69</f>
        <v>0.1494768311</v>
      </c>
      <c r="G18" s="9">
        <f>((1/186666.67))+((1/4200000))+((1/8400000))</f>
        <v>0.000005714285619</v>
      </c>
      <c r="H18" s="9">
        <f>((1/4200000))+((1/8400000))</f>
        <v>0.0000003571428571</v>
      </c>
      <c r="I18" s="10">
        <f>(1/8400000)</f>
        <v>0.000000119047619</v>
      </c>
      <c r="J18" s="11">
        <v>200000.0</v>
      </c>
      <c r="K18" s="15" t="s">
        <v>62</v>
      </c>
      <c r="M18" s="13" t="s">
        <v>63</v>
      </c>
    </row>
    <row r="19">
      <c r="A19" s="13" t="s">
        <v>64</v>
      </c>
      <c r="B19" s="13">
        <v>3.0</v>
      </c>
      <c r="C19" s="14">
        <f>(3*(4608000/30720000))+(5*(1/20))+(10*(1/25))+(15*(1/41.67))+(30*(1/62.5))+(50*(1/1333.33))+(100*(1/30000))+(150*(1/240000))+(500*(1/256000))+(1000*(1/307200))+(10000*(1/3840000))+(200000*(1/7680000))</f>
        <v>2.015283796</v>
      </c>
      <c r="D19" s="14">
        <f t="shared" si="1"/>
        <v>-0.9847162039</v>
      </c>
      <c r="E19" s="8">
        <f t="shared" si="2"/>
        <v>-0.3282387346</v>
      </c>
      <c r="F19" s="8">
        <f>1/7.65</f>
        <v>0.1307189542</v>
      </c>
      <c r="G19" s="9">
        <f>((1/307200))+((1/3840000))+((1/7680000))</f>
        <v>0.000003645833333</v>
      </c>
      <c r="H19" s="9">
        <f>((1/3840000))+((1/7680000))</f>
        <v>0.000000390625</v>
      </c>
      <c r="I19" s="10">
        <f>((1/7680000))</f>
        <v>0.0000001302083333</v>
      </c>
      <c r="J19" s="11">
        <v>200000.0</v>
      </c>
      <c r="K19" s="15" t="s">
        <v>65</v>
      </c>
      <c r="M19" s="13" t="s">
        <v>66</v>
      </c>
    </row>
    <row r="20">
      <c r="A20" s="13" t="s">
        <v>67</v>
      </c>
      <c r="B20" s="13">
        <v>3.0</v>
      </c>
      <c r="C20" s="14">
        <f>(3*(5376000/42000000))+(7*(1/10))+(10*(1/500))+(30*(1/71.43))+(70*(1/166.67))+(100*(1/6000))+(300*(1/48000))+(700*(1/60000))+(7000*(1/600000))+(70000*(1/6000000)+(200000*(1/6000000)))</f>
        <v>2.0352332</v>
      </c>
      <c r="D20" s="14">
        <f t="shared" si="1"/>
        <v>-0.9647667997</v>
      </c>
      <c r="E20" s="8">
        <f t="shared" si="2"/>
        <v>-0.3215889332</v>
      </c>
      <c r="F20" s="8">
        <f>1/8.18</f>
        <v>0.1222493888</v>
      </c>
      <c r="G20" s="9">
        <f>((1/600000))+((1/6000000)+((1/6000000)))</f>
        <v>0.000002</v>
      </c>
      <c r="H20" s="9">
        <f>((1/6000000)+((1/6000000)))</f>
        <v>0.0000003333333333</v>
      </c>
      <c r="I20" s="10">
        <f>((1/6000000))</f>
        <v>0.0000001666666667</v>
      </c>
      <c r="J20" s="11">
        <v>200000.0</v>
      </c>
      <c r="K20" s="15" t="s">
        <v>68</v>
      </c>
    </row>
    <row r="21">
      <c r="A21" s="13" t="s">
        <v>69</v>
      </c>
      <c r="B21" s="13">
        <v>3.0</v>
      </c>
      <c r="C21" s="14">
        <f>(3*(3378240/24480000))+(10*(1/10.87))+(20*(1/50))+(50*(1/200))+(500*(1/48000))+(200000*(1/8160000))</f>
        <v>2.018889672</v>
      </c>
      <c r="D21" s="14">
        <f t="shared" si="1"/>
        <v>-0.9811103279</v>
      </c>
      <c r="E21" s="8">
        <f t="shared" si="2"/>
        <v>-0.327036776</v>
      </c>
      <c r="F21" s="8">
        <f>1/8.55</f>
        <v>0.1169590643</v>
      </c>
      <c r="G21" s="9">
        <f t="shared" ref="G21:I21" si="11">((1/8160000))</f>
        <v>0.0000001225490196</v>
      </c>
      <c r="H21" s="9">
        <f t="shared" si="11"/>
        <v>0.0000001225490196</v>
      </c>
      <c r="I21" s="10">
        <f t="shared" si="11"/>
        <v>0.0000001225490196</v>
      </c>
      <c r="J21" s="11">
        <v>200000.0</v>
      </c>
      <c r="K21" s="15" t="s">
        <v>70</v>
      </c>
    </row>
    <row r="22">
      <c r="A22" s="18" t="s">
        <v>71</v>
      </c>
      <c r="B22" s="19">
        <v>5.0</v>
      </c>
      <c r="C22" s="7">
        <f>(5*(13140000/108000000))+(10*(1/15))+(15*(1/35.29))+(20*(1/60))+(50*(1/120))+(100*(1/150))+(200*(1/2400))+(500*(1/3000))+(1000*(1/8000))+(10000*(1/333333.33))+(100000*(1/6000000))+(300000*(1/6000000))+(500000*(1/6000000))</f>
        <v>3.671716256</v>
      </c>
      <c r="D22" s="7">
        <f t="shared" si="1"/>
        <v>-1.328283744</v>
      </c>
      <c r="E22" s="8">
        <f t="shared" si="2"/>
        <v>-0.2656567488</v>
      </c>
      <c r="F22" s="8">
        <f>1/7.84</f>
        <v>0.1275510204</v>
      </c>
      <c r="G22" s="9">
        <f>((1/8000))+((1/333333.33))+((1/6000000))+((1/6000000))+((1/6000000))</f>
        <v>0.0001285</v>
      </c>
      <c r="H22" s="9">
        <f>((1/333333.33))+((1/6000000))+((1/6000000))+((1/6000000))</f>
        <v>0.00000350000003</v>
      </c>
      <c r="I22" s="10">
        <f>((1/6000000))+((1/6000000))+((1/6000000))</f>
        <v>0.0000005</v>
      </c>
      <c r="J22" s="11">
        <v>500000.0</v>
      </c>
      <c r="K22" s="15" t="s">
        <v>72</v>
      </c>
      <c r="M22" s="13" t="s">
        <v>73</v>
      </c>
    </row>
    <row r="23">
      <c r="A23" s="18" t="s">
        <v>74</v>
      </c>
      <c r="B23" s="19">
        <v>5.0</v>
      </c>
      <c r="C23" s="7">
        <f>(5*(12432000/106560000))+(10*(1/13.95))+(15*(1/40))+(20*(1/54.55))+(50*(1/109.09))+(100*(1/150))+(200*(1/2400))+(500*(1/3000))+(1000*(1/10000))+(5000*(1/522352.94))+(20000*(1/2960000))+(100000*(1/8880000))+(250000*(1/8880000))+(500000*(1/8880000))</f>
        <v>3.628868694</v>
      </c>
      <c r="D23" s="7">
        <f t="shared" si="1"/>
        <v>-1.371131306</v>
      </c>
      <c r="E23" s="8">
        <f t="shared" si="2"/>
        <v>-0.2742262612</v>
      </c>
      <c r="F23" s="8">
        <f>1/7.59</f>
        <v>0.1317523057</v>
      </c>
      <c r="G23" s="9">
        <f>((1/10000))+((1/522352.94))+((1/2960000))+((1/8880000))+((1/8880000))+((1/8880000))</f>
        <v>0.0001025900901</v>
      </c>
      <c r="H23" s="9">
        <f>((1/2960000))+((1/8880000))+((1/8880000))+((1/8880000))</f>
        <v>0.0000006756756757</v>
      </c>
      <c r="I23" s="10">
        <f>((1/8880000))+((1/8880000))+((1/8880000))</f>
        <v>0.0000003378378378</v>
      </c>
      <c r="J23" s="11">
        <v>500000.0</v>
      </c>
      <c r="K23" s="15" t="s">
        <v>75</v>
      </c>
      <c r="M23" s="20" t="s">
        <v>76</v>
      </c>
    </row>
    <row r="24">
      <c r="A24" s="18" t="s">
        <v>77</v>
      </c>
      <c r="B24" s="19">
        <v>5.0</v>
      </c>
      <c r="C24" s="7">
        <f>(5*(7296000/54720000))+(10*(1/10.91))+(15*(1/46.15))+(20*(1/60))+(50*(1/138.73))+(100*(1/421.05))+(200*(1/941.18))+(500*(1/17142.86))+(1000*(1/15000))+(5000*(1/268235.29))+(10000*(1/570000))+(50000*(1/2280000))+(1936849*(1/4560000))</f>
        <v>3.63072532</v>
      </c>
      <c r="D24" s="7">
        <f t="shared" si="1"/>
        <v>-1.36927468</v>
      </c>
      <c r="E24" s="8">
        <f t="shared" si="2"/>
        <v>-0.2738549359</v>
      </c>
      <c r="F24" s="8">
        <f>1/7.1</f>
        <v>0.1408450704</v>
      </c>
      <c r="G24" s="9">
        <f>((1/15000))+((1/268235.29))+((1/570000))+((1/2280000))+((1/4560000))</f>
        <v>0.0000728070176</v>
      </c>
      <c r="H24" s="9">
        <f>((1/570000))+((1/2280000))+((1/4560000))</f>
        <v>0.000002412280702</v>
      </c>
      <c r="I24" s="10">
        <f>((1/4560000))</f>
        <v>0.0000002192982456</v>
      </c>
      <c r="J24" s="11">
        <v>1936849.0</v>
      </c>
      <c r="K24" s="15" t="s">
        <v>78</v>
      </c>
    </row>
    <row r="25">
      <c r="A25" s="18" t="s">
        <v>79</v>
      </c>
      <c r="B25" s="19">
        <v>5.0</v>
      </c>
      <c r="C25" s="7">
        <f>(5*(6566400/51840000))+(10*(1/12))+(20*(1/50))+(25*(1/40))+(50*(1/120))+(100*(1/252.63))+(500*(1/3428.57))+(1000*(1/15000))+(10000*(1/360000))+(500000*(1/8640000))</f>
        <v>3.60231735</v>
      </c>
      <c r="D25" s="7">
        <f t="shared" si="1"/>
        <v>-1.39768265</v>
      </c>
      <c r="E25" s="8">
        <f t="shared" si="2"/>
        <v>-0.2795365301</v>
      </c>
      <c r="F25" s="8">
        <f>1/7.09</f>
        <v>0.1410437236</v>
      </c>
      <c r="G25" s="9">
        <f>((1/15000))+((1/360000))+((1/8640000))</f>
        <v>0.00006956018519</v>
      </c>
      <c r="H25" s="9">
        <f>((1/360000))+((1/8640000))</f>
        <v>0.000002893518519</v>
      </c>
      <c r="I25" s="10">
        <f>(1/8640000)</f>
        <v>0.0000001157407407</v>
      </c>
      <c r="J25" s="11">
        <v>500000.0</v>
      </c>
      <c r="K25" s="15" t="s">
        <v>80</v>
      </c>
      <c r="M25" s="13" t="s">
        <v>81</v>
      </c>
    </row>
    <row r="26">
      <c r="A26" s="18" t="s">
        <v>82</v>
      </c>
      <c r="B26" s="19">
        <v>5.0</v>
      </c>
      <c r="C26" s="7">
        <f>(5*(5328000/43200000))+(10*(1/12.77))+(20*(1/50))+(25*(1/85.71))+(50*(1/85.71))+(100*(1/184.62))+(200*(1/3428.57))+(500*(1/3636.36))+(1000*(1/20769.23))+(2000*(1/144000))+(5000*(1/432000))+(10000*(1/900000))+(50000*(1/3600000))+(100000*(1/10800000))+(500000*(1/10800000))</f>
        <v>3.566449064</v>
      </c>
      <c r="D26" s="7">
        <f t="shared" si="1"/>
        <v>-1.433550936</v>
      </c>
      <c r="E26" s="8">
        <f t="shared" si="2"/>
        <v>-0.2867101872</v>
      </c>
      <c r="F26" s="8">
        <f>1/7.83</f>
        <v>0.1277139208</v>
      </c>
      <c r="G26" s="9">
        <f>((1/20769.23))+((1/144000))+((1/432000))+((1/900000))+((1/3600000))+((1/10800000))+((1/10800000))</f>
        <v>0.00005898148326</v>
      </c>
      <c r="H26" s="9">
        <f>((1/900000))+((1/3600000))+((1/10800000))+((1/10800000))</f>
        <v>0.000001574074074</v>
      </c>
      <c r="I26" s="10">
        <f>((1/10800000))+((1/10800000))</f>
        <v>0.0000001851851852</v>
      </c>
      <c r="J26" s="11">
        <v>500000.0</v>
      </c>
      <c r="K26" s="15" t="s">
        <v>83</v>
      </c>
    </row>
    <row r="27">
      <c r="A27" s="18" t="s">
        <v>84</v>
      </c>
      <c r="B27" s="19">
        <v>5.0</v>
      </c>
      <c r="C27" s="7">
        <f>(5*(5606400/46080000))+(10*(1/17.65))+(15*(1/27.27))+(25*(1/40))+(50*(1/100))+(100*(1/400))+(150*(1/800))+(200*(1/4800))+(500*(1/9600))+(1000*(1/19200))+(10000*(1/512000))+(100000*(1/7680000))+(500000*(1/7680000))</f>
        <v>3.53095016</v>
      </c>
      <c r="D27" s="7">
        <f t="shared" si="1"/>
        <v>-1.46904984</v>
      </c>
      <c r="E27" s="8">
        <f t="shared" si="2"/>
        <v>-0.293809968</v>
      </c>
      <c r="F27" s="8">
        <f>1/7.55</f>
        <v>0.1324503311</v>
      </c>
      <c r="G27" s="9">
        <f>((1/19200))+((1/512000))+(1/7680000)+((1/7680000))</f>
        <v>0.000054296875</v>
      </c>
      <c r="H27" s="9">
        <f>(1/512000)+((1/7680000))+((1/7680000))</f>
        <v>0.000002213541667</v>
      </c>
      <c r="I27" s="10">
        <f>((1/7680000))+((1/7680000))</f>
        <v>0.0000002604166667</v>
      </c>
      <c r="J27" s="11">
        <v>500000.0</v>
      </c>
      <c r="K27" s="15" t="s">
        <v>85</v>
      </c>
      <c r="M27" s="13" t="s">
        <v>86</v>
      </c>
    </row>
    <row r="28">
      <c r="A28" s="18" t="s">
        <v>87</v>
      </c>
      <c r="B28" s="19">
        <v>5.0</v>
      </c>
      <c r="C28" s="7">
        <f>(5*(6384000/50400000))+(10*(1/11.32))+(20*(1/46.15))+(25*(1/50))+(50*(1/120))+(100*(1/255.32))+(250*(1/3000))+(500*(1/4363.64))+(1000*(1/20000))+(5000*(1/840000))+(10000*(1/3360000))+(50000*(1/5040000))+(500000*(1/10080000))</f>
        <v>3.574795987</v>
      </c>
      <c r="D28" s="7">
        <f t="shared" si="1"/>
        <v>-1.425204013</v>
      </c>
      <c r="E28" s="8">
        <f t="shared" si="2"/>
        <v>-0.2850408026</v>
      </c>
      <c r="F28" s="8">
        <f>1/7</f>
        <v>0.1428571429</v>
      </c>
      <c r="G28" s="9">
        <f>((1/20000))+((1/840000))+((1/3360000))+((1/5040000))+((1/10080000))</f>
        <v>0.00005178571429</v>
      </c>
      <c r="H28" s="9">
        <f>((1/3360000))+((1/5040000))+((1/10080000))</f>
        <v>0.0000005952380952</v>
      </c>
      <c r="I28" s="10">
        <f>(1/10080000)</f>
        <v>0.00000009920634921</v>
      </c>
      <c r="J28" s="11">
        <v>500000.0</v>
      </c>
      <c r="K28" s="15" t="s">
        <v>88</v>
      </c>
    </row>
    <row r="29">
      <c r="A29" s="18" t="s">
        <v>89</v>
      </c>
      <c r="B29" s="19">
        <v>5.0</v>
      </c>
      <c r="C29" s="7">
        <f>(5*(4576000/49920000))+(10*(1/10.26))+(20*(1/66.67))+(25*(1/66.67))+(50*(1/75))+(100*(1/193.55))+(200*(1/3157.89))+(400*(1/9230.77))+(500*(1/9230.77))+(1000*(1/21818.18))+(2000*(1/542608.7))+(4000*(1/624000))+(10000*(1/1248000))+(25000*(1/6240000))+(500000*(1/12480000))</f>
        <v>3.560133727</v>
      </c>
      <c r="D29" s="7">
        <f t="shared" si="1"/>
        <v>-1.439866273</v>
      </c>
      <c r="E29" s="8">
        <f t="shared" si="2"/>
        <v>-0.2879732547</v>
      </c>
      <c r="F29" s="8">
        <f>1/6.82</f>
        <v>0.146627566</v>
      </c>
      <c r="G29" s="9">
        <f>((1/21818.18))+((1/542608.7))+((1/624000))+((1/1248000))+((1/6240000))+((1/12480000))</f>
        <v>0.00005032051663</v>
      </c>
      <c r="H29" s="9">
        <f>((1/1248000))+((1/6240000))+((1/12480000))</f>
        <v>0.000001041666667</v>
      </c>
      <c r="I29" s="10">
        <f>((1/12480000))</f>
        <v>0.00000008012820513</v>
      </c>
      <c r="J29" s="11">
        <v>500000.0</v>
      </c>
      <c r="K29" s="15" t="s">
        <v>90</v>
      </c>
      <c r="M29" s="13" t="s">
        <v>91</v>
      </c>
    </row>
    <row r="30">
      <c r="A30" s="18" t="s">
        <v>92</v>
      </c>
      <c r="B30" s="19">
        <v>5.0</v>
      </c>
      <c r="C30" s="7">
        <f>(5*(7488000/56160000))+(10*(1/10.91))+(15*(1/31.58))+(20*(1/75))+(50*(1/133.33))+(100*(1/380.95))+(200*(1/1250))+(500*(1/12000))+(1000*(1/24000))+(5000*(1/390000))+(10000*(1/1560000))+(50000*(1/2080000))+(1768625*(1/6240000))</f>
        <v>3.532454858</v>
      </c>
      <c r="D30" s="7">
        <f t="shared" si="1"/>
        <v>-1.467545142</v>
      </c>
      <c r="E30" s="8">
        <f t="shared" si="2"/>
        <v>-0.2935090284</v>
      </c>
      <c r="F30" s="8">
        <f>1/6.77</f>
        <v>0.1477104874</v>
      </c>
      <c r="G30" s="9">
        <f>((1/24000))+((1/390000))+(1/1560000)+((1/2080000))+((1/6240000))</f>
        <v>0.00004551282051</v>
      </c>
      <c r="H30" s="9">
        <f>((1/1560000))+((1/2080000))+((1/6240000))</f>
        <v>0.000001282051282</v>
      </c>
      <c r="I30" s="10">
        <f>((1/6240000))</f>
        <v>0.0000001602564103</v>
      </c>
      <c r="J30" s="11">
        <v>1768625.0</v>
      </c>
      <c r="K30" s="15" t="s">
        <v>93</v>
      </c>
      <c r="M30" s="13" t="s">
        <v>94</v>
      </c>
    </row>
    <row r="31">
      <c r="A31" s="18" t="s">
        <v>95</v>
      </c>
      <c r="B31" s="19">
        <v>5.0</v>
      </c>
      <c r="C31" s="7">
        <f>(5*(4672000/38400000))+(10*(1/12.77))+(25*(1/30))+(50*(1/100))+(100*(1/212.39))+(150*(1/2400))+(200*(1/4800))+(500*(1/6000))+(1000*(1/24000))+(10000*(1/640000))+(100000*(1/3840000))+(500000*(1/7680000))</f>
        <v>3.531521483</v>
      </c>
      <c r="D31" s="7">
        <f t="shared" si="1"/>
        <v>-1.468478517</v>
      </c>
      <c r="E31" s="8">
        <f t="shared" si="2"/>
        <v>-0.2936957034</v>
      </c>
      <c r="F31" s="8">
        <f>1/7.86</f>
        <v>0.1272264631</v>
      </c>
      <c r="G31" s="9">
        <f>((1/24000))+((1/640000))+((1/3840000))+((1/7680000))</f>
        <v>0.00004361979167</v>
      </c>
      <c r="H31" s="9">
        <f>((1/640000))+((1/3840000))+((1/7680000))</f>
        <v>0.000001953125</v>
      </c>
      <c r="I31" s="10">
        <f>((1/3840000))+((1/7680000))</f>
        <v>0.000000390625</v>
      </c>
      <c r="J31" s="11">
        <v>500000.0</v>
      </c>
      <c r="K31" s="15" t="s">
        <v>96</v>
      </c>
    </row>
    <row r="32">
      <c r="A32" s="18" t="s">
        <v>97</v>
      </c>
      <c r="B32" s="19">
        <v>5.0</v>
      </c>
      <c r="C32" s="7">
        <f>(5*(4544000/38400000))+(10*(1/13.64))+(15*(1/28.57))+(30*(1/60))+(50*(1/120))+(100*(1/200))+(250*(1/4000))+(500*(1/4000))+(1000*(1/25600))+(2500*(1/384000))+(5000*(1/960000))+(10000*(1/1920000))+(50000*(1/7680000))+(100000*(1/7680000))+(500000*(1/7680000))</f>
        <v>3.594622415</v>
      </c>
      <c r="D32" s="7">
        <f t="shared" si="1"/>
        <v>-1.405377585</v>
      </c>
      <c r="E32" s="8">
        <f t="shared" si="2"/>
        <v>-0.2810755171</v>
      </c>
      <c r="F32" s="8">
        <f>1/7.2</f>
        <v>0.1388888889</v>
      </c>
      <c r="G32" s="9">
        <f>((1/25600))+((1/384000))+((1/960000))+((1/1920000))+((1/7680000))+((1/7680000))+((1/7680000))</f>
        <v>0.00004361979167</v>
      </c>
      <c r="H32" s="9">
        <f>((1/1920000))+((1/7680000))+((1/7680000))+((1/7680000))</f>
        <v>0.0000009114583333</v>
      </c>
      <c r="I32" s="10">
        <f>((1/7680000))+((1/7680000))</f>
        <v>0.0000002604166667</v>
      </c>
      <c r="J32" s="11">
        <v>500000.0</v>
      </c>
      <c r="K32" s="15" t="s">
        <v>98</v>
      </c>
    </row>
    <row r="33">
      <c r="A33" s="18" t="s">
        <v>99</v>
      </c>
      <c r="B33" s="19">
        <v>5.0</v>
      </c>
      <c r="C33" s="7">
        <f>(5*(5241600/40320000))+(10*(1/12.5))+(15*(1/31.58))+(20*(1/85.71))+(30*(1/87.71))+(50*(1/85.71))+(100*(1/1200))+(150*(1/1600))+(200*(1/2400))+(500*(1/6857.14))+(1000*(1/26880))+(2000*(1/336000))+(5000*(1/336000))+(50000*(1/13440000))+(500000*(1/13440000))</f>
        <v>3.516019622</v>
      </c>
      <c r="D33" s="7">
        <f t="shared" si="1"/>
        <v>-1.483980378</v>
      </c>
      <c r="E33" s="8">
        <f t="shared" si="2"/>
        <v>-0.2967960756</v>
      </c>
      <c r="F33" s="8">
        <f>1/6.72</f>
        <v>0.1488095238</v>
      </c>
      <c r="G33" s="9">
        <f>((1/26880))+((1/336000))+((1/336000))+((1/13440000))+((1/13440000))</f>
        <v>0.00004330357143</v>
      </c>
      <c r="H33" s="9">
        <f>((1/13440000))+((1/13440000))</f>
        <v>0.0000001488095238</v>
      </c>
      <c r="I33" s="10">
        <f>(((1/13440000)))</f>
        <v>0.0000000744047619</v>
      </c>
      <c r="J33" s="11">
        <v>500000.0</v>
      </c>
      <c r="K33" s="21"/>
    </row>
    <row r="34">
      <c r="A34" s="18" t="s">
        <v>100</v>
      </c>
      <c r="B34" s="19">
        <v>5.0</v>
      </c>
      <c r="C34" s="7">
        <f>(5*(3374400/27360000))+(10*(1/18.18))+(15*(1/24))+(25*(1/75))+(50*(1/100))+(75*(1/203.39))+(100*(1/287.43))+(150*(1/4800))+(300*(1/20000))+(500*(1/20000))+(1000*(1/30000))+(3000*(1/912000))+(10000*(1/1520000))+(100000*(1/4560000))+(500000*(1/9120000))</f>
        <v>3.532921634</v>
      </c>
      <c r="D34" s="7">
        <f t="shared" si="1"/>
        <v>-1.467078366</v>
      </c>
      <c r="E34" s="8">
        <f t="shared" si="2"/>
        <v>-0.2934156732</v>
      </c>
      <c r="F34" s="8">
        <f>((1/18.18))+((1/24))+((1/75))+((1/100))+((1/203.39))+((1/287.43))+((1/4800))+((1/20000))+((1/20000))+((1/30000))+((1/912000))+((1/1520000))+((1/4560000))+((1/9120000))</f>
        <v>0.1287450211</v>
      </c>
      <c r="G34" s="9">
        <f>((1/30000))+((1/912000))+((1/1520000))+((1/4560000))+((1/9120000))</f>
        <v>0.00003541666667</v>
      </c>
      <c r="H34" s="9">
        <f>((1/1520000))+((1/4560000))+((1/9120000))</f>
        <v>0.0000009868421053</v>
      </c>
      <c r="I34" s="10">
        <f>((1/4560000))+((1/9120000))</f>
        <v>0.0000003289473684</v>
      </c>
      <c r="J34" s="11">
        <v>500000.0</v>
      </c>
      <c r="K34" s="21"/>
    </row>
    <row r="35">
      <c r="A35" s="18" t="s">
        <v>101</v>
      </c>
      <c r="B35" s="19">
        <v>5.0</v>
      </c>
      <c r="C35" s="7">
        <f>(5*(5420800/42240000))+(10*(1/12))+(20*(1/42.86))+(25*(1/60))+(50*(1/100))+(100*(1/200))+(200*(1/7500))+(500*(1/20000))+(1000*(1/30000))+(10000*(1/3520000))+(50000*(1/5280000))+(500000*(1/10560000))</f>
        <v>3.502961315</v>
      </c>
      <c r="D35" s="7">
        <f t="shared" si="1"/>
        <v>-1.497038685</v>
      </c>
      <c r="E35" s="8">
        <f t="shared" si="2"/>
        <v>-0.299407737</v>
      </c>
      <c r="F35" s="8">
        <f>((1/12))+((1/42.86))+((1/60))+((1/100))+((1/200))+((1/7500))+((1/20000))+((1/30000))+((1/3520000))+((1/5280000))+((1/10560000))</f>
        <v>0.1385490127</v>
      </c>
      <c r="G35" s="9">
        <f>((1/30000))+((1/3520000))+((1/5280000))+((1/10560000))</f>
        <v>0.00003390151515</v>
      </c>
      <c r="H35" s="9">
        <f>((1/3520000))+((1/5280000))+((1/10560000))</f>
        <v>0.0000005681818182</v>
      </c>
      <c r="I35" s="10">
        <f>((1/10560000))</f>
        <v>0.0000000946969697</v>
      </c>
      <c r="J35" s="11">
        <v>500000.0</v>
      </c>
      <c r="K35" s="21"/>
    </row>
    <row r="36">
      <c r="A36" s="18" t="s">
        <v>102</v>
      </c>
      <c r="B36" s="19">
        <v>5.0</v>
      </c>
      <c r="C36" s="7">
        <f>(5*(3091200/20160000))+(10*(1/13.64))+(15*(1/27.27))+(25*(1/30))+(50*(1/100))+(100*(1/1043.48))+(200*(1/10000))+(500*(1/56000))+(1000*(1/77538.46))+(10000*(1/2016000))+(500000*(1/10080000))</f>
        <v>3.575414898</v>
      </c>
      <c r="D36" s="7">
        <f t="shared" si="1"/>
        <v>-1.424585102</v>
      </c>
      <c r="E36" s="8">
        <f t="shared" si="2"/>
        <v>-0.2849170204</v>
      </c>
      <c r="F36" s="8">
        <f>((1/13.64))+((1/27.27))+((1/30))+((1/100))+((1/1043.48))+((1/10000))+((1/56000))+((1/77538.46))+((1/2016000))+((1/10080000))</f>
        <v>0.154407131</v>
      </c>
      <c r="G36" s="9">
        <f>((1/77538.46))+((1/2016000))+((1/10080000))</f>
        <v>0.00001349206375</v>
      </c>
      <c r="H36" s="9">
        <f>((1/2016000))+((1/10080000))</f>
        <v>0.0000005952380952</v>
      </c>
      <c r="I36" s="10">
        <f>(1/10080000)</f>
        <v>0.00000009920634921</v>
      </c>
      <c r="J36" s="11">
        <v>500000.0</v>
      </c>
      <c r="K36" s="21"/>
    </row>
    <row r="37">
      <c r="A37" s="7" t="s">
        <v>103</v>
      </c>
      <c r="B37" s="19">
        <v>5.0</v>
      </c>
      <c r="C37" s="7">
        <f>(5*(3057600/20160000))+(10*(1/10.34))+(15*(1/40))+(20*(1/52.17))+(50*(1/60))+(100*(1/888.89))+(500*(1/40000))+(1000*(1/134400))+(10000*(1/3360000))+(50000*(1/3360000))+(500000*(1/6720000))</f>
        <v>3.541848981</v>
      </c>
      <c r="D37" s="7">
        <f t="shared" si="1"/>
        <v>-1.458151019</v>
      </c>
      <c r="E37" s="8">
        <f t="shared" si="2"/>
        <v>-0.2916302038</v>
      </c>
      <c r="F37" s="8">
        <f>((1/10.34))+((1/40))+((1/52.17))+((1/60))+((1/888.89))+((1/40000))+((1/134400))+((1/3360000))+((1/3360000))+((1/6720000))</f>
        <v>0.1587047529</v>
      </c>
      <c r="G37" s="9">
        <f>((1/134400))+((1/3360000))+((1/3360000))+((1/6720000))</f>
        <v>0.00000818452381</v>
      </c>
      <c r="H37" s="9">
        <f>((1/3360000))+((1/3360000))+((1/6720000))</f>
        <v>0.000000744047619</v>
      </c>
      <c r="I37" s="10">
        <f>((1/6720000))</f>
        <v>0.0000001488095238</v>
      </c>
      <c r="J37" s="11">
        <v>500000.0</v>
      </c>
      <c r="K37" s="21"/>
    </row>
    <row r="38">
      <c r="A38" s="18" t="s">
        <v>104</v>
      </c>
      <c r="B38" s="19">
        <v>5.0</v>
      </c>
      <c r="C38" s="18">
        <f>(5*(3091200/20160000))+(10*(1/10))+(15*(1/40))+(25*(1/50))+(50*(1/66.67))+(100*(1/923.08))+(500*(1/60000))+(1000*(1/134400))+(10000*(1/2520000))+(500000*(1/10080000))</f>
        <v>3.569307379</v>
      </c>
      <c r="D38" s="7">
        <f t="shared" si="1"/>
        <v>-1.430692621</v>
      </c>
      <c r="E38" s="8">
        <f t="shared" si="2"/>
        <v>-0.2861385242</v>
      </c>
      <c r="F38" s="8">
        <f>((1/10))+((1/40))+((1/50))+((1/66.67))+((1/923.08))+((1/60000))+(1/134400)+((1/2520000))+(1/10080000)</f>
        <v>0.1611071829</v>
      </c>
      <c r="G38" s="9">
        <f>((1/134400))+((1/2520000))+((1/10080000))</f>
        <v>0.000007936507937</v>
      </c>
      <c r="H38" s="9">
        <f>((1/2520000))+((1/10080000))</f>
        <v>0.000000496031746</v>
      </c>
      <c r="I38" s="10">
        <f>(1/10080000)</f>
        <v>0.00000009920634921</v>
      </c>
      <c r="J38" s="11">
        <v>500000.0</v>
      </c>
      <c r="K38" s="21"/>
    </row>
    <row r="39">
      <c r="A39" s="18" t="s">
        <v>105</v>
      </c>
      <c r="B39" s="19">
        <v>5.0</v>
      </c>
      <c r="C39" s="7">
        <f>(5*(3405600/30960000))+(10*(1/10.53))+(20*(1/60))+(50*(1/85.71))+(100*(1/352.94))+(250*(1/8000))+(500*(1/657.53))+(500000*(1/10320000))</f>
        <v>3.539818919</v>
      </c>
      <c r="D39" s="7">
        <f t="shared" si="1"/>
        <v>-1.460181081</v>
      </c>
      <c r="E39" s="8">
        <f t="shared" si="2"/>
        <v>-0.2920362162</v>
      </c>
      <c r="F39" s="8">
        <f>((1/10.53))+((1/60))+((1/85.71))+((1/352.94))+((1/8000))+((1/657.53))+(1/10320000)</f>
        <v>0.1277799612</v>
      </c>
      <c r="G39" s="9">
        <f t="shared" ref="G39:I39" si="12">(1/10320000)</f>
        <v>0.00000009689922481</v>
      </c>
      <c r="H39" s="9">
        <f t="shared" si="12"/>
        <v>0.00000009689922481</v>
      </c>
      <c r="I39" s="10">
        <f t="shared" si="12"/>
        <v>0.00000009689922481</v>
      </c>
      <c r="J39" s="11">
        <v>500000.0</v>
      </c>
      <c r="K39" s="21"/>
    </row>
    <row r="40">
      <c r="A40" s="18" t="s">
        <v>106</v>
      </c>
      <c r="B40" s="19">
        <v>5.0</v>
      </c>
      <c r="C40" s="7">
        <f>(5*(4833600/27360000))+(100*(1/54.55))+(200*(1/258.06))+(500000*(1/13680000))</f>
        <v>3.528077172</v>
      </c>
      <c r="D40" s="7">
        <f t="shared" si="1"/>
        <v>-1.471922828</v>
      </c>
      <c r="E40" s="8">
        <f t="shared" si="2"/>
        <v>-0.2943845656</v>
      </c>
      <c r="F40" s="8">
        <f>((1/54.55))+((1/258.06))+((1/13680000))</f>
        <v>0.0222069466</v>
      </c>
      <c r="G40" s="9">
        <f t="shared" ref="G40:I40" si="13">((1/13680000))</f>
        <v>0.0000000730994152</v>
      </c>
      <c r="H40" s="9">
        <f t="shared" si="13"/>
        <v>0.0000000730994152</v>
      </c>
      <c r="I40" s="10">
        <f t="shared" si="13"/>
        <v>0.0000000730994152</v>
      </c>
      <c r="J40" s="11">
        <v>500000.0</v>
      </c>
      <c r="K40" s="21"/>
    </row>
    <row r="41">
      <c r="A41" s="13" t="s">
        <v>107</v>
      </c>
      <c r="B41" s="13">
        <v>10.0</v>
      </c>
      <c r="C41" s="14">
        <f>((10*(5040000/33600000))+(20*(1/9.68))+(50*(1/52.17))+(100*(1/126.32))+(200*(1/141.18))+(500*(1/941.18))+(1000*(1/5333.33))+(10000*(1/420000))+(20000*(1/1050000))+(500000*(1/8400000))+(2000000*(1/8400000)))</f>
        <v>7.792016761</v>
      </c>
      <c r="D41" s="22">
        <f t="shared" si="1"/>
        <v>-2.207983239</v>
      </c>
      <c r="E41" s="8">
        <f t="shared" si="2"/>
        <v>-0.2207983239</v>
      </c>
      <c r="F41" s="8">
        <f>1/7.21</f>
        <v>0.1386962552</v>
      </c>
      <c r="G41" s="9">
        <f>(1/5333.33)+((1/420000))+((1/1050000))+((1/8400000))+((1/8400000))</f>
        <v>0.0001910715458</v>
      </c>
      <c r="H41" s="9">
        <f>(((1/420000))+((1/1050000))+((1/8400000))+((1/8400000)))</f>
        <v>0.000003571428571</v>
      </c>
      <c r="I41" s="10">
        <f>(((1/8400000))+((1/8400000)))</f>
        <v>0.0000002380952381</v>
      </c>
      <c r="J41" s="23"/>
      <c r="K41" s="21"/>
    </row>
    <row r="42">
      <c r="A42" s="13" t="s">
        <v>108</v>
      </c>
      <c r="B42" s="13">
        <v>10.0</v>
      </c>
      <c r="C42" s="14">
        <f>(10*(4636800/33120000))+(20*(1/9.23))+(50*(1/50))+(100*(1/111.11))+(200*(1/160))+(500*(1/923.08))+(1000*(1/6315.79))+(10000*(1/480000))+(20000*(1/920000))+(500000*(1/11040000))+(2000000*(1/11040000))</f>
        <v>7.685876158</v>
      </c>
      <c r="D42" s="22">
        <f t="shared" si="1"/>
        <v>-2.314123842</v>
      </c>
      <c r="E42" s="8">
        <f t="shared" si="2"/>
        <v>-0.2314123842</v>
      </c>
      <c r="F42" s="8">
        <f>1/6.9</f>
        <v>0.1449275362</v>
      </c>
      <c r="G42" s="9">
        <f>((1/6315.79))+((1/480000))+((1/920000))+((1/11040000))+((1/11040000))</f>
        <v>0.0001616847694</v>
      </c>
      <c r="H42" s="9">
        <f>((1/480000))+((1/920000))+((1/11040000))+((1/11040000))</f>
        <v>0.000003351449275</v>
      </c>
      <c r="I42" s="10">
        <f>((1/11040000))+((1/11040000))</f>
        <v>0.0000001811594203</v>
      </c>
      <c r="J42" s="23"/>
      <c r="K42" s="21"/>
    </row>
    <row r="43">
      <c r="A43" s="13" t="s">
        <v>109</v>
      </c>
      <c r="B43" s="13">
        <v>10.0</v>
      </c>
      <c r="C43" s="14">
        <f>(10*(1894400/17760000))+(20*(1/9.38))+(25*(1/50))+(50*(1/57.83))+(100*(1/80))+(200*(1/393.44))+(250*(1/393.44))+(500*(1/2181.82))+(1000*(1/10447.06))+(5000*(1/444000))+(10000*(1/888000))+(50000*(1/1110000))+(200000*(1/8880000))+(2000000*(1/8880000))</f>
        <v>7.597426102</v>
      </c>
      <c r="D43" s="22">
        <f t="shared" si="1"/>
        <v>-2.402573898</v>
      </c>
      <c r="E43" s="8">
        <f t="shared" si="2"/>
        <v>-0.2402573898</v>
      </c>
      <c r="F43" s="8">
        <f>1/6.17</f>
        <v>0.1620745543</v>
      </c>
      <c r="G43" s="9">
        <f>((1/10447.06))+((1/444000))+((1/888000))+((1/1110000))+((1/8880000))+((1/8880000))</f>
        <v>0.0001002252144</v>
      </c>
      <c r="H43" s="9">
        <f>((1/888000))+((1/1110000))+((1/8880000))+((1/8880000))</f>
        <v>0.000002252252252</v>
      </c>
      <c r="I43" s="10">
        <f>((1/8880000))+((1/8880000))</f>
        <v>0.0000002252252252</v>
      </c>
      <c r="J43" s="23"/>
      <c r="K43" s="21"/>
    </row>
    <row r="44">
      <c r="A44" s="13" t="s">
        <v>110</v>
      </c>
      <c r="B44" s="13">
        <v>10.0</v>
      </c>
      <c r="C44" s="14">
        <f>(10*(3818400/26640000))+(20*(1/14.29))+(50*(1/50))+(100*(1/90.57))+(200*(1/203.05))+(500*(1/363.64))+(1000*(1/20796.25))+(2000*(1/134545.45))+(5000*(1/341538.46))+(10000*(1/634285.71))+(20000*(1/2220000))+(40000*(1/2220000))+(100000*(1/4440000))+(2000000*(1/8880000))</f>
        <v>7.665127778</v>
      </c>
      <c r="D44" s="22">
        <f t="shared" si="1"/>
        <v>-2.334872222</v>
      </c>
      <c r="E44" s="8">
        <f t="shared" si="2"/>
        <v>-0.2334872222</v>
      </c>
      <c r="F44" s="8">
        <f>1/9.19</f>
        <v>0.1088139282</v>
      </c>
      <c r="G44" s="9">
        <f>((1/20796.25))+((1/134545.45))+((1/341538.46))+((1/634285.71))+((1/2220000))+((1/2220000))+((1/4440000))+((1/8880000))</f>
        <v>0.00006126126831</v>
      </c>
      <c r="H44" s="9">
        <f>(1/634285.71)+((1/2220000))+((1/2220000))+((1/4440000))+((1/8880000))</f>
        <v>0.000002815315326</v>
      </c>
      <c r="I44" s="10">
        <f>((1/4440000))+((1/8880000))</f>
        <v>0.0000003378378378</v>
      </c>
      <c r="J44" s="23"/>
      <c r="K44" s="21"/>
    </row>
    <row r="45">
      <c r="A45" s="13" t="s">
        <v>111</v>
      </c>
      <c r="B45" s="13">
        <v>10.0</v>
      </c>
      <c r="C45" s="14">
        <f>(10*(2545600/17760000))+(15*(1/11.11))+(25*(1/42.86))+(50*(1/50))+(100*(1/75))+(200*(1/218.18))+((500*(1/1000))+(1000*(1/17939.39))+(2000*(1/592000))+(5000*(1/740000))+(10000*(1/1480000))+(20000*(1/2220000))+(50000*(1/2960000))+(100000*(1/4440000))+(200000*(1/8880000))+(2000000*(1/8880000)))</f>
        <v>7.485576751</v>
      </c>
      <c r="D45" s="22">
        <f t="shared" si="1"/>
        <v>-2.514423249</v>
      </c>
      <c r="E45" s="8">
        <f t="shared" si="2"/>
        <v>-0.2514423249</v>
      </c>
      <c r="F45" s="8">
        <f>1/6.57</f>
        <v>0.1522070015</v>
      </c>
      <c r="G45" s="9">
        <f>((1/17939.39))+((1/592000))+((1/740000))+((1/1480000))+((1/2220000))+((1/2960000))+((1/4440000))+((1/8880000))+((1/8880000))</f>
        <v>0.00006069821044</v>
      </c>
      <c r="H45" s="9">
        <f>(1/1480000)+((1/2220000))+((1/2960000))+((1/4440000))+((1/8880000))+((1/8880000))</f>
        <v>0.000001914414414</v>
      </c>
      <c r="I45" s="10">
        <f>((1/4440000))+((1/8880000))+((1/8880000))</f>
        <v>0.0000004504504505</v>
      </c>
      <c r="J45" s="23"/>
      <c r="K45" s="21"/>
    </row>
    <row r="46">
      <c r="A46" s="13" t="s">
        <v>112</v>
      </c>
      <c r="B46" s="13">
        <v>10.0</v>
      </c>
      <c r="C46" s="14">
        <f>(10*(2534400/17280000))+(20*(1/14.29))+(30*(1/42.86))+(50*(1/50))+(100*(1/80))+(200*(1/266.67))+(500*(1/857.14))+(1000*(1/19200))+(5000*(1/432000))+(10000*(1/720000))+(20000*(1/1234285.71))+(100000*(1/4320000))+(2000000*(1/8640000))</f>
        <v>7.497905662</v>
      </c>
      <c r="D46" s="22">
        <f t="shared" si="1"/>
        <v>-2.502094338</v>
      </c>
      <c r="E46" s="8">
        <f t="shared" si="2"/>
        <v>-0.2502094338</v>
      </c>
      <c r="F46" s="8">
        <f>1/7.64</f>
        <v>0.1308900524</v>
      </c>
      <c r="G46" s="9">
        <f>((1/19200))+((1/432000))+((1/720000))+((1/1234285.71))+((1/4320000))+((1/8640000))</f>
        <v>0.00005694444445</v>
      </c>
      <c r="H46" s="9">
        <f>((1/720000))+((1/1234285.71))+((1/4320000))+((1/8640000))</f>
        <v>0.000002546296299</v>
      </c>
      <c r="I46" s="10">
        <f>((1/4320000))+((1/8640000))</f>
        <v>0.0000003472222222</v>
      </c>
      <c r="J46" s="23"/>
      <c r="K46" s="21"/>
    </row>
    <row r="47">
      <c r="A47" s="13" t="s">
        <v>113</v>
      </c>
      <c r="B47" s="13">
        <v>10.0</v>
      </c>
      <c r="C47" s="14">
        <f>(10*(2476800/17280000))+(15*(1/14.29))+(30*(1/42.86))+(50*(1/50))+(100*(1/87.91))+(300*(1/244.9))+(500*(1/857.14))+(1000*(1/21600))+(3000*(1/172800))+(5000*(1/576000))+(10000*(1/1234285.71))+(30000*(1/1440000))+(100000*(1/2880000))+(2000000*(1/8640000))</f>
        <v>7.496300702</v>
      </c>
      <c r="D47" s="22">
        <f t="shared" si="1"/>
        <v>-2.503699298</v>
      </c>
      <c r="E47" s="8">
        <f t="shared" si="2"/>
        <v>-0.2503699298</v>
      </c>
      <c r="F47" s="8">
        <f>1/7.69</f>
        <v>0.1300390117</v>
      </c>
      <c r="G47" s="9">
        <f>((1/21600))+((1/172800))+((1/576000))+((1/1234285.71))+((1/1440000))+((1/2880000))+((1/8640000))</f>
        <v>0.00005578703704</v>
      </c>
      <c r="H47" s="9">
        <f>((1/1234285.71))+((1/1440000))+((1/2880000))+((1/8640000))</f>
        <v>0.000001967592595</v>
      </c>
      <c r="I47" s="10">
        <f>(1/2880000)+((1/8640000))</f>
        <v>0.000000462962963</v>
      </c>
      <c r="J47" s="23"/>
      <c r="K47" s="21"/>
    </row>
    <row r="48">
      <c r="A48" s="13" t="s">
        <v>114</v>
      </c>
      <c r="B48" s="13">
        <v>10.0</v>
      </c>
      <c r="C48" s="14">
        <f>(10*(1894400/15360000))+(20*(1/12.5))+(25*(1/50))+(50*(1/54.55))+(100*(1/85.71))+(250*(1/235.29))+(500*(1/774.19))+(1000*(1/23630.77))+(2000*(1/256000))+(5000*(1/768000))+(10000*(1/1920000))+(50000*(1/2560000))+(100000*(1/3840000))+(2000000*(1/7680000))</f>
        <v>7.492842048</v>
      </c>
      <c r="D48" s="22">
        <f t="shared" si="1"/>
        <v>-2.507157952</v>
      </c>
      <c r="E48" s="8">
        <f t="shared" si="2"/>
        <v>-0.2507157952</v>
      </c>
      <c r="F48" s="8">
        <f>1/7.38</f>
        <v>0.135501355</v>
      </c>
      <c r="G48" s="9">
        <f>((1/23630.77))+((1/256000))+((1/768000))+((1/1920000))+((1/2560000))+((1/3840000))+((1/7680000))</f>
        <v>0.00004882812362</v>
      </c>
      <c r="H48" s="9">
        <f>((1/1920000))+((1/2560000))+((1/3840000))+((1/7680000))</f>
        <v>0.000001302083333</v>
      </c>
      <c r="I48" s="10">
        <f>((1/3840000))+((1/7680000))</f>
        <v>0.000000390625</v>
      </c>
      <c r="J48" s="23"/>
      <c r="K48" s="24"/>
    </row>
    <row r="49">
      <c r="A49" s="13" t="s">
        <v>115</v>
      </c>
      <c r="B49" s="13">
        <v>10.0</v>
      </c>
      <c r="C49" s="14">
        <f>(10*(2820800/19680000))+(20*(1/12.5))+(30*(1/30))+(50*(1/57.14))+(100*(1/129.73))+(150*(1/177.78))+(300*(1/634.92))+(500*(1/2400))+(1000*(1/32800))+(3000*(1/492000))+(10000*(1/984000))+(30000*(1/1230000))+(100000*(1/4920000))+(2000000*(1/9840000))</f>
        <v>7.498497519</v>
      </c>
      <c r="D49" s="22">
        <f t="shared" si="1"/>
        <v>-2.501502481</v>
      </c>
      <c r="E49" s="8">
        <f t="shared" si="2"/>
        <v>-0.2501502481</v>
      </c>
      <c r="F49" s="8">
        <f>1/6.84</f>
        <v>0.1461988304</v>
      </c>
      <c r="G49" s="9">
        <f>((1/32800))+((1/492000))+((1/984000))+((1/1230000))+((1/4920000))+((1/9840000))</f>
        <v>0.00003465447154</v>
      </c>
      <c r="H49" s="9">
        <f>((1/984000))+((1/1230000))+((1/4920000))+((1/9840000))</f>
        <v>0.000002134146341</v>
      </c>
      <c r="I49" s="10">
        <f>((1/4920000))+((1/9840000))</f>
        <v>0.0000003048780488</v>
      </c>
      <c r="J49" s="23"/>
      <c r="K49" s="21"/>
    </row>
    <row r="50">
      <c r="A50" s="13" t="s">
        <v>116</v>
      </c>
      <c r="B50" s="13">
        <v>10.0</v>
      </c>
      <c r="C50" s="14">
        <f>(10*(3508800/24480000))+(20*(1/11.11))+(50*(1/42.86))+(100*(1/78.02))+(200*(1/232.56))+(500*(1/800))+(1000*(1/37777.78))+(5000*(1/408000))+(10000*(1/1020000))+(50000*(1/2040000))+(100000*(1/8160000))+(2000000*(1/8160000))</f>
        <v>7.497210156</v>
      </c>
      <c r="D50" s="22">
        <f t="shared" si="1"/>
        <v>-2.502789844</v>
      </c>
      <c r="E50" s="8">
        <f t="shared" si="2"/>
        <v>-0.2502789844</v>
      </c>
      <c r="F50" s="8">
        <f>1/7.59</f>
        <v>0.1317523057</v>
      </c>
      <c r="G50" s="9">
        <f>((1/37777.78))+((1/408000))+((1/1020000))+((1/2040000))+((1/8160000))+((1/8160000))</f>
        <v>0.00003063725334</v>
      </c>
      <c r="H50" s="9">
        <f>((1/1020000))+((1/2040000))+((1/8160000))+((1/8160000))</f>
        <v>0.000001715686275</v>
      </c>
      <c r="I50" s="10">
        <f>((1/8160000))+((1/8160000))</f>
        <v>0.0000002450980392</v>
      </c>
      <c r="J50" s="23"/>
      <c r="K50" s="21"/>
    </row>
    <row r="51">
      <c r="A51" s="13" t="s">
        <v>117</v>
      </c>
      <c r="B51" s="13">
        <v>10.0</v>
      </c>
      <c r="C51" s="14">
        <f>(10*(1267200/8640000))+(20*(1/14.29))+(25*(1/33.33))+(30*(1/42.86))+(50*(1/50))+(100*(1/83.62))+(200*(1/1230.77))+(500*(1/3000))+(1000*(1/216000))+(5000*(1/864000))+(10000*(1/1080000))+(50000*(1/1440000))+(200000*(1/2160000))+(2000000*(1/4320000))</f>
        <v>7.451281557</v>
      </c>
      <c r="D51" s="22">
        <f t="shared" si="1"/>
        <v>-2.548718443</v>
      </c>
      <c r="E51" s="8">
        <f t="shared" si="2"/>
        <v>-0.2548718443</v>
      </c>
      <c r="F51" s="8">
        <f>1/6.39</f>
        <v>0.1564945227</v>
      </c>
      <c r="G51" s="9">
        <f>((1/216000))+((1/864000))+((1/1080000))+((1/1440000))+((1/2160000))+((1/4320000))</f>
        <v>0.000008101851852</v>
      </c>
      <c r="H51" s="9">
        <f>((1/1080000))+((1/1440000))+((1/2160000))+((1/4320000))</f>
        <v>0.000002314814815</v>
      </c>
      <c r="I51" s="10">
        <f>((1/2160000))+((1/4320000))</f>
        <v>0.0000006944444444</v>
      </c>
      <c r="J51" s="23"/>
      <c r="K51" s="21"/>
    </row>
    <row r="52">
      <c r="A52" s="13" t="s">
        <v>118</v>
      </c>
      <c r="B52" s="13">
        <v>10.0</v>
      </c>
      <c r="C52" s="14">
        <f>(10*(1224000/8160000))+(20*(1/10.71))+(30*(1/27.27))+(50*(1/50))+(100*(1/89.55))+(200*(1/1714.29))+(500*(1/4800))+(1000*(1/240000))+(5000*(1/816000))+(10000*(1/1020000))+(50000*(1/1360000))+(200000*(1/2040000))+(2000000*(1/4080000))</f>
        <v>7.450149308</v>
      </c>
      <c r="D52" s="22">
        <f t="shared" si="1"/>
        <v>-2.549850692</v>
      </c>
      <c r="E52" s="8">
        <f t="shared" si="2"/>
        <v>-0.2549850692</v>
      </c>
      <c r="F52" s="8">
        <f>1/6.17</f>
        <v>0.1620745543</v>
      </c>
      <c r="G52" s="9">
        <f>((1/240000))+((1/816000))+((1/1020000))+((1/1360000))+((1/2040000))+((1/4080000))</f>
        <v>0.000007843137255</v>
      </c>
      <c r="H52" s="9">
        <f>(1/1020000)+((1/1360000))+((1/2040000))+((1/4080000))</f>
        <v>0.000002450980392</v>
      </c>
      <c r="I52" s="10">
        <f>((1/2040000))+((1/4080000))</f>
        <v>0.0000007352941176</v>
      </c>
      <c r="J52" s="23"/>
      <c r="K52" s="21"/>
    </row>
    <row r="53">
      <c r="A53" s="13" t="s">
        <v>119</v>
      </c>
      <c r="B53" s="13">
        <v>10.0</v>
      </c>
      <c r="C53" s="14">
        <f>(10*(1169600/8160000))+(20*(1/13.76))+(25*(1/37.5))+(50*(1/42.86))+(100*(1/50))+(500*(1/3000))+(1000*(1/272000))+(5000*(1/816000))+(10000*(1/2040000))+(50000*(1/2720000))+(100000*(1/2720000))+(2000000*(1/4080000))</f>
        <v>7.446792952</v>
      </c>
      <c r="D53" s="22">
        <f t="shared" si="1"/>
        <v>-2.553207048</v>
      </c>
      <c r="E53" s="8">
        <f t="shared" si="2"/>
        <v>-0.2553207048</v>
      </c>
      <c r="F53" s="8">
        <f>1/6.99</f>
        <v>0.1430615165</v>
      </c>
      <c r="G53" s="9">
        <f>((1/272000))+((1/816000))+((1/2040000))+((1/2720000))+((1/2720000))+((1/4080000))</f>
        <v>0.00000637254902</v>
      </c>
      <c r="H53" s="9">
        <f>((1/2040000))+((1/2720000))+((1/2720000))+((1/4080000))</f>
        <v>0.000001470588235</v>
      </c>
      <c r="I53" s="10">
        <f>(1/2720000)+((1/4080000))</f>
        <v>0.000000612745098</v>
      </c>
      <c r="J53" s="23"/>
      <c r="K53" s="21"/>
    </row>
    <row r="54">
      <c r="A54" s="13" t="s">
        <v>120</v>
      </c>
      <c r="B54" s="25">
        <v>10.0</v>
      </c>
      <c r="C54" s="22">
        <f>(10*(1307200/9120000))+(20*(1/13.64))+(25*(1/37.5))+(50*(1/42.86))+(100*(1/50))+(200*(1/2790.7))+(500*(1/3076.92))+(1000*(1/304000))+(5000*(1/760000))+(10000*(1/1520000))+(50000*(1/2280000))+(100000*(1/2280000))+(2000000*(1/4560000))</f>
        <v>7.487864657</v>
      </c>
      <c r="D54" s="22">
        <f t="shared" si="1"/>
        <v>-2.512135343</v>
      </c>
      <c r="E54" s="8">
        <f t="shared" si="2"/>
        <v>-0.2512135343</v>
      </c>
      <c r="F54" s="8">
        <f>1/6.4</f>
        <v>0.15625</v>
      </c>
      <c r="G54" s="9">
        <f>(1/304000)+((1/760000))+((1/1520000))+((1/2280000))+((1/2280000))+((1/4560000))</f>
        <v>0.000006359649123</v>
      </c>
      <c r="H54" s="9">
        <f>((1/1520000))+((1/2280000))+((1/2280000))+((1/4560000))</f>
        <v>0.000001754385965</v>
      </c>
      <c r="I54" s="10">
        <f>((1/2280000))+((1/4560000))</f>
        <v>0.0000006578947368</v>
      </c>
      <c r="J54" s="23"/>
      <c r="K54" s="21"/>
    </row>
    <row r="55">
      <c r="A55" s="13" t="s">
        <v>121</v>
      </c>
      <c r="B55" s="13">
        <v>10.0</v>
      </c>
      <c r="C55" s="14">
        <f>(50*(1/10.53))+(100*(1/37.04))</f>
        <v>7.448122099</v>
      </c>
      <c r="D55" s="22">
        <f t="shared" si="1"/>
        <v>-2.551877901</v>
      </c>
      <c r="E55" s="8">
        <f t="shared" si="2"/>
        <v>-0.2551877901</v>
      </c>
      <c r="F55" s="8">
        <f>1/8.2</f>
        <v>0.1219512195</v>
      </c>
      <c r="G55" s="26">
        <v>0.0</v>
      </c>
      <c r="H55" s="26">
        <v>0.0</v>
      </c>
      <c r="I55" s="26">
        <v>0.0</v>
      </c>
      <c r="J55" s="23"/>
      <c r="K55" s="21"/>
    </row>
    <row r="56">
      <c r="A56" s="6" t="s">
        <v>122</v>
      </c>
      <c r="B56" s="6">
        <v>15.0</v>
      </c>
      <c r="C56" s="7">
        <f>(25*(1/6.9))+(40*(1/28.57))+(50*(1/33.33))+(100*(1/66.57))+(150*(1/141.18))+(250*(1/400))+(500*(1/600))+(1000*(1/10666.67))+(5000*(1/480000))+(10000*(1/1200000))+(50000*(1/2400000))+(100000*(1/3200000))+(3000000*(1/9600000))</f>
        <v>11.02347666</v>
      </c>
      <c r="D56" s="16">
        <f t="shared" si="1"/>
        <v>-3.976523342</v>
      </c>
      <c r="E56" s="8">
        <f t="shared" si="2"/>
        <v>-0.2651015561</v>
      </c>
      <c r="F56" s="8">
        <f>1/4.23</f>
        <v>0.2364066194</v>
      </c>
      <c r="G56" s="9">
        <f>(1/10666.67)+((1/480000))+((1/1200000))+((1/2400000))+((1/3200000))+((1/9600000))</f>
        <v>0.0000974999707</v>
      </c>
      <c r="H56" s="9">
        <f>((1/1200000))+((1/2400000))+((1/3200000))+((1/9600000))</f>
        <v>0.000001666666667</v>
      </c>
      <c r="I56" s="10">
        <f>(1/3200000)+((1/9600000))</f>
        <v>0.0000004166666667</v>
      </c>
      <c r="J56" s="23"/>
      <c r="K56" s="21"/>
    </row>
    <row r="57">
      <c r="A57" s="13" t="s">
        <v>123</v>
      </c>
      <c r="B57" s="13">
        <v>20.0</v>
      </c>
      <c r="C57" s="14">
        <f>(20*(4368000/20160000))+(50*(1/12.5))+(100*(1/53.93))+(200*(1/109.59))+(500*(1/190.48))+(1000*(1/750))+(2000*(1/24466.02))+(5000*(1/840000))+(10000*(1/1120000))+(50000*(1/1680000))+(100000*(1/3360000))+(500000*(1/10080000))+(1000000*(1/10080000))+(5000000*(1/10080000))</f>
        <v>16.77184578</v>
      </c>
      <c r="D57" s="22">
        <f t="shared" si="1"/>
        <v>-3.228154223</v>
      </c>
      <c r="E57" s="8">
        <f t="shared" si="2"/>
        <v>-0.1614077111</v>
      </c>
      <c r="F57" s="8">
        <f>1/8.75</f>
        <v>0.1142857143</v>
      </c>
      <c r="G57" s="9">
        <f>((1/750))+((1/24466.02))+((1/840000))+((1/1120000))+((1/1680000))+((1/3360000))+((1/10080000))+((1/10080000))+((1/10080000))</f>
        <v>0.001377480158</v>
      </c>
      <c r="H57" s="9">
        <f>((1/1120000))+((1/1680000))+((1/3360000))+((1/10080000))+((1/10080000))+((1/10080000))</f>
        <v>0.000002083333333</v>
      </c>
      <c r="I57" s="10">
        <f>((1/3360000))+((1/10080000))+((1/10080000))+(1/10080000)</f>
        <v>0.0000005952380952</v>
      </c>
      <c r="J57" s="23"/>
      <c r="K57" s="21"/>
    </row>
    <row r="58">
      <c r="A58" s="13" t="s">
        <v>124</v>
      </c>
      <c r="B58" s="13">
        <v>20.0</v>
      </c>
      <c r="C58" s="14">
        <f>(20*(7488000/37440000))+(40*(1/15))+(50*(1/34.09))+(100*(1/46.15))+(200*(1/109.09))+(500*(1/150))+(1000*(1/1500))+(10000*(1/176603.77))+(50000*(1/936000))+(100000*(1/936000))+(2000000*(1/9360000))+(5000000*(1/9360000))</f>
        <v>17.09831188</v>
      </c>
      <c r="D58" s="22">
        <f t="shared" si="1"/>
        <v>-2.901688115</v>
      </c>
      <c r="E58" s="8">
        <f t="shared" si="2"/>
        <v>-0.1450844058</v>
      </c>
      <c r="F58" s="8">
        <f>1/7.45</f>
        <v>0.1342281879</v>
      </c>
      <c r="G58" s="9">
        <f>((1/1500))+((1/176603.77))+((1/936000))+((1/936000))+((1/9360000))+((1/9360000))</f>
        <v>0.0006746794873</v>
      </c>
      <c r="H58" s="9">
        <f>((1/176603.77))+((1/936000))+((1/936000))+((1/9360000))+((1/9360000))</f>
        <v>0.000008012820628</v>
      </c>
      <c r="I58" s="10">
        <f>((1/936000))+((1/9360000))+((1/9360000))</f>
        <v>0.000001282051282</v>
      </c>
      <c r="J58" s="23"/>
      <c r="K58" s="21"/>
    </row>
    <row r="59">
      <c r="A59" s="13" t="s">
        <v>125</v>
      </c>
      <c r="B59" s="13">
        <v>20.0</v>
      </c>
      <c r="C59" s="14">
        <f>(20*(6988800/37440000))+(40*(1/14.29))+(50*(1/33.33))+(100*(1/42.86))+(200*(1/109.09))+(500*(1/150))+(1000*(1/1500))+(10000*(1/312000))+(20000*(1/1336666.67))+(50000*(1/2080000))+(100000*(1/12480000))+(2000000*(1/12480000))+(5000000*(1/12480000))</f>
        <v>16.83913259</v>
      </c>
      <c r="D59" s="22">
        <f t="shared" si="1"/>
        <v>-3.160867407</v>
      </c>
      <c r="E59" s="8">
        <f t="shared" si="2"/>
        <v>-0.1580433703</v>
      </c>
      <c r="F59" s="8">
        <f>1/7.15</f>
        <v>0.1398601399</v>
      </c>
      <c r="G59" s="9">
        <f>((1/1500))+((1/312000))+((1/1336666.67))+((1/2080000))+((1/12480000))+((1/12480000))+((1/12480000))</f>
        <v>0.0006713410784</v>
      </c>
      <c r="H59" s="9">
        <f>((1/312000))+((1/1336666.67))+((1/2080000))+((1/12480000))+((1/12480000))+((1/12480000))</f>
        <v>0.000004674411725</v>
      </c>
      <c r="I59" s="10">
        <f>((1/12480000))+((1/12480000))+((1/12480000))</f>
        <v>0.0000002403846154</v>
      </c>
      <c r="J59" s="23"/>
      <c r="K59" s="21"/>
    </row>
    <row r="60">
      <c r="A60" s="13" t="s">
        <v>126</v>
      </c>
      <c r="B60" s="13">
        <v>20.0</v>
      </c>
      <c r="C60" s="14">
        <f>(20*(4416000/22080000))+(25*(1/2400))+(30*(1/15))+(50*(1/25))+(100*(1/50))+(300*(1/116.11))+(500*(1/240))+(1000*(1/3000))+(3000*(1/368000))+(5000*(1/1226666.67))+(10000*(1/1380000))+(30000*(1/1840000))+(100000*(1/5520000))+(500000*(1/5520000))+(5000000*(1/11040000))</f>
        <v>15.6082133</v>
      </c>
      <c r="D60" s="22">
        <f t="shared" si="1"/>
        <v>-4.391786696</v>
      </c>
      <c r="E60" s="8">
        <f t="shared" si="2"/>
        <v>-0.2195893348</v>
      </c>
      <c r="F60" s="8">
        <f>1/7.13</f>
        <v>0.1402524544</v>
      </c>
      <c r="G60" s="9">
        <f>((1/3000))+((1/368000))+((1/1226666.67))+((1/1380000))+((1/1840000))+((1/5520000))+((1/5520000))+((1/11040000))</f>
        <v>0.0003385869565</v>
      </c>
      <c r="H60" s="9">
        <f>((1/1380000))+((1/1840000))+((1/5520000))+((1/5520000))+((1/11040000))</f>
        <v>0.000001721014493</v>
      </c>
      <c r="I60" s="10">
        <f>((1/5520000))+((1/5520000))+((1/11040000))</f>
        <v>0.0000004528985507</v>
      </c>
      <c r="J60" s="23"/>
      <c r="K60" s="21"/>
    </row>
    <row r="61">
      <c r="A61" s="13" t="s">
        <v>127</v>
      </c>
      <c r="B61" s="13">
        <v>20.0</v>
      </c>
      <c r="C61" s="14">
        <f>(20*(3302400/20640000))+(40*(1/10))+(50*(1/37.5))+(100*(1/50))+(200*(1/136.36))+(250*(1/1200))+(500*(1/200))+(1000*(1/4000))+(2000*(1/41280))+(5000*(1/412800))+(10000*(1/1290000))+(20000*(1/2064000))+(50000*(1/3440000))+(100000*(1/5160000))+(200000*(1/5160000))+(5000000*(1/10320000))</f>
        <v>15.59354686</v>
      </c>
      <c r="D61" s="22">
        <f t="shared" si="1"/>
        <v>-4.406453136</v>
      </c>
      <c r="E61" s="8">
        <f t="shared" si="2"/>
        <v>-0.2203226568</v>
      </c>
      <c r="F61" s="8">
        <f>1/6.25</f>
        <v>0.16</v>
      </c>
      <c r="G61" s="9">
        <f>((1/4000))+((1/41280))+((1/412800))+((1/1290000))+((1/2064000))+((1/3440000))+((1/5160000))+((1/5160000))+((1/10320000))</f>
        <v>0.0002786821705</v>
      </c>
      <c r="H61" s="9">
        <f>((1/1290000))+((1/2064000))+((1/3440000))+((1/5160000))+((1/5160000))+((1/10320000))</f>
        <v>0.000002034883721</v>
      </c>
      <c r="I61" s="10">
        <f>((1/5160000))+((1/5160000))+((1/10320000))</f>
        <v>0.000000484496124</v>
      </c>
      <c r="J61" s="23"/>
      <c r="K61" s="21"/>
    </row>
    <row r="62">
      <c r="A62" s="6" t="s">
        <v>128</v>
      </c>
      <c r="B62" s="6">
        <v>25.0</v>
      </c>
      <c r="C62" s="7">
        <f>(40*(1/7.5))+(50*(1/17.14))+(75*(1/52.75))+(100*(1/55.81))+(200*(1/120))+(250*(1/387.1))+(400*(1/480))+(500*(1/171.43))+(1000*(1/1947.83))+(2000*(1/48000))+(10000*(1/840000))+(50000*(1/1680000))+(100000*(1/3360000))+(6000000*(1/10080000))</f>
        <v>18.7482762</v>
      </c>
      <c r="D62" s="16">
        <f t="shared" si="1"/>
        <v>-6.251723803</v>
      </c>
      <c r="E62" s="8">
        <f t="shared" si="2"/>
        <v>-0.2500689521</v>
      </c>
      <c r="F62" s="8">
        <f>1/4.03</f>
        <v>0.2481389578</v>
      </c>
      <c r="G62" s="9">
        <f>((1/1947.83))+((1/48000))+((1/840000))+((1/1680000))+((1/3360000))+((1/10080000))</f>
        <v>0.0005364076988</v>
      </c>
      <c r="H62" s="9">
        <f>((1/840000))+((1/1680000))+((1/3360000))+((1/10080000))</f>
        <v>0.000002182539683</v>
      </c>
      <c r="I62" s="10">
        <f>((1/3360000))+((1/10080000))</f>
        <v>0.0000003968253968</v>
      </c>
      <c r="J62" s="23"/>
      <c r="K62" s="21"/>
    </row>
    <row r="63">
      <c r="A63" s="6" t="s">
        <v>129</v>
      </c>
      <c r="B63" s="6">
        <v>25.0</v>
      </c>
      <c r="C63" s="7">
        <f>(40*(1/7.06))+(50*(1/12))+(100*(1/30))+(200*(1/101.18))+(300*(1/512.82))+(500*(1/190.48))+(1000*(1/2240))+(2000*(1/100800))+(10000*(1/916363.64))+(50000*(1/1440000))+(100000*(1/2520000))+(6000000*(1/10080000))</f>
        <v>19.49917109</v>
      </c>
      <c r="D63" s="16">
        <f t="shared" si="1"/>
        <v>-5.500828905</v>
      </c>
      <c r="E63" s="8">
        <f t="shared" si="2"/>
        <v>-0.2200331562</v>
      </c>
      <c r="F63" s="8">
        <f>1/3.62</f>
        <v>0.2762430939</v>
      </c>
      <c r="G63" s="9">
        <f>((1/2240))+((1/100800))+((1/916363.64))+((1/1440000))+((1/2520000))+((1/10080000))</f>
        <v>0.0004586309524</v>
      </c>
      <c r="H63" s="9">
        <f>((1/916363.64))+((1/1440000))+((1/2520000))+((1/10080000))</f>
        <v>0.000002281746027</v>
      </c>
      <c r="I63" s="10">
        <f>((1/2520000))+((1/10080000))</f>
        <v>0.000000496031746</v>
      </c>
      <c r="J63" s="23"/>
      <c r="K63" s="21"/>
    </row>
    <row r="64">
      <c r="J64" s="23"/>
      <c r="K64" s="27"/>
    </row>
    <row r="65">
      <c r="J65" s="23"/>
      <c r="K65" s="27"/>
    </row>
    <row r="66">
      <c r="J66" s="23"/>
      <c r="K66" s="27"/>
    </row>
    <row r="67">
      <c r="J67" s="23"/>
      <c r="K67" s="27"/>
    </row>
    <row r="68">
      <c r="J68" s="23"/>
      <c r="K68" s="27"/>
    </row>
    <row r="69">
      <c r="J69" s="23"/>
      <c r="K69" s="27"/>
    </row>
    <row r="70">
      <c r="J70" s="23"/>
      <c r="K70" s="27"/>
    </row>
    <row r="71">
      <c r="J71" s="23"/>
      <c r="K71" s="27"/>
    </row>
    <row r="72">
      <c r="J72" s="23"/>
      <c r="K72" s="27"/>
    </row>
    <row r="73">
      <c r="J73" s="23"/>
      <c r="K73" s="27"/>
    </row>
    <row r="74">
      <c r="J74" s="23"/>
      <c r="K74" s="27"/>
    </row>
    <row r="75">
      <c r="J75" s="23"/>
      <c r="K75" s="27"/>
    </row>
    <row r="76">
      <c r="J76" s="23"/>
      <c r="K76" s="27"/>
    </row>
    <row r="77">
      <c r="J77" s="23"/>
      <c r="K77" s="27"/>
    </row>
    <row r="78">
      <c r="J78" s="23"/>
      <c r="K78" s="27"/>
    </row>
    <row r="79">
      <c r="J79" s="23"/>
      <c r="K79" s="27"/>
    </row>
    <row r="80">
      <c r="J80" s="23"/>
      <c r="K80" s="27"/>
    </row>
    <row r="81">
      <c r="J81" s="23"/>
      <c r="K81" s="27"/>
    </row>
    <row r="82">
      <c r="J82" s="23"/>
      <c r="K82" s="27"/>
    </row>
    <row r="83">
      <c r="J83" s="23"/>
      <c r="K83" s="27"/>
    </row>
    <row r="84">
      <c r="J84" s="23"/>
      <c r="K84" s="27"/>
    </row>
    <row r="85">
      <c r="J85" s="23"/>
      <c r="K85" s="27"/>
    </row>
    <row r="86">
      <c r="J86" s="23"/>
      <c r="K86" s="27"/>
    </row>
    <row r="87">
      <c r="J87" s="23"/>
      <c r="K87" s="27"/>
    </row>
    <row r="88">
      <c r="J88" s="23"/>
      <c r="K88" s="27"/>
    </row>
    <row r="89">
      <c r="J89" s="23"/>
      <c r="K89" s="27"/>
    </row>
    <row r="90">
      <c r="J90" s="23"/>
      <c r="K90" s="27"/>
    </row>
    <row r="91">
      <c r="J91" s="23"/>
      <c r="K91" s="27"/>
    </row>
    <row r="92">
      <c r="J92" s="23"/>
      <c r="K92" s="27"/>
    </row>
    <row r="93">
      <c r="J93" s="23"/>
      <c r="K93" s="27"/>
    </row>
    <row r="94">
      <c r="J94" s="23"/>
      <c r="K94" s="27"/>
    </row>
    <row r="95">
      <c r="J95" s="23"/>
      <c r="K95" s="27"/>
    </row>
    <row r="96">
      <c r="J96" s="23"/>
      <c r="K96" s="27"/>
    </row>
    <row r="97">
      <c r="J97" s="23"/>
      <c r="K97" s="27"/>
    </row>
    <row r="98">
      <c r="J98" s="23"/>
      <c r="K98" s="27"/>
    </row>
    <row r="99">
      <c r="J99" s="23"/>
      <c r="K99" s="27"/>
    </row>
    <row r="100">
      <c r="J100" s="23"/>
      <c r="K100" s="27"/>
    </row>
    <row r="101">
      <c r="J101" s="23"/>
      <c r="K101" s="27"/>
    </row>
    <row r="102">
      <c r="J102" s="23"/>
      <c r="K102" s="27"/>
    </row>
    <row r="103">
      <c r="J103" s="23"/>
      <c r="K103" s="27"/>
    </row>
    <row r="104">
      <c r="J104" s="23"/>
      <c r="K104" s="27"/>
    </row>
    <row r="105">
      <c r="J105" s="23"/>
      <c r="K105" s="27"/>
    </row>
    <row r="106">
      <c r="J106" s="23"/>
      <c r="K106" s="27"/>
    </row>
    <row r="107">
      <c r="J107" s="23"/>
      <c r="K107" s="27"/>
    </row>
    <row r="108">
      <c r="J108" s="23"/>
      <c r="K108" s="27"/>
    </row>
    <row r="109">
      <c r="J109" s="23"/>
      <c r="K109" s="27"/>
    </row>
    <row r="110">
      <c r="J110" s="23"/>
      <c r="K110" s="27"/>
    </row>
    <row r="111">
      <c r="J111" s="23"/>
      <c r="K111" s="27"/>
    </row>
    <row r="112">
      <c r="J112" s="23"/>
      <c r="K112" s="27"/>
    </row>
    <row r="113">
      <c r="J113" s="23"/>
      <c r="K113" s="27"/>
    </row>
    <row r="114">
      <c r="J114" s="23"/>
      <c r="K114" s="27"/>
    </row>
    <row r="115">
      <c r="J115" s="23"/>
      <c r="K115" s="27"/>
    </row>
    <row r="116">
      <c r="J116" s="23"/>
      <c r="K116" s="27"/>
    </row>
    <row r="117">
      <c r="J117" s="23"/>
      <c r="K117" s="27"/>
    </row>
    <row r="118">
      <c r="J118" s="23"/>
      <c r="K118" s="27"/>
    </row>
    <row r="119">
      <c r="J119" s="23"/>
      <c r="K119" s="27"/>
    </row>
    <row r="120">
      <c r="J120" s="23"/>
      <c r="K120" s="27"/>
    </row>
    <row r="121">
      <c r="J121" s="23"/>
      <c r="K121" s="27"/>
    </row>
    <row r="122">
      <c r="J122" s="23"/>
      <c r="K122" s="27"/>
    </row>
    <row r="123">
      <c r="J123" s="23"/>
      <c r="K123" s="27"/>
    </row>
    <row r="124">
      <c r="J124" s="23"/>
      <c r="K124" s="27"/>
    </row>
    <row r="125">
      <c r="J125" s="23"/>
      <c r="K125" s="27"/>
    </row>
    <row r="126">
      <c r="J126" s="23"/>
      <c r="K126" s="27"/>
    </row>
    <row r="127">
      <c r="J127" s="23"/>
      <c r="K127" s="27"/>
    </row>
    <row r="128">
      <c r="J128" s="23"/>
      <c r="K128" s="27"/>
    </row>
    <row r="129">
      <c r="J129" s="23"/>
      <c r="K129" s="27"/>
    </row>
    <row r="130">
      <c r="J130" s="23"/>
      <c r="K130" s="27"/>
    </row>
    <row r="131">
      <c r="J131" s="23"/>
      <c r="K131" s="27"/>
    </row>
    <row r="132">
      <c r="J132" s="23"/>
      <c r="K132" s="27"/>
    </row>
    <row r="133">
      <c r="J133" s="23"/>
      <c r="K133" s="27"/>
    </row>
    <row r="134">
      <c r="J134" s="23"/>
      <c r="K134" s="27"/>
    </row>
    <row r="135">
      <c r="J135" s="23"/>
      <c r="K135" s="27"/>
    </row>
    <row r="136">
      <c r="J136" s="23"/>
      <c r="K136" s="27"/>
    </row>
    <row r="137">
      <c r="J137" s="23"/>
      <c r="K137" s="27"/>
    </row>
    <row r="138">
      <c r="J138" s="23"/>
      <c r="K138" s="27"/>
    </row>
    <row r="139">
      <c r="J139" s="23"/>
      <c r="K139" s="27"/>
    </row>
    <row r="140">
      <c r="J140" s="23"/>
      <c r="K140" s="27"/>
    </row>
    <row r="141">
      <c r="J141" s="23"/>
      <c r="K141" s="27"/>
    </row>
    <row r="142">
      <c r="J142" s="23"/>
      <c r="K142" s="27"/>
    </row>
    <row r="143">
      <c r="J143" s="23"/>
      <c r="K143" s="27"/>
    </row>
    <row r="144">
      <c r="J144" s="23"/>
      <c r="K144" s="27"/>
    </row>
    <row r="145">
      <c r="J145" s="23"/>
      <c r="K145" s="27"/>
    </row>
    <row r="146">
      <c r="J146" s="23"/>
      <c r="K146" s="27"/>
    </row>
    <row r="147">
      <c r="J147" s="23"/>
      <c r="K147" s="27"/>
    </row>
    <row r="148">
      <c r="J148" s="23"/>
      <c r="K148" s="27"/>
    </row>
    <row r="149">
      <c r="J149" s="23"/>
      <c r="K149" s="27"/>
    </row>
    <row r="150">
      <c r="J150" s="23"/>
      <c r="K150" s="27"/>
    </row>
    <row r="151">
      <c r="J151" s="23"/>
      <c r="K151" s="27"/>
    </row>
    <row r="152">
      <c r="J152" s="23"/>
      <c r="K152" s="27"/>
    </row>
    <row r="153">
      <c r="J153" s="23"/>
      <c r="K153" s="27"/>
    </row>
    <row r="154">
      <c r="J154" s="23"/>
      <c r="K154" s="27"/>
    </row>
    <row r="155">
      <c r="J155" s="23"/>
      <c r="K155" s="27"/>
    </row>
    <row r="156">
      <c r="J156" s="23"/>
      <c r="K156" s="27"/>
    </row>
    <row r="157">
      <c r="J157" s="23"/>
      <c r="K157" s="27"/>
    </row>
    <row r="158">
      <c r="J158" s="23"/>
      <c r="K158" s="27"/>
    </row>
    <row r="159">
      <c r="J159" s="23"/>
      <c r="K159" s="27"/>
    </row>
    <row r="160">
      <c r="J160" s="23"/>
      <c r="K160" s="27"/>
    </row>
    <row r="161">
      <c r="J161" s="23"/>
      <c r="K161" s="27"/>
    </row>
    <row r="162">
      <c r="J162" s="23"/>
      <c r="K162" s="27"/>
    </row>
    <row r="163">
      <c r="J163" s="23"/>
      <c r="K163" s="27"/>
    </row>
    <row r="164">
      <c r="J164" s="23"/>
      <c r="K164" s="27"/>
    </row>
    <row r="165">
      <c r="J165" s="23"/>
      <c r="K165" s="27"/>
    </row>
    <row r="166">
      <c r="J166" s="23"/>
      <c r="K166" s="27"/>
    </row>
    <row r="167">
      <c r="J167" s="23"/>
      <c r="K167" s="27"/>
    </row>
    <row r="168">
      <c r="J168" s="23"/>
      <c r="K168" s="27"/>
    </row>
    <row r="169">
      <c r="J169" s="23"/>
      <c r="K169" s="27"/>
    </row>
    <row r="170">
      <c r="J170" s="23"/>
      <c r="K170" s="27"/>
    </row>
    <row r="171">
      <c r="J171" s="23"/>
      <c r="K171" s="27"/>
    </row>
    <row r="172">
      <c r="J172" s="23"/>
      <c r="K172" s="27"/>
    </row>
    <row r="173">
      <c r="J173" s="23"/>
      <c r="K173" s="27"/>
    </row>
    <row r="174">
      <c r="J174" s="23"/>
      <c r="K174" s="27"/>
    </row>
    <row r="175">
      <c r="J175" s="23"/>
      <c r="K175" s="27"/>
    </row>
    <row r="176">
      <c r="J176" s="23"/>
      <c r="K176" s="27"/>
    </row>
    <row r="177">
      <c r="J177" s="23"/>
      <c r="K177" s="27"/>
    </row>
    <row r="178">
      <c r="J178" s="23"/>
      <c r="K178" s="27"/>
    </row>
    <row r="179">
      <c r="J179" s="23"/>
      <c r="K179" s="27"/>
    </row>
    <row r="180">
      <c r="J180" s="23"/>
      <c r="K180" s="27"/>
    </row>
    <row r="181">
      <c r="J181" s="23"/>
      <c r="K181" s="27"/>
    </row>
    <row r="182">
      <c r="J182" s="23"/>
      <c r="K182" s="27"/>
    </row>
    <row r="183">
      <c r="J183" s="23"/>
      <c r="K183" s="27"/>
    </row>
    <row r="184">
      <c r="J184" s="23"/>
      <c r="K184" s="27"/>
    </row>
    <row r="185">
      <c r="J185" s="23"/>
      <c r="K185" s="27"/>
    </row>
    <row r="186">
      <c r="J186" s="23"/>
      <c r="K186" s="27"/>
    </row>
    <row r="187">
      <c r="J187" s="23"/>
      <c r="K187" s="27"/>
    </row>
    <row r="188">
      <c r="J188" s="23"/>
      <c r="K188" s="27"/>
    </row>
    <row r="189">
      <c r="J189" s="23"/>
      <c r="K189" s="27"/>
    </row>
    <row r="190">
      <c r="J190" s="23"/>
      <c r="K190" s="27"/>
    </row>
    <row r="191">
      <c r="J191" s="23"/>
      <c r="K191" s="27"/>
    </row>
    <row r="192">
      <c r="J192" s="23"/>
      <c r="K192" s="27"/>
    </row>
    <row r="193">
      <c r="J193" s="23"/>
      <c r="K193" s="27"/>
    </row>
    <row r="194">
      <c r="J194" s="23"/>
      <c r="K194" s="27"/>
    </row>
    <row r="195">
      <c r="J195" s="23"/>
      <c r="K195" s="27"/>
    </row>
    <row r="196">
      <c r="J196" s="23"/>
      <c r="K196" s="27"/>
    </row>
    <row r="197">
      <c r="J197" s="23"/>
      <c r="K197" s="27"/>
    </row>
    <row r="198">
      <c r="J198" s="23"/>
      <c r="K198" s="27"/>
    </row>
    <row r="199">
      <c r="J199" s="23"/>
      <c r="K199" s="27"/>
    </row>
    <row r="200">
      <c r="J200" s="23"/>
      <c r="K200" s="27"/>
    </row>
    <row r="201">
      <c r="J201" s="23"/>
      <c r="K201" s="27"/>
    </row>
    <row r="202">
      <c r="J202" s="23"/>
      <c r="K202" s="27"/>
    </row>
    <row r="203">
      <c r="J203" s="23"/>
      <c r="K203" s="27"/>
    </row>
    <row r="204">
      <c r="J204" s="23"/>
      <c r="K204" s="27"/>
    </row>
    <row r="205">
      <c r="J205" s="23"/>
      <c r="K205" s="27"/>
    </row>
    <row r="206">
      <c r="J206" s="23"/>
      <c r="K206" s="27"/>
    </row>
    <row r="207">
      <c r="J207" s="23"/>
      <c r="K207" s="27"/>
    </row>
    <row r="208">
      <c r="J208" s="23"/>
      <c r="K208" s="27"/>
    </row>
    <row r="209">
      <c r="J209" s="23"/>
      <c r="K209" s="27"/>
    </row>
    <row r="210">
      <c r="J210" s="23"/>
      <c r="K210" s="27"/>
    </row>
    <row r="211">
      <c r="J211" s="23"/>
      <c r="K211" s="27"/>
    </row>
    <row r="212">
      <c r="J212" s="23"/>
      <c r="K212" s="27"/>
    </row>
    <row r="213">
      <c r="J213" s="23"/>
      <c r="K213" s="27"/>
    </row>
    <row r="214">
      <c r="J214" s="23"/>
      <c r="K214" s="27"/>
    </row>
    <row r="215">
      <c r="J215" s="23"/>
      <c r="K215" s="27"/>
    </row>
    <row r="216">
      <c r="J216" s="23"/>
      <c r="K216" s="27"/>
    </row>
    <row r="217">
      <c r="J217" s="23"/>
      <c r="K217" s="27"/>
    </row>
    <row r="218">
      <c r="J218" s="23"/>
      <c r="K218" s="27"/>
    </row>
    <row r="219">
      <c r="J219" s="23"/>
      <c r="K219" s="27"/>
    </row>
    <row r="220">
      <c r="J220" s="23"/>
      <c r="K220" s="27"/>
    </row>
    <row r="221">
      <c r="J221" s="23"/>
      <c r="K221" s="27"/>
    </row>
    <row r="222">
      <c r="J222" s="23"/>
      <c r="K222" s="27"/>
    </row>
    <row r="223">
      <c r="J223" s="23"/>
      <c r="K223" s="27"/>
    </row>
    <row r="224">
      <c r="J224" s="23"/>
      <c r="K224" s="27"/>
    </row>
    <row r="225">
      <c r="J225" s="23"/>
      <c r="K225" s="27"/>
    </row>
    <row r="226">
      <c r="J226" s="23"/>
      <c r="K226" s="27"/>
    </row>
    <row r="227">
      <c r="J227" s="23"/>
      <c r="K227" s="27"/>
    </row>
    <row r="228">
      <c r="J228" s="23"/>
      <c r="K228" s="27"/>
    </row>
    <row r="229">
      <c r="J229" s="23"/>
      <c r="K229" s="27"/>
    </row>
    <row r="230">
      <c r="J230" s="23"/>
      <c r="K230" s="27"/>
    </row>
    <row r="231">
      <c r="J231" s="23"/>
      <c r="K231" s="27"/>
    </row>
    <row r="232">
      <c r="J232" s="23"/>
      <c r="K232" s="27"/>
    </row>
    <row r="233">
      <c r="J233" s="23"/>
      <c r="K233" s="27"/>
    </row>
    <row r="234">
      <c r="J234" s="23"/>
      <c r="K234" s="27"/>
    </row>
    <row r="235">
      <c r="J235" s="23"/>
      <c r="K235" s="27"/>
    </row>
    <row r="236">
      <c r="J236" s="23"/>
      <c r="K236" s="27"/>
    </row>
    <row r="237">
      <c r="J237" s="23"/>
      <c r="K237" s="27"/>
    </row>
    <row r="238">
      <c r="J238" s="23"/>
      <c r="K238" s="27"/>
    </row>
    <row r="239">
      <c r="J239" s="23"/>
      <c r="K239" s="27"/>
    </row>
    <row r="240">
      <c r="J240" s="23"/>
      <c r="K240" s="27"/>
    </row>
    <row r="241">
      <c r="J241" s="23"/>
      <c r="K241" s="27"/>
    </row>
    <row r="242">
      <c r="J242" s="23"/>
      <c r="K242" s="27"/>
    </row>
    <row r="243">
      <c r="J243" s="23"/>
      <c r="K243" s="27"/>
    </row>
    <row r="244">
      <c r="J244" s="23"/>
      <c r="K244" s="27"/>
    </row>
    <row r="245">
      <c r="J245" s="23"/>
      <c r="K245" s="27"/>
    </row>
    <row r="246">
      <c r="J246" s="23"/>
      <c r="K246" s="27"/>
    </row>
    <row r="247">
      <c r="J247" s="23"/>
      <c r="K247" s="27"/>
    </row>
    <row r="248">
      <c r="J248" s="23"/>
      <c r="K248" s="27"/>
    </row>
    <row r="249">
      <c r="J249" s="23"/>
      <c r="K249" s="27"/>
    </row>
    <row r="250">
      <c r="J250" s="23"/>
      <c r="K250" s="27"/>
    </row>
    <row r="251">
      <c r="J251" s="23"/>
      <c r="K251" s="27"/>
    </row>
    <row r="252">
      <c r="J252" s="23"/>
      <c r="K252" s="27"/>
    </row>
    <row r="253">
      <c r="J253" s="23"/>
      <c r="K253" s="27"/>
    </row>
    <row r="254">
      <c r="J254" s="23"/>
      <c r="K254" s="27"/>
    </row>
    <row r="255">
      <c r="J255" s="23"/>
      <c r="K255" s="27"/>
    </row>
    <row r="256">
      <c r="J256" s="23"/>
      <c r="K256" s="27"/>
    </row>
    <row r="257">
      <c r="J257" s="23"/>
      <c r="K257" s="27"/>
    </row>
    <row r="258">
      <c r="J258" s="23"/>
      <c r="K258" s="27"/>
    </row>
    <row r="259">
      <c r="J259" s="23"/>
      <c r="K259" s="27"/>
    </row>
    <row r="260">
      <c r="J260" s="23"/>
      <c r="K260" s="27"/>
    </row>
    <row r="261">
      <c r="J261" s="23"/>
      <c r="K261" s="27"/>
    </row>
    <row r="262">
      <c r="J262" s="23"/>
      <c r="K262" s="27"/>
    </row>
    <row r="263">
      <c r="J263" s="23"/>
      <c r="K263" s="27"/>
    </row>
    <row r="264">
      <c r="J264" s="23"/>
      <c r="K264" s="27"/>
    </row>
    <row r="265">
      <c r="J265" s="23"/>
      <c r="K265" s="27"/>
    </row>
    <row r="266">
      <c r="J266" s="23"/>
      <c r="K266" s="27"/>
    </row>
    <row r="267">
      <c r="J267" s="23"/>
      <c r="K267" s="27"/>
    </row>
    <row r="268">
      <c r="J268" s="23"/>
      <c r="K268" s="27"/>
    </row>
    <row r="269">
      <c r="J269" s="23"/>
      <c r="K269" s="27"/>
    </row>
    <row r="270">
      <c r="J270" s="23"/>
      <c r="K270" s="27"/>
    </row>
    <row r="271">
      <c r="J271" s="23"/>
      <c r="K271" s="27"/>
    </row>
    <row r="272">
      <c r="J272" s="23"/>
      <c r="K272" s="27"/>
    </row>
    <row r="273">
      <c r="J273" s="23"/>
      <c r="K273" s="27"/>
    </row>
    <row r="274">
      <c r="J274" s="23"/>
      <c r="K274" s="27"/>
    </row>
    <row r="275">
      <c r="J275" s="23"/>
      <c r="K275" s="27"/>
    </row>
    <row r="276">
      <c r="J276" s="23"/>
      <c r="K276" s="27"/>
    </row>
    <row r="277">
      <c r="J277" s="23"/>
      <c r="K277" s="27"/>
    </row>
    <row r="278">
      <c r="J278" s="23"/>
      <c r="K278" s="27"/>
    </row>
    <row r="279">
      <c r="J279" s="23"/>
      <c r="K279" s="27"/>
    </row>
    <row r="280">
      <c r="J280" s="23"/>
      <c r="K280" s="27"/>
    </row>
    <row r="281">
      <c r="J281" s="23"/>
      <c r="K281" s="27"/>
    </row>
    <row r="282">
      <c r="J282" s="23"/>
      <c r="K282" s="27"/>
    </row>
    <row r="283">
      <c r="J283" s="23"/>
      <c r="K283" s="27"/>
    </row>
    <row r="284">
      <c r="J284" s="23"/>
      <c r="K284" s="27"/>
    </row>
    <row r="285">
      <c r="J285" s="23"/>
      <c r="K285" s="27"/>
    </row>
    <row r="286">
      <c r="J286" s="23"/>
      <c r="K286" s="27"/>
    </row>
    <row r="287">
      <c r="J287" s="23"/>
      <c r="K287" s="27"/>
    </row>
    <row r="288">
      <c r="J288" s="23"/>
      <c r="K288" s="27"/>
    </row>
    <row r="289">
      <c r="J289" s="23"/>
      <c r="K289" s="27"/>
    </row>
    <row r="290">
      <c r="J290" s="23"/>
      <c r="K290" s="27"/>
    </row>
    <row r="291">
      <c r="J291" s="23"/>
      <c r="K291" s="27"/>
    </row>
    <row r="292">
      <c r="J292" s="23"/>
      <c r="K292" s="27"/>
    </row>
    <row r="293">
      <c r="J293" s="23"/>
      <c r="K293" s="27"/>
    </row>
    <row r="294">
      <c r="J294" s="23"/>
      <c r="K294" s="27"/>
    </row>
    <row r="295">
      <c r="J295" s="23"/>
      <c r="K295" s="27"/>
    </row>
    <row r="296">
      <c r="J296" s="23"/>
      <c r="K296" s="27"/>
    </row>
    <row r="297">
      <c r="J297" s="23"/>
      <c r="K297" s="27"/>
    </row>
    <row r="298">
      <c r="J298" s="23"/>
      <c r="K298" s="27"/>
    </row>
    <row r="299">
      <c r="J299" s="23"/>
      <c r="K299" s="27"/>
    </row>
    <row r="300">
      <c r="J300" s="23"/>
      <c r="K300" s="27"/>
    </row>
    <row r="301">
      <c r="J301" s="23"/>
      <c r="K301" s="27"/>
    </row>
    <row r="302">
      <c r="J302" s="23"/>
      <c r="K302" s="27"/>
    </row>
    <row r="303">
      <c r="J303" s="23"/>
      <c r="K303" s="27"/>
    </row>
    <row r="304">
      <c r="J304" s="23"/>
      <c r="K304" s="27"/>
    </row>
    <row r="305">
      <c r="J305" s="23"/>
      <c r="K305" s="27"/>
    </row>
    <row r="306">
      <c r="J306" s="23"/>
      <c r="K306" s="27"/>
    </row>
    <row r="307">
      <c r="J307" s="23"/>
      <c r="K307" s="27"/>
    </row>
    <row r="308">
      <c r="J308" s="23"/>
      <c r="K308" s="27"/>
    </row>
    <row r="309">
      <c r="J309" s="23"/>
      <c r="K309" s="27"/>
    </row>
    <row r="310">
      <c r="J310" s="23"/>
      <c r="K310" s="27"/>
    </row>
    <row r="311">
      <c r="J311" s="23"/>
      <c r="K311" s="27"/>
    </row>
    <row r="312">
      <c r="J312" s="23"/>
      <c r="K312" s="27"/>
    </row>
    <row r="313">
      <c r="J313" s="23"/>
      <c r="K313" s="27"/>
    </row>
    <row r="314">
      <c r="J314" s="23"/>
      <c r="K314" s="27"/>
    </row>
    <row r="315">
      <c r="J315" s="23"/>
      <c r="K315" s="27"/>
    </row>
    <row r="316">
      <c r="J316" s="23"/>
      <c r="K316" s="27"/>
    </row>
    <row r="317">
      <c r="J317" s="23"/>
      <c r="K317" s="27"/>
    </row>
    <row r="318">
      <c r="J318" s="23"/>
      <c r="K318" s="27"/>
    </row>
    <row r="319">
      <c r="J319" s="23"/>
      <c r="K319" s="27"/>
    </row>
    <row r="320">
      <c r="J320" s="23"/>
      <c r="K320" s="27"/>
    </row>
    <row r="321">
      <c r="J321" s="23"/>
      <c r="K321" s="27"/>
    </row>
    <row r="322">
      <c r="J322" s="23"/>
      <c r="K322" s="27"/>
    </row>
    <row r="323">
      <c r="J323" s="23"/>
      <c r="K323" s="27"/>
    </row>
    <row r="324">
      <c r="J324" s="23"/>
      <c r="K324" s="27"/>
    </row>
    <row r="325">
      <c r="J325" s="23"/>
      <c r="K325" s="27"/>
    </row>
    <row r="326">
      <c r="J326" s="23"/>
      <c r="K326" s="27"/>
    </row>
    <row r="327">
      <c r="J327" s="23"/>
      <c r="K327" s="27"/>
    </row>
    <row r="328">
      <c r="J328" s="23"/>
      <c r="K328" s="27"/>
    </row>
    <row r="329">
      <c r="J329" s="23"/>
      <c r="K329" s="27"/>
    </row>
    <row r="330">
      <c r="J330" s="23"/>
      <c r="K330" s="27"/>
    </row>
    <row r="331">
      <c r="J331" s="23"/>
      <c r="K331" s="27"/>
    </row>
    <row r="332">
      <c r="J332" s="23"/>
      <c r="K332" s="27"/>
    </row>
    <row r="333">
      <c r="J333" s="23"/>
      <c r="K333" s="27"/>
    </row>
    <row r="334">
      <c r="J334" s="23"/>
      <c r="K334" s="27"/>
    </row>
    <row r="335">
      <c r="J335" s="23"/>
      <c r="K335" s="27"/>
    </row>
    <row r="336">
      <c r="J336" s="23"/>
      <c r="K336" s="27"/>
    </row>
    <row r="337">
      <c r="J337" s="23"/>
      <c r="K337" s="27"/>
    </row>
    <row r="338">
      <c r="J338" s="23"/>
      <c r="K338" s="27"/>
    </row>
    <row r="339">
      <c r="J339" s="23"/>
      <c r="K339" s="27"/>
    </row>
    <row r="340">
      <c r="J340" s="23"/>
      <c r="K340" s="27"/>
    </row>
    <row r="341">
      <c r="J341" s="23"/>
      <c r="K341" s="27"/>
    </row>
    <row r="342">
      <c r="J342" s="23"/>
      <c r="K342" s="27"/>
    </row>
    <row r="343">
      <c r="J343" s="23"/>
      <c r="K343" s="27"/>
    </row>
    <row r="344">
      <c r="J344" s="23"/>
      <c r="K344" s="27"/>
    </row>
    <row r="345">
      <c r="J345" s="23"/>
      <c r="K345" s="27"/>
    </row>
    <row r="346">
      <c r="J346" s="23"/>
      <c r="K346" s="27"/>
    </row>
    <row r="347">
      <c r="J347" s="23"/>
      <c r="K347" s="27"/>
    </row>
    <row r="348">
      <c r="J348" s="23"/>
      <c r="K348" s="27"/>
    </row>
    <row r="349">
      <c r="J349" s="23"/>
      <c r="K349" s="27"/>
    </row>
    <row r="350">
      <c r="J350" s="23"/>
      <c r="K350" s="27"/>
    </row>
    <row r="351">
      <c r="J351" s="23"/>
      <c r="K351" s="27"/>
    </row>
    <row r="352">
      <c r="J352" s="23"/>
      <c r="K352" s="27"/>
    </row>
    <row r="353">
      <c r="J353" s="23"/>
      <c r="K353" s="27"/>
    </row>
    <row r="354">
      <c r="J354" s="23"/>
      <c r="K354" s="27"/>
    </row>
    <row r="355">
      <c r="J355" s="23"/>
      <c r="K355" s="27"/>
    </row>
    <row r="356">
      <c r="J356" s="23"/>
      <c r="K356" s="27"/>
    </row>
    <row r="357">
      <c r="J357" s="23"/>
      <c r="K357" s="27"/>
    </row>
    <row r="358">
      <c r="J358" s="23"/>
      <c r="K358" s="27"/>
    </row>
    <row r="359">
      <c r="J359" s="23"/>
      <c r="K359" s="27"/>
    </row>
    <row r="360">
      <c r="J360" s="23"/>
      <c r="K360" s="27"/>
    </row>
    <row r="361">
      <c r="J361" s="23"/>
      <c r="K361" s="27"/>
    </row>
    <row r="362">
      <c r="J362" s="23"/>
      <c r="K362" s="27"/>
    </row>
    <row r="363">
      <c r="J363" s="23"/>
      <c r="K363" s="27"/>
    </row>
    <row r="364">
      <c r="J364" s="23"/>
      <c r="K364" s="27"/>
    </row>
    <row r="365">
      <c r="J365" s="23"/>
      <c r="K365" s="27"/>
    </row>
    <row r="366">
      <c r="J366" s="23"/>
      <c r="K366" s="27"/>
    </row>
    <row r="367">
      <c r="J367" s="23"/>
      <c r="K367" s="27"/>
    </row>
    <row r="368">
      <c r="J368" s="23"/>
      <c r="K368" s="27"/>
    </row>
    <row r="369">
      <c r="J369" s="23"/>
      <c r="K369" s="27"/>
    </row>
    <row r="370">
      <c r="J370" s="23"/>
      <c r="K370" s="27"/>
    </row>
    <row r="371">
      <c r="J371" s="23"/>
      <c r="K371" s="27"/>
    </row>
    <row r="372">
      <c r="J372" s="23"/>
      <c r="K372" s="27"/>
    </row>
    <row r="373">
      <c r="J373" s="23"/>
      <c r="K373" s="27"/>
    </row>
    <row r="374">
      <c r="J374" s="23"/>
      <c r="K374" s="27"/>
    </row>
    <row r="375">
      <c r="J375" s="23"/>
      <c r="K375" s="27"/>
    </row>
    <row r="376">
      <c r="J376" s="23"/>
      <c r="K376" s="27"/>
    </row>
    <row r="377">
      <c r="J377" s="23"/>
      <c r="K377" s="27"/>
    </row>
    <row r="378">
      <c r="J378" s="23"/>
      <c r="K378" s="27"/>
    </row>
    <row r="379">
      <c r="J379" s="23"/>
      <c r="K379" s="27"/>
    </row>
    <row r="380">
      <c r="J380" s="23"/>
      <c r="K380" s="27"/>
    </row>
    <row r="381">
      <c r="J381" s="23"/>
      <c r="K381" s="27"/>
    </row>
    <row r="382">
      <c r="J382" s="23"/>
      <c r="K382" s="27"/>
    </row>
    <row r="383">
      <c r="J383" s="23"/>
      <c r="K383" s="27"/>
    </row>
    <row r="384">
      <c r="J384" s="23"/>
      <c r="K384" s="27"/>
    </row>
    <row r="385">
      <c r="J385" s="23"/>
      <c r="K385" s="27"/>
    </row>
    <row r="386">
      <c r="J386" s="23"/>
      <c r="K386" s="27"/>
    </row>
    <row r="387">
      <c r="J387" s="23"/>
      <c r="K387" s="27"/>
    </row>
    <row r="388">
      <c r="J388" s="23"/>
      <c r="K388" s="27"/>
    </row>
    <row r="389">
      <c r="J389" s="23"/>
      <c r="K389" s="27"/>
    </row>
    <row r="390">
      <c r="J390" s="23"/>
      <c r="K390" s="27"/>
    </row>
    <row r="391">
      <c r="J391" s="23"/>
      <c r="K391" s="27"/>
    </row>
    <row r="392">
      <c r="J392" s="23"/>
      <c r="K392" s="27"/>
    </row>
    <row r="393">
      <c r="J393" s="23"/>
      <c r="K393" s="27"/>
    </row>
    <row r="394">
      <c r="J394" s="23"/>
      <c r="K394" s="27"/>
    </row>
    <row r="395">
      <c r="J395" s="23"/>
      <c r="K395" s="27"/>
    </row>
    <row r="396">
      <c r="J396" s="23"/>
      <c r="K396" s="27"/>
    </row>
    <row r="397">
      <c r="J397" s="23"/>
      <c r="K397" s="27"/>
    </row>
    <row r="398">
      <c r="J398" s="23"/>
      <c r="K398" s="27"/>
    </row>
    <row r="399">
      <c r="J399" s="23"/>
      <c r="K399" s="27"/>
    </row>
    <row r="400">
      <c r="J400" s="23"/>
      <c r="K400" s="27"/>
    </row>
    <row r="401">
      <c r="J401" s="23"/>
      <c r="K401" s="27"/>
    </row>
    <row r="402">
      <c r="J402" s="23"/>
      <c r="K402" s="27"/>
    </row>
    <row r="403">
      <c r="J403" s="23"/>
      <c r="K403" s="27"/>
    </row>
    <row r="404">
      <c r="J404" s="23"/>
      <c r="K404" s="27"/>
    </row>
    <row r="405">
      <c r="J405" s="23"/>
      <c r="K405" s="27"/>
    </row>
    <row r="406">
      <c r="J406" s="23"/>
      <c r="K406" s="27"/>
    </row>
    <row r="407">
      <c r="J407" s="23"/>
      <c r="K407" s="27"/>
    </row>
    <row r="408">
      <c r="J408" s="23"/>
      <c r="K408" s="27"/>
    </row>
    <row r="409">
      <c r="J409" s="23"/>
      <c r="K409" s="27"/>
    </row>
    <row r="410">
      <c r="J410" s="23"/>
      <c r="K410" s="27"/>
    </row>
    <row r="411">
      <c r="J411" s="23"/>
      <c r="K411" s="27"/>
    </row>
    <row r="412">
      <c r="J412" s="23"/>
      <c r="K412" s="27"/>
    </row>
    <row r="413">
      <c r="J413" s="23"/>
      <c r="K413" s="27"/>
    </row>
    <row r="414">
      <c r="J414" s="23"/>
      <c r="K414" s="27"/>
    </row>
    <row r="415">
      <c r="J415" s="23"/>
      <c r="K415" s="27"/>
    </row>
    <row r="416">
      <c r="J416" s="23"/>
      <c r="K416" s="27"/>
    </row>
    <row r="417">
      <c r="J417" s="23"/>
      <c r="K417" s="27"/>
    </row>
    <row r="418">
      <c r="J418" s="23"/>
      <c r="K418" s="27"/>
    </row>
    <row r="419">
      <c r="J419" s="23"/>
      <c r="K419" s="27"/>
    </row>
    <row r="420">
      <c r="J420" s="23"/>
      <c r="K420" s="27"/>
    </row>
    <row r="421">
      <c r="J421" s="23"/>
      <c r="K421" s="27"/>
    </row>
    <row r="422">
      <c r="J422" s="23"/>
      <c r="K422" s="27"/>
    </row>
    <row r="423">
      <c r="J423" s="23"/>
      <c r="K423" s="27"/>
    </row>
    <row r="424">
      <c r="J424" s="23"/>
      <c r="K424" s="27"/>
    </row>
    <row r="425">
      <c r="J425" s="23"/>
      <c r="K425" s="27"/>
    </row>
    <row r="426">
      <c r="J426" s="23"/>
      <c r="K426" s="27"/>
    </row>
    <row r="427">
      <c r="J427" s="23"/>
      <c r="K427" s="27"/>
    </row>
    <row r="428">
      <c r="J428" s="23"/>
      <c r="K428" s="27"/>
    </row>
    <row r="429">
      <c r="J429" s="23"/>
      <c r="K429" s="27"/>
    </row>
    <row r="430">
      <c r="J430" s="23"/>
      <c r="K430" s="27"/>
    </row>
    <row r="431">
      <c r="J431" s="23"/>
      <c r="K431" s="27"/>
    </row>
    <row r="432">
      <c r="J432" s="23"/>
      <c r="K432" s="27"/>
    </row>
    <row r="433">
      <c r="J433" s="23"/>
      <c r="K433" s="27"/>
    </row>
    <row r="434">
      <c r="J434" s="23"/>
      <c r="K434" s="27"/>
    </row>
    <row r="435">
      <c r="J435" s="23"/>
      <c r="K435" s="27"/>
    </row>
    <row r="436">
      <c r="J436" s="23"/>
      <c r="K436" s="27"/>
    </row>
    <row r="437">
      <c r="J437" s="23"/>
      <c r="K437" s="27"/>
    </row>
    <row r="438">
      <c r="J438" s="23"/>
      <c r="K438" s="27"/>
    </row>
    <row r="439">
      <c r="J439" s="23"/>
      <c r="K439" s="27"/>
    </row>
    <row r="440">
      <c r="J440" s="23"/>
      <c r="K440" s="27"/>
    </row>
    <row r="441">
      <c r="J441" s="23"/>
      <c r="K441" s="27"/>
    </row>
    <row r="442">
      <c r="J442" s="23"/>
      <c r="K442" s="27"/>
    </row>
    <row r="443">
      <c r="J443" s="23"/>
      <c r="K443" s="27"/>
    </row>
    <row r="444">
      <c r="J444" s="23"/>
      <c r="K444" s="27"/>
    </row>
    <row r="445">
      <c r="J445" s="23"/>
      <c r="K445" s="27"/>
    </row>
    <row r="446">
      <c r="J446" s="23"/>
      <c r="K446" s="27"/>
    </row>
    <row r="447">
      <c r="J447" s="23"/>
      <c r="K447" s="27"/>
    </row>
    <row r="448">
      <c r="J448" s="23"/>
      <c r="K448" s="27"/>
    </row>
    <row r="449">
      <c r="J449" s="23"/>
      <c r="K449" s="27"/>
    </row>
    <row r="450">
      <c r="J450" s="23"/>
      <c r="K450" s="27"/>
    </row>
    <row r="451">
      <c r="J451" s="23"/>
      <c r="K451" s="27"/>
    </row>
    <row r="452">
      <c r="J452" s="23"/>
      <c r="K452" s="27"/>
    </row>
    <row r="453">
      <c r="J453" s="23"/>
      <c r="K453" s="27"/>
    </row>
    <row r="454">
      <c r="J454" s="23"/>
      <c r="K454" s="27"/>
    </row>
    <row r="455">
      <c r="J455" s="23"/>
      <c r="K455" s="27"/>
    </row>
    <row r="456">
      <c r="J456" s="23"/>
      <c r="K456" s="27"/>
    </row>
    <row r="457">
      <c r="J457" s="23"/>
      <c r="K457" s="27"/>
    </row>
    <row r="458">
      <c r="J458" s="23"/>
      <c r="K458" s="27"/>
    </row>
    <row r="459">
      <c r="J459" s="23"/>
      <c r="K459" s="27"/>
    </row>
    <row r="460">
      <c r="J460" s="23"/>
      <c r="K460" s="27"/>
    </row>
    <row r="461">
      <c r="J461" s="23"/>
      <c r="K461" s="27"/>
    </row>
    <row r="462">
      <c r="J462" s="23"/>
      <c r="K462" s="27"/>
    </row>
    <row r="463">
      <c r="J463" s="23"/>
      <c r="K463" s="27"/>
    </row>
    <row r="464">
      <c r="J464" s="23"/>
      <c r="K464" s="27"/>
    </row>
    <row r="465">
      <c r="J465" s="23"/>
      <c r="K465" s="27"/>
    </row>
    <row r="466">
      <c r="J466" s="23"/>
      <c r="K466" s="27"/>
    </row>
    <row r="467">
      <c r="J467" s="23"/>
      <c r="K467" s="27"/>
    </row>
    <row r="468">
      <c r="J468" s="23"/>
      <c r="K468" s="27"/>
    </row>
    <row r="469">
      <c r="J469" s="23"/>
      <c r="K469" s="27"/>
    </row>
    <row r="470">
      <c r="J470" s="23"/>
      <c r="K470" s="27"/>
    </row>
    <row r="471">
      <c r="J471" s="23"/>
      <c r="K471" s="27"/>
    </row>
    <row r="472">
      <c r="J472" s="23"/>
      <c r="K472" s="27"/>
    </row>
    <row r="473">
      <c r="J473" s="23"/>
      <c r="K473" s="27"/>
    </row>
    <row r="474">
      <c r="J474" s="23"/>
      <c r="K474" s="27"/>
    </row>
    <row r="475">
      <c r="J475" s="23"/>
      <c r="K475" s="27"/>
    </row>
    <row r="476">
      <c r="J476" s="23"/>
      <c r="K476" s="27"/>
    </row>
    <row r="477">
      <c r="J477" s="23"/>
      <c r="K477" s="27"/>
    </row>
    <row r="478">
      <c r="J478" s="23"/>
      <c r="K478" s="27"/>
    </row>
    <row r="479">
      <c r="J479" s="23"/>
      <c r="K479" s="27"/>
    </row>
    <row r="480">
      <c r="J480" s="23"/>
      <c r="K480" s="27"/>
    </row>
    <row r="481">
      <c r="J481" s="23"/>
      <c r="K481" s="27"/>
    </row>
    <row r="482">
      <c r="J482" s="23"/>
      <c r="K482" s="27"/>
    </row>
    <row r="483">
      <c r="J483" s="23"/>
      <c r="K483" s="27"/>
    </row>
    <row r="484">
      <c r="J484" s="23"/>
      <c r="K484" s="27"/>
    </row>
    <row r="485">
      <c r="J485" s="23"/>
      <c r="K485" s="27"/>
    </row>
    <row r="486">
      <c r="J486" s="23"/>
      <c r="K486" s="27"/>
    </row>
    <row r="487">
      <c r="J487" s="23"/>
      <c r="K487" s="27"/>
    </row>
    <row r="488">
      <c r="J488" s="23"/>
      <c r="K488" s="27"/>
    </row>
    <row r="489">
      <c r="J489" s="23"/>
      <c r="K489" s="27"/>
    </row>
    <row r="490">
      <c r="J490" s="23"/>
      <c r="K490" s="27"/>
    </row>
    <row r="491">
      <c r="J491" s="23"/>
      <c r="K491" s="27"/>
    </row>
    <row r="492">
      <c r="J492" s="23"/>
      <c r="K492" s="27"/>
    </row>
    <row r="493">
      <c r="J493" s="23"/>
      <c r="K493" s="27"/>
    </row>
    <row r="494">
      <c r="J494" s="23"/>
      <c r="K494" s="27"/>
    </row>
    <row r="495">
      <c r="J495" s="23"/>
      <c r="K495" s="27"/>
    </row>
    <row r="496">
      <c r="J496" s="23"/>
      <c r="K496" s="27"/>
    </row>
    <row r="497">
      <c r="J497" s="23"/>
      <c r="K497" s="27"/>
    </row>
    <row r="498">
      <c r="J498" s="23"/>
      <c r="K498" s="27"/>
    </row>
    <row r="499">
      <c r="J499" s="23"/>
      <c r="K499" s="27"/>
    </row>
    <row r="500">
      <c r="J500" s="23"/>
      <c r="K500" s="27"/>
    </row>
    <row r="501">
      <c r="J501" s="23"/>
      <c r="K501" s="27"/>
    </row>
    <row r="502">
      <c r="J502" s="23"/>
      <c r="K502" s="27"/>
    </row>
    <row r="503">
      <c r="J503" s="23"/>
      <c r="K503" s="27"/>
    </row>
    <row r="504">
      <c r="J504" s="23"/>
      <c r="K504" s="27"/>
    </row>
    <row r="505">
      <c r="J505" s="23"/>
      <c r="K505" s="27"/>
    </row>
    <row r="506">
      <c r="J506" s="23"/>
      <c r="K506" s="27"/>
    </row>
    <row r="507">
      <c r="J507" s="23"/>
      <c r="K507" s="27"/>
    </row>
    <row r="508">
      <c r="J508" s="23"/>
      <c r="K508" s="27"/>
    </row>
    <row r="509">
      <c r="J509" s="23"/>
      <c r="K509" s="27"/>
    </row>
    <row r="510">
      <c r="J510" s="23"/>
      <c r="K510" s="27"/>
    </row>
    <row r="511">
      <c r="J511" s="23"/>
      <c r="K511" s="27"/>
    </row>
    <row r="512">
      <c r="J512" s="23"/>
      <c r="K512" s="27"/>
    </row>
    <row r="513">
      <c r="J513" s="23"/>
      <c r="K513" s="27"/>
    </row>
    <row r="514">
      <c r="J514" s="23"/>
      <c r="K514" s="27"/>
    </row>
    <row r="515">
      <c r="J515" s="23"/>
      <c r="K515" s="27"/>
    </row>
    <row r="516">
      <c r="J516" s="23"/>
      <c r="K516" s="27"/>
    </row>
    <row r="517">
      <c r="J517" s="23"/>
      <c r="K517" s="27"/>
    </row>
    <row r="518">
      <c r="J518" s="23"/>
      <c r="K518" s="27"/>
    </row>
    <row r="519">
      <c r="J519" s="23"/>
      <c r="K519" s="27"/>
    </row>
    <row r="520">
      <c r="J520" s="23"/>
      <c r="K520" s="27"/>
    </row>
    <row r="521">
      <c r="J521" s="23"/>
      <c r="K521" s="27"/>
    </row>
    <row r="522">
      <c r="J522" s="23"/>
      <c r="K522" s="27"/>
    </row>
    <row r="523">
      <c r="J523" s="23"/>
      <c r="K523" s="27"/>
    </row>
    <row r="524">
      <c r="J524" s="23"/>
      <c r="K524" s="27"/>
    </row>
    <row r="525">
      <c r="J525" s="23"/>
      <c r="K525" s="27"/>
    </row>
    <row r="526">
      <c r="J526" s="23"/>
      <c r="K526" s="27"/>
    </row>
    <row r="527">
      <c r="J527" s="23"/>
      <c r="K527" s="27"/>
    </row>
    <row r="528">
      <c r="J528" s="23"/>
      <c r="K528" s="27"/>
    </row>
    <row r="529">
      <c r="J529" s="23"/>
      <c r="K529" s="27"/>
    </row>
    <row r="530">
      <c r="J530" s="23"/>
      <c r="K530" s="27"/>
    </row>
    <row r="531">
      <c r="J531" s="23"/>
      <c r="K531" s="27"/>
    </row>
    <row r="532">
      <c r="J532" s="23"/>
      <c r="K532" s="27"/>
    </row>
    <row r="533">
      <c r="J533" s="23"/>
      <c r="K533" s="27"/>
    </row>
    <row r="534">
      <c r="J534" s="23"/>
      <c r="K534" s="27"/>
    </row>
    <row r="535">
      <c r="J535" s="23"/>
      <c r="K535" s="27"/>
    </row>
    <row r="536">
      <c r="J536" s="23"/>
      <c r="K536" s="27"/>
    </row>
    <row r="537">
      <c r="J537" s="23"/>
      <c r="K537" s="27"/>
    </row>
    <row r="538">
      <c r="J538" s="23"/>
      <c r="K538" s="27"/>
    </row>
    <row r="539">
      <c r="J539" s="23"/>
      <c r="K539" s="27"/>
    </row>
    <row r="540">
      <c r="J540" s="23"/>
      <c r="K540" s="27"/>
    </row>
    <row r="541">
      <c r="J541" s="23"/>
      <c r="K541" s="27"/>
    </row>
    <row r="542">
      <c r="J542" s="23"/>
      <c r="K542" s="27"/>
    </row>
    <row r="543">
      <c r="J543" s="23"/>
      <c r="K543" s="27"/>
    </row>
    <row r="544">
      <c r="J544" s="23"/>
      <c r="K544" s="27"/>
    </row>
    <row r="545">
      <c r="J545" s="23"/>
      <c r="K545" s="27"/>
    </row>
    <row r="546">
      <c r="J546" s="23"/>
      <c r="K546" s="27"/>
    </row>
    <row r="547">
      <c r="J547" s="23"/>
      <c r="K547" s="27"/>
    </row>
    <row r="548">
      <c r="J548" s="23"/>
      <c r="K548" s="27"/>
    </row>
    <row r="549">
      <c r="J549" s="23"/>
      <c r="K549" s="27"/>
    </row>
    <row r="550">
      <c r="J550" s="23"/>
      <c r="K550" s="27"/>
    </row>
    <row r="551">
      <c r="J551" s="23"/>
      <c r="K551" s="27"/>
    </row>
    <row r="552">
      <c r="J552" s="23"/>
      <c r="K552" s="27"/>
    </row>
    <row r="553">
      <c r="J553" s="23"/>
      <c r="K553" s="27"/>
    </row>
    <row r="554">
      <c r="J554" s="23"/>
      <c r="K554" s="27"/>
    </row>
    <row r="555">
      <c r="J555" s="23"/>
      <c r="K555" s="27"/>
    </row>
    <row r="556">
      <c r="J556" s="23"/>
      <c r="K556" s="27"/>
    </row>
    <row r="557">
      <c r="J557" s="23"/>
      <c r="K557" s="27"/>
    </row>
    <row r="558">
      <c r="J558" s="23"/>
      <c r="K558" s="27"/>
    </row>
    <row r="559">
      <c r="J559" s="23"/>
      <c r="K559" s="27"/>
    </row>
    <row r="560">
      <c r="J560" s="23"/>
      <c r="K560" s="27"/>
    </row>
    <row r="561">
      <c r="J561" s="23"/>
      <c r="K561" s="27"/>
    </row>
    <row r="562">
      <c r="J562" s="23"/>
      <c r="K562" s="27"/>
    </row>
    <row r="563">
      <c r="J563" s="23"/>
      <c r="K563" s="27"/>
    </row>
    <row r="564">
      <c r="J564" s="23"/>
      <c r="K564" s="27"/>
    </row>
    <row r="565">
      <c r="J565" s="23"/>
      <c r="K565" s="27"/>
    </row>
    <row r="566">
      <c r="J566" s="23"/>
      <c r="K566" s="27"/>
    </row>
    <row r="567">
      <c r="J567" s="23"/>
      <c r="K567" s="27"/>
    </row>
    <row r="568">
      <c r="J568" s="23"/>
      <c r="K568" s="27"/>
    </row>
    <row r="569">
      <c r="J569" s="23"/>
      <c r="K569" s="27"/>
    </row>
    <row r="570">
      <c r="J570" s="23"/>
      <c r="K570" s="27"/>
    </row>
    <row r="571">
      <c r="J571" s="23"/>
      <c r="K571" s="27"/>
    </row>
    <row r="572">
      <c r="J572" s="23"/>
      <c r="K572" s="27"/>
    </row>
    <row r="573">
      <c r="J573" s="23"/>
      <c r="K573" s="27"/>
    </row>
    <row r="574">
      <c r="J574" s="23"/>
      <c r="K574" s="27"/>
    </row>
    <row r="575">
      <c r="J575" s="23"/>
      <c r="K575" s="27"/>
    </row>
    <row r="576">
      <c r="J576" s="23"/>
      <c r="K576" s="27"/>
    </row>
    <row r="577">
      <c r="J577" s="23"/>
      <c r="K577" s="27"/>
    </row>
    <row r="578">
      <c r="J578" s="23"/>
      <c r="K578" s="27"/>
    </row>
    <row r="579">
      <c r="J579" s="23"/>
      <c r="K579" s="27"/>
    </row>
    <row r="580">
      <c r="J580" s="23"/>
      <c r="K580" s="27"/>
    </row>
    <row r="581">
      <c r="J581" s="23"/>
      <c r="K581" s="27"/>
    </row>
    <row r="582">
      <c r="J582" s="23"/>
      <c r="K582" s="27"/>
    </row>
    <row r="583">
      <c r="J583" s="23"/>
      <c r="K583" s="27"/>
    </row>
    <row r="584">
      <c r="J584" s="23"/>
      <c r="K584" s="27"/>
    </row>
    <row r="585">
      <c r="J585" s="23"/>
      <c r="K585" s="27"/>
    </row>
    <row r="586">
      <c r="J586" s="23"/>
      <c r="K586" s="27"/>
    </row>
    <row r="587">
      <c r="J587" s="23"/>
      <c r="K587" s="27"/>
    </row>
    <row r="588">
      <c r="J588" s="23"/>
      <c r="K588" s="27"/>
    </row>
    <row r="589">
      <c r="J589" s="23"/>
      <c r="K589" s="27"/>
    </row>
    <row r="590">
      <c r="J590" s="23"/>
      <c r="K590" s="27"/>
    </row>
    <row r="591">
      <c r="J591" s="23"/>
      <c r="K591" s="27"/>
    </row>
    <row r="592">
      <c r="J592" s="23"/>
      <c r="K592" s="27"/>
    </row>
    <row r="593">
      <c r="J593" s="23"/>
      <c r="K593" s="27"/>
    </row>
    <row r="594">
      <c r="J594" s="23"/>
      <c r="K594" s="27"/>
    </row>
    <row r="595">
      <c r="J595" s="23"/>
      <c r="K595" s="27"/>
    </row>
    <row r="596">
      <c r="J596" s="23"/>
      <c r="K596" s="27"/>
    </row>
    <row r="597">
      <c r="J597" s="23"/>
      <c r="K597" s="27"/>
    </row>
    <row r="598">
      <c r="J598" s="23"/>
      <c r="K598" s="27"/>
    </row>
    <row r="599">
      <c r="J599" s="23"/>
      <c r="K599" s="27"/>
    </row>
    <row r="600">
      <c r="J600" s="23"/>
      <c r="K600" s="27"/>
    </row>
    <row r="601">
      <c r="J601" s="23"/>
      <c r="K601" s="27"/>
    </row>
    <row r="602">
      <c r="J602" s="23"/>
      <c r="K602" s="27"/>
    </row>
    <row r="603">
      <c r="J603" s="23"/>
      <c r="K603" s="27"/>
    </row>
    <row r="604">
      <c r="J604" s="23"/>
      <c r="K604" s="27"/>
    </row>
    <row r="605">
      <c r="J605" s="23"/>
      <c r="K605" s="27"/>
    </row>
    <row r="606">
      <c r="J606" s="23"/>
      <c r="K606" s="27"/>
    </row>
    <row r="607">
      <c r="J607" s="23"/>
      <c r="K607" s="27"/>
    </row>
    <row r="608">
      <c r="J608" s="23"/>
      <c r="K608" s="27"/>
    </row>
    <row r="609">
      <c r="J609" s="23"/>
      <c r="K609" s="27"/>
    </row>
    <row r="610">
      <c r="J610" s="23"/>
      <c r="K610" s="27"/>
    </row>
    <row r="611">
      <c r="J611" s="23"/>
      <c r="K611" s="27"/>
    </row>
    <row r="612">
      <c r="J612" s="23"/>
      <c r="K612" s="27"/>
    </row>
    <row r="613">
      <c r="J613" s="23"/>
      <c r="K613" s="27"/>
    </row>
    <row r="614">
      <c r="J614" s="23"/>
      <c r="K614" s="27"/>
    </row>
    <row r="615">
      <c r="J615" s="23"/>
      <c r="K615" s="27"/>
    </row>
    <row r="616">
      <c r="J616" s="23"/>
      <c r="K616" s="27"/>
    </row>
    <row r="617">
      <c r="J617" s="23"/>
      <c r="K617" s="27"/>
    </row>
    <row r="618">
      <c r="J618" s="23"/>
      <c r="K618" s="27"/>
    </row>
    <row r="619">
      <c r="J619" s="23"/>
      <c r="K619" s="27"/>
    </row>
    <row r="620">
      <c r="J620" s="23"/>
      <c r="K620" s="27"/>
    </row>
    <row r="621">
      <c r="J621" s="23"/>
      <c r="K621" s="27"/>
    </row>
    <row r="622">
      <c r="J622" s="23"/>
      <c r="K622" s="27"/>
    </row>
    <row r="623">
      <c r="J623" s="23"/>
      <c r="K623" s="27"/>
    </row>
    <row r="624">
      <c r="J624" s="23"/>
      <c r="K624" s="27"/>
    </row>
    <row r="625">
      <c r="J625" s="23"/>
      <c r="K625" s="27"/>
    </row>
    <row r="626">
      <c r="J626" s="23"/>
      <c r="K626" s="27"/>
    </row>
    <row r="627">
      <c r="J627" s="23"/>
      <c r="K627" s="27"/>
    </row>
    <row r="628">
      <c r="J628" s="23"/>
      <c r="K628" s="27"/>
    </row>
    <row r="629">
      <c r="J629" s="23"/>
      <c r="K629" s="27"/>
    </row>
    <row r="630">
      <c r="J630" s="23"/>
      <c r="K630" s="27"/>
    </row>
    <row r="631">
      <c r="J631" s="23"/>
      <c r="K631" s="27"/>
    </row>
    <row r="632">
      <c r="J632" s="23"/>
      <c r="K632" s="27"/>
    </row>
    <row r="633">
      <c r="J633" s="23"/>
      <c r="K633" s="27"/>
    </row>
    <row r="634">
      <c r="J634" s="23"/>
      <c r="K634" s="27"/>
    </row>
    <row r="635">
      <c r="J635" s="23"/>
      <c r="K635" s="27"/>
    </row>
    <row r="636">
      <c r="J636" s="23"/>
      <c r="K636" s="27"/>
    </row>
    <row r="637">
      <c r="J637" s="23"/>
      <c r="K637" s="27"/>
    </row>
    <row r="638">
      <c r="J638" s="23"/>
      <c r="K638" s="27"/>
    </row>
    <row r="639">
      <c r="J639" s="23"/>
      <c r="K639" s="27"/>
    </row>
    <row r="640">
      <c r="J640" s="23"/>
      <c r="K640" s="27"/>
    </row>
    <row r="641">
      <c r="J641" s="23"/>
      <c r="K641" s="27"/>
    </row>
    <row r="642">
      <c r="J642" s="23"/>
      <c r="K642" s="27"/>
    </row>
    <row r="643">
      <c r="J643" s="23"/>
      <c r="K643" s="27"/>
    </row>
    <row r="644">
      <c r="J644" s="23"/>
      <c r="K644" s="27"/>
    </row>
    <row r="645">
      <c r="J645" s="23"/>
      <c r="K645" s="27"/>
    </row>
    <row r="646">
      <c r="J646" s="23"/>
      <c r="K646" s="27"/>
    </row>
    <row r="647">
      <c r="J647" s="23"/>
      <c r="K647" s="27"/>
    </row>
    <row r="648">
      <c r="J648" s="23"/>
      <c r="K648" s="27"/>
    </row>
    <row r="649">
      <c r="J649" s="23"/>
      <c r="K649" s="27"/>
    </row>
    <row r="650">
      <c r="J650" s="23"/>
      <c r="K650" s="27"/>
    </row>
    <row r="651">
      <c r="J651" s="23"/>
      <c r="K651" s="27"/>
    </row>
    <row r="652">
      <c r="J652" s="23"/>
      <c r="K652" s="27"/>
    </row>
    <row r="653">
      <c r="J653" s="23"/>
      <c r="K653" s="27"/>
    </row>
    <row r="654">
      <c r="J654" s="23"/>
      <c r="K654" s="27"/>
    </row>
    <row r="655">
      <c r="J655" s="23"/>
      <c r="K655" s="27"/>
    </row>
    <row r="656">
      <c r="J656" s="23"/>
      <c r="K656" s="27"/>
    </row>
    <row r="657">
      <c r="J657" s="23"/>
      <c r="K657" s="27"/>
    </row>
    <row r="658">
      <c r="J658" s="23"/>
      <c r="K658" s="27"/>
    </row>
    <row r="659">
      <c r="J659" s="23"/>
      <c r="K659" s="27"/>
    </row>
    <row r="660">
      <c r="J660" s="23"/>
      <c r="K660" s="27"/>
    </row>
    <row r="661">
      <c r="J661" s="23"/>
      <c r="K661" s="27"/>
    </row>
    <row r="662">
      <c r="J662" s="23"/>
      <c r="K662" s="27"/>
    </row>
    <row r="663">
      <c r="J663" s="23"/>
      <c r="K663" s="27"/>
    </row>
    <row r="664">
      <c r="J664" s="23"/>
      <c r="K664" s="27"/>
    </row>
    <row r="665">
      <c r="J665" s="23"/>
      <c r="K665" s="27"/>
    </row>
    <row r="666">
      <c r="J666" s="23"/>
      <c r="K666" s="27"/>
    </row>
    <row r="667">
      <c r="J667" s="23"/>
      <c r="K667" s="27"/>
    </row>
    <row r="668">
      <c r="J668" s="23"/>
      <c r="K668" s="27"/>
    </row>
    <row r="669">
      <c r="J669" s="23"/>
      <c r="K669" s="27"/>
    </row>
    <row r="670">
      <c r="J670" s="23"/>
      <c r="K670" s="27"/>
    </row>
    <row r="671">
      <c r="J671" s="23"/>
      <c r="K671" s="27"/>
    </row>
    <row r="672">
      <c r="J672" s="23"/>
      <c r="K672" s="27"/>
    </row>
    <row r="673">
      <c r="J673" s="23"/>
      <c r="K673" s="27"/>
    </row>
    <row r="674">
      <c r="J674" s="23"/>
      <c r="K674" s="27"/>
    </row>
    <row r="675">
      <c r="J675" s="23"/>
      <c r="K675" s="27"/>
    </row>
    <row r="676">
      <c r="J676" s="23"/>
      <c r="K676" s="27"/>
    </row>
    <row r="677">
      <c r="J677" s="23"/>
      <c r="K677" s="27"/>
    </row>
    <row r="678">
      <c r="J678" s="23"/>
      <c r="K678" s="27"/>
    </row>
    <row r="679">
      <c r="J679" s="23"/>
      <c r="K679" s="27"/>
    </row>
    <row r="680">
      <c r="J680" s="23"/>
      <c r="K680" s="27"/>
    </row>
    <row r="681">
      <c r="J681" s="23"/>
      <c r="K681" s="27"/>
    </row>
    <row r="682">
      <c r="J682" s="23"/>
      <c r="K682" s="27"/>
    </row>
    <row r="683">
      <c r="J683" s="23"/>
      <c r="K683" s="27"/>
    </row>
    <row r="684">
      <c r="J684" s="23"/>
      <c r="K684" s="27"/>
    </row>
    <row r="685">
      <c r="J685" s="23"/>
      <c r="K685" s="27"/>
    </row>
    <row r="686">
      <c r="J686" s="23"/>
      <c r="K686" s="27"/>
    </row>
    <row r="687">
      <c r="J687" s="23"/>
      <c r="K687" s="27"/>
    </row>
    <row r="688">
      <c r="J688" s="23"/>
      <c r="K688" s="27"/>
    </row>
    <row r="689">
      <c r="J689" s="23"/>
      <c r="K689" s="27"/>
    </row>
    <row r="690">
      <c r="J690" s="23"/>
      <c r="K690" s="27"/>
    </row>
    <row r="691">
      <c r="J691" s="23"/>
      <c r="K691" s="27"/>
    </row>
    <row r="692">
      <c r="J692" s="23"/>
      <c r="K692" s="27"/>
    </row>
    <row r="693">
      <c r="J693" s="23"/>
      <c r="K693" s="27"/>
    </row>
    <row r="694">
      <c r="J694" s="23"/>
      <c r="K694" s="27"/>
    </row>
    <row r="695">
      <c r="J695" s="23"/>
      <c r="K695" s="27"/>
    </row>
    <row r="696">
      <c r="J696" s="23"/>
      <c r="K696" s="27"/>
    </row>
    <row r="697">
      <c r="J697" s="23"/>
      <c r="K697" s="27"/>
    </row>
    <row r="698">
      <c r="J698" s="23"/>
      <c r="K698" s="27"/>
    </row>
    <row r="699">
      <c r="J699" s="23"/>
      <c r="K699" s="27"/>
    </row>
    <row r="700">
      <c r="J700" s="23"/>
      <c r="K700" s="27"/>
    </row>
    <row r="701">
      <c r="J701" s="23"/>
      <c r="K701" s="27"/>
    </row>
    <row r="702">
      <c r="J702" s="23"/>
      <c r="K702" s="27"/>
    </row>
    <row r="703">
      <c r="J703" s="23"/>
      <c r="K703" s="27"/>
    </row>
    <row r="704">
      <c r="J704" s="23"/>
      <c r="K704" s="27"/>
    </row>
    <row r="705">
      <c r="J705" s="23"/>
      <c r="K705" s="27"/>
    </row>
    <row r="706">
      <c r="J706" s="23"/>
      <c r="K706" s="27"/>
    </row>
    <row r="707">
      <c r="J707" s="23"/>
      <c r="K707" s="27"/>
    </row>
    <row r="708">
      <c r="J708" s="23"/>
      <c r="K708" s="27"/>
    </row>
    <row r="709">
      <c r="J709" s="23"/>
      <c r="K709" s="27"/>
    </row>
    <row r="710">
      <c r="J710" s="23"/>
      <c r="K710" s="27"/>
    </row>
    <row r="711">
      <c r="J711" s="23"/>
      <c r="K711" s="27"/>
    </row>
    <row r="712">
      <c r="J712" s="23"/>
      <c r="K712" s="27"/>
    </row>
    <row r="713">
      <c r="J713" s="23"/>
      <c r="K713" s="27"/>
    </row>
    <row r="714">
      <c r="J714" s="23"/>
      <c r="K714" s="27"/>
    </row>
    <row r="715">
      <c r="J715" s="23"/>
      <c r="K715" s="27"/>
    </row>
    <row r="716">
      <c r="J716" s="23"/>
      <c r="K716" s="27"/>
    </row>
    <row r="717">
      <c r="J717" s="23"/>
      <c r="K717" s="27"/>
    </row>
    <row r="718">
      <c r="J718" s="23"/>
      <c r="K718" s="27"/>
    </row>
    <row r="719">
      <c r="J719" s="23"/>
      <c r="K719" s="27"/>
    </row>
    <row r="720">
      <c r="J720" s="23"/>
      <c r="K720" s="27"/>
    </row>
    <row r="721">
      <c r="J721" s="23"/>
      <c r="K721" s="27"/>
    </row>
    <row r="722">
      <c r="J722" s="23"/>
      <c r="K722" s="27"/>
    </row>
    <row r="723">
      <c r="J723" s="23"/>
      <c r="K723" s="27"/>
    </row>
    <row r="724">
      <c r="J724" s="23"/>
      <c r="K724" s="27"/>
    </row>
    <row r="725">
      <c r="J725" s="23"/>
      <c r="K725" s="27"/>
    </row>
    <row r="726">
      <c r="J726" s="23"/>
      <c r="K726" s="27"/>
    </row>
    <row r="727">
      <c r="J727" s="23"/>
      <c r="K727" s="27"/>
    </row>
    <row r="728">
      <c r="J728" s="23"/>
      <c r="K728" s="27"/>
    </row>
    <row r="729">
      <c r="J729" s="23"/>
      <c r="K729" s="27"/>
    </row>
    <row r="730">
      <c r="J730" s="23"/>
      <c r="K730" s="27"/>
    </row>
    <row r="731">
      <c r="J731" s="23"/>
      <c r="K731" s="27"/>
    </row>
    <row r="732">
      <c r="J732" s="23"/>
      <c r="K732" s="27"/>
    </row>
    <row r="733">
      <c r="J733" s="23"/>
      <c r="K733" s="27"/>
    </row>
    <row r="734">
      <c r="J734" s="23"/>
      <c r="K734" s="27"/>
    </row>
    <row r="735">
      <c r="J735" s="23"/>
      <c r="K735" s="27"/>
    </row>
    <row r="736">
      <c r="J736" s="23"/>
      <c r="K736" s="27"/>
    </row>
    <row r="737">
      <c r="J737" s="23"/>
      <c r="K737" s="27"/>
    </row>
    <row r="738">
      <c r="J738" s="23"/>
      <c r="K738" s="27"/>
    </row>
    <row r="739">
      <c r="J739" s="23"/>
      <c r="K739" s="27"/>
    </row>
    <row r="740">
      <c r="J740" s="23"/>
      <c r="K740" s="27"/>
    </row>
    <row r="741">
      <c r="J741" s="23"/>
      <c r="K741" s="27"/>
    </row>
    <row r="742">
      <c r="J742" s="23"/>
      <c r="K742" s="27"/>
    </row>
    <row r="743">
      <c r="J743" s="23"/>
      <c r="K743" s="27"/>
    </row>
    <row r="744">
      <c r="J744" s="23"/>
      <c r="K744" s="27"/>
    </row>
    <row r="745">
      <c r="J745" s="23"/>
      <c r="K745" s="27"/>
    </row>
    <row r="746">
      <c r="J746" s="23"/>
      <c r="K746" s="27"/>
    </row>
    <row r="747">
      <c r="J747" s="23"/>
      <c r="K747" s="27"/>
    </row>
    <row r="748">
      <c r="J748" s="23"/>
      <c r="K748" s="27"/>
    </row>
    <row r="749">
      <c r="J749" s="23"/>
      <c r="K749" s="27"/>
    </row>
    <row r="750">
      <c r="J750" s="23"/>
      <c r="K750" s="27"/>
    </row>
    <row r="751">
      <c r="J751" s="23"/>
      <c r="K751" s="27"/>
    </row>
    <row r="752">
      <c r="J752" s="23"/>
      <c r="K752" s="27"/>
    </row>
    <row r="753">
      <c r="J753" s="23"/>
      <c r="K753" s="27"/>
    </row>
    <row r="754">
      <c r="J754" s="23"/>
      <c r="K754" s="27"/>
    </row>
    <row r="755">
      <c r="J755" s="23"/>
      <c r="K755" s="27"/>
    </row>
    <row r="756">
      <c r="J756" s="23"/>
      <c r="K756" s="27"/>
    </row>
    <row r="757">
      <c r="J757" s="23"/>
      <c r="K757" s="27"/>
    </row>
    <row r="758">
      <c r="J758" s="23"/>
      <c r="K758" s="27"/>
    </row>
    <row r="759">
      <c r="J759" s="23"/>
      <c r="K759" s="27"/>
    </row>
    <row r="760">
      <c r="J760" s="23"/>
      <c r="K760" s="27"/>
    </row>
    <row r="761">
      <c r="J761" s="23"/>
      <c r="K761" s="27"/>
    </row>
    <row r="762">
      <c r="J762" s="23"/>
      <c r="K762" s="27"/>
    </row>
    <row r="763">
      <c r="J763" s="23"/>
      <c r="K763" s="27"/>
    </row>
    <row r="764">
      <c r="J764" s="23"/>
      <c r="K764" s="27"/>
    </row>
    <row r="765">
      <c r="J765" s="23"/>
      <c r="K765" s="27"/>
    </row>
    <row r="766">
      <c r="J766" s="23"/>
      <c r="K766" s="27"/>
    </row>
    <row r="767">
      <c r="J767" s="23"/>
      <c r="K767" s="27"/>
    </row>
    <row r="768">
      <c r="J768" s="23"/>
      <c r="K768" s="27"/>
    </row>
    <row r="769">
      <c r="J769" s="23"/>
      <c r="K769" s="27"/>
    </row>
    <row r="770">
      <c r="J770" s="23"/>
      <c r="K770" s="27"/>
    </row>
    <row r="771">
      <c r="J771" s="23"/>
      <c r="K771" s="27"/>
    </row>
    <row r="772">
      <c r="J772" s="23"/>
      <c r="K772" s="27"/>
    </row>
    <row r="773">
      <c r="J773" s="23"/>
      <c r="K773" s="27"/>
    </row>
    <row r="774">
      <c r="J774" s="23"/>
      <c r="K774" s="27"/>
    </row>
    <row r="775">
      <c r="J775" s="23"/>
      <c r="K775" s="27"/>
    </row>
    <row r="776">
      <c r="J776" s="23"/>
      <c r="K776" s="27"/>
    </row>
    <row r="777">
      <c r="J777" s="23"/>
      <c r="K777" s="27"/>
    </row>
    <row r="778">
      <c r="J778" s="23"/>
      <c r="K778" s="27"/>
    </row>
    <row r="779">
      <c r="J779" s="23"/>
      <c r="K779" s="27"/>
    </row>
    <row r="780">
      <c r="J780" s="23"/>
      <c r="K780" s="27"/>
    </row>
    <row r="781">
      <c r="J781" s="23"/>
      <c r="K781" s="27"/>
    </row>
    <row r="782">
      <c r="J782" s="23"/>
      <c r="K782" s="27"/>
    </row>
    <row r="783">
      <c r="J783" s="23"/>
      <c r="K783" s="27"/>
    </row>
    <row r="784">
      <c r="J784" s="23"/>
      <c r="K784" s="27"/>
    </row>
    <row r="785">
      <c r="J785" s="23"/>
      <c r="K785" s="27"/>
    </row>
    <row r="786">
      <c r="J786" s="23"/>
      <c r="K786" s="27"/>
    </row>
    <row r="787">
      <c r="J787" s="23"/>
      <c r="K787" s="27"/>
    </row>
    <row r="788">
      <c r="J788" s="23"/>
      <c r="K788" s="27"/>
    </row>
    <row r="789">
      <c r="J789" s="23"/>
      <c r="K789" s="27"/>
    </row>
    <row r="790">
      <c r="J790" s="23"/>
      <c r="K790" s="27"/>
    </row>
    <row r="791">
      <c r="J791" s="23"/>
      <c r="K791" s="27"/>
    </row>
    <row r="792">
      <c r="J792" s="23"/>
      <c r="K792" s="27"/>
    </row>
    <row r="793">
      <c r="J793" s="23"/>
      <c r="K793" s="27"/>
    </row>
    <row r="794">
      <c r="J794" s="23"/>
      <c r="K794" s="27"/>
    </row>
    <row r="795">
      <c r="J795" s="23"/>
      <c r="K795" s="27"/>
    </row>
    <row r="796">
      <c r="J796" s="23"/>
      <c r="K796" s="27"/>
    </row>
    <row r="797">
      <c r="J797" s="23"/>
      <c r="K797" s="27"/>
    </row>
    <row r="798">
      <c r="J798" s="23"/>
      <c r="K798" s="27"/>
    </row>
    <row r="799">
      <c r="J799" s="23"/>
      <c r="K799" s="27"/>
    </row>
    <row r="800">
      <c r="J800" s="23"/>
      <c r="K800" s="27"/>
    </row>
    <row r="801">
      <c r="J801" s="23"/>
      <c r="K801" s="27"/>
    </row>
    <row r="802">
      <c r="J802" s="23"/>
      <c r="K802" s="27"/>
    </row>
    <row r="803">
      <c r="J803" s="23"/>
      <c r="K803" s="27"/>
    </row>
    <row r="804">
      <c r="J804" s="23"/>
      <c r="K804" s="27"/>
    </row>
    <row r="805">
      <c r="J805" s="23"/>
      <c r="K805" s="27"/>
    </row>
    <row r="806">
      <c r="J806" s="23"/>
      <c r="K806" s="27"/>
    </row>
    <row r="807">
      <c r="J807" s="23"/>
      <c r="K807" s="27"/>
    </row>
    <row r="808">
      <c r="J808" s="23"/>
      <c r="K808" s="27"/>
    </row>
    <row r="809">
      <c r="J809" s="23"/>
      <c r="K809" s="27"/>
    </row>
    <row r="810">
      <c r="J810" s="23"/>
      <c r="K810" s="27"/>
    </row>
    <row r="811">
      <c r="J811" s="23"/>
      <c r="K811" s="27"/>
    </row>
    <row r="812">
      <c r="J812" s="23"/>
      <c r="K812" s="27"/>
    </row>
    <row r="813">
      <c r="J813" s="23"/>
      <c r="K813" s="27"/>
    </row>
    <row r="814">
      <c r="J814" s="23"/>
      <c r="K814" s="27"/>
    </row>
    <row r="815">
      <c r="J815" s="23"/>
      <c r="K815" s="27"/>
    </row>
    <row r="816">
      <c r="J816" s="23"/>
      <c r="K816" s="27"/>
    </row>
    <row r="817">
      <c r="J817" s="23"/>
      <c r="K817" s="27"/>
    </row>
    <row r="818">
      <c r="J818" s="23"/>
      <c r="K818" s="27"/>
    </row>
    <row r="819">
      <c r="J819" s="23"/>
      <c r="K819" s="27"/>
    </row>
    <row r="820">
      <c r="J820" s="23"/>
      <c r="K820" s="27"/>
    </row>
    <row r="821">
      <c r="J821" s="23"/>
      <c r="K821" s="27"/>
    </row>
    <row r="822">
      <c r="J822" s="23"/>
      <c r="K822" s="27"/>
    </row>
    <row r="823">
      <c r="J823" s="23"/>
      <c r="K823" s="27"/>
    </row>
    <row r="824">
      <c r="J824" s="23"/>
      <c r="K824" s="27"/>
    </row>
    <row r="825">
      <c r="J825" s="23"/>
      <c r="K825" s="27"/>
    </row>
    <row r="826">
      <c r="J826" s="23"/>
      <c r="K826" s="27"/>
    </row>
    <row r="827">
      <c r="J827" s="23"/>
      <c r="K827" s="27"/>
    </row>
    <row r="828">
      <c r="J828" s="23"/>
      <c r="K828" s="27"/>
    </row>
    <row r="829">
      <c r="J829" s="23"/>
      <c r="K829" s="27"/>
    </row>
    <row r="830">
      <c r="J830" s="23"/>
      <c r="K830" s="27"/>
    </row>
    <row r="831">
      <c r="J831" s="23"/>
      <c r="K831" s="27"/>
    </row>
    <row r="832">
      <c r="J832" s="23"/>
      <c r="K832" s="27"/>
    </row>
    <row r="833">
      <c r="J833" s="23"/>
      <c r="K833" s="27"/>
    </row>
    <row r="834">
      <c r="J834" s="23"/>
      <c r="K834" s="27"/>
    </row>
    <row r="835">
      <c r="J835" s="23"/>
      <c r="K835" s="27"/>
    </row>
    <row r="836">
      <c r="J836" s="23"/>
      <c r="K836" s="27"/>
    </row>
    <row r="837">
      <c r="J837" s="23"/>
      <c r="K837" s="27"/>
    </row>
    <row r="838">
      <c r="J838" s="23"/>
      <c r="K838" s="27"/>
    </row>
    <row r="839">
      <c r="J839" s="23"/>
      <c r="K839" s="27"/>
    </row>
    <row r="840">
      <c r="J840" s="23"/>
      <c r="K840" s="27"/>
    </row>
    <row r="841">
      <c r="J841" s="23"/>
      <c r="K841" s="27"/>
    </row>
    <row r="842">
      <c r="J842" s="23"/>
      <c r="K842" s="27"/>
    </row>
    <row r="843">
      <c r="J843" s="23"/>
      <c r="K843" s="27"/>
    </row>
    <row r="844">
      <c r="J844" s="23"/>
      <c r="K844" s="27"/>
    </row>
    <row r="845">
      <c r="J845" s="23"/>
      <c r="K845" s="27"/>
    </row>
    <row r="846">
      <c r="J846" s="23"/>
      <c r="K846" s="27"/>
    </row>
    <row r="847">
      <c r="J847" s="23"/>
      <c r="K847" s="27"/>
    </row>
    <row r="848">
      <c r="J848" s="23"/>
      <c r="K848" s="27"/>
    </row>
    <row r="849">
      <c r="J849" s="23"/>
      <c r="K849" s="27"/>
    </row>
    <row r="850">
      <c r="J850" s="23"/>
      <c r="K850" s="27"/>
    </row>
    <row r="851">
      <c r="J851" s="23"/>
      <c r="K851" s="27"/>
    </row>
    <row r="852">
      <c r="J852" s="23"/>
      <c r="K852" s="27"/>
    </row>
    <row r="853">
      <c r="J853" s="23"/>
      <c r="K853" s="27"/>
    </row>
    <row r="854">
      <c r="J854" s="23"/>
      <c r="K854" s="27"/>
    </row>
    <row r="855">
      <c r="J855" s="23"/>
      <c r="K855" s="27"/>
    </row>
    <row r="856">
      <c r="J856" s="23"/>
      <c r="K856" s="27"/>
    </row>
    <row r="857">
      <c r="J857" s="23"/>
      <c r="K857" s="27"/>
    </row>
    <row r="858">
      <c r="J858" s="23"/>
      <c r="K858" s="27"/>
    </row>
    <row r="859">
      <c r="J859" s="23"/>
      <c r="K859" s="27"/>
    </row>
    <row r="860">
      <c r="J860" s="23"/>
      <c r="K860" s="27"/>
    </row>
    <row r="861">
      <c r="J861" s="23"/>
      <c r="K861" s="27"/>
    </row>
    <row r="862">
      <c r="J862" s="23"/>
      <c r="K862" s="27"/>
    </row>
    <row r="863">
      <c r="J863" s="23"/>
      <c r="K863" s="27"/>
    </row>
    <row r="864">
      <c r="J864" s="23"/>
      <c r="K864" s="27"/>
    </row>
    <row r="865">
      <c r="J865" s="23"/>
      <c r="K865" s="27"/>
    </row>
    <row r="866">
      <c r="J866" s="23"/>
      <c r="K866" s="27"/>
    </row>
    <row r="867">
      <c r="J867" s="23"/>
      <c r="K867" s="27"/>
    </row>
    <row r="868">
      <c r="J868" s="23"/>
      <c r="K868" s="27"/>
    </row>
    <row r="869">
      <c r="J869" s="23"/>
      <c r="K869" s="27"/>
    </row>
    <row r="870">
      <c r="J870" s="23"/>
      <c r="K870" s="27"/>
    </row>
    <row r="871">
      <c r="J871" s="23"/>
      <c r="K871" s="27"/>
    </row>
    <row r="872">
      <c r="J872" s="23"/>
      <c r="K872" s="27"/>
    </row>
    <row r="873">
      <c r="J873" s="23"/>
      <c r="K873" s="27"/>
    </row>
    <row r="874">
      <c r="J874" s="23"/>
      <c r="K874" s="27"/>
    </row>
    <row r="875">
      <c r="J875" s="23"/>
      <c r="K875" s="27"/>
    </row>
    <row r="876">
      <c r="J876" s="23"/>
      <c r="K876" s="27"/>
    </row>
    <row r="877">
      <c r="J877" s="23"/>
      <c r="K877" s="27"/>
    </row>
    <row r="878">
      <c r="J878" s="23"/>
      <c r="K878" s="27"/>
    </row>
    <row r="879">
      <c r="J879" s="23"/>
      <c r="K879" s="27"/>
    </row>
    <row r="880">
      <c r="J880" s="23"/>
      <c r="K880" s="27"/>
    </row>
    <row r="881">
      <c r="J881" s="23"/>
      <c r="K881" s="27"/>
    </row>
    <row r="882">
      <c r="J882" s="23"/>
      <c r="K882" s="27"/>
    </row>
    <row r="883">
      <c r="J883" s="23"/>
      <c r="K883" s="27"/>
    </row>
    <row r="884">
      <c r="J884" s="23"/>
      <c r="K884" s="27"/>
    </row>
    <row r="885">
      <c r="J885" s="23"/>
      <c r="K885" s="27"/>
    </row>
    <row r="886">
      <c r="J886" s="23"/>
      <c r="K886" s="27"/>
    </row>
    <row r="887">
      <c r="J887" s="23"/>
      <c r="K887" s="27"/>
    </row>
    <row r="888">
      <c r="J888" s="23"/>
      <c r="K888" s="27"/>
    </row>
    <row r="889">
      <c r="J889" s="23"/>
      <c r="K889" s="27"/>
    </row>
    <row r="890">
      <c r="J890" s="23"/>
      <c r="K890" s="27"/>
    </row>
    <row r="891">
      <c r="J891" s="23"/>
      <c r="K891" s="27"/>
    </row>
    <row r="892">
      <c r="J892" s="23"/>
      <c r="K892" s="27"/>
    </row>
    <row r="893">
      <c r="J893" s="23"/>
      <c r="K893" s="27"/>
    </row>
    <row r="894">
      <c r="J894" s="23"/>
      <c r="K894" s="27"/>
    </row>
    <row r="895">
      <c r="J895" s="23"/>
      <c r="K895" s="27"/>
    </row>
    <row r="896">
      <c r="J896" s="23"/>
      <c r="K896" s="27"/>
    </row>
    <row r="897">
      <c r="J897" s="23"/>
      <c r="K897" s="27"/>
    </row>
    <row r="898">
      <c r="J898" s="23"/>
      <c r="K898" s="27"/>
    </row>
    <row r="899">
      <c r="J899" s="23"/>
      <c r="K899" s="27"/>
    </row>
    <row r="900">
      <c r="J900" s="23"/>
      <c r="K900" s="27"/>
    </row>
    <row r="901">
      <c r="J901" s="23"/>
      <c r="K901" s="27"/>
    </row>
    <row r="902">
      <c r="J902" s="23"/>
      <c r="K902" s="27"/>
    </row>
    <row r="903">
      <c r="J903" s="23"/>
      <c r="K903" s="27"/>
    </row>
    <row r="904">
      <c r="J904" s="23"/>
      <c r="K904" s="27"/>
    </row>
    <row r="905">
      <c r="J905" s="23"/>
      <c r="K905" s="27"/>
    </row>
    <row r="906">
      <c r="J906" s="23"/>
      <c r="K906" s="27"/>
    </row>
    <row r="907">
      <c r="J907" s="23"/>
      <c r="K907" s="27"/>
    </row>
    <row r="908">
      <c r="J908" s="23"/>
      <c r="K908" s="27"/>
    </row>
    <row r="909">
      <c r="J909" s="23"/>
      <c r="K909" s="27"/>
    </row>
    <row r="910">
      <c r="J910" s="23"/>
      <c r="K910" s="27"/>
    </row>
    <row r="911">
      <c r="J911" s="23"/>
      <c r="K911" s="27"/>
    </row>
    <row r="912">
      <c r="J912" s="23"/>
      <c r="K912" s="27"/>
    </row>
    <row r="913">
      <c r="J913" s="23"/>
      <c r="K913" s="27"/>
    </row>
    <row r="914">
      <c r="J914" s="23"/>
      <c r="K914" s="27"/>
    </row>
    <row r="915">
      <c r="J915" s="23"/>
      <c r="K915" s="27"/>
    </row>
    <row r="916">
      <c r="J916" s="23"/>
      <c r="K916" s="27"/>
    </row>
    <row r="917">
      <c r="J917" s="23"/>
      <c r="K917" s="27"/>
    </row>
    <row r="918">
      <c r="J918" s="23"/>
      <c r="K918" s="27"/>
    </row>
    <row r="919">
      <c r="J919" s="23"/>
      <c r="K919" s="27"/>
    </row>
    <row r="920">
      <c r="J920" s="23"/>
      <c r="K920" s="27"/>
    </row>
    <row r="921">
      <c r="J921" s="23"/>
      <c r="K921" s="27"/>
    </row>
    <row r="922">
      <c r="J922" s="23"/>
      <c r="K922" s="27"/>
    </row>
    <row r="923">
      <c r="J923" s="23"/>
      <c r="K923" s="27"/>
    </row>
    <row r="924">
      <c r="J924" s="23"/>
      <c r="K924" s="27"/>
    </row>
    <row r="925">
      <c r="J925" s="23"/>
      <c r="K925" s="27"/>
    </row>
    <row r="926">
      <c r="J926" s="23"/>
      <c r="K926" s="27"/>
    </row>
    <row r="927">
      <c r="J927" s="23"/>
      <c r="K927" s="27"/>
    </row>
    <row r="928">
      <c r="J928" s="23"/>
      <c r="K928" s="27"/>
    </row>
    <row r="929">
      <c r="J929" s="23"/>
      <c r="K929" s="27"/>
    </row>
    <row r="930">
      <c r="J930" s="23"/>
      <c r="K930" s="27"/>
    </row>
    <row r="931">
      <c r="J931" s="23"/>
      <c r="K931" s="27"/>
    </row>
    <row r="932">
      <c r="J932" s="23"/>
      <c r="K932" s="27"/>
    </row>
    <row r="933">
      <c r="J933" s="23"/>
      <c r="K933" s="27"/>
    </row>
    <row r="934">
      <c r="J934" s="23"/>
      <c r="K934" s="27"/>
    </row>
    <row r="935">
      <c r="J935" s="23"/>
      <c r="K935" s="27"/>
    </row>
    <row r="936">
      <c r="J936" s="23"/>
      <c r="K936" s="27"/>
    </row>
    <row r="937">
      <c r="J937" s="23"/>
      <c r="K937" s="27"/>
    </row>
    <row r="938">
      <c r="J938" s="23"/>
      <c r="K938" s="27"/>
    </row>
    <row r="939">
      <c r="J939" s="23"/>
      <c r="K939" s="27"/>
    </row>
    <row r="940">
      <c r="J940" s="23"/>
      <c r="K940" s="27"/>
    </row>
    <row r="941">
      <c r="J941" s="23"/>
      <c r="K941" s="27"/>
    </row>
    <row r="942">
      <c r="J942" s="23"/>
      <c r="K942" s="27"/>
    </row>
    <row r="943">
      <c r="J943" s="23"/>
      <c r="K943" s="27"/>
    </row>
    <row r="944">
      <c r="J944" s="23"/>
      <c r="K944" s="27"/>
    </row>
    <row r="945">
      <c r="J945" s="23"/>
      <c r="K945" s="27"/>
    </row>
    <row r="946">
      <c r="J946" s="23"/>
      <c r="K946" s="27"/>
    </row>
    <row r="947">
      <c r="J947" s="23"/>
      <c r="K947" s="27"/>
    </row>
    <row r="948">
      <c r="J948" s="23"/>
      <c r="K948" s="27"/>
    </row>
    <row r="949">
      <c r="J949" s="23"/>
      <c r="K949" s="27"/>
    </row>
    <row r="950">
      <c r="J950" s="23"/>
      <c r="K950" s="27"/>
    </row>
    <row r="951">
      <c r="J951" s="23"/>
      <c r="K951" s="27"/>
    </row>
    <row r="952">
      <c r="J952" s="23"/>
      <c r="K952" s="27"/>
    </row>
    <row r="953">
      <c r="J953" s="23"/>
      <c r="K953" s="27"/>
    </row>
    <row r="954">
      <c r="J954" s="23"/>
      <c r="K954" s="27"/>
    </row>
    <row r="955">
      <c r="J955" s="23"/>
      <c r="K955" s="27"/>
    </row>
    <row r="956">
      <c r="J956" s="23"/>
      <c r="K956" s="27"/>
    </row>
    <row r="957">
      <c r="J957" s="23"/>
      <c r="K957" s="27"/>
    </row>
    <row r="958">
      <c r="J958" s="23"/>
      <c r="K958" s="27"/>
    </row>
    <row r="959">
      <c r="J959" s="23"/>
      <c r="K959" s="27"/>
    </row>
    <row r="960">
      <c r="J960" s="23"/>
      <c r="K960" s="27"/>
    </row>
    <row r="961">
      <c r="J961" s="23"/>
      <c r="K961" s="27"/>
    </row>
    <row r="962">
      <c r="J962" s="23"/>
      <c r="K962" s="27"/>
    </row>
    <row r="963">
      <c r="J963" s="23"/>
      <c r="K963" s="27"/>
    </row>
    <row r="964">
      <c r="J964" s="23"/>
      <c r="K964" s="27"/>
    </row>
    <row r="965">
      <c r="J965" s="23"/>
      <c r="K965" s="27"/>
    </row>
    <row r="966">
      <c r="J966" s="23"/>
      <c r="K966" s="27"/>
    </row>
    <row r="967">
      <c r="J967" s="23"/>
      <c r="K967" s="27"/>
    </row>
    <row r="968">
      <c r="J968" s="23"/>
      <c r="K968" s="27"/>
    </row>
    <row r="969">
      <c r="J969" s="23"/>
      <c r="K969" s="27"/>
    </row>
    <row r="970">
      <c r="J970" s="23"/>
      <c r="K970" s="27"/>
    </row>
    <row r="971">
      <c r="J971" s="23"/>
      <c r="K971" s="27"/>
    </row>
    <row r="972">
      <c r="J972" s="23"/>
      <c r="K972" s="27"/>
    </row>
    <row r="973">
      <c r="J973" s="23"/>
      <c r="K973" s="27"/>
    </row>
    <row r="974">
      <c r="J974" s="23"/>
      <c r="K974" s="27"/>
    </row>
    <row r="975">
      <c r="J975" s="23"/>
      <c r="K975" s="27"/>
    </row>
    <row r="976">
      <c r="J976" s="23"/>
      <c r="K976" s="27"/>
    </row>
    <row r="977">
      <c r="J977" s="23"/>
      <c r="K977" s="27"/>
    </row>
    <row r="978">
      <c r="J978" s="23"/>
      <c r="K978" s="27"/>
    </row>
    <row r="979">
      <c r="J979" s="23"/>
      <c r="K979" s="27"/>
    </row>
    <row r="980">
      <c r="J980" s="23"/>
      <c r="K980" s="27"/>
    </row>
    <row r="981">
      <c r="J981" s="23"/>
      <c r="K981" s="27"/>
    </row>
    <row r="982">
      <c r="J982" s="23"/>
      <c r="K982" s="27"/>
    </row>
    <row r="983">
      <c r="J983" s="23"/>
      <c r="K983" s="27"/>
    </row>
    <row r="984">
      <c r="J984" s="23"/>
      <c r="K984" s="27"/>
    </row>
    <row r="985">
      <c r="J985" s="23"/>
      <c r="K985" s="27"/>
    </row>
    <row r="986">
      <c r="J986" s="23"/>
      <c r="K986" s="27"/>
    </row>
    <row r="987">
      <c r="J987" s="23"/>
      <c r="K987" s="27"/>
    </row>
    <row r="988">
      <c r="J988" s="23"/>
      <c r="K988" s="27"/>
    </row>
    <row r="989">
      <c r="J989" s="23"/>
      <c r="K989" s="27"/>
    </row>
    <row r="990">
      <c r="J990" s="23"/>
      <c r="K990" s="27"/>
    </row>
    <row r="991">
      <c r="J991" s="23"/>
      <c r="K991" s="27"/>
    </row>
    <row r="992">
      <c r="J992" s="23"/>
      <c r="K992" s="27"/>
    </row>
    <row r="993">
      <c r="J993" s="23"/>
      <c r="K993" s="27"/>
    </row>
    <row r="994">
      <c r="J994" s="23"/>
      <c r="K994" s="27"/>
    </row>
    <row r="995">
      <c r="J995" s="23"/>
      <c r="K995" s="27"/>
    </row>
    <row r="996">
      <c r="J996" s="23"/>
      <c r="K996" s="27"/>
    </row>
    <row r="997">
      <c r="J997" s="23"/>
      <c r="K997" s="27"/>
    </row>
    <row r="998">
      <c r="J998" s="23"/>
      <c r="K998" s="27"/>
    </row>
    <row r="999">
      <c r="J999" s="23"/>
      <c r="K999" s="27"/>
    </row>
    <row r="1000">
      <c r="J1000" s="23"/>
      <c r="K1000" s="27"/>
    </row>
  </sheetData>
  <autoFilter ref="$A$1:$K$63"/>
  <conditionalFormatting sqref="E1:E1000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2:F63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G1:G1000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H2:H63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I2:I63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hyperlinks>
    <hyperlink r:id="rId1" ref="N1"/>
    <hyperlink r:id="rId2" ref="K2"/>
    <hyperlink r:id="rId3" ref="K3"/>
    <hyperlink r:id="rId4" ref="K4"/>
    <hyperlink r:id="rId5" ref="K5"/>
    <hyperlink r:id="rId6" ref="K6"/>
    <hyperlink r:id="rId7" ref="K7"/>
    <hyperlink r:id="rId8" ref="K8"/>
    <hyperlink r:id="rId9" ref="K9"/>
    <hyperlink r:id="rId10" ref="K10"/>
    <hyperlink r:id="rId11" ref="K11"/>
    <hyperlink r:id="rId12" ref="K12"/>
    <hyperlink r:id="rId13" ref="K13"/>
    <hyperlink r:id="rId14" ref="K14"/>
    <hyperlink r:id="rId15" ref="K15"/>
    <hyperlink r:id="rId16" ref="K16"/>
    <hyperlink r:id="rId17" ref="K17"/>
    <hyperlink r:id="rId18" ref="P17"/>
    <hyperlink r:id="rId19" ref="K18"/>
    <hyperlink r:id="rId20" ref="K19"/>
    <hyperlink r:id="rId21" ref="K20"/>
    <hyperlink r:id="rId22" ref="K21"/>
    <hyperlink r:id="rId23" ref="K22"/>
    <hyperlink r:id="rId24" ref="K23"/>
    <hyperlink r:id="rId25" ref="M23"/>
    <hyperlink r:id="rId26" ref="K24"/>
    <hyperlink r:id="rId27" ref="K25"/>
    <hyperlink r:id="rId28" ref="K26"/>
    <hyperlink r:id="rId29" ref="K27"/>
    <hyperlink r:id="rId30" ref="K28"/>
    <hyperlink r:id="rId31" ref="K29"/>
    <hyperlink r:id="rId32" ref="K30"/>
    <hyperlink r:id="rId33" ref="K31"/>
    <hyperlink r:id="rId34" ref="K32"/>
  </hyperlinks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38"/>
    <col customWidth="1" min="3" max="3" width="18.75"/>
    <col customWidth="1" min="4" max="4" width="15.25"/>
    <col customWidth="1" min="5" max="5" width="15.75"/>
    <col customWidth="1" min="6" max="6" width="13.5"/>
    <col customWidth="1" min="7" max="7" width="14.75"/>
    <col customWidth="1" min="8" max="8" width="15.75"/>
  </cols>
  <sheetData>
    <row r="1">
      <c r="A1" s="28" t="s">
        <v>130</v>
      </c>
      <c r="B1" s="29" t="s">
        <v>131</v>
      </c>
      <c r="C1" s="29" t="s">
        <v>2</v>
      </c>
      <c r="D1" s="29" t="s">
        <v>132</v>
      </c>
      <c r="E1" s="29" t="s">
        <v>5</v>
      </c>
      <c r="F1" s="29" t="s">
        <v>133</v>
      </c>
      <c r="G1" s="29" t="s">
        <v>7</v>
      </c>
      <c r="H1" s="30" t="s">
        <v>8</v>
      </c>
    </row>
    <row r="2">
      <c r="A2" s="31">
        <v>0.5</v>
      </c>
      <c r="B2" s="32">
        <f>COUNTIF(Dati!$B$1:$B$63,A2)</f>
        <v>2</v>
      </c>
      <c r="C2" s="33">
        <f>AVERAGE(Dati!C2:C3)</f>
        <v>0.3310579372</v>
      </c>
      <c r="D2" s="34">
        <f>AVERAGE(Dati!E2:E3)</f>
        <v>-0.3378841257</v>
      </c>
      <c r="E2" s="34">
        <f>AVERAGE(Dati!F2:F3)</f>
        <v>0.1146406701</v>
      </c>
      <c r="F2" s="35">
        <f>AVERAGE(Dati!G2:G3)</f>
        <v>0.000004166666667</v>
      </c>
      <c r="G2" s="35">
        <f>AVERAGE(Dati!H2:H3)</f>
        <v>0</v>
      </c>
      <c r="H2" s="36">
        <f>AVERAGE(Dati!I2:I3)</f>
        <v>0</v>
      </c>
    </row>
    <row r="3">
      <c r="A3" s="37">
        <v>1.0</v>
      </c>
      <c r="B3" s="38">
        <f>COUNTIF(Dati!$B$1:$B$63,A3)</f>
        <v>2</v>
      </c>
      <c r="C3" s="39">
        <f>AVERAGE(Dati!C4:C5)</f>
        <v>0.5929511579</v>
      </c>
      <c r="D3" s="40">
        <f>AVERAGE(Dati!E4:E5)</f>
        <v>-0.4070488421</v>
      </c>
      <c r="E3" s="40">
        <f>AVERAGE(Dati!F4:F5)</f>
        <v>0.09852455834</v>
      </c>
      <c r="F3" s="41">
        <f>AVERAGE(Dati!G4:G5)</f>
        <v>0.0000006365740741</v>
      </c>
      <c r="G3" s="41">
        <f>AVERAGE(Dati!H4:H5)</f>
        <v>0.0000006365740741</v>
      </c>
      <c r="H3" s="42">
        <f>AVERAGE(Dati!I4:I5)</f>
        <v>0</v>
      </c>
    </row>
    <row r="4">
      <c r="A4" s="43">
        <v>2.0</v>
      </c>
      <c r="B4" s="32">
        <f>COUNTIF(Dati!$B$1:$B$63,A4)</f>
        <v>8</v>
      </c>
      <c r="C4" s="33">
        <f>AVERAGE(Dati!C6:C13)</f>
        <v>1.27661977</v>
      </c>
      <c r="D4" s="34">
        <f>AVERAGE(Dati!E6:E13)</f>
        <v>-0.3616901152</v>
      </c>
      <c r="E4" s="34">
        <f>AVERAGE(Dati!F6:F13)</f>
        <v>0.1105004912</v>
      </c>
      <c r="F4" s="35">
        <f>AVERAGE(Dati!G6:G13)</f>
        <v>0.000003237312446</v>
      </c>
      <c r="G4" s="35">
        <f>AVERAGE(Dati!H6:H13)</f>
        <v>0.0000002226589994</v>
      </c>
      <c r="H4" s="36">
        <f>AVERAGE(Dati!I6:I13)</f>
        <v>0.0000001071222544</v>
      </c>
    </row>
    <row r="5">
      <c r="A5" s="44">
        <v>3.0</v>
      </c>
      <c r="B5" s="38">
        <f>COUNTIF(Dati!$B$1:$B$63,A5)</f>
        <v>8</v>
      </c>
      <c r="C5" s="39">
        <f>AVERAGE(Dati!C14:C21)</f>
        <v>2.024523662</v>
      </c>
      <c r="D5" s="40">
        <f>AVERAGE(Dati!E14:E21)</f>
        <v>-0.3251587794</v>
      </c>
      <c r="E5" s="40">
        <f>AVERAGE(Dati!F14:F21)</f>
        <v>0.1340528887</v>
      </c>
      <c r="F5" s="41">
        <f>AVERAGE(Dati!G14:G21)</f>
        <v>0.000004930015488</v>
      </c>
      <c r="G5" s="41">
        <f>AVERAGE(Dati!H14:H21)</f>
        <v>0.0000002870989362</v>
      </c>
      <c r="H5" s="42">
        <f>AVERAGE(Dati!I14:I21)</f>
        <v>0.0000001299358974</v>
      </c>
    </row>
    <row r="6">
      <c r="A6" s="45">
        <v>5.0</v>
      </c>
      <c r="B6" s="32">
        <f>COUNTIF(Dati!$B$1:$B$63,A6)</f>
        <v>19</v>
      </c>
      <c r="C6" s="33">
        <f>AVERAGE(Dati!C22:C40)</f>
        <v>3.564785539</v>
      </c>
      <c r="D6" s="34">
        <f>AVERAGE(Dati!E22:E40)</f>
        <v>-0.2870428923</v>
      </c>
      <c r="E6" s="34">
        <f>AVERAGE(Dati!F22:F40)</f>
        <v>0.1339461291</v>
      </c>
      <c r="F6" s="35">
        <f>AVERAGE(Dati!G22:G40)</f>
        <v>0.0000454736386</v>
      </c>
      <c r="G6" s="35">
        <f>AVERAGE(Dati!H22:H40)</f>
        <v>0.0000011979884</v>
      </c>
      <c r="H6" s="36">
        <f>AVERAGE(Dati!I22:I40)</f>
        <v>0.0000001907569089</v>
      </c>
    </row>
    <row r="7">
      <c r="A7" s="44">
        <v>10.0</v>
      </c>
      <c r="B7" s="38">
        <f>COUNTIF(Dati!$B$1:$B$63,A7)</f>
        <v>15</v>
      </c>
      <c r="C7" s="39">
        <f>AVERAGE(Dati!C41:C55)</f>
        <v>7.532866014</v>
      </c>
      <c r="D7" s="40">
        <f>AVERAGE(Dati!E41:E55)</f>
        <v>-0.2467133986</v>
      </c>
      <c r="E7" s="40">
        <f>AVERAGE(Dati!F41:F55)</f>
        <v>0.1413955096</v>
      </c>
      <c r="F7" s="41">
        <f>AVERAGE(Dati!G41:G55)</f>
        <v>0.00005536463504</v>
      </c>
      <c r="G7" s="41">
        <f>AVERAGE(Dati!H41:H55)</f>
        <v>0.000002104095606</v>
      </c>
      <c r="H7" s="42">
        <f>AVERAGE(Dati!I41:I55)</f>
        <v>0.0000003922621895</v>
      </c>
    </row>
    <row r="8">
      <c r="A8" s="45">
        <v>15.0</v>
      </c>
      <c r="B8" s="32">
        <f>COUNTIF(Dati!$B$1:$B$63,A8)</f>
        <v>1</v>
      </c>
      <c r="C8" s="33">
        <f>Dati!C56</f>
        <v>11.02347666</v>
      </c>
      <c r="D8" s="34">
        <f>Dati!E56</f>
        <v>-0.2651015561</v>
      </c>
      <c r="E8" s="34">
        <f>Dati!F56</f>
        <v>0.2364066194</v>
      </c>
      <c r="F8" s="35">
        <f>Dati!G56</f>
        <v>0.0000974999707</v>
      </c>
      <c r="G8" s="35">
        <f>Dati!H56</f>
        <v>0.000001666666667</v>
      </c>
      <c r="H8" s="36">
        <f>Dati!I56</f>
        <v>0.0000004166666667</v>
      </c>
    </row>
    <row r="9">
      <c r="A9" s="44">
        <v>20.0</v>
      </c>
      <c r="B9" s="38">
        <f>COUNTIF(Dati!$B$1:$B$63,A9)</f>
        <v>5</v>
      </c>
      <c r="C9" s="39">
        <f>AVERAGE(Dati!C57:C61)</f>
        <v>16.38221008</v>
      </c>
      <c r="D9" s="40">
        <f>AVERAGE(Dati!E57:E61)</f>
        <v>-0.1808894958</v>
      </c>
      <c r="E9" s="40">
        <f>AVERAGE(Dati!F57:F61)</f>
        <v>0.1377252993</v>
      </c>
      <c r="F9" s="41">
        <f>AVERAGE(Dati!G57:G61)</f>
        <v>0.0006681539701</v>
      </c>
      <c r="G9" s="41">
        <f>AVERAGE(Dati!H57:H61)</f>
        <v>0.00000370529278</v>
      </c>
      <c r="H9" s="42">
        <f>AVERAGE(Dati!I57:I61)</f>
        <v>0.0000006110137335</v>
      </c>
    </row>
    <row r="10">
      <c r="A10" s="45">
        <v>25.0</v>
      </c>
      <c r="B10" s="32">
        <f>COUNTIF(Dati!$B$1:$B$63,A10)</f>
        <v>2</v>
      </c>
      <c r="C10" s="33">
        <f>AVERAGE(Dati!C62:C63)</f>
        <v>19.12372365</v>
      </c>
      <c r="D10" s="34">
        <f>AVERAGE(Dati!E62:E63)</f>
        <v>-0.2350510542</v>
      </c>
      <c r="E10" s="34">
        <f>AVERAGE(Dati!F62:F63)</f>
        <v>0.2621910259</v>
      </c>
      <c r="F10" s="35">
        <f>AVERAGE(Dati!G62:G63)</f>
        <v>0.0004975193256</v>
      </c>
      <c r="G10" s="35">
        <f>AVERAGE(Dati!H62:H63)</f>
        <v>0.000002232142855</v>
      </c>
      <c r="H10" s="36">
        <f>AVERAGE(Dati!I62:I63)</f>
        <v>0.0000004464285714</v>
      </c>
    </row>
    <row r="11">
      <c r="B11" s="46"/>
      <c r="C11" s="39"/>
      <c r="D11" s="40"/>
      <c r="E11" s="40"/>
      <c r="F11" s="41"/>
      <c r="G11" s="41"/>
      <c r="H11" s="42"/>
    </row>
    <row r="12">
      <c r="A12" s="47" t="s">
        <v>134</v>
      </c>
      <c r="B12" s="48">
        <f>SUM(B2:B10)</f>
        <v>62</v>
      </c>
      <c r="C12" s="49" t="s">
        <v>135</v>
      </c>
      <c r="D12" s="50">
        <f>AVERAGE(Dati!E2:E63)</f>
        <v>-0.2867552285</v>
      </c>
      <c r="E12" s="50">
        <f>AVERAGE(Dati!F2:F63)</f>
        <v>0.1370658348</v>
      </c>
      <c r="F12" s="51">
        <f>AVERAGE(Dati!G2:G63)</f>
        <v>0.000100043907</v>
      </c>
      <c r="G12" s="51">
        <f>AVERAGE(Dati!H2:H63)</f>
        <v>0.000001360190993</v>
      </c>
      <c r="H12" s="52">
        <f>AVERAGE(Dati!I2:I63)</f>
        <v>0.0000002543447065</v>
      </c>
    </row>
  </sheetData>
  <dataValidations>
    <dataValidation type="custom" allowBlank="1" showDropDown="1" sqref="B2:H12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