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" sheetId="1" r:id="rId4"/>
    <sheet state="visible" name="Calcoli" sheetId="2" r:id="rId5"/>
    <sheet state="visible" name="Grafici" sheetId="3" r:id="rId6"/>
  </sheets>
  <definedNames>
    <definedName hidden="1" localSheetId="0" name="_xlnm._FilterDatabase">Dati!$A$1:$O$63</definedName>
  </definedNames>
  <calcPr/>
</workbook>
</file>

<file path=xl/sharedStrings.xml><?xml version="1.0" encoding="utf-8"?>
<sst xmlns="http://schemas.openxmlformats.org/spreadsheetml/2006/main" count="189" uniqueCount="182">
  <si>
    <t>Gratta e Vinci</t>
  </si>
  <si>
    <t>Costo</t>
  </si>
  <si>
    <t>Valore Atteso</t>
  </si>
  <si>
    <t>Perdita</t>
  </si>
  <si>
    <t>Perdita %</t>
  </si>
  <si>
    <t>% Perdere Tutto</t>
  </si>
  <si>
    <t>% Vittoria</t>
  </si>
  <si>
    <t>1 000+</t>
  </si>
  <si>
    <t>10 000+</t>
  </si>
  <si>
    <t>100 000+</t>
  </si>
  <si>
    <t>Vincita Max</t>
  </si>
  <si>
    <t>Moltiplicatore Max</t>
  </si>
  <si>
    <t>Numero Biglietti</t>
  </si>
  <si>
    <t>Somma Biglietti</t>
  </si>
  <si>
    <t>Link</t>
  </si>
  <si>
    <t xml:space="preserve">Note </t>
  </si>
  <si>
    <t>https://www.grattaevinci.com/classico</t>
  </si>
  <si>
    <t>Ping Pong</t>
  </si>
  <si>
    <t>https://www.grattaevinci.com/classico/ping-pong</t>
  </si>
  <si>
    <t>Verificare Correlazione tra Basso Valore Atteso e Alta Vincita Massima</t>
  </si>
  <si>
    <t>Testa o Croce</t>
  </si>
  <si>
    <t>https://www.grattaevinci.com/classico/testa-o-croce</t>
  </si>
  <si>
    <t>Rifare Formattazione condizionale alla fine</t>
  </si>
  <si>
    <t>New Sette e Mezzo</t>
  </si>
  <si>
    <t>https://www.grattaevinci.com/classico/new-sette-e-mezzo</t>
  </si>
  <si>
    <t>Inserire vincita massima -&gt; Vedere link sotto griglia</t>
  </si>
  <si>
    <t>Monetine Fortunate</t>
  </si>
  <si>
    <t>https://www.grattaevinci.com/classico/monetine-fortunate</t>
  </si>
  <si>
    <t>Fai Scopa New</t>
  </si>
  <si>
    <t>https://www.grattaevinci.com/classico/fai-scopa-new</t>
  </si>
  <si>
    <t>Fare alcuni tentativi per verificare correlazioni</t>
  </si>
  <si>
    <t>Mia Ipotesi Se Vincita Max Alta percentuale vittoria bassa</t>
  </si>
  <si>
    <t>Portafortuna Mini</t>
  </si>
  <si>
    <t>https://www.grattaevinci.com/classico/portafortuna-mini</t>
  </si>
  <si>
    <t>- Valore Atteso e %Vittoria</t>
  </si>
  <si>
    <t>Mini Doppia Sfida</t>
  </si>
  <si>
    <t>https://www.grattaevinci.com/classico/mini-doppia-sfida</t>
  </si>
  <si>
    <t>- Valore Atteso e Vincita Max (meglio farlo con Perdita% in modo da riportare tutti i dati sulla stessa scala???)</t>
  </si>
  <si>
    <t>Il Tris Vincente</t>
  </si>
  <si>
    <t>https://www.grattaevinci.com/classico/il-tris-vincente</t>
  </si>
  <si>
    <t>- Valore Atteso e %Perdita (ha senso visto che la perdita è calcolata dal valore atteso???)</t>
  </si>
  <si>
    <t>Nuovo 10x</t>
  </si>
  <si>
    <t>https://www.grattaevinci.com/classico/10x-nuovo</t>
  </si>
  <si>
    <t xml:space="preserve"> </t>
  </si>
  <si>
    <t>- %Vittoria e 1 000+</t>
  </si>
  <si>
    <t>-1 000+ &amp; 10 000+</t>
  </si>
  <si>
    <t>Buongiorno</t>
  </si>
  <si>
    <t>https://www.grattaevinci.com/classico/buongiorno</t>
  </si>
  <si>
    <t>- %Vittoria e 10 000+</t>
  </si>
  <si>
    <t>-1 000+ &amp; 100 000+</t>
  </si>
  <si>
    <t>Tombola Mini</t>
  </si>
  <si>
    <t>https://www.grattaevinci.com/classico/tombola-mini</t>
  </si>
  <si>
    <t>- %Vittoria e 100 000+</t>
  </si>
  <si>
    <t>-10 000+ &amp; 100 000+</t>
  </si>
  <si>
    <t>Un'estate al mare mini</t>
  </si>
  <si>
    <t>https://www.grattaevinci.com/classico/un-estate-al-mare-mini</t>
  </si>
  <si>
    <t>- Vincita Max e %Vittoria</t>
  </si>
  <si>
    <t>Doppia Sfida Small</t>
  </si>
  <si>
    <t>https://www.grattaevinci.com/classico/doppia-sfida-small</t>
  </si>
  <si>
    <t>- Perdita% e Costo</t>
  </si>
  <si>
    <t>Nuovo 15x</t>
  </si>
  <si>
    <t>https://www.grattaevinci.com/classico/nuovo-15x</t>
  </si>
  <si>
    <t>- etc...</t>
  </si>
  <si>
    <t xml:space="preserve">Numeri Fortunati </t>
  </si>
  <si>
    <t>https://www.grattaevinci.com/classico/numeri-fortunati</t>
  </si>
  <si>
    <t>Crucijolly</t>
  </si>
  <si>
    <t>https://www.grattaevinci.com/classico/crucijolly</t>
  </si>
  <si>
    <t>-Confrontare con altri giochi famosi</t>
  </si>
  <si>
    <t>https://giocoresponsabile.info/statistiche-del-gioco/</t>
  </si>
  <si>
    <t>Numeri Fortunati New</t>
  </si>
  <si>
    <t>https://www.grattaevinci.com/classico/numeri-fortunati-new</t>
  </si>
  <si>
    <t>-%Perdita Gratta e Vinci vs Lotto</t>
  </si>
  <si>
    <t>Anni '70</t>
  </si>
  <si>
    <t>https://www.grattaevinci.com/classico/anni-70</t>
  </si>
  <si>
    <t>-%Perdita Gratta e Vinci vs Scommesse Sportive</t>
  </si>
  <si>
    <t>New Super Sette e Mezzo</t>
  </si>
  <si>
    <t>https://www.grattaevinci.com/classico/new-super-sette-e-mezzo</t>
  </si>
  <si>
    <t>Un magico natale</t>
  </si>
  <si>
    <t>https://www.grattaevinci.com/classico/un-magico-natale</t>
  </si>
  <si>
    <t>Il Miliardario</t>
  </si>
  <si>
    <t>https://www.grattaevinci.com/classico/il-miliardario</t>
  </si>
  <si>
    <t>- Scrivere un primo blog post su questa mia analisi</t>
  </si>
  <si>
    <t>Miliardario New</t>
  </si>
  <si>
    <t>https://www.grattaevinci.com/classico/miliardario-new</t>
  </si>
  <si>
    <r>
      <rPr/>
      <t xml:space="preserve">Prima leggere </t>
    </r>
    <r>
      <rPr>
        <color rgb="FF1155CC"/>
        <u/>
      </rPr>
      <t>https://www.paulgraham.com/essay.html</t>
    </r>
  </si>
  <si>
    <t>New Turista per Sempre</t>
  </si>
  <si>
    <t>https://www.grattaevinci.com/classico/new-turista-per-sempre</t>
  </si>
  <si>
    <t>Nuovo Doppia Sfida</t>
  </si>
  <si>
    <t>https://www.grattaevinci.com/classico/nuovo-doppia-sfida</t>
  </si>
  <si>
    <t>- Controllare anche Devianza per vedere differenze tra i vari gruppi???</t>
  </si>
  <si>
    <t>New Tutto Per Tutto</t>
  </si>
  <si>
    <t>https://www.grattaevinci.com/classico/new-tutto-per-tutto</t>
  </si>
  <si>
    <t>Speed Cash</t>
  </si>
  <si>
    <t>https://www.grattaevinci.com/classico/speed-cash</t>
  </si>
  <si>
    <t>- Fare tabella con media, varianza e devianza tra i gruppi</t>
  </si>
  <si>
    <t>Doppia Sfida Classic</t>
  </si>
  <si>
    <t>https://www.grattaevinci.com/classico/doppia-sfida-classic</t>
  </si>
  <si>
    <t>Nuovo 20x</t>
  </si>
  <si>
    <t>https://www.grattaevinci.com/classico/20x-nuovo</t>
  </si>
  <si>
    <t xml:space="preserve">Altre correlazioni: </t>
  </si>
  <si>
    <t>Il Turista per Sempre</t>
  </si>
  <si>
    <t>https://www.grattaevinci.com/classico/il-turista-per-sempre</t>
  </si>
  <si>
    <t>- Costo del biglietto e %Vittoria</t>
  </si>
  <si>
    <t>La Star</t>
  </si>
  <si>
    <t>https://www.grattaevinci.com/classico/LaStar</t>
  </si>
  <si>
    <t>Numerissimi</t>
  </si>
  <si>
    <t>https://www.grattaevinci.com/classico/numerissimi</t>
  </si>
  <si>
    <t>Portafortuna Plus</t>
  </si>
  <si>
    <t>https://www.grattaevinci.com/classico/portafortuna-plus</t>
  </si>
  <si>
    <t>- Verificare Quantili, distribuzioni, scarto interquartile, ...</t>
  </si>
  <si>
    <t>Colpo Ricco</t>
  </si>
  <si>
    <t>https://www.grattaevinci.com/classico/colpo-ricco</t>
  </si>
  <si>
    <t>Pop 5€</t>
  </si>
  <si>
    <t>https://www.grattaevinci.com/classico/pop-5euro</t>
  </si>
  <si>
    <t>- Si potrebbe anche inserire il numero(percentuale) di biglietti dove si perde tutto</t>
  </si>
  <si>
    <t>Tombola Fortunata</t>
  </si>
  <si>
    <t>https://www.grattaevinci.com/classico/tombola-fortunata</t>
  </si>
  <si>
    <t>Un'estate al mare</t>
  </si>
  <si>
    <t>https://www.grattaevinci.com/classico/un-estate-al-mare</t>
  </si>
  <si>
    <t>- Correlazione all'interno del singolo gruppo??</t>
  </si>
  <si>
    <t>Tombola Classic</t>
  </si>
  <si>
    <t>https://www.grattaevinci.com/classico/tombola-classic</t>
  </si>
  <si>
    <t>500 Special Turbo</t>
  </si>
  <si>
    <t>https://www.grattaevinci.com/classico/500-special-turbo</t>
  </si>
  <si>
    <t>Forza 100 200</t>
  </si>
  <si>
    <t>https://www.grattaevinci.com/classico/forza-100-200</t>
  </si>
  <si>
    <t>Il Miliardario Mega</t>
  </si>
  <si>
    <t>https://www.grattaevinci.com/classico/il-miliardario-mega</t>
  </si>
  <si>
    <t>Mega Miliardario New</t>
  </si>
  <si>
    <t>https://www.grattaevinci.com/classico/mega-miliardario-new</t>
  </si>
  <si>
    <t>Turbo Cash</t>
  </si>
  <si>
    <t>https://www.grattaevinci.com/classico/turbo-cash</t>
  </si>
  <si>
    <t>Nuovo 50X</t>
  </si>
  <si>
    <t>https://www.grattaevinci.com/classico/50x-nuovo</t>
  </si>
  <si>
    <t>Premi Stellari</t>
  </si>
  <si>
    <t>https://www.grattaevinci.com/classico/premi-stellari</t>
  </si>
  <si>
    <t>Doppia Sfida Super</t>
  </si>
  <si>
    <t>https://www.grattaevinci.com/classico/doppia-sfida-super</t>
  </si>
  <si>
    <t>Super Numerissimi</t>
  </si>
  <si>
    <t>https://www.grattaevinci.com/classico/super-numerissimi</t>
  </si>
  <si>
    <t>Regina di Cuori</t>
  </si>
  <si>
    <t>https://www.grattaevinci.com/classico/regina-di-cuori</t>
  </si>
  <si>
    <t>Sfinge d'Oro</t>
  </si>
  <si>
    <t>https://www.grattaevinci.com/classico/sfinge-d-oro</t>
  </si>
  <si>
    <t>New Bonus Tutto per Tutto</t>
  </si>
  <si>
    <t>https://www.grattaevinci.com/classico/new-bonus-tutto-per-tutto</t>
  </si>
  <si>
    <t>Ricco Natale</t>
  </si>
  <si>
    <t>https://www.grattaevinci.com/classico/ricco-natale</t>
  </si>
  <si>
    <t>Sotto il Sole</t>
  </si>
  <si>
    <t>https://www.grattaevinci.com/classico/sotto-il-sole</t>
  </si>
  <si>
    <t>Tombola Super</t>
  </si>
  <si>
    <t>https://www.grattaevinci.com/classico/tombola-super</t>
  </si>
  <si>
    <t>Un'estate al Mare Super</t>
  </si>
  <si>
    <t>https://www.grattaevinci.com/classico/un-estate-al-mare-super</t>
  </si>
  <si>
    <t>€50&amp;€100</t>
  </si>
  <si>
    <t>https://www.grattaevinci.com/classico/euro50-euro100</t>
  </si>
  <si>
    <t xml:space="preserve">La Grande Occasione </t>
  </si>
  <si>
    <t>https://www.grattaevinci.com/classico/la-grande-occasione</t>
  </si>
  <si>
    <t>Nuovo 100x</t>
  </si>
  <si>
    <t>https://www.grattaevinci.com/classico/100x-nuovo</t>
  </si>
  <si>
    <t>Il Miliardario Maxi</t>
  </si>
  <si>
    <t>https://www.grattaevinci.com/classico/il-miliardario-maxi</t>
  </si>
  <si>
    <t>Maxi Miliardario New</t>
  </si>
  <si>
    <t>https://www.grattaevinci.com/classico/maxi-miliardario-new</t>
  </si>
  <si>
    <t>Ultra Numerissimi</t>
  </si>
  <si>
    <t>https://www.grattaevinci.com/classico/ultra-numerissimi</t>
  </si>
  <si>
    <t>New Extra Tutto per Tutto</t>
  </si>
  <si>
    <t>https://www.grattaevinci.com/classico/new-extra-tutto-per-tutto</t>
  </si>
  <si>
    <t>Vinci in Grande</t>
  </si>
  <si>
    <t>https://www.grattaevinci.com/classico/vinci-in-grande</t>
  </si>
  <si>
    <t>Super Gold</t>
  </si>
  <si>
    <t>https://www.grattaevinci.com/classico/super-gold</t>
  </si>
  <si>
    <t>Gruppo</t>
  </si>
  <si>
    <t>Conteggio</t>
  </si>
  <si>
    <t>Perdita%</t>
  </si>
  <si>
    <t>1000+</t>
  </si>
  <si>
    <t>Biglietti Medi</t>
  </si>
  <si>
    <t>Totale Biglietti</t>
  </si>
  <si>
    <t>Totale Ricavi Stato</t>
  </si>
  <si>
    <t>Tutti</t>
  </si>
  <si>
    <t>Media Pesata sul numero di biglietti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</si>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</sst>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0%"/>
    <numFmt numFmtId="165" formatCode="0.0000000%"/>
    <numFmt numFmtId="166" formatCode="0.00000"/>
    <numFmt numFmtId="167" formatCode="0.000000"/>
    <numFmt numFmtId="168" formatCode="[$€-2]\ #,##0.00"/>
    <numFmt numFmtId="169" formatCode="[$€-2]\ #,##0"/>
    <numFmt numFmtId="170" formatCode="#,##0&quot;€&quot;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3" xfId="0" applyAlignment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2" fontId="3" numFmtId="2" xfId="0" applyFont="1" applyNumberFormat="1"/>
    <xf borderId="0" fillId="0" fontId="3" numFmtId="10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3" xfId="0" applyAlignment="1" applyFont="1" applyNumberForma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5" numFmtId="0" xfId="0" applyAlignment="1" applyFont="1">
      <alignment readingOrder="0" shrinkToFit="0" wrapText="0"/>
    </xf>
    <xf borderId="0" fillId="2" fontId="3" numFmtId="4" xfId="0" applyFont="1" applyNumberFormat="1"/>
    <xf borderId="0" fillId="0" fontId="6" numFmtId="0" xfId="0" applyAlignment="1" applyFont="1">
      <alignment readingOrder="0"/>
    </xf>
    <xf borderId="0" fillId="2" fontId="3" numFmtId="2" xfId="0" applyAlignment="1" applyFont="1" applyNumberFormat="1">
      <alignment readingOrder="0"/>
    </xf>
    <xf borderId="0" fillId="2" fontId="3" numFmtId="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4" xfId="0" applyFont="1" applyNumberFormat="1"/>
    <xf borderId="0" fillId="0" fontId="3" numFmtId="10" xfId="0" applyAlignment="1" applyFont="1" applyNumberFormat="1">
      <alignment readingOrder="0"/>
    </xf>
    <xf borderId="0" fillId="0" fontId="3" numFmtId="3" xfId="0" applyFont="1" applyNumberFormat="1"/>
    <xf borderId="0" fillId="0" fontId="3" numFmtId="0" xfId="0" applyAlignment="1" applyFont="1">
      <alignment shrinkToFit="0" wrapText="0"/>
    </xf>
    <xf borderId="0" fillId="0" fontId="3" numFmtId="3" xfId="0" applyAlignment="1" applyFont="1" applyNumberFormat="1">
      <alignment shrinkToFit="0" wrapText="0"/>
    </xf>
    <xf borderId="0" fillId="0" fontId="3" numFmtId="166" xfId="0" applyFont="1" applyNumberFormat="1"/>
    <xf borderId="0" fillId="0" fontId="3" numFmtId="167" xfId="0" applyFont="1" applyNumberFormat="1"/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168" xfId="0" applyAlignment="1" applyBorder="1" applyFont="1" applyNumberFormat="1">
      <alignment readingOrder="0" shrinkToFit="0" vertical="center" wrapText="0"/>
    </xf>
    <xf borderId="5" fillId="0" fontId="3" numFmtId="3" xfId="0" applyAlignment="1" applyBorder="1" applyFont="1" applyNumberFormat="1">
      <alignment readingOrder="0" shrinkToFit="0" vertical="center" wrapText="0"/>
    </xf>
    <xf borderId="5" fillId="0" fontId="3" numFmtId="2" xfId="0" applyAlignment="1" applyBorder="1" applyFont="1" applyNumberFormat="1">
      <alignment shrinkToFit="0" vertical="center" wrapText="0"/>
    </xf>
    <xf borderId="5" fillId="0" fontId="3" numFmtId="10" xfId="0" applyAlignment="1" applyBorder="1" applyFont="1" applyNumberFormat="1">
      <alignment shrinkToFit="0" vertical="center" wrapText="0"/>
    </xf>
    <xf borderId="5" fillId="0" fontId="3" numFmtId="164" xfId="0" applyAlignment="1" applyBorder="1" applyFont="1" applyNumberFormat="1">
      <alignment shrinkToFit="0" vertical="center" wrapText="0"/>
    </xf>
    <xf borderId="5" fillId="0" fontId="3" numFmtId="165" xfId="0" applyAlignment="1" applyBorder="1" applyFont="1" applyNumberFormat="1">
      <alignment shrinkToFit="0" vertical="center" wrapText="0"/>
    </xf>
    <xf borderId="5" fillId="0" fontId="3" numFmtId="3" xfId="0" applyAlignment="1" applyBorder="1" applyFont="1" applyNumberFormat="1">
      <alignment shrinkToFit="0" vertical="center" wrapText="0"/>
    </xf>
    <xf borderId="6" fillId="0" fontId="3" numFmtId="169" xfId="0" applyAlignment="1" applyBorder="1" applyFont="1" applyNumberFormat="1">
      <alignment shrinkToFit="0" vertical="center" wrapText="0"/>
    </xf>
    <xf borderId="7" fillId="0" fontId="3" numFmtId="170" xfId="0" applyAlignment="1" applyBorder="1" applyFont="1" applyNumberFormat="1">
      <alignment readingOrder="0" shrinkToFit="0" vertical="center" wrapText="0"/>
    </xf>
    <xf borderId="8" fillId="0" fontId="3" numFmtId="3" xfId="0" applyAlignment="1" applyBorder="1" applyFont="1" applyNumberFormat="1">
      <alignment readingOrder="0" shrinkToFit="0" vertical="center" wrapText="0"/>
    </xf>
    <xf borderId="8" fillId="0" fontId="3" numFmtId="2" xfId="0" applyAlignment="1" applyBorder="1" applyFont="1" applyNumberFormat="1">
      <alignment shrinkToFit="0" vertical="center" wrapText="0"/>
    </xf>
    <xf borderId="8" fillId="0" fontId="3" numFmtId="10" xfId="0" applyAlignment="1" applyBorder="1" applyFont="1" applyNumberFormat="1">
      <alignment shrinkToFit="0" vertical="center" wrapText="0"/>
    </xf>
    <xf borderId="8" fillId="0" fontId="3" numFmtId="164" xfId="0" applyAlignment="1" applyBorder="1" applyFont="1" applyNumberFormat="1">
      <alignment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8" fillId="0" fontId="3" numFmtId="3" xfId="0" applyAlignment="1" applyBorder="1" applyFont="1" applyNumberFormat="1">
      <alignment shrinkToFit="0" vertical="center" wrapText="0"/>
    </xf>
    <xf borderId="9" fillId="0" fontId="3" numFmtId="169" xfId="0" applyAlignment="1" applyBorder="1" applyFont="1" applyNumberFormat="1">
      <alignment shrinkToFit="0" vertical="center" wrapText="0"/>
    </xf>
    <xf borderId="4" fillId="0" fontId="3" numFmtId="170" xfId="0" applyAlignment="1" applyBorder="1" applyFont="1" applyNumberFormat="1">
      <alignment readingOrder="0" shrinkToFit="0" vertical="center" wrapText="0"/>
    </xf>
    <xf borderId="7" fillId="0" fontId="3" numFmtId="169" xfId="0" applyAlignment="1" applyBorder="1" applyFont="1" applyNumberFormat="1">
      <alignment readingOrder="0" shrinkToFit="0" vertical="center" wrapText="0"/>
    </xf>
    <xf borderId="4" fillId="0" fontId="3" numFmtId="169" xfId="0" applyAlignment="1" applyBorder="1" applyFont="1" applyNumberFormat="1">
      <alignment readingOrder="0" shrinkToFit="0" vertical="center" wrapText="0"/>
    </xf>
    <xf borderId="8" fillId="0" fontId="3" numFmtId="3" xfId="0" applyAlignment="1" applyBorder="1" applyFont="1" applyNumberFormat="1">
      <alignment readingOrder="0" shrinkToFit="0" vertical="center" wrapText="0"/>
    </xf>
    <xf borderId="8" fillId="0" fontId="3" numFmtId="3" xfId="0" applyAlignment="1" applyBorder="1" applyFont="1" applyNumberFormat="1">
      <alignment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2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1"/>
    </xf>
    <xf borderId="11" fillId="0" fontId="3" numFmtId="3" xfId="0" applyAlignment="1" applyBorder="1" applyFont="1" applyNumberFormat="1">
      <alignment readingOrder="0" shrinkToFit="0" vertical="center" wrapText="0"/>
    </xf>
    <xf borderId="11" fillId="0" fontId="3" numFmtId="2" xfId="0" applyAlignment="1" applyBorder="1" applyFont="1" applyNumberFormat="1">
      <alignment shrinkToFit="0" vertical="center" wrapText="0"/>
    </xf>
    <xf borderId="11" fillId="0" fontId="3" numFmtId="10" xfId="0" applyAlignment="1" applyBorder="1" applyFont="1" applyNumberFormat="1">
      <alignment shrinkToFit="0" vertical="center" wrapText="0"/>
    </xf>
    <xf borderId="11" fillId="0" fontId="3" numFmtId="164" xfId="0" applyAlignment="1" applyBorder="1" applyFont="1" applyNumberFormat="1">
      <alignment shrinkToFit="0" vertical="center" wrapText="0"/>
    </xf>
    <xf borderId="11" fillId="0" fontId="3" numFmtId="165" xfId="0" applyAlignment="1" applyBorder="1" applyFont="1" applyNumberFormat="1">
      <alignment shrinkToFit="0" vertical="center" wrapText="0"/>
    </xf>
    <xf borderId="11" fillId="0" fontId="3" numFmtId="3" xfId="0" applyAlignment="1" applyBorder="1" applyFont="1" applyNumberFormat="1">
      <alignment shrinkToFit="0" vertical="center" wrapText="0"/>
    </xf>
    <xf borderId="12" fillId="0" fontId="3" numFmtId="16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alcol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N° Biglietti Stampati per Gruppo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Calcoli!$K$1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Calcoli!$A$2:$A$10</c:f>
            </c:strRef>
          </c:cat>
          <c:val>
            <c:numRef>
              <c:f>Calcoli!$K$2:$K$10</c:f>
              <c:numCache/>
            </c:numRef>
          </c:val>
        </c:ser>
        <c:axId val="1930349055"/>
        <c:axId val="75813037"/>
      </c:barChart>
      <c:catAx>
        <c:axId val="193034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13037"/>
      </c:catAx>
      <c:valAx>
        <c:axId val="75813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Totale Biglietti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349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Costo &amp; %Vittoria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Dati!$B$2:$B$1000</c:f>
            </c:numRef>
          </c:xVal>
          <c:yVal>
            <c:numRef>
              <c:f>Dati!$G$2:$G$1000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8761"/>
        <c:axId val="1970464630"/>
      </c:scatterChart>
      <c:valAx>
        <c:axId val="1095458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464630"/>
      </c:valAx>
      <c:valAx>
        <c:axId val="1970464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458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Costo &amp; Perdita%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Dati!$B$2:$B$1000</c:f>
            </c:numRef>
          </c:xVal>
          <c:yVal>
            <c:numRef>
              <c:f>Dati!$E$2:$E$1000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649063"/>
        <c:axId val="1055713061"/>
      </c:scatterChart>
      <c:valAx>
        <c:axId val="15766490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713061"/>
      </c:valAx>
      <c:valAx>
        <c:axId val="1055713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649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%Vittoria &amp; 1 000+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Dati!$H$2:$H$1000</c:f>
            </c:numRef>
          </c:xVal>
          <c:yVal>
            <c:numRef>
              <c:f>Dati!$G$2:$G$1000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19172"/>
        <c:axId val="1928544481"/>
      </c:scatterChart>
      <c:valAx>
        <c:axId val="9836191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544481"/>
      </c:valAx>
      <c:valAx>
        <c:axId val="1928544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619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%Vittoria &amp; 10 000+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Dati!$I$2:$I$1000</c:f>
            </c:numRef>
          </c:xVal>
          <c:yVal>
            <c:numRef>
              <c:f>Dati!$G$2:$G$1000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48181"/>
        <c:axId val="884090939"/>
      </c:scatterChart>
      <c:valAx>
        <c:axId val="728148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90939"/>
      </c:valAx>
      <c:valAx>
        <c:axId val="884090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148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%Vittoria &amp; 100 000+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"/>
            <c:marker>
              <c:symbol val="none"/>
            </c:marker>
          </c:dPt>
          <c:xVal>
            <c:numRef>
              <c:f>Dati!$J$2:$J$1000</c:f>
            </c:numRef>
          </c:xVal>
          <c:yVal>
            <c:numRef>
              <c:f>Dati!$G$2:$G$1000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18107"/>
        <c:axId val="982665807"/>
      </c:scatterChart>
      <c:valAx>
        <c:axId val="254018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665807"/>
      </c:valAx>
      <c:valAx>
        <c:axId val="982665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018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Vincita Max &amp; Perdità%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Dati!$K$2:$K$1000</c:f>
            </c:numRef>
          </c:xVal>
          <c:yVal>
            <c:numRef>
              <c:f>Dati!$E$2:$E$1000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75698"/>
        <c:axId val="2012472186"/>
      </c:scatterChart>
      <c:valAx>
        <c:axId val="2124375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472186"/>
      </c:valAx>
      <c:valAx>
        <c:axId val="2012472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375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Vincita Max &amp; %Vittoria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Dati!$K$2:$K$1000</c:f>
            </c:numRef>
          </c:xVal>
          <c:yVal>
            <c:numRef>
              <c:f>Dati!$G$2:$G$1000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01820"/>
        <c:axId val="252171523"/>
      </c:scatterChart>
      <c:valAx>
        <c:axId val="2347018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171523"/>
      </c:valAx>
      <c:valAx>
        <c:axId val="252171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701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Perdita% rispetto a Gruppo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Calcoli!$D$1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Calcoli!$A$2:$A$10</c:f>
            </c:strRef>
          </c:cat>
          <c:val>
            <c:numRef>
              <c:f>Calcoli!$D$2:$D$10</c:f>
              <c:numCache/>
            </c:numRef>
          </c:val>
        </c:ser>
        <c:axId val="958723334"/>
        <c:axId val="1089365831"/>
      </c:barChart>
      <c:catAx>
        <c:axId val="958723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365831"/>
      </c:catAx>
      <c:valAx>
        <c:axId val="1089365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Perdita%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723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% Vittoria per Gruppo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Calcoli!$A$2:$A$10</c:f>
            </c:strRef>
          </c:cat>
          <c:val>
            <c:numRef>
              <c:f>Calcoli!$E$2:$E$10</c:f>
              <c:numCache/>
            </c:numRef>
          </c:val>
        </c:ser>
        <c:axId val="1975523919"/>
        <c:axId val="2073927787"/>
      </c:barChart>
      <c:catAx>
        <c:axId val="197552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927787"/>
      </c:catAx>
      <c:valAx>
        <c:axId val="2073927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523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Moltiplicatore Max rispetto a Gruppo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Calcoli!$I$1</c:f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cat>
            <c:strRef>
              <c:f>Calcoli!$A$2:$A$10</c:f>
            </c:strRef>
          </c:cat>
          <c:val>
            <c:numRef>
              <c:f>Calcoli!$I$2:$I$10</c:f>
              <c:numCache/>
            </c:numRef>
          </c:val>
        </c:ser>
        <c:axId val="2103772400"/>
        <c:axId val="601354485"/>
      </c:barChart>
      <c:catAx>
        <c:axId val="210377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354485"/>
      </c:catAx>
      <c:valAx>
        <c:axId val="601354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Moltiplicatore 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772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1000+ rispetto a Gruppo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Calcoli!$F$1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Calcoli!$A$2:$A$10</c:f>
            </c:strRef>
          </c:cat>
          <c:val>
            <c:numRef>
              <c:f>Calcoli!$F$2:$F$10</c:f>
              <c:numCache/>
            </c:numRef>
          </c:val>
        </c:ser>
        <c:axId val="1181670601"/>
        <c:axId val="1445681217"/>
      </c:barChart>
      <c:catAx>
        <c:axId val="1181670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681217"/>
      </c:catAx>
      <c:valAx>
        <c:axId val="1445681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1000+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670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10 000+ rispetto a Gruppo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Calcoli!$G$1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Calcoli!$A$2:$A$10</c:f>
            </c:strRef>
          </c:cat>
          <c:val>
            <c:numRef>
              <c:f>Calcoli!$G$2:$G$10</c:f>
              <c:numCache/>
            </c:numRef>
          </c:val>
        </c:ser>
        <c:axId val="1361223791"/>
        <c:axId val="441948042"/>
      </c:barChart>
      <c:catAx>
        <c:axId val="136122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948042"/>
      </c:catAx>
      <c:valAx>
        <c:axId val="441948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10 000+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223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100 000+ rispetto a Gruppo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Calcoli!$H$1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Calcoli!$A$2:$A$10</c:f>
            </c:strRef>
          </c:cat>
          <c:val>
            <c:numRef>
              <c:f>Calcoli!$H$2:$H$10</c:f>
              <c:numCache/>
            </c:numRef>
          </c:val>
        </c:ser>
        <c:axId val="1099980840"/>
        <c:axId val="861295163"/>
      </c:barChart>
      <c:catAx>
        <c:axId val="109998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295163"/>
      </c:catAx>
      <c:valAx>
        <c:axId val="861295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100 000+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980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90951"/>
                </a:solidFill>
                <a:latin typeface="+mn-lt"/>
              </a:defRPr>
            </a:pPr>
            <a:r>
              <a:rPr b="0">
                <a:solidFill>
                  <a:srgbClr val="090951"/>
                </a:solidFill>
                <a:latin typeface="+mn-lt"/>
              </a:rPr>
              <a:t>Biglietti Medi rispetto a Gruppo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Calcoli!$J$1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Calcoli!$A$2:$A$10</c:f>
            </c:strRef>
          </c:cat>
          <c:val>
            <c:numRef>
              <c:f>Calcoli!$J$2:$J$10</c:f>
              <c:numCache/>
            </c:numRef>
          </c:val>
        </c:ser>
        <c:axId val="108485982"/>
        <c:axId val="1095952300"/>
      </c:barChart>
      <c:catAx>
        <c:axId val="108485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952300"/>
      </c:catAx>
      <c:valAx>
        <c:axId val="1095952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Biglietti Medi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85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Valore Atteso &amp; %Vittoria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Dati!$G$1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5"/>
            <c:marker>
              <c:symbol val="none"/>
            </c:marker>
          </c:dPt>
          <c:xVal>
            <c:numRef>
              <c:f>Dati!$C$2:$C$1000</c:f>
            </c:numRef>
          </c:xVal>
          <c:yVal>
            <c:numRef>
              <c:f>Dati!$G$2:$G$1000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17037"/>
        <c:axId val="372455748"/>
      </c:scatterChart>
      <c:valAx>
        <c:axId val="1927717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Valore Atteso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455748"/>
      </c:valAx>
      <c:valAx>
        <c:axId val="372455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Vittoria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717037"/>
      </c:valAx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180975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914400</xdr:colOff>
      <xdr:row>32</xdr:row>
      <xdr:rowOff>114300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361950</xdr:colOff>
      <xdr:row>32</xdr:row>
      <xdr:rowOff>114300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114300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47625</xdr:rowOff>
    </xdr:from>
    <xdr:ext cx="5715000" cy="353377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914400</xdr:colOff>
      <xdr:row>50</xdr:row>
      <xdr:rowOff>47625</xdr:rowOff>
    </xdr:from>
    <xdr:ext cx="5715000" cy="353377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361950</xdr:colOff>
      <xdr:row>50</xdr:row>
      <xdr:rowOff>47625</xdr:rowOff>
    </xdr:from>
    <xdr:ext cx="5715000" cy="3533775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914400</xdr:colOff>
      <xdr:row>14</xdr:row>
      <xdr:rowOff>180975</xdr:rowOff>
    </xdr:from>
    <xdr:ext cx="5715000" cy="3533775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9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>
      <xdr:nvGraphicFramePr>
        <xdr:cNvPr id="10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847725</xdr:colOff>
      <xdr:row>0</xdr:row>
      <xdr:rowOff>0</xdr:rowOff>
    </xdr:from>
    <xdr:ext cx="5715000" cy="3533775"/>
    <xdr:graphicFrame>
      <xdr:nvGraphicFramePr>
        <xdr:cNvPr id="11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>
      <xdr:nvGraphicFramePr>
        <xdr:cNvPr id="12" name="Chart 1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904875</xdr:colOff>
      <xdr:row>17</xdr:row>
      <xdr:rowOff>133350</xdr:rowOff>
    </xdr:from>
    <xdr:ext cx="5715000" cy="3533775"/>
    <xdr:graphicFrame>
      <xdr:nvGraphicFramePr>
        <xdr:cNvPr id="13" name="Chart 1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847725</xdr:colOff>
      <xdr:row>17</xdr:row>
      <xdr:rowOff>133350</xdr:rowOff>
    </xdr:from>
    <xdr:ext cx="5715000" cy="3533775"/>
    <xdr:graphicFrame>
      <xdr:nvGraphicFramePr>
        <xdr:cNvPr id="14" name="Chart 1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>
      <xdr:nvGraphicFramePr>
        <xdr:cNvPr id="15" name="Chart 1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904875</xdr:colOff>
      <xdr:row>35</xdr:row>
      <xdr:rowOff>66675</xdr:rowOff>
    </xdr:from>
    <xdr:ext cx="5715000" cy="3533775"/>
    <xdr:graphicFrame>
      <xdr:nvGraphicFramePr>
        <xdr:cNvPr id="16" name="Chart 1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L13" displayName="Tabella_1" name="Tabella_1" id="1">
  <tableColumns count="12">
    <tableColumn name="Gruppo" id="1"/>
    <tableColumn name="Conteggio" id="2"/>
    <tableColumn name="Valore Atteso" id="3"/>
    <tableColumn name="Perdita%" id="4"/>
    <tableColumn name="% Vittoria" id="5"/>
    <tableColumn name="1000+" id="6"/>
    <tableColumn name="10 000+" id="7"/>
    <tableColumn name="100 000+" id="8"/>
    <tableColumn name="Moltiplicatore Max" id="9"/>
    <tableColumn name="Biglietti Medi" id="10"/>
    <tableColumn name="Totale Biglietti" id="11"/>
    <tableColumn name="Totale Ricavi Stato" id="12"/>
  </tableColumns>
  <tableStyleInfo name="Calcol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rattaevinci.com/classico/tombola-classic" TargetMode="External"/><Relationship Id="rId42" Type="http://schemas.openxmlformats.org/officeDocument/2006/relationships/hyperlink" Target="https://www.grattaevinci.com/classico/forza-100-200" TargetMode="External"/><Relationship Id="rId41" Type="http://schemas.openxmlformats.org/officeDocument/2006/relationships/hyperlink" Target="https://www.grattaevinci.com/classico/500-special-turbo" TargetMode="External"/><Relationship Id="rId44" Type="http://schemas.openxmlformats.org/officeDocument/2006/relationships/hyperlink" Target="https://www.grattaevinci.com/classico/mega-miliardario-new" TargetMode="External"/><Relationship Id="rId43" Type="http://schemas.openxmlformats.org/officeDocument/2006/relationships/hyperlink" Target="https://www.grattaevinci.com/classico/il-miliardario-mega" TargetMode="External"/><Relationship Id="rId46" Type="http://schemas.openxmlformats.org/officeDocument/2006/relationships/hyperlink" Target="https://www.grattaevinci.com/classico/50x-nuovo" TargetMode="External"/><Relationship Id="rId45" Type="http://schemas.openxmlformats.org/officeDocument/2006/relationships/hyperlink" Target="https://www.grattaevinci.com/classico/turbo-cash" TargetMode="External"/><Relationship Id="rId1" Type="http://schemas.openxmlformats.org/officeDocument/2006/relationships/hyperlink" Target="https://www.grattaevinci.com/classico" TargetMode="External"/><Relationship Id="rId2" Type="http://schemas.openxmlformats.org/officeDocument/2006/relationships/hyperlink" Target="https://www.grattaevinci.com/classico/ping-pong" TargetMode="External"/><Relationship Id="rId3" Type="http://schemas.openxmlformats.org/officeDocument/2006/relationships/hyperlink" Target="https://www.grattaevinci.com/classico/testa-o-croce" TargetMode="External"/><Relationship Id="rId4" Type="http://schemas.openxmlformats.org/officeDocument/2006/relationships/hyperlink" Target="https://www.grattaevinci.com/classico/new-sette-e-mezzo" TargetMode="External"/><Relationship Id="rId9" Type="http://schemas.openxmlformats.org/officeDocument/2006/relationships/hyperlink" Target="https://www.grattaevinci.com/classico/il-tris-vincente" TargetMode="External"/><Relationship Id="rId48" Type="http://schemas.openxmlformats.org/officeDocument/2006/relationships/hyperlink" Target="https://www.grattaevinci.com/classico/doppia-sfida-super" TargetMode="External"/><Relationship Id="rId47" Type="http://schemas.openxmlformats.org/officeDocument/2006/relationships/hyperlink" Target="https://www.grattaevinci.com/classico/premi-stellari" TargetMode="External"/><Relationship Id="rId49" Type="http://schemas.openxmlformats.org/officeDocument/2006/relationships/hyperlink" Target="https://www.grattaevinci.com/classico/super-numerissimi" TargetMode="External"/><Relationship Id="rId5" Type="http://schemas.openxmlformats.org/officeDocument/2006/relationships/hyperlink" Target="https://www.grattaevinci.com/classico/monetine-fortunate" TargetMode="External"/><Relationship Id="rId6" Type="http://schemas.openxmlformats.org/officeDocument/2006/relationships/hyperlink" Target="https://www.grattaevinci.com/classico/fai-scopa-new" TargetMode="External"/><Relationship Id="rId7" Type="http://schemas.openxmlformats.org/officeDocument/2006/relationships/hyperlink" Target="https://www.grattaevinci.com/classico/portafortuna-mini" TargetMode="External"/><Relationship Id="rId8" Type="http://schemas.openxmlformats.org/officeDocument/2006/relationships/hyperlink" Target="https://www.grattaevinci.com/classico/mini-doppia-sfida" TargetMode="External"/><Relationship Id="rId31" Type="http://schemas.openxmlformats.org/officeDocument/2006/relationships/hyperlink" Target="https://www.grattaevinci.com/classico/20x-nuovo" TargetMode="External"/><Relationship Id="rId30" Type="http://schemas.openxmlformats.org/officeDocument/2006/relationships/hyperlink" Target="https://www.grattaevinci.com/classico/doppia-sfida-classic" TargetMode="External"/><Relationship Id="rId33" Type="http://schemas.openxmlformats.org/officeDocument/2006/relationships/hyperlink" Target="https://www.grattaevinci.com/classico/LaStar" TargetMode="External"/><Relationship Id="rId32" Type="http://schemas.openxmlformats.org/officeDocument/2006/relationships/hyperlink" Target="https://www.grattaevinci.com/classico/il-turista-per-sempre" TargetMode="External"/><Relationship Id="rId35" Type="http://schemas.openxmlformats.org/officeDocument/2006/relationships/hyperlink" Target="https://www.grattaevinci.com/classico/portafortuna-plus" TargetMode="External"/><Relationship Id="rId34" Type="http://schemas.openxmlformats.org/officeDocument/2006/relationships/hyperlink" Target="https://www.grattaevinci.com/classico/numerissimi" TargetMode="External"/><Relationship Id="rId37" Type="http://schemas.openxmlformats.org/officeDocument/2006/relationships/hyperlink" Target="https://www.grattaevinci.com/classico/pop-5euro" TargetMode="External"/><Relationship Id="rId36" Type="http://schemas.openxmlformats.org/officeDocument/2006/relationships/hyperlink" Target="https://www.grattaevinci.com/classico/colpo-ricco" TargetMode="External"/><Relationship Id="rId39" Type="http://schemas.openxmlformats.org/officeDocument/2006/relationships/hyperlink" Target="https://www.grattaevinci.com/classico/un-estate-al-mare" TargetMode="External"/><Relationship Id="rId38" Type="http://schemas.openxmlformats.org/officeDocument/2006/relationships/hyperlink" Target="https://www.grattaevinci.com/classico/tombola-fortunata" TargetMode="External"/><Relationship Id="rId62" Type="http://schemas.openxmlformats.org/officeDocument/2006/relationships/hyperlink" Target="https://www.grattaevinci.com/classico/ultra-numerissimi" TargetMode="External"/><Relationship Id="rId61" Type="http://schemas.openxmlformats.org/officeDocument/2006/relationships/hyperlink" Target="https://www.grattaevinci.com/classico/maxi-miliardario-new" TargetMode="External"/><Relationship Id="rId20" Type="http://schemas.openxmlformats.org/officeDocument/2006/relationships/hyperlink" Target="https://www.grattaevinci.com/classico/anni-70" TargetMode="External"/><Relationship Id="rId64" Type="http://schemas.openxmlformats.org/officeDocument/2006/relationships/hyperlink" Target="https://www.grattaevinci.com/classico/vinci-in-grande" TargetMode="External"/><Relationship Id="rId63" Type="http://schemas.openxmlformats.org/officeDocument/2006/relationships/hyperlink" Target="https://www.grattaevinci.com/classico/new-extra-tutto-per-tutto" TargetMode="External"/><Relationship Id="rId22" Type="http://schemas.openxmlformats.org/officeDocument/2006/relationships/hyperlink" Target="https://www.grattaevinci.com/classico/un-magico-natale" TargetMode="External"/><Relationship Id="rId66" Type="http://schemas.openxmlformats.org/officeDocument/2006/relationships/drawing" Target="../drawings/drawing1.xml"/><Relationship Id="rId21" Type="http://schemas.openxmlformats.org/officeDocument/2006/relationships/hyperlink" Target="https://www.grattaevinci.com/classico/new-super-sette-e-mezzo" TargetMode="External"/><Relationship Id="rId65" Type="http://schemas.openxmlformats.org/officeDocument/2006/relationships/hyperlink" Target="https://www.grattaevinci.com/classico/super-gold" TargetMode="External"/><Relationship Id="rId24" Type="http://schemas.openxmlformats.org/officeDocument/2006/relationships/hyperlink" Target="https://www.grattaevinci.com/classico/miliardario-new" TargetMode="External"/><Relationship Id="rId23" Type="http://schemas.openxmlformats.org/officeDocument/2006/relationships/hyperlink" Target="https://www.grattaevinci.com/classico/il-miliardario" TargetMode="External"/><Relationship Id="rId60" Type="http://schemas.openxmlformats.org/officeDocument/2006/relationships/hyperlink" Target="https://www.grattaevinci.com/classico/il-miliardario-maxi" TargetMode="External"/><Relationship Id="rId26" Type="http://schemas.openxmlformats.org/officeDocument/2006/relationships/hyperlink" Target="https://www.grattaevinci.com/classico/new-turista-per-sempre" TargetMode="External"/><Relationship Id="rId25" Type="http://schemas.openxmlformats.org/officeDocument/2006/relationships/hyperlink" Target="https://www.paulgraham.com/essay.html" TargetMode="External"/><Relationship Id="rId28" Type="http://schemas.openxmlformats.org/officeDocument/2006/relationships/hyperlink" Target="https://www.grattaevinci.com/classico/new-tutto-per-tutto" TargetMode="External"/><Relationship Id="rId27" Type="http://schemas.openxmlformats.org/officeDocument/2006/relationships/hyperlink" Target="https://www.grattaevinci.com/classico/nuovo-doppia-sfida" TargetMode="External"/><Relationship Id="rId29" Type="http://schemas.openxmlformats.org/officeDocument/2006/relationships/hyperlink" Target="https://www.grattaevinci.com/classico/speed-cash" TargetMode="External"/><Relationship Id="rId51" Type="http://schemas.openxmlformats.org/officeDocument/2006/relationships/hyperlink" Target="https://www.grattaevinci.com/classico/sfinge-d-oro" TargetMode="External"/><Relationship Id="rId50" Type="http://schemas.openxmlformats.org/officeDocument/2006/relationships/hyperlink" Target="https://www.grattaevinci.com/classico/regina-di-cuori" TargetMode="External"/><Relationship Id="rId53" Type="http://schemas.openxmlformats.org/officeDocument/2006/relationships/hyperlink" Target="https://www.grattaevinci.com/classico/ricco-natale" TargetMode="External"/><Relationship Id="rId52" Type="http://schemas.openxmlformats.org/officeDocument/2006/relationships/hyperlink" Target="https://www.grattaevinci.com/classico/new-bonus-tutto-per-tutto" TargetMode="External"/><Relationship Id="rId11" Type="http://schemas.openxmlformats.org/officeDocument/2006/relationships/hyperlink" Target="https://www.grattaevinci.com/classico/buongiorno" TargetMode="External"/><Relationship Id="rId55" Type="http://schemas.openxmlformats.org/officeDocument/2006/relationships/hyperlink" Target="https://www.grattaevinci.com/classico/tombola-super" TargetMode="External"/><Relationship Id="rId10" Type="http://schemas.openxmlformats.org/officeDocument/2006/relationships/hyperlink" Target="https://www.grattaevinci.com/classico/10x-nuovo" TargetMode="External"/><Relationship Id="rId54" Type="http://schemas.openxmlformats.org/officeDocument/2006/relationships/hyperlink" Target="https://www.grattaevinci.com/classico/sotto-il-sole" TargetMode="External"/><Relationship Id="rId13" Type="http://schemas.openxmlformats.org/officeDocument/2006/relationships/hyperlink" Target="https://www.grattaevinci.com/classico/un-estate-al-mare-mini" TargetMode="External"/><Relationship Id="rId57" Type="http://schemas.openxmlformats.org/officeDocument/2006/relationships/hyperlink" Target="https://www.grattaevinci.com/classico/euro50-euro100" TargetMode="External"/><Relationship Id="rId12" Type="http://schemas.openxmlformats.org/officeDocument/2006/relationships/hyperlink" Target="https://www.grattaevinci.com/classico/tombola-mini" TargetMode="External"/><Relationship Id="rId56" Type="http://schemas.openxmlformats.org/officeDocument/2006/relationships/hyperlink" Target="https://www.grattaevinci.com/classico/un-estate-al-mare-super" TargetMode="External"/><Relationship Id="rId15" Type="http://schemas.openxmlformats.org/officeDocument/2006/relationships/hyperlink" Target="https://www.grattaevinci.com/classico/nuovo-15x" TargetMode="External"/><Relationship Id="rId59" Type="http://schemas.openxmlformats.org/officeDocument/2006/relationships/hyperlink" Target="https://www.grattaevinci.com/classico/100x-nuovo" TargetMode="External"/><Relationship Id="rId14" Type="http://schemas.openxmlformats.org/officeDocument/2006/relationships/hyperlink" Target="https://www.grattaevinci.com/classico/doppia-sfida-small" TargetMode="External"/><Relationship Id="rId58" Type="http://schemas.openxmlformats.org/officeDocument/2006/relationships/hyperlink" Target="https://www.grattaevinci.com/classico/la-grande-occasione" TargetMode="External"/><Relationship Id="rId17" Type="http://schemas.openxmlformats.org/officeDocument/2006/relationships/hyperlink" Target="https://www.grattaevinci.com/classico/crucijolly" TargetMode="External"/><Relationship Id="rId16" Type="http://schemas.openxmlformats.org/officeDocument/2006/relationships/hyperlink" Target="https://www.grattaevinci.com/classico/numeri-fortunati" TargetMode="External"/><Relationship Id="rId19" Type="http://schemas.openxmlformats.org/officeDocument/2006/relationships/hyperlink" Target="https://www.grattaevinci.com/classico/numeri-fortunati-new" TargetMode="External"/><Relationship Id="rId18" Type="http://schemas.openxmlformats.org/officeDocument/2006/relationships/hyperlink" Target="https://giocoresponsabile.info/statistiche-del-gioco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38"/>
    <col customWidth="1" min="6" max="6" width="14.25"/>
    <col customWidth="1" min="11" max="11" width="12.63"/>
    <col customWidth="1" min="12" max="14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Q1" s="1" t="s">
        <v>15</v>
      </c>
      <c r="R1" s="5" t="s">
        <v>16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7" t="s">
        <v>17</v>
      </c>
      <c r="B2" s="7">
        <v>0.5</v>
      </c>
      <c r="C2" s="8">
        <f>(1*(1/13.33))+(5*(1/33.33))+(10*(1/200))+(20*(10800/43200000))+(50*(1/24000))+(100*(1/48000))+(200*(1/120000))+(1000*(1/240000))</f>
        <v>0.2900337562</v>
      </c>
      <c r="D2" s="8">
        <f t="shared" ref="D2:D63" si="1">C2-B2</f>
        <v>-0.2099662438</v>
      </c>
      <c r="E2" s="9">
        <f t="shared" ref="E2:E63" si="2">D2/B2</f>
        <v>-0.4199324876</v>
      </c>
      <c r="F2" s="9">
        <f t="shared" ref="F2:F3" si="3">1-G2</f>
        <v>0.8896247241</v>
      </c>
      <c r="G2" s="9">
        <f>1/9.06</f>
        <v>0.1103752759</v>
      </c>
      <c r="H2" s="10">
        <f t="shared" ref="H2:H3" si="4">((1/240000))</f>
        <v>0.000004166666667</v>
      </c>
      <c r="I2" s="10">
        <v>0.0</v>
      </c>
      <c r="J2" s="11">
        <v>0.0</v>
      </c>
      <c r="K2" s="12">
        <v>1000.0</v>
      </c>
      <c r="L2" s="13">
        <f t="shared" ref="L2:L63" si="5">K2/B2</f>
        <v>2000</v>
      </c>
      <c r="M2" s="14">
        <v>4.32E7</v>
      </c>
      <c r="N2" s="14">
        <f>IF(B2=Calcoli!$A$2,Calcoli!$K$2,IF(B2=Calcoli!$A$3,Calcoli!$K$3,IF(B2=Calcoli!$A$4,Calcoli!$K$4,IF(B2=Calcoli!$A$5,Calcoli!$K$5,IF(B2=Calcoli!$A$6,Calcoli!$K$6,IF(B2=Calcoli!$A$7,Calcoli!$K$7,IF(B2=Calcoli!$A$8,Calcoli!$K$8,IF(B2=Calcoli!$A$9,Calcoli!$K$9,IF(B2=Calcoli!$A$10,Calcoli!$K$10,"Errore")))))))))</f>
        <v>51840000</v>
      </c>
      <c r="O2" s="15" t="s">
        <v>18</v>
      </c>
      <c r="Q2" s="16" t="s">
        <v>19</v>
      </c>
    </row>
    <row r="3">
      <c r="A3" s="7" t="s">
        <v>20</v>
      </c>
      <c r="B3" s="7">
        <v>0.5</v>
      </c>
      <c r="C3" s="8">
        <f>(1*(1/13.64))+(5*(1/27.27))+(10*(1/125))+(25*(1/1200))+(50*(1/12000))+(100*(1/24000))+(250*(1/120000))+(1000*(1/240000))</f>
        <v>0.3720821182</v>
      </c>
      <c r="D3" s="8">
        <f t="shared" si="1"/>
        <v>-0.1279178818</v>
      </c>
      <c r="E3" s="9">
        <f t="shared" si="2"/>
        <v>-0.2558357637</v>
      </c>
      <c r="F3" s="9">
        <f t="shared" si="3"/>
        <v>0.8810939358</v>
      </c>
      <c r="G3" s="9">
        <f>1/8.41</f>
        <v>0.1189060642</v>
      </c>
      <c r="H3" s="10">
        <f t="shared" si="4"/>
        <v>0.000004166666667</v>
      </c>
      <c r="I3" s="10">
        <v>0.0</v>
      </c>
      <c r="J3" s="11">
        <v>0.0</v>
      </c>
      <c r="K3" s="12">
        <v>1000.0</v>
      </c>
      <c r="L3" s="13">
        <f t="shared" si="5"/>
        <v>2000</v>
      </c>
      <c r="M3" s="14">
        <v>8640000.0</v>
      </c>
      <c r="N3" s="14">
        <f>IF(B3=Calcoli!$A$2,Calcoli!$K$2,IF(B3=Calcoli!$A$3,Calcoli!$K$3,IF(B3=Calcoli!$A$4,Calcoli!$K$4,IF(B3=Calcoli!$A$5,Calcoli!$K$5,IF(B3=Calcoli!$A$6,Calcoli!$K$6,IF(B3=Calcoli!$A$7,Calcoli!$K$7,IF(B3=Calcoli!$A$8,Calcoli!$K$8,IF(B3=Calcoli!$A$9,Calcoli!$K$9,IF(B3=Calcoli!$A$10,Calcoli!$K$10,"Errore")))))))))</f>
        <v>51840000</v>
      </c>
      <c r="O3" s="15" t="s">
        <v>21</v>
      </c>
      <c r="Q3" s="16" t="s">
        <v>22</v>
      </c>
    </row>
    <row r="4">
      <c r="A4" s="16" t="s">
        <v>23</v>
      </c>
      <c r="B4" s="16">
        <v>1.0</v>
      </c>
      <c r="C4" s="17">
        <f>(1*(5529600/46080000))+(2*(1/15.15))+(7*(1/44.12))+(10*(1/150))+(20*(1/470.59))+(40*(1/685.71))+(70*(1/16000))+(700*(1/240000))+(10000*(1/960000))</f>
        <v>0.5958799448</v>
      </c>
      <c r="D4" s="17">
        <f t="shared" si="1"/>
        <v>-0.4041200552</v>
      </c>
      <c r="E4" s="9">
        <f t="shared" si="2"/>
        <v>-0.4041200552</v>
      </c>
      <c r="F4" s="9">
        <f>1-G4-(5529600/46080000)</f>
        <v>0.780990099</v>
      </c>
      <c r="G4" s="9">
        <f>1/10.1</f>
        <v>0.09900990099</v>
      </c>
      <c r="H4" s="10">
        <f>(1/960000)</f>
        <v>0.000001041666667</v>
      </c>
      <c r="I4" s="10">
        <f t="shared" ref="I4:I5" si="6">H4</f>
        <v>0.000001041666667</v>
      </c>
      <c r="J4" s="11">
        <v>0.0</v>
      </c>
      <c r="K4" s="12">
        <v>10000.0</v>
      </c>
      <c r="L4" s="13">
        <f t="shared" si="5"/>
        <v>10000</v>
      </c>
      <c r="M4" s="14">
        <v>4.608E7</v>
      </c>
      <c r="N4" s="14">
        <f>IF(B4=Calcoli!$A$2,Calcoli!$K$2,IF(B4=Calcoli!$A$3,Calcoli!$K$3,IF(B4=Calcoli!$A$4,Calcoli!$K$4,IF(B4=Calcoli!$A$5,Calcoli!$K$5,IF(B4=Calcoli!$A$6,Calcoli!$K$6,IF(B4=Calcoli!$A$7,Calcoli!$K$7,IF(B4=Calcoli!$A$8,Calcoli!$K$8,IF(B4=Calcoli!$A$9,Calcoli!$K$9,IF(B4=Calcoli!$A$10,Calcoli!$K$10,"Errore")))))))))</f>
        <v>89280000</v>
      </c>
      <c r="O4" s="15" t="s">
        <v>24</v>
      </c>
      <c r="Q4" s="16" t="s">
        <v>25</v>
      </c>
      <c r="T4" s="13"/>
    </row>
    <row r="5">
      <c r="A5" s="16" t="s">
        <v>26</v>
      </c>
      <c r="B5" s="16">
        <v>1.0</v>
      </c>
      <c r="C5" s="17">
        <f>(1*(6624000/43200000))+(3*(1/14.56))+(5*(1/65.22))+(10*(1/75))+(20*(1/1500))+(50*(1/16000))+(100*(1/120000))+(500*(1/480000))+(10000*(1/4320000))</f>
        <v>0.590022371</v>
      </c>
      <c r="D5" s="17">
        <f t="shared" si="1"/>
        <v>-0.409977629</v>
      </c>
      <c r="E5" s="9">
        <f t="shared" si="2"/>
        <v>-0.409977629</v>
      </c>
      <c r="F5" s="9">
        <f>1-G5-(6624000/43200000)</f>
        <v>0.748627451</v>
      </c>
      <c r="G5" s="9">
        <f>1/10.2</f>
        <v>0.09803921569</v>
      </c>
      <c r="H5" s="10">
        <f>((1/4320000))</f>
        <v>0.0000002314814815</v>
      </c>
      <c r="I5" s="10">
        <f t="shared" si="6"/>
        <v>0.0000002314814815</v>
      </c>
      <c r="J5" s="11">
        <v>0.0</v>
      </c>
      <c r="K5" s="12">
        <v>10000.0</v>
      </c>
      <c r="L5" s="13">
        <f t="shared" si="5"/>
        <v>10000</v>
      </c>
      <c r="M5" s="14">
        <v>4.32E7</v>
      </c>
      <c r="N5" s="14">
        <f>IF(B5=Calcoli!$A$2,Calcoli!$K$2,IF(B5=Calcoli!$A$3,Calcoli!$K$3,IF(B5=Calcoli!$A$4,Calcoli!$K$4,IF(B5=Calcoli!$A$5,Calcoli!$K$5,IF(B5=Calcoli!$A$6,Calcoli!$K$6,IF(B5=Calcoli!$A$7,Calcoli!$K$7,IF(B5=Calcoli!$A$8,Calcoli!$K$8,IF(B5=Calcoli!$A$9,Calcoli!$K$9,IF(B5=Calcoli!$A$10,Calcoli!$K$10,"Errore")))))))))</f>
        <v>89280000</v>
      </c>
      <c r="O5" s="18" t="s">
        <v>27</v>
      </c>
    </row>
    <row r="6">
      <c r="A6" s="7" t="s">
        <v>28</v>
      </c>
      <c r="B6" s="7">
        <v>2.0</v>
      </c>
      <c r="C6" s="8">
        <f>(2*(3978240/26880000))+(5*(1/15))+(10*(1/57.69))+(25*(1/68.18))+(50*(1/800))+(100*(1/3428.57))+(200*(1/70736.84))+(500*(1/70736.84))+(1000*(1/70736.84))+(100000*(1/6720000))</f>
        <v>1.299930415</v>
      </c>
      <c r="D6" s="8">
        <f t="shared" si="1"/>
        <v>-0.700069585</v>
      </c>
      <c r="E6" s="9">
        <f t="shared" si="2"/>
        <v>-0.3500347925</v>
      </c>
      <c r="F6" s="9">
        <f>1-G6-(3978240/26880000)</f>
        <v>0.7516990973</v>
      </c>
      <c r="G6" s="9">
        <f>1/9.97</f>
        <v>0.1003009027</v>
      </c>
      <c r="H6" s="10">
        <f>((1/70736.84))+((1/6720000))</f>
        <v>0.00001428571471</v>
      </c>
      <c r="I6" s="10">
        <f t="shared" ref="I6:J6" si="7">((1/6720000))</f>
        <v>0.0000001488095238</v>
      </c>
      <c r="J6" s="11">
        <f t="shared" si="7"/>
        <v>0.0000001488095238</v>
      </c>
      <c r="K6" s="12">
        <v>100000.0</v>
      </c>
      <c r="L6" s="13">
        <f t="shared" si="5"/>
        <v>50000</v>
      </c>
      <c r="M6" s="14">
        <v>2.688E7</v>
      </c>
      <c r="N6" s="14">
        <f>IF(B6=Calcoli!$A$2,Calcoli!$K$2,IF(B6=Calcoli!$A$3,Calcoli!$K$3,IF(B6=Calcoli!$A$4,Calcoli!$K$4,IF(B6=Calcoli!$A$5,Calcoli!$K$5,IF(B6=Calcoli!$A$6,Calcoli!$K$6,IF(B6=Calcoli!$A$7,Calcoli!$K$7,IF(B6=Calcoli!$A$8,Calcoli!$K$8,IF(B6=Calcoli!$A$9,Calcoli!$K$9,IF(B6=Calcoli!$A$10,Calcoli!$K$10,"Errore")))))))))</f>
        <v>241920000</v>
      </c>
      <c r="O6" s="18" t="s">
        <v>29</v>
      </c>
      <c r="Q6" s="16" t="s">
        <v>30</v>
      </c>
      <c r="T6" s="16" t="s">
        <v>31</v>
      </c>
    </row>
    <row r="7">
      <c r="A7" s="7" t="s">
        <v>32</v>
      </c>
      <c r="B7" s="7">
        <v>2.0</v>
      </c>
      <c r="C7" s="8">
        <f>(2*(6072000/39600000))+(5*(1/14.15))+(10*(1/50))+(15*(1/75))+(30*(1/480))+(50*(1/600))+(100*(1/2400))+(250*(1/49500))+(500*(1/396000))+(1000*(1/396000))+(10000*(1/3960000))+(100000*(1/7920000))</f>
        <v>1.271513456</v>
      </c>
      <c r="D7" s="8">
        <f t="shared" si="1"/>
        <v>-0.7284865439</v>
      </c>
      <c r="E7" s="9">
        <f t="shared" si="2"/>
        <v>-0.3642432719</v>
      </c>
      <c r="F7" s="9">
        <f>1-G7-(6072000/39600000)</f>
        <v>0.7384696573</v>
      </c>
      <c r="G7" s="9">
        <f>((1/14.15))+((1/50))+((1/75))+((1/480))+((1/600))+((1/2400))+((1/49500))+((1/396000))+((1/396000))+((1/3960000))+((1/7920000))</f>
        <v>0.1081970094</v>
      </c>
      <c r="H7" s="10">
        <f>((1/396000))+((1/3960000))+((1/7920000))</f>
        <v>0.000002904040404</v>
      </c>
      <c r="I7" s="10">
        <f>((1/3960000))+((1/7920000))</f>
        <v>0.0000003787878788</v>
      </c>
      <c r="J7" s="11">
        <f>((1/7920000))</f>
        <v>0.0000001262626263</v>
      </c>
      <c r="K7" s="12">
        <v>100000.0</v>
      </c>
      <c r="L7" s="13">
        <f t="shared" si="5"/>
        <v>50000</v>
      </c>
      <c r="M7" s="14">
        <v>3.96E7</v>
      </c>
      <c r="N7" s="14">
        <f>IF(B7=Calcoli!$A$2,Calcoli!$K$2,IF(B7=Calcoli!$A$3,Calcoli!$K$3,IF(B7=Calcoli!$A$4,Calcoli!$K$4,IF(B7=Calcoli!$A$5,Calcoli!$K$5,IF(B7=Calcoli!$A$6,Calcoli!$K$6,IF(B7=Calcoli!$A$7,Calcoli!$K$7,IF(B7=Calcoli!$A$8,Calcoli!$K$8,IF(B7=Calcoli!$A$9,Calcoli!$K$9,IF(B7=Calcoli!$A$10,Calcoli!$K$10,"Errore")))))))))</f>
        <v>241920000</v>
      </c>
      <c r="O7" s="18" t="s">
        <v>33</v>
      </c>
      <c r="Q7" s="16" t="s">
        <v>34</v>
      </c>
    </row>
    <row r="8">
      <c r="A8" s="7" t="s">
        <v>35</v>
      </c>
      <c r="B8" s="7">
        <v>2.0</v>
      </c>
      <c r="C8" s="8">
        <f>(2*(5632000/38400000))+(5*(1/15.96))+(10*(1/50))+(15*(1/83.33))+(20*(1/150))+(50*(1/400))+(100*(1/2400))+(500*(1/384000))+(1000*(1/384000))+(100000*(1/9600000))</f>
        <v>1.300946658</v>
      </c>
      <c r="D8" s="8">
        <f t="shared" si="1"/>
        <v>-0.6990533417</v>
      </c>
      <c r="E8" s="9">
        <f t="shared" si="2"/>
        <v>-0.3495266708</v>
      </c>
      <c r="F8" s="9">
        <f>1-G8-(5632000/38400000)</f>
        <v>0.7490580466</v>
      </c>
      <c r="G8" s="9">
        <f>1/9.59</f>
        <v>0.1042752868</v>
      </c>
      <c r="H8" s="10">
        <f>((1/384000))+((1/9600000))</f>
        <v>0.000002708333333</v>
      </c>
      <c r="I8" s="10">
        <f t="shared" ref="I8:J8" si="8">((1/9600000))</f>
        <v>0.0000001041666667</v>
      </c>
      <c r="J8" s="11">
        <f t="shared" si="8"/>
        <v>0.0000001041666667</v>
      </c>
      <c r="K8" s="12">
        <v>100000.0</v>
      </c>
      <c r="L8" s="13">
        <f t="shared" si="5"/>
        <v>50000</v>
      </c>
      <c r="M8" s="14">
        <v>3.84E7</v>
      </c>
      <c r="N8" s="14">
        <f>IF(B8=Calcoli!$A$2,Calcoli!$K$2,IF(B8=Calcoli!$A$3,Calcoli!$K$3,IF(B8=Calcoli!$A$4,Calcoli!$K$4,IF(B8=Calcoli!$A$5,Calcoli!$K$5,IF(B8=Calcoli!$A$6,Calcoli!$K$6,IF(B8=Calcoli!$A$7,Calcoli!$K$7,IF(B8=Calcoli!$A$8,Calcoli!$K$8,IF(B8=Calcoli!$A$9,Calcoli!$K$9,IF(B8=Calcoli!$A$10,Calcoli!$K$10,"Errore")))))))))</f>
        <v>241920000</v>
      </c>
      <c r="O8" s="18" t="s">
        <v>36</v>
      </c>
      <c r="Q8" s="16" t="s">
        <v>37</v>
      </c>
    </row>
    <row r="9">
      <c r="A9" s="7" t="s">
        <v>38</v>
      </c>
      <c r="B9" s="7">
        <v>2.0</v>
      </c>
      <c r="C9" s="19">
        <f>(2*(3340800/21600000))+(5*(1/15))+(10*(1/39.47))+(20*(1/68.18))+(50*(1/2068.97))+(100*(1/8000))+(200*(1/144000))+(500*(1/300000))+(1000*(1/600000))+(100000*(1/10800000))</f>
        <v>1.240012898</v>
      </c>
      <c r="D9" s="19">
        <f t="shared" si="1"/>
        <v>-0.7599871018</v>
      </c>
      <c r="E9" s="9">
        <f t="shared" si="2"/>
        <v>-0.3799935509</v>
      </c>
      <c r="F9" s="9">
        <f>1-G9-(3340800/21600000)</f>
        <v>0.738037196</v>
      </c>
      <c r="G9" s="9">
        <f>1/9.32</f>
        <v>0.1072961373</v>
      </c>
      <c r="H9" s="10">
        <f>((1/600000))+((1/10800000))</f>
        <v>0.000001759259259</v>
      </c>
      <c r="I9" s="10">
        <f t="shared" ref="I9:J9" si="9">((1/10800000))</f>
        <v>0.00000009259259259</v>
      </c>
      <c r="J9" s="11">
        <f t="shared" si="9"/>
        <v>0.00000009259259259</v>
      </c>
      <c r="K9" s="12">
        <v>100000.0</v>
      </c>
      <c r="L9" s="13">
        <f t="shared" si="5"/>
        <v>50000</v>
      </c>
      <c r="M9" s="14">
        <v>2.16E7</v>
      </c>
      <c r="N9" s="14">
        <f>IF(B9=Calcoli!$A$2,Calcoli!$K$2,IF(B9=Calcoli!$A$3,Calcoli!$K$3,IF(B9=Calcoli!$A$4,Calcoli!$K$4,IF(B9=Calcoli!$A$5,Calcoli!$K$5,IF(B9=Calcoli!$A$6,Calcoli!$K$6,IF(B9=Calcoli!$A$7,Calcoli!$K$7,IF(B9=Calcoli!$A$8,Calcoli!$K$8,IF(B9=Calcoli!$A$9,Calcoli!$K$9,IF(B9=Calcoli!$A$10,Calcoli!$K$10,"Errore")))))))))</f>
        <v>241920000</v>
      </c>
      <c r="O9" s="18" t="s">
        <v>39</v>
      </c>
      <c r="Q9" s="16" t="s">
        <v>40</v>
      </c>
    </row>
    <row r="10">
      <c r="A10" s="7" t="s">
        <v>41</v>
      </c>
      <c r="B10" s="7">
        <v>2.0</v>
      </c>
      <c r="C10" s="8">
        <f>(2*(4761600/38400000))+(5*(1/15.63))+(10*(1/53.57))+(20*(1/62.5))+(30*(1/1105.99))+(50*(1/342.86))+(100*(1/1200))+(200*(1/32000))+(300*(1/76800))+(500*(1/192000))+(1000*(1/1920000))+(3000*(1/2400000))+(10000*(1/2400000))+(100000*(1/9600000))</f>
        <v>1.359974331</v>
      </c>
      <c r="D10" s="8">
        <f t="shared" si="1"/>
        <v>-0.6400256687</v>
      </c>
      <c r="E10" s="9">
        <f t="shared" si="2"/>
        <v>-0.3200128344</v>
      </c>
      <c r="F10" s="9">
        <f>1-G10-(4761600/38400000)</f>
        <v>0.7725873837</v>
      </c>
      <c r="G10" s="9">
        <f>1/9.67</f>
        <v>0.1034126163</v>
      </c>
      <c r="H10" s="10">
        <f>((1/1920000))+((1/2400000))+((1/2400000))+((1/9600000))</f>
        <v>0.000001458333333</v>
      </c>
      <c r="I10" s="10">
        <f>((1/2400000))+((1/9600000))</f>
        <v>0.0000005208333333</v>
      </c>
      <c r="J10" s="11">
        <f>((1/9600000))</f>
        <v>0.0000001041666667</v>
      </c>
      <c r="K10" s="12">
        <v>100000.0</v>
      </c>
      <c r="L10" s="13">
        <f t="shared" si="5"/>
        <v>50000</v>
      </c>
      <c r="M10" s="14">
        <v>3.84E7</v>
      </c>
      <c r="N10" s="14">
        <f>IF(B10=Calcoli!$A$2,Calcoli!$K$2,IF(B10=Calcoli!$A$3,Calcoli!$K$3,IF(B10=Calcoli!$A$4,Calcoli!$K$4,IF(B10=Calcoli!$A$5,Calcoli!$K$5,IF(B10=Calcoli!$A$6,Calcoli!$K$6,IF(B10=Calcoli!$A$7,Calcoli!$K$7,IF(B10=Calcoli!$A$8,Calcoli!$K$8,IF(B10=Calcoli!$A$9,Calcoli!$K$9,IF(B10=Calcoli!$A$10,Calcoli!$K$10,"Errore")))))))))</f>
        <v>241920000</v>
      </c>
      <c r="O10" s="18" t="s">
        <v>42</v>
      </c>
      <c r="P10" s="16" t="s">
        <v>43</v>
      </c>
      <c r="Q10" s="16" t="s">
        <v>44</v>
      </c>
      <c r="S10" s="16" t="s">
        <v>45</v>
      </c>
    </row>
    <row r="11">
      <c r="A11" s="7" t="s">
        <v>46</v>
      </c>
      <c r="B11" s="7">
        <v>2.0</v>
      </c>
      <c r="C11" s="8">
        <f>(2*(5456640/35280000))+(5*(1/15))+(10*(1/39.47))+(20*(1/68.18))+(50*(1/1142.86))+(100*(1/8000))+(200*(1/161095.89))+(500*(1/490000))+(1000*(1/1960000))+(2000*(1/2940000))+(10000*(1/3920000))+(100000*(1/11760000))</f>
        <v>1.260121496</v>
      </c>
      <c r="D11" s="8">
        <f t="shared" si="1"/>
        <v>-0.7398785042</v>
      </c>
      <c r="E11" s="9">
        <f t="shared" si="2"/>
        <v>-0.3699392521</v>
      </c>
      <c r="F11" s="9">
        <f>1-G11-(5456640/35280000)</f>
        <v>0.7376907069</v>
      </c>
      <c r="G11" s="9">
        <f>1/9.29</f>
        <v>0.1076426265</v>
      </c>
      <c r="H11" s="10">
        <f>((1/1960000))+((1/2940000))+((1/3920000))+((1/11760000))</f>
        <v>0.00000119047619</v>
      </c>
      <c r="I11" s="10">
        <f>((1/3920000))+((1/11760000))</f>
        <v>0.0000003401360544</v>
      </c>
      <c r="J11" s="11">
        <f>(1/11760000)</f>
        <v>0.00000008503401361</v>
      </c>
      <c r="K11" s="12">
        <v>100000.0</v>
      </c>
      <c r="L11" s="13">
        <f t="shared" si="5"/>
        <v>50000</v>
      </c>
      <c r="M11" s="14">
        <v>3.528E7</v>
      </c>
      <c r="N11" s="14">
        <f>IF(B11=Calcoli!$A$2,Calcoli!$K$2,IF(B11=Calcoli!$A$3,Calcoli!$K$3,IF(B11=Calcoli!$A$4,Calcoli!$K$4,IF(B11=Calcoli!$A$5,Calcoli!$K$5,IF(B11=Calcoli!$A$6,Calcoli!$K$6,IF(B11=Calcoli!$A$7,Calcoli!$K$7,IF(B11=Calcoli!$A$8,Calcoli!$K$8,IF(B11=Calcoli!$A$9,Calcoli!$K$9,IF(B11=Calcoli!$A$10,Calcoli!$K$10,"Errore")))))))))</f>
        <v>241920000</v>
      </c>
      <c r="O11" s="18" t="s">
        <v>47</v>
      </c>
      <c r="Q11" s="16" t="s">
        <v>48</v>
      </c>
      <c r="S11" s="16" t="s">
        <v>49</v>
      </c>
    </row>
    <row r="12">
      <c r="A12" s="7" t="s">
        <v>50</v>
      </c>
      <c r="B12" s="7">
        <v>2.0</v>
      </c>
      <c r="C12" s="8">
        <f>(2*(2880000/24000000))+(5*(1/12.3))+(10*(1/39.47))+(25*(1/83.33))+(50*(1/2400))+(100*(1/8000))+(500*(1/800000))+(1000*(1/1200000))+(100000*(1/12000000))</f>
        <v>1.242998046</v>
      </c>
      <c r="D12" s="8">
        <f t="shared" si="1"/>
        <v>-0.7570019545</v>
      </c>
      <c r="E12" s="9">
        <f t="shared" si="2"/>
        <v>-0.3785009772</v>
      </c>
      <c r="F12" s="9">
        <f>1-G12-(2880000/24000000)</f>
        <v>0.7608104887</v>
      </c>
      <c r="G12" s="9">
        <f>1/8.39</f>
        <v>0.1191895113</v>
      </c>
      <c r="H12" s="10">
        <f>((1/1200000))+((1/12000000))</f>
        <v>0.0000009166666667</v>
      </c>
      <c r="I12" s="10">
        <f t="shared" ref="I12:J12" si="10">(1/12000000)</f>
        <v>0.00000008333333333</v>
      </c>
      <c r="J12" s="11">
        <f t="shared" si="10"/>
        <v>0.00000008333333333</v>
      </c>
      <c r="K12" s="12">
        <v>100000.0</v>
      </c>
      <c r="L12" s="13">
        <f t="shared" si="5"/>
        <v>50000</v>
      </c>
      <c r="M12" s="14">
        <v>2.4E7</v>
      </c>
      <c r="N12" s="14">
        <f>IF(B12=Calcoli!$A$2,Calcoli!$K$2,IF(B12=Calcoli!$A$3,Calcoli!$K$3,IF(B12=Calcoli!$A$4,Calcoli!$K$4,IF(B12=Calcoli!$A$5,Calcoli!$K$5,IF(B12=Calcoli!$A$6,Calcoli!$K$6,IF(B12=Calcoli!$A$7,Calcoli!$K$7,IF(B12=Calcoli!$A$8,Calcoli!$K$8,IF(B12=Calcoli!$A$9,Calcoli!$K$9,IF(B12=Calcoli!$A$10,Calcoli!$K$10,"Errore")))))))))</f>
        <v>241920000</v>
      </c>
      <c r="O12" s="18" t="s">
        <v>51</v>
      </c>
      <c r="Q12" s="16" t="s">
        <v>52</v>
      </c>
      <c r="S12" s="16" t="s">
        <v>53</v>
      </c>
    </row>
    <row r="13">
      <c r="A13" s="7" t="s">
        <v>54</v>
      </c>
      <c r="B13" s="7">
        <v>2.0</v>
      </c>
      <c r="C13" s="8">
        <f>(2*(2368000/17760000))+(5*(1/10.14))+(10*(1/39.47))+(20*(1/107.14))+(50*(1/3000))+(100*(1/12000))+(500*(1/592000))+(1000*(1/1776000))+(100000*(1/8880000))</f>
        <v>1.237460857</v>
      </c>
      <c r="D13" s="8">
        <f t="shared" si="1"/>
        <v>-0.7625391429</v>
      </c>
      <c r="E13" s="9">
        <f t="shared" si="2"/>
        <v>-0.3812695715</v>
      </c>
      <c r="F13" s="9">
        <f>1-G13-(2368000/17760000)</f>
        <v>0.7329768271</v>
      </c>
      <c r="G13" s="9">
        <f>1/7.48</f>
        <v>0.1336898396</v>
      </c>
      <c r="H13" s="10">
        <f>((1/1776000))+((1/8880000))</f>
        <v>0.0000006756756757</v>
      </c>
      <c r="I13" s="10">
        <f t="shared" ref="I13:J13" si="11">((1/8880000))</f>
        <v>0.0000001126126126</v>
      </c>
      <c r="J13" s="11">
        <f t="shared" si="11"/>
        <v>0.0000001126126126</v>
      </c>
      <c r="K13" s="12">
        <v>100000.0</v>
      </c>
      <c r="L13" s="13">
        <f t="shared" si="5"/>
        <v>50000</v>
      </c>
      <c r="M13" s="14">
        <v>1.776E7</v>
      </c>
      <c r="N13" s="14">
        <f>IF(B13=Calcoli!$A$2,Calcoli!$K$2,IF(B13=Calcoli!$A$3,Calcoli!$K$3,IF(B13=Calcoli!$A$4,Calcoli!$K$4,IF(B13=Calcoli!$A$5,Calcoli!$K$5,IF(B13=Calcoli!$A$6,Calcoli!$K$6,IF(B13=Calcoli!$A$7,Calcoli!$K$7,IF(B13=Calcoli!$A$8,Calcoli!$K$8,IF(B13=Calcoli!$A$9,Calcoli!$K$9,IF(B13=Calcoli!$A$10,Calcoli!$K$10,"Errore")))))))))</f>
        <v>241920000</v>
      </c>
      <c r="O13" s="18" t="s">
        <v>55</v>
      </c>
      <c r="Q13" s="16" t="s">
        <v>56</v>
      </c>
    </row>
    <row r="14">
      <c r="A14" s="16" t="s">
        <v>57</v>
      </c>
      <c r="B14" s="16">
        <v>3.0</v>
      </c>
      <c r="C14" s="17">
        <f>(3*(4636800/33600000))+(5*(1/11.9))+(10*(1/35.71))+(15*(1/41.67))+(20*(1/83.33))+(50*(1/228.57))+(100*(1/3428.57))+(150*(1/16000))+(500*(1/120000))+(1000*(1/123529.41))+(5000*(1/2800000))+(10000*(1/4200000))+(200000*(1/8400000))</f>
        <v>2.011713615</v>
      </c>
      <c r="D14" s="17">
        <f t="shared" si="1"/>
        <v>-0.9882863847</v>
      </c>
      <c r="E14" s="9">
        <f t="shared" si="2"/>
        <v>-0.3294287949</v>
      </c>
      <c r="F14" s="9">
        <f>1-G14-(4636800/33600000)</f>
        <v>0.7093282443</v>
      </c>
      <c r="G14" s="9">
        <f>1/6.55</f>
        <v>0.1526717557</v>
      </c>
      <c r="H14" s="10">
        <f>((1/123529.41))+((1/2800000))+((1/4200000))+((1/8400000))</f>
        <v>0.000008809523925</v>
      </c>
      <c r="I14" s="10">
        <f>((1/4200000))+((1/8400000))</f>
        <v>0.0000003571428571</v>
      </c>
      <c r="J14" s="11">
        <f>(1/8400000)</f>
        <v>0.000000119047619</v>
      </c>
      <c r="K14" s="12">
        <v>200000.0</v>
      </c>
      <c r="L14" s="13">
        <f t="shared" si="5"/>
        <v>66666.66667</v>
      </c>
      <c r="M14" s="14">
        <v>3.36E7</v>
      </c>
      <c r="N14" s="14">
        <f>IF(B14=Calcoli!$A$2,Calcoli!$K$2,IF(B14=Calcoli!$A$3,Calcoli!$K$3,IF(B14=Calcoli!$A$4,Calcoli!$K$4,IF(B14=Calcoli!$A$5,Calcoli!$K$5,IF(B14=Calcoli!$A$6,Calcoli!$K$6,IF(B14=Calcoli!$A$7,Calcoli!$K$7,IF(B14=Calcoli!$A$8,Calcoli!$K$8,IF(B14=Calcoli!$A$9,Calcoli!$K$9,IF(B14=Calcoli!$A$10,Calcoli!$K$10,"Errore")))))))))</f>
        <v>276240000</v>
      </c>
      <c r="O14" s="18" t="s">
        <v>58</v>
      </c>
      <c r="Q14" s="16" t="s">
        <v>59</v>
      </c>
    </row>
    <row r="15">
      <c r="A15" s="16" t="s">
        <v>60</v>
      </c>
      <c r="B15" s="16">
        <v>3.0</v>
      </c>
      <c r="C15" s="17">
        <f>(3*(4492800/34560000))+(5*(1/12.5))+(10*(1/38.46))+(15*(1/55.56))+(30*(1/100))+(50*(1/242.42))+(75*(1/1600))+(100*(1/1600))+(150*(1/2400))+(300*(1/120000))+(500*(1/148965.52))+(1000*(1/288000))+(1500*(1/432000))+(3000*(1/2160000))+(20000*(1/4320000))+(200000*(1/8640000))</f>
        <v>2.040085004</v>
      </c>
      <c r="D15" s="17">
        <f t="shared" si="1"/>
        <v>-0.9599149959</v>
      </c>
      <c r="E15" s="9">
        <f t="shared" si="2"/>
        <v>-0.3199716653</v>
      </c>
      <c r="F15" s="9">
        <f>1-G15-(4492800/34560000)</f>
        <v>0.7301398601</v>
      </c>
      <c r="G15" s="9">
        <f>1/7.15</f>
        <v>0.1398601399</v>
      </c>
      <c r="H15" s="10">
        <f>((1/288000))+((1/432000))+((1/2160000))+((1/4320000))+((1/8640000))</f>
        <v>0.000006597222222</v>
      </c>
      <c r="I15" s="10">
        <f>((1/4320000))+((1/8640000))</f>
        <v>0.0000003472222222</v>
      </c>
      <c r="J15" s="11">
        <f>(1/8640000)</f>
        <v>0.0000001157407407</v>
      </c>
      <c r="K15" s="12">
        <v>200000.0</v>
      </c>
      <c r="L15" s="13">
        <f t="shared" si="5"/>
        <v>66666.66667</v>
      </c>
      <c r="M15" s="14">
        <v>3.456E7</v>
      </c>
      <c r="N15" s="14">
        <f>IF(B15=Calcoli!$A$2,Calcoli!$K$2,IF(B15=Calcoli!$A$3,Calcoli!$K$3,IF(B15=Calcoli!$A$4,Calcoli!$K$4,IF(B15=Calcoli!$A$5,Calcoli!$K$5,IF(B15=Calcoli!$A$6,Calcoli!$K$6,IF(B15=Calcoli!$A$7,Calcoli!$K$7,IF(B15=Calcoli!$A$8,Calcoli!$K$8,IF(B15=Calcoli!$A$9,Calcoli!$K$9,IF(B15=Calcoli!$A$10,Calcoli!$K$10,"Errore")))))))))</f>
        <v>276240000</v>
      </c>
      <c r="O15" s="18" t="s">
        <v>61</v>
      </c>
      <c r="Q15" s="16" t="s">
        <v>62</v>
      </c>
    </row>
    <row r="16">
      <c r="A16" s="16" t="s">
        <v>63</v>
      </c>
      <c r="B16" s="16">
        <v>3.0</v>
      </c>
      <c r="C16" s="17">
        <f>(3*(4112640/32640000))+(5*(1/12.5))+(10*(1/50))+(15*(1/37.04))+(25*(1/62.5))+(50*(1/240))+(100*(1/4000))+(250*(1/81600))+(500*(1/163200))+(1000*(1/163200))+(10000*(1/8160000))+(200000*(1/8160000))</f>
        <v>2.054291132</v>
      </c>
      <c r="D16" s="17">
        <f t="shared" si="1"/>
        <v>-0.945708868</v>
      </c>
      <c r="E16" s="9">
        <f t="shared" si="2"/>
        <v>-0.3152362893</v>
      </c>
      <c r="F16" s="9">
        <f>1-G16-(4112640/32640000)</f>
        <v>0.7265073746</v>
      </c>
      <c r="G16" s="9">
        <f>1/6.78</f>
        <v>0.1474926254</v>
      </c>
      <c r="H16" s="10">
        <f>((1/163200))+((1/8160000))+((1/8160000))</f>
        <v>0.00000637254902</v>
      </c>
      <c r="I16" s="10">
        <f>((1/8160000))+((1/8160000))</f>
        <v>0.0000002450980392</v>
      </c>
      <c r="J16" s="11">
        <f>((1/8160000))</f>
        <v>0.0000001225490196</v>
      </c>
      <c r="K16" s="12">
        <v>200000.0</v>
      </c>
      <c r="L16" s="13">
        <f t="shared" si="5"/>
        <v>66666.66667</v>
      </c>
      <c r="M16" s="14">
        <v>3.264E7</v>
      </c>
      <c r="N16" s="14">
        <f>IF(B16=Calcoli!$A$2,Calcoli!$K$2,IF(B16=Calcoli!$A$3,Calcoli!$K$3,IF(B16=Calcoli!$A$4,Calcoli!$K$4,IF(B16=Calcoli!$A$5,Calcoli!$K$5,IF(B16=Calcoli!$A$6,Calcoli!$K$6,IF(B16=Calcoli!$A$7,Calcoli!$K$7,IF(B16=Calcoli!$A$8,Calcoli!$K$8,IF(B16=Calcoli!$A$9,Calcoli!$K$9,IF(B16=Calcoli!$A$10,Calcoli!$K$10,"Errore")))))))))</f>
        <v>276240000</v>
      </c>
      <c r="O16" s="18" t="s">
        <v>64</v>
      </c>
    </row>
    <row r="17">
      <c r="A17" s="16" t="s">
        <v>65</v>
      </c>
      <c r="B17" s="16">
        <v>3.0</v>
      </c>
      <c r="C17" s="17">
        <f>(3*(4287360/27840000))+(10*(1/11.63))+(20*(1/41.67))+(50*(1/340.91))+(100*(1/12000))+(500*(1/158181.82))+(1000*(1/165714.29))+(200000*(1/6960000))</f>
        <v>1.994737474</v>
      </c>
      <c r="D17" s="17">
        <f t="shared" si="1"/>
        <v>-1.005262526</v>
      </c>
      <c r="E17" s="9">
        <f t="shared" si="2"/>
        <v>-0.3350875086</v>
      </c>
      <c r="F17" s="9">
        <f>1-G17-(4287360/27840000)</f>
        <v>0.7330056497</v>
      </c>
      <c r="G17" s="9">
        <f>1/8.85</f>
        <v>0.1129943503</v>
      </c>
      <c r="H17" s="10">
        <f>((1/165714.29))+((1/6960000))</f>
        <v>0.000006178160763</v>
      </c>
      <c r="I17" s="10">
        <f t="shared" ref="I17:J17" si="12">((1/6960000))</f>
        <v>0.0000001436781609</v>
      </c>
      <c r="J17" s="11">
        <f t="shared" si="12"/>
        <v>0.0000001436781609</v>
      </c>
      <c r="K17" s="12">
        <v>200000.0</v>
      </c>
      <c r="L17" s="13">
        <f t="shared" si="5"/>
        <v>66666.66667</v>
      </c>
      <c r="M17" s="14">
        <v>2.784E7</v>
      </c>
      <c r="N17" s="14">
        <f>IF(B17=Calcoli!$A$2,Calcoli!$K$2,IF(B17=Calcoli!$A$3,Calcoli!$K$3,IF(B17=Calcoli!$A$4,Calcoli!$K$4,IF(B17=Calcoli!$A$5,Calcoli!$K$5,IF(B17=Calcoli!$A$6,Calcoli!$K$6,IF(B17=Calcoli!$A$7,Calcoli!$K$7,IF(B17=Calcoli!$A$8,Calcoli!$K$8,IF(B17=Calcoli!$A$9,Calcoli!$K$9,IF(B17=Calcoli!$A$10,Calcoli!$K$10,"Errore")))))))))</f>
        <v>276240000</v>
      </c>
      <c r="O17" s="18" t="s">
        <v>66</v>
      </c>
      <c r="Q17" s="16" t="s">
        <v>67</v>
      </c>
      <c r="T17" s="20" t="s">
        <v>68</v>
      </c>
    </row>
    <row r="18">
      <c r="A18" s="16" t="s">
        <v>69</v>
      </c>
      <c r="B18" s="16">
        <v>3.0</v>
      </c>
      <c r="C18" s="17">
        <f>(3*(6350400/50400000))+(5*(1/12.5))+(10*(1/38.46))+(15*(1/38.46))+(25*(1/76.92))+(50*(1/233.01))+(100*(1/4800))+(250*(1/84000))+(500*(1/168000))+(1000*(1/186666.67))+(10000*(1/4200000))+(200000*(1/8400000))</f>
        <v>2.0259554</v>
      </c>
      <c r="D18" s="17">
        <f t="shared" si="1"/>
        <v>-0.9740446001</v>
      </c>
      <c r="E18" s="9">
        <f t="shared" si="2"/>
        <v>-0.3246815334</v>
      </c>
      <c r="F18" s="9">
        <f>1-G18-(6350400/50400000)</f>
        <v>0.7245231689</v>
      </c>
      <c r="G18" s="9">
        <f>1/6.69</f>
        <v>0.1494768311</v>
      </c>
      <c r="H18" s="10">
        <f>((1/186666.67))+((1/4200000))+((1/8400000))</f>
        <v>0.000005714285619</v>
      </c>
      <c r="I18" s="10">
        <f>((1/4200000))+((1/8400000))</f>
        <v>0.0000003571428571</v>
      </c>
      <c r="J18" s="11">
        <f>(1/8400000)</f>
        <v>0.000000119047619</v>
      </c>
      <c r="K18" s="12">
        <v>200000.0</v>
      </c>
      <c r="L18" s="13">
        <f t="shared" si="5"/>
        <v>66666.66667</v>
      </c>
      <c r="M18" s="14">
        <v>5.04E7</v>
      </c>
      <c r="N18" s="14">
        <f>IF(B18=Calcoli!$A$2,Calcoli!$K$2,IF(B18=Calcoli!$A$3,Calcoli!$K$3,IF(B18=Calcoli!$A$4,Calcoli!$K$4,IF(B18=Calcoli!$A$5,Calcoli!$K$5,IF(B18=Calcoli!$A$6,Calcoli!$K$6,IF(B18=Calcoli!$A$7,Calcoli!$K$7,IF(B18=Calcoli!$A$8,Calcoli!$K$8,IF(B18=Calcoli!$A$9,Calcoli!$K$9,IF(B18=Calcoli!$A$10,Calcoli!$K$10,"Errore")))))))))</f>
        <v>276240000</v>
      </c>
      <c r="O18" s="18" t="s">
        <v>70</v>
      </c>
      <c r="Q18" s="16" t="s">
        <v>71</v>
      </c>
    </row>
    <row r="19">
      <c r="A19" s="16" t="s">
        <v>72</v>
      </c>
      <c r="B19" s="16">
        <v>3.0</v>
      </c>
      <c r="C19" s="17">
        <f>(3*(4608000/30720000))+(5*(1/20))+(10*(1/25))+(15*(1/41.67))+(30*(1/62.5))+(50*(1/1333.33))+(100*(1/30000))+(150*(1/240000))+(500*(1/256000))+(1000*(1/307200))+(10000*(1/3840000))+(200000*(1/7680000))</f>
        <v>2.015283796</v>
      </c>
      <c r="D19" s="17">
        <f t="shared" si="1"/>
        <v>-0.9847162039</v>
      </c>
      <c r="E19" s="9">
        <f t="shared" si="2"/>
        <v>-0.3282387346</v>
      </c>
      <c r="F19" s="9">
        <f>1-G19-(4608000/30720000)</f>
        <v>0.7192810458</v>
      </c>
      <c r="G19" s="9">
        <f>1/7.65</f>
        <v>0.1307189542</v>
      </c>
      <c r="H19" s="10">
        <f>((1/307200))+((1/3840000))+((1/7680000))</f>
        <v>0.000003645833333</v>
      </c>
      <c r="I19" s="10">
        <f>((1/3840000))+((1/7680000))</f>
        <v>0.000000390625</v>
      </c>
      <c r="J19" s="11">
        <f>((1/7680000))</f>
        <v>0.0000001302083333</v>
      </c>
      <c r="K19" s="12">
        <v>200000.0</v>
      </c>
      <c r="L19" s="13">
        <f t="shared" si="5"/>
        <v>66666.66667</v>
      </c>
      <c r="M19" s="14">
        <v>3.072E7</v>
      </c>
      <c r="N19" s="14">
        <f>IF(B19=Calcoli!$A$2,Calcoli!$K$2,IF(B19=Calcoli!$A$3,Calcoli!$K$3,IF(B19=Calcoli!$A$4,Calcoli!$K$4,IF(B19=Calcoli!$A$5,Calcoli!$K$5,IF(B19=Calcoli!$A$6,Calcoli!$K$6,IF(B19=Calcoli!$A$7,Calcoli!$K$7,IF(B19=Calcoli!$A$8,Calcoli!$K$8,IF(B19=Calcoli!$A$9,Calcoli!$K$9,IF(B19=Calcoli!$A$10,Calcoli!$K$10,"Errore")))))))))</f>
        <v>276240000</v>
      </c>
      <c r="O19" s="18" t="s">
        <v>73</v>
      </c>
      <c r="Q19" s="16" t="s">
        <v>74</v>
      </c>
    </row>
    <row r="20">
      <c r="A20" s="16" t="s">
        <v>75</v>
      </c>
      <c r="B20" s="16">
        <v>3.0</v>
      </c>
      <c r="C20" s="17">
        <f>(3*(5376000/42000000))+(7*(1/10))+(10*(1/500))+(30*(1/71.43))+(70*(1/166.67))+(100*(1/6000))+(300*(1/48000))+(700*(1/60000))+(7000*(1/600000))+(70000*(1/6000000)+(200000*(1/6000000)))</f>
        <v>2.0352332</v>
      </c>
      <c r="D20" s="17">
        <f t="shared" si="1"/>
        <v>-0.9647667997</v>
      </c>
      <c r="E20" s="9">
        <f t="shared" si="2"/>
        <v>-0.3215889332</v>
      </c>
      <c r="F20" s="9">
        <f>1-G20-(5376000/42000000)</f>
        <v>0.7497506112</v>
      </c>
      <c r="G20" s="9">
        <f>1/8.18</f>
        <v>0.1222493888</v>
      </c>
      <c r="H20" s="10">
        <f>((1/600000))+((1/6000000)+((1/6000000)))</f>
        <v>0.000002</v>
      </c>
      <c r="I20" s="10">
        <f>((1/6000000)+((1/6000000)))</f>
        <v>0.0000003333333333</v>
      </c>
      <c r="J20" s="11">
        <f>((1/6000000))</f>
        <v>0.0000001666666667</v>
      </c>
      <c r="K20" s="12">
        <v>200000.0</v>
      </c>
      <c r="L20" s="13">
        <f t="shared" si="5"/>
        <v>66666.66667</v>
      </c>
      <c r="M20" s="14">
        <v>4.2E7</v>
      </c>
      <c r="N20" s="14">
        <f>IF(B20=Calcoli!$A$2,Calcoli!$K$2,IF(B20=Calcoli!$A$3,Calcoli!$K$3,IF(B20=Calcoli!$A$4,Calcoli!$K$4,IF(B20=Calcoli!$A$5,Calcoli!$K$5,IF(B20=Calcoli!$A$6,Calcoli!$K$6,IF(B20=Calcoli!$A$7,Calcoli!$K$7,IF(B20=Calcoli!$A$8,Calcoli!$K$8,IF(B20=Calcoli!$A$9,Calcoli!$K$9,IF(B20=Calcoli!$A$10,Calcoli!$K$10,"Errore")))))))))</f>
        <v>276240000</v>
      </c>
      <c r="O20" s="18" t="s">
        <v>76</v>
      </c>
    </row>
    <row r="21">
      <c r="A21" s="16" t="s">
        <v>77</v>
      </c>
      <c r="B21" s="16">
        <v>3.0</v>
      </c>
      <c r="C21" s="17">
        <f>(3*(3378240/24480000))+(10*(1/10.87))+(20*(1/50))+(50*(1/200))+(500*(1/48000))+(200000*(1/8160000))</f>
        <v>2.018889672</v>
      </c>
      <c r="D21" s="17">
        <f t="shared" si="1"/>
        <v>-0.9811103279</v>
      </c>
      <c r="E21" s="9">
        <f t="shared" si="2"/>
        <v>-0.327036776</v>
      </c>
      <c r="F21" s="9">
        <f>1-G21-(3378240/24480000)</f>
        <v>0.7450409357</v>
      </c>
      <c r="G21" s="9">
        <f>1/8.55</f>
        <v>0.1169590643</v>
      </c>
      <c r="H21" s="10">
        <f t="shared" ref="H21:J21" si="13">((1/8160000))</f>
        <v>0.0000001225490196</v>
      </c>
      <c r="I21" s="10">
        <f t="shared" si="13"/>
        <v>0.0000001225490196</v>
      </c>
      <c r="J21" s="11">
        <f t="shared" si="13"/>
        <v>0.0000001225490196</v>
      </c>
      <c r="K21" s="12">
        <v>200000.0</v>
      </c>
      <c r="L21" s="13">
        <f t="shared" si="5"/>
        <v>66666.66667</v>
      </c>
      <c r="M21" s="14">
        <v>2.448E7</v>
      </c>
      <c r="N21" s="14">
        <f>IF(B21=Calcoli!$A$2,Calcoli!$K$2,IF(B21=Calcoli!$A$3,Calcoli!$K$3,IF(B21=Calcoli!$A$4,Calcoli!$K$4,IF(B21=Calcoli!$A$5,Calcoli!$K$5,IF(B21=Calcoli!$A$6,Calcoli!$K$6,IF(B21=Calcoli!$A$7,Calcoli!$K$7,IF(B21=Calcoli!$A$8,Calcoli!$K$8,IF(B21=Calcoli!$A$9,Calcoli!$K$9,IF(B21=Calcoli!$A$10,Calcoli!$K$10,"Errore")))))))))</f>
        <v>276240000</v>
      </c>
      <c r="O21" s="18" t="s">
        <v>78</v>
      </c>
    </row>
    <row r="22">
      <c r="A22" s="21" t="s">
        <v>79</v>
      </c>
      <c r="B22" s="22">
        <v>5.0</v>
      </c>
      <c r="C22" s="8">
        <f>(5*(13140000/108000000))+(10*(1/15))+(15*(1/35.29))+(20*(1/60))+(50*(1/120))+(100*(1/150))+(200*(1/2400))+(500*(1/3000))+(1000*(1/8000))+(10000*(1/333333.33))+(100000*(1/6000000))+(300000*(1/6000000))+(500000*(1/6000000))</f>
        <v>3.671716256</v>
      </c>
      <c r="D22" s="8">
        <f t="shared" si="1"/>
        <v>-1.328283744</v>
      </c>
      <c r="E22" s="9">
        <f t="shared" si="2"/>
        <v>-0.2656567488</v>
      </c>
      <c r="F22" s="9">
        <f>1-G22-(13140000/108000000)</f>
        <v>0.7507823129</v>
      </c>
      <c r="G22" s="9">
        <f>1/7.84</f>
        <v>0.1275510204</v>
      </c>
      <c r="H22" s="10">
        <f>((1/8000))+((1/333333.33))+((1/6000000))+((1/6000000))+((1/6000000))</f>
        <v>0.0001285</v>
      </c>
      <c r="I22" s="10">
        <f>((1/333333.33))+((1/6000000))+((1/6000000))+((1/6000000))</f>
        <v>0.00000350000003</v>
      </c>
      <c r="J22" s="11">
        <f>((1/6000000))+((1/6000000))+((1/6000000))</f>
        <v>0.0000005</v>
      </c>
      <c r="K22" s="12">
        <v>500000.0</v>
      </c>
      <c r="L22" s="13">
        <f t="shared" si="5"/>
        <v>100000</v>
      </c>
      <c r="M22" s="14">
        <v>1.08E8</v>
      </c>
      <c r="N22" s="14">
        <f>IF(B22=Calcoli!$A$2,Calcoli!$K$2,IF(B22=Calcoli!$A$3,Calcoli!$K$3,IF(B22=Calcoli!$A$4,Calcoli!$K$4,IF(B22=Calcoli!$A$5,Calcoli!$K$5,IF(B22=Calcoli!$A$6,Calcoli!$K$6,IF(B22=Calcoli!$A$7,Calcoli!$K$7,IF(B22=Calcoli!$A$8,Calcoli!$K$8,IF(B22=Calcoli!$A$9,Calcoli!$K$9,IF(B22=Calcoli!$A$10,Calcoli!$K$10,"Errore")))))))))</f>
        <v>872400000</v>
      </c>
      <c r="O22" s="18" t="s">
        <v>80</v>
      </c>
      <c r="Q22" s="16" t="s">
        <v>81</v>
      </c>
    </row>
    <row r="23">
      <c r="A23" s="21" t="s">
        <v>82</v>
      </c>
      <c r="B23" s="22">
        <v>5.0</v>
      </c>
      <c r="C23" s="8">
        <f>(5*(12432000/106560000))+(10*(1/13.95))+(15*(1/40))+(20*(1/54.55))+(50*(1/109.09))+(100*(1/150))+(200*(1/2400))+(500*(1/3000))+(1000*(1/10000))+(5000*(1/522352.94))+(20000*(1/2960000))+(100000*(1/8880000))+(250000*(1/8880000))+(500000*(1/8880000))</f>
        <v>3.628868694</v>
      </c>
      <c r="D23" s="8">
        <f t="shared" si="1"/>
        <v>-1.371131306</v>
      </c>
      <c r="E23" s="9">
        <f t="shared" si="2"/>
        <v>-0.2742262612</v>
      </c>
      <c r="F23" s="9">
        <f>1-G23-(12432000/106560000)</f>
        <v>0.7515810277</v>
      </c>
      <c r="G23" s="9">
        <f>1/7.59</f>
        <v>0.1317523057</v>
      </c>
      <c r="H23" s="10">
        <f>((1/10000))+((1/522352.94))+((1/2960000))+((1/8880000))+((1/8880000))+((1/8880000))</f>
        <v>0.0001025900901</v>
      </c>
      <c r="I23" s="10">
        <f>((1/2960000))+((1/8880000))+((1/8880000))+((1/8880000))</f>
        <v>0.0000006756756757</v>
      </c>
      <c r="J23" s="11">
        <f>((1/8880000))+((1/8880000))+((1/8880000))</f>
        <v>0.0000003378378378</v>
      </c>
      <c r="K23" s="12">
        <v>500000.0</v>
      </c>
      <c r="L23" s="13">
        <f t="shared" si="5"/>
        <v>100000</v>
      </c>
      <c r="M23" s="14">
        <v>1.0656E8</v>
      </c>
      <c r="N23" s="14">
        <f>IF(B23=Calcoli!$A$2,Calcoli!$K$2,IF(B23=Calcoli!$A$3,Calcoli!$K$3,IF(B23=Calcoli!$A$4,Calcoli!$K$4,IF(B23=Calcoli!$A$5,Calcoli!$K$5,IF(B23=Calcoli!$A$6,Calcoli!$K$6,IF(B23=Calcoli!$A$7,Calcoli!$K$7,IF(B23=Calcoli!$A$8,Calcoli!$K$8,IF(B23=Calcoli!$A$9,Calcoli!$K$9,IF(B23=Calcoli!$A$10,Calcoli!$K$10,"Errore")))))))))</f>
        <v>872400000</v>
      </c>
      <c r="O23" s="18" t="s">
        <v>83</v>
      </c>
      <c r="Q23" s="23" t="s">
        <v>84</v>
      </c>
    </row>
    <row r="24">
      <c r="A24" s="21" t="s">
        <v>85</v>
      </c>
      <c r="B24" s="22">
        <v>5.0</v>
      </c>
      <c r="C24" s="8">
        <f>(5*(7296000/54720000))+(10*(1/10.91))+(15*(1/46.15))+(20*(1/60))+(50*(1/138.73))+(100*(1/421.05))+(200*(1/941.18))+(500*(1/17142.86))+(1000*(1/15000))+(5000*(1/268235.29))+(10000*(1/570000))+(50000*(1/2280000))+(1936849*(1/4560000))</f>
        <v>3.63072532</v>
      </c>
      <c r="D24" s="8">
        <f t="shared" si="1"/>
        <v>-1.36927468</v>
      </c>
      <c r="E24" s="9">
        <f t="shared" si="2"/>
        <v>-0.2738549359</v>
      </c>
      <c r="F24" s="9">
        <f>1-G24-(7296000/54720000)</f>
        <v>0.7258215962</v>
      </c>
      <c r="G24" s="9">
        <f>1/7.1</f>
        <v>0.1408450704</v>
      </c>
      <c r="H24" s="10">
        <f>((1/15000))+((1/268235.29))+((1/570000))+((1/2280000))+((1/4560000))</f>
        <v>0.0000728070176</v>
      </c>
      <c r="I24" s="10">
        <f>((1/570000))+((1/2280000))+((1/4560000))</f>
        <v>0.000002412280702</v>
      </c>
      <c r="J24" s="11">
        <f>((1/4560000))</f>
        <v>0.0000002192982456</v>
      </c>
      <c r="K24" s="12">
        <v>1936849.0</v>
      </c>
      <c r="L24" s="13">
        <f t="shared" si="5"/>
        <v>387369.8</v>
      </c>
      <c r="M24" s="14">
        <v>5.472E7</v>
      </c>
      <c r="N24" s="14">
        <f>IF(B24=Calcoli!$A$2,Calcoli!$K$2,IF(B24=Calcoli!$A$3,Calcoli!$K$3,IF(B24=Calcoli!$A$4,Calcoli!$K$4,IF(B24=Calcoli!$A$5,Calcoli!$K$5,IF(B24=Calcoli!$A$6,Calcoli!$K$6,IF(B24=Calcoli!$A$7,Calcoli!$K$7,IF(B24=Calcoli!$A$8,Calcoli!$K$8,IF(B24=Calcoli!$A$9,Calcoli!$K$9,IF(B24=Calcoli!$A$10,Calcoli!$K$10,"Errore")))))))))</f>
        <v>872400000</v>
      </c>
      <c r="O24" s="18" t="s">
        <v>86</v>
      </c>
    </row>
    <row r="25">
      <c r="A25" s="21" t="s">
        <v>87</v>
      </c>
      <c r="B25" s="22">
        <v>5.0</v>
      </c>
      <c r="C25" s="8">
        <f>(5*(6566400/51840000))+(10*(1/12))+(20*(1/50))+(25*(1/40))+(50*(1/120))+(100*(1/252.63))+(500*(1/3428.57))+(1000*(1/15000))+(10000*(1/360000))+(500000*(1/8640000))</f>
        <v>3.60231735</v>
      </c>
      <c r="D25" s="8">
        <f t="shared" si="1"/>
        <v>-1.39768265</v>
      </c>
      <c r="E25" s="9">
        <f t="shared" si="2"/>
        <v>-0.2795365301</v>
      </c>
      <c r="F25" s="9">
        <f>1-G25-(6566400/51840000)</f>
        <v>0.7322896098</v>
      </c>
      <c r="G25" s="9">
        <f>1/7.09</f>
        <v>0.1410437236</v>
      </c>
      <c r="H25" s="10">
        <f>((1/15000))+((1/360000))+((1/8640000))</f>
        <v>0.00006956018519</v>
      </c>
      <c r="I25" s="10">
        <f>((1/360000))+((1/8640000))</f>
        <v>0.000002893518519</v>
      </c>
      <c r="J25" s="11">
        <f>(1/8640000)</f>
        <v>0.0000001157407407</v>
      </c>
      <c r="K25" s="12">
        <v>500000.0</v>
      </c>
      <c r="L25" s="13">
        <f t="shared" si="5"/>
        <v>100000</v>
      </c>
      <c r="M25" s="14">
        <v>5.184E7</v>
      </c>
      <c r="N25" s="14">
        <f>IF(B25=Calcoli!$A$2,Calcoli!$K$2,IF(B25=Calcoli!$A$3,Calcoli!$K$3,IF(B25=Calcoli!$A$4,Calcoli!$K$4,IF(B25=Calcoli!$A$5,Calcoli!$K$5,IF(B25=Calcoli!$A$6,Calcoli!$K$6,IF(B25=Calcoli!$A$7,Calcoli!$K$7,IF(B25=Calcoli!$A$8,Calcoli!$K$8,IF(B25=Calcoli!$A$9,Calcoli!$K$9,IF(B25=Calcoli!$A$10,Calcoli!$K$10,"Errore")))))))))</f>
        <v>872400000</v>
      </c>
      <c r="O25" s="18" t="s">
        <v>88</v>
      </c>
      <c r="Q25" s="16" t="s">
        <v>89</v>
      </c>
    </row>
    <row r="26">
      <c r="A26" s="21" t="s">
        <v>90</v>
      </c>
      <c r="B26" s="22">
        <v>5.0</v>
      </c>
      <c r="C26" s="8">
        <f>(5*(5328000/43200000))+(10*(1/12.77))+(20*(1/50))+(25*(1/85.71))+(50*(1/85.71))+(100*(1/184.62))+(200*(1/3428.57))+(500*(1/3636.36))+(1000*(1/20769.23))+(2000*(1/144000))+(5000*(1/432000))+(10000*(1/900000))+(50000*(1/3600000))+(100000*(1/10800000))+(500000*(1/10800000))</f>
        <v>3.566449064</v>
      </c>
      <c r="D26" s="8">
        <f t="shared" si="1"/>
        <v>-1.433550936</v>
      </c>
      <c r="E26" s="9">
        <f t="shared" si="2"/>
        <v>-0.2867101872</v>
      </c>
      <c r="F26" s="9">
        <f>1-G26-(5328000/43200000)</f>
        <v>0.7489527458</v>
      </c>
      <c r="G26" s="9">
        <f>1/7.83</f>
        <v>0.1277139208</v>
      </c>
      <c r="H26" s="10">
        <f>((1/20769.23))+((1/144000))+((1/432000))+((1/900000))+((1/3600000))+((1/10800000))+((1/10800000))</f>
        <v>0.00005898148326</v>
      </c>
      <c r="I26" s="10">
        <f>((1/900000))+((1/3600000))+((1/10800000))+((1/10800000))</f>
        <v>0.000001574074074</v>
      </c>
      <c r="J26" s="11">
        <f>((1/10800000))+((1/10800000))</f>
        <v>0.0000001851851852</v>
      </c>
      <c r="K26" s="12">
        <v>500000.0</v>
      </c>
      <c r="L26" s="13">
        <f t="shared" si="5"/>
        <v>100000</v>
      </c>
      <c r="M26" s="14">
        <v>4.32E7</v>
      </c>
      <c r="N26" s="14">
        <f>IF(B26=Calcoli!$A$2,Calcoli!$K$2,IF(B26=Calcoli!$A$3,Calcoli!$K$3,IF(B26=Calcoli!$A$4,Calcoli!$K$4,IF(B26=Calcoli!$A$5,Calcoli!$K$5,IF(B26=Calcoli!$A$6,Calcoli!$K$6,IF(B26=Calcoli!$A$7,Calcoli!$K$7,IF(B26=Calcoli!$A$8,Calcoli!$K$8,IF(B26=Calcoli!$A$9,Calcoli!$K$9,IF(B26=Calcoli!$A$10,Calcoli!$K$10,"Errore")))))))))</f>
        <v>872400000</v>
      </c>
      <c r="O26" s="18" t="s">
        <v>91</v>
      </c>
    </row>
    <row r="27">
      <c r="A27" s="21" t="s">
        <v>92</v>
      </c>
      <c r="B27" s="22">
        <v>5.0</v>
      </c>
      <c r="C27" s="8">
        <f>(5*(5606400/46080000))+(10*(1/17.65))+(15*(1/27.27))+(25*(1/40))+(50*(1/100))+(100*(1/400))+(150*(1/800))+(200*(1/4800))+(500*(1/9600))+(1000*(1/19200))+(10000*(1/512000))+(100000*(1/7680000))+(500000*(1/7680000))</f>
        <v>3.53095016</v>
      </c>
      <c r="D27" s="8">
        <f t="shared" si="1"/>
        <v>-1.46904984</v>
      </c>
      <c r="E27" s="9">
        <f t="shared" si="2"/>
        <v>-0.293809968</v>
      </c>
      <c r="F27" s="9">
        <f>1-G27-(5606400/46080000)</f>
        <v>0.7458830022</v>
      </c>
      <c r="G27" s="9">
        <f>1/7.55</f>
        <v>0.1324503311</v>
      </c>
      <c r="H27" s="10">
        <f>((1/19200))+((1/512000))+(1/7680000)+((1/7680000))</f>
        <v>0.000054296875</v>
      </c>
      <c r="I27" s="10">
        <f>(1/512000)+((1/7680000))+((1/7680000))</f>
        <v>0.000002213541667</v>
      </c>
      <c r="J27" s="11">
        <f>((1/7680000))+((1/7680000))</f>
        <v>0.0000002604166667</v>
      </c>
      <c r="K27" s="12">
        <v>500000.0</v>
      </c>
      <c r="L27" s="13">
        <f t="shared" si="5"/>
        <v>100000</v>
      </c>
      <c r="M27" s="14">
        <v>4.608E7</v>
      </c>
      <c r="N27" s="14">
        <f>IF(B27=Calcoli!$A$2,Calcoli!$K$2,IF(B27=Calcoli!$A$3,Calcoli!$K$3,IF(B27=Calcoli!$A$4,Calcoli!$K$4,IF(B27=Calcoli!$A$5,Calcoli!$K$5,IF(B27=Calcoli!$A$6,Calcoli!$K$6,IF(B27=Calcoli!$A$7,Calcoli!$K$7,IF(B27=Calcoli!$A$8,Calcoli!$K$8,IF(B27=Calcoli!$A$9,Calcoli!$K$9,IF(B27=Calcoli!$A$10,Calcoli!$K$10,"Errore")))))))))</f>
        <v>872400000</v>
      </c>
      <c r="O27" s="18" t="s">
        <v>93</v>
      </c>
      <c r="Q27" s="16" t="s">
        <v>94</v>
      </c>
    </row>
    <row r="28">
      <c r="A28" s="21" t="s">
        <v>95</v>
      </c>
      <c r="B28" s="22">
        <v>5.0</v>
      </c>
      <c r="C28" s="8">
        <f>(5*(6384000/50400000))+(10*(1/11.32))+(20*(1/46.15))+(25*(1/50))+(50*(1/120))+(100*(1/255.32))+(250*(1/3000))+(500*(1/4363.64))+(1000*(1/20000))+(5000*(1/840000))+(10000*(1/3360000))+(50000*(1/5040000))+(500000*(1/10080000))</f>
        <v>3.574795987</v>
      </c>
      <c r="D28" s="8">
        <f t="shared" si="1"/>
        <v>-1.425204013</v>
      </c>
      <c r="E28" s="9">
        <f t="shared" si="2"/>
        <v>-0.2850408026</v>
      </c>
      <c r="F28" s="9">
        <f>1-G28-(6384000/50400000)</f>
        <v>0.7304761905</v>
      </c>
      <c r="G28" s="9">
        <f>1/7</f>
        <v>0.1428571429</v>
      </c>
      <c r="H28" s="10">
        <f>((1/20000))+((1/840000))+((1/3360000))+((1/5040000))+((1/10080000))</f>
        <v>0.00005178571429</v>
      </c>
      <c r="I28" s="10">
        <f>((1/3360000))+((1/5040000))+((1/10080000))</f>
        <v>0.0000005952380952</v>
      </c>
      <c r="J28" s="11">
        <f>(1/10080000)</f>
        <v>0.00000009920634921</v>
      </c>
      <c r="K28" s="12">
        <v>500000.0</v>
      </c>
      <c r="L28" s="13">
        <f t="shared" si="5"/>
        <v>100000</v>
      </c>
      <c r="M28" s="14">
        <v>5.04E7</v>
      </c>
      <c r="N28" s="14">
        <f>IF(B28=Calcoli!$A$2,Calcoli!$K$2,IF(B28=Calcoli!$A$3,Calcoli!$K$3,IF(B28=Calcoli!$A$4,Calcoli!$K$4,IF(B28=Calcoli!$A$5,Calcoli!$K$5,IF(B28=Calcoli!$A$6,Calcoli!$K$6,IF(B28=Calcoli!$A$7,Calcoli!$K$7,IF(B28=Calcoli!$A$8,Calcoli!$K$8,IF(B28=Calcoli!$A$9,Calcoli!$K$9,IF(B28=Calcoli!$A$10,Calcoli!$K$10,"Errore")))))))))</f>
        <v>872400000</v>
      </c>
      <c r="O28" s="18" t="s">
        <v>96</v>
      </c>
    </row>
    <row r="29">
      <c r="A29" s="21" t="s">
        <v>97</v>
      </c>
      <c r="B29" s="22">
        <v>5.0</v>
      </c>
      <c r="C29" s="8">
        <f>(5*(4576000/49920000))+(10*(1/10.26))+(20*(1/66.67))+(25*(1/66.67))+(50*(1/75))+(100*(1/193.55))+(200*(1/3157.89))+(400*(1/9230.77))+(500*(1/9230.77))+(1000*(1/21818.18))+(2000*(1/542608.7))+(4000*(1/624000))+(10000*(1/1248000))+(25000*(1/6240000))+(500000*(1/12480000))</f>
        <v>3.560133727</v>
      </c>
      <c r="D29" s="8">
        <f t="shared" si="1"/>
        <v>-1.439866273</v>
      </c>
      <c r="E29" s="9">
        <f t="shared" si="2"/>
        <v>-0.2879732547</v>
      </c>
      <c r="F29" s="9">
        <f>1-G29-(4576000/49920000)</f>
        <v>0.7617057674</v>
      </c>
      <c r="G29" s="9">
        <f>1/6.82</f>
        <v>0.146627566</v>
      </c>
      <c r="H29" s="10">
        <f>((1/21818.18))+((1/542608.7))+((1/624000))+((1/1248000))+((1/6240000))+((1/12480000))</f>
        <v>0.00005032051663</v>
      </c>
      <c r="I29" s="10">
        <f>((1/1248000))+((1/6240000))+((1/12480000))</f>
        <v>0.000001041666667</v>
      </c>
      <c r="J29" s="11">
        <f>((1/12480000))</f>
        <v>0.00000008012820513</v>
      </c>
      <c r="K29" s="12">
        <v>500000.0</v>
      </c>
      <c r="L29" s="13">
        <f t="shared" si="5"/>
        <v>100000</v>
      </c>
      <c r="M29" s="14">
        <v>4.992E7</v>
      </c>
      <c r="N29" s="14">
        <f>IF(B29=Calcoli!$A$2,Calcoli!$K$2,IF(B29=Calcoli!$A$3,Calcoli!$K$3,IF(B29=Calcoli!$A$4,Calcoli!$K$4,IF(B29=Calcoli!$A$5,Calcoli!$K$5,IF(B29=Calcoli!$A$6,Calcoli!$K$6,IF(B29=Calcoli!$A$7,Calcoli!$K$7,IF(B29=Calcoli!$A$8,Calcoli!$K$8,IF(B29=Calcoli!$A$9,Calcoli!$K$9,IF(B29=Calcoli!$A$10,Calcoli!$K$10,"Errore")))))))))</f>
        <v>872400000</v>
      </c>
      <c r="O29" s="18" t="s">
        <v>98</v>
      </c>
      <c r="Q29" s="16" t="s">
        <v>99</v>
      </c>
    </row>
    <row r="30">
      <c r="A30" s="21" t="s">
        <v>100</v>
      </c>
      <c r="B30" s="22">
        <v>5.0</v>
      </c>
      <c r="C30" s="8">
        <f>(5*(7488000/56160000))+(10*(1/10.91))+(15*(1/31.58))+(20*(1/75))+(50*(1/133.33))+(100*(1/380.95))+(200*(1/1250))+(500*(1/12000))+(1000*(1/24000))+(5000*(1/390000))+(10000*(1/1560000))+(50000*(1/2080000))+(1768625*(1/6240000))</f>
        <v>3.532454858</v>
      </c>
      <c r="D30" s="8">
        <f t="shared" si="1"/>
        <v>-1.467545142</v>
      </c>
      <c r="E30" s="9">
        <f t="shared" si="2"/>
        <v>-0.2935090284</v>
      </c>
      <c r="F30" s="9">
        <f>1-G30-(7488000/56160000)</f>
        <v>0.7189561792</v>
      </c>
      <c r="G30" s="9">
        <f>1/6.77</f>
        <v>0.1477104874</v>
      </c>
      <c r="H30" s="10">
        <f>((1/24000))+((1/390000))+(1/1560000)+((1/2080000))+((1/6240000))</f>
        <v>0.00004551282051</v>
      </c>
      <c r="I30" s="10">
        <f>((1/1560000))+((1/2080000))+((1/6240000))</f>
        <v>0.000001282051282</v>
      </c>
      <c r="J30" s="11">
        <f>((1/6240000))</f>
        <v>0.0000001602564103</v>
      </c>
      <c r="K30" s="12">
        <v>1768625.0</v>
      </c>
      <c r="L30" s="13">
        <f t="shared" si="5"/>
        <v>353725</v>
      </c>
      <c r="M30" s="14">
        <v>5.616E7</v>
      </c>
      <c r="N30" s="14">
        <f>IF(B30=Calcoli!$A$2,Calcoli!$K$2,IF(B30=Calcoli!$A$3,Calcoli!$K$3,IF(B30=Calcoli!$A$4,Calcoli!$K$4,IF(B30=Calcoli!$A$5,Calcoli!$K$5,IF(B30=Calcoli!$A$6,Calcoli!$K$6,IF(B30=Calcoli!$A$7,Calcoli!$K$7,IF(B30=Calcoli!$A$8,Calcoli!$K$8,IF(B30=Calcoli!$A$9,Calcoli!$K$9,IF(B30=Calcoli!$A$10,Calcoli!$K$10,"Errore")))))))))</f>
        <v>872400000</v>
      </c>
      <c r="O30" s="18" t="s">
        <v>101</v>
      </c>
      <c r="Q30" s="16" t="s">
        <v>102</v>
      </c>
    </row>
    <row r="31">
      <c r="A31" s="21" t="s">
        <v>103</v>
      </c>
      <c r="B31" s="22">
        <v>5.0</v>
      </c>
      <c r="C31" s="8">
        <f>(5*(4672000/38400000))+(10*(1/12.77))+(25*(1/30))+(50*(1/100))+(100*(1/212.39))+(150*(1/2400))+(200*(1/4800))+(500*(1/6000))+(1000*(1/24000))+(10000*(1/640000))+(100000*(1/3840000))+(500000*(1/7680000))</f>
        <v>3.531521483</v>
      </c>
      <c r="D31" s="8">
        <f t="shared" si="1"/>
        <v>-1.468478517</v>
      </c>
      <c r="E31" s="9">
        <f t="shared" si="2"/>
        <v>-0.2936957034</v>
      </c>
      <c r="F31" s="9">
        <f>1-G31-(4672000/38400000)</f>
        <v>0.7511068702</v>
      </c>
      <c r="G31" s="9">
        <f>1/7.86</f>
        <v>0.1272264631</v>
      </c>
      <c r="H31" s="10">
        <f>((1/24000))+((1/640000))+((1/3840000))+((1/7680000))</f>
        <v>0.00004361979167</v>
      </c>
      <c r="I31" s="10">
        <f>((1/640000))+((1/3840000))+((1/7680000))</f>
        <v>0.000001953125</v>
      </c>
      <c r="J31" s="11">
        <f>((1/3840000))+((1/7680000))</f>
        <v>0.000000390625</v>
      </c>
      <c r="K31" s="12">
        <v>500000.0</v>
      </c>
      <c r="L31" s="13">
        <f t="shared" si="5"/>
        <v>100000</v>
      </c>
      <c r="M31" s="14">
        <v>3.84E7</v>
      </c>
      <c r="N31" s="14">
        <f>IF(B31=Calcoli!$A$2,Calcoli!$K$2,IF(B31=Calcoli!$A$3,Calcoli!$K$3,IF(B31=Calcoli!$A$4,Calcoli!$K$4,IF(B31=Calcoli!$A$5,Calcoli!$K$5,IF(B31=Calcoli!$A$6,Calcoli!$K$6,IF(B31=Calcoli!$A$7,Calcoli!$K$7,IF(B31=Calcoli!$A$8,Calcoli!$K$8,IF(B31=Calcoli!$A$9,Calcoli!$K$9,IF(B31=Calcoli!$A$10,Calcoli!$K$10,"Errore")))))))))</f>
        <v>872400000</v>
      </c>
      <c r="O31" s="18" t="s">
        <v>104</v>
      </c>
    </row>
    <row r="32">
      <c r="A32" s="21" t="s">
        <v>105</v>
      </c>
      <c r="B32" s="22">
        <v>5.0</v>
      </c>
      <c r="C32" s="8">
        <f>(5*(4544000/38400000))+(10*(1/13.64))+(15*(1/28.57))+(30*(1/60))+(50*(1/120))+(100*(1/200))+(250*(1/4000))+(500*(1/4000))+(1000*(1/25600))+(2500*(1/384000))+(5000*(1/960000))+(10000*(1/1920000))+(50000*(1/7680000))+(100000*(1/7680000))+(500000*(1/7680000))</f>
        <v>3.594622415</v>
      </c>
      <c r="D32" s="8">
        <f t="shared" si="1"/>
        <v>-1.405377585</v>
      </c>
      <c r="E32" s="9">
        <f t="shared" si="2"/>
        <v>-0.2810755171</v>
      </c>
      <c r="F32" s="9">
        <f>1-G32-(4544000/38400000)</f>
        <v>0.7427777778</v>
      </c>
      <c r="G32" s="9">
        <f>1/7.2</f>
        <v>0.1388888889</v>
      </c>
      <c r="H32" s="10">
        <f>((1/25600))+((1/384000))+((1/960000))+((1/1920000))+((1/7680000))+((1/7680000))+((1/7680000))</f>
        <v>0.00004361979167</v>
      </c>
      <c r="I32" s="10">
        <f>((1/1920000))+((1/7680000))+((1/7680000))+((1/7680000))</f>
        <v>0.0000009114583333</v>
      </c>
      <c r="J32" s="11">
        <f>((1/7680000))+((1/7680000))</f>
        <v>0.0000002604166667</v>
      </c>
      <c r="K32" s="12">
        <v>500000.0</v>
      </c>
      <c r="L32" s="13">
        <f t="shared" si="5"/>
        <v>100000</v>
      </c>
      <c r="M32" s="14">
        <v>3.84E7</v>
      </c>
      <c r="N32" s="14">
        <f>IF(B32=Calcoli!$A$2,Calcoli!$K$2,IF(B32=Calcoli!$A$3,Calcoli!$K$3,IF(B32=Calcoli!$A$4,Calcoli!$K$4,IF(B32=Calcoli!$A$5,Calcoli!$K$5,IF(B32=Calcoli!$A$6,Calcoli!$K$6,IF(B32=Calcoli!$A$7,Calcoli!$K$7,IF(B32=Calcoli!$A$8,Calcoli!$K$8,IF(B32=Calcoli!$A$9,Calcoli!$K$9,IF(B32=Calcoli!$A$10,Calcoli!$K$10,"Errore")))))))))</f>
        <v>872400000</v>
      </c>
      <c r="O32" s="18" t="s">
        <v>106</v>
      </c>
    </row>
    <row r="33">
      <c r="A33" s="21" t="s">
        <v>107</v>
      </c>
      <c r="B33" s="22">
        <v>5.0</v>
      </c>
      <c r="C33" s="8">
        <f>(5*(5241600/40320000))+(10*(1/12.5))+(15*(1/31.58))+(20*(1/85.71))+(30*(1/85.71))+(50*(1/85.71))+(100*(1/1200))+(150*(1/1600))+(200*(1/2400))+(500*(1/6857.14))+(1000*(1/26880))+(2000*(1/336000))+(5000*(1/336000))+(50000*(1/13440000))+(500000*(1/13440000))</f>
        <v>3.524000867</v>
      </c>
      <c r="D33" s="8">
        <f t="shared" si="1"/>
        <v>-1.475999133</v>
      </c>
      <c r="E33" s="9">
        <f t="shared" si="2"/>
        <v>-0.2951998266</v>
      </c>
      <c r="F33" s="9">
        <f>1-G33-(5241600/40320000)</f>
        <v>0.7211904762</v>
      </c>
      <c r="G33" s="9">
        <f>1/6.72</f>
        <v>0.1488095238</v>
      </c>
      <c r="H33" s="10">
        <f>((1/26880))+((1/336000))+((1/336000))+((1/13440000))+((1/13440000))</f>
        <v>0.00004330357143</v>
      </c>
      <c r="I33" s="10">
        <f>((1/13440000))+((1/13440000))</f>
        <v>0.0000001488095238</v>
      </c>
      <c r="J33" s="11">
        <f>(((1/13440000)))</f>
        <v>0.0000000744047619</v>
      </c>
      <c r="K33" s="12">
        <v>500000.0</v>
      </c>
      <c r="L33" s="13">
        <f t="shared" si="5"/>
        <v>100000</v>
      </c>
      <c r="M33" s="14">
        <v>4.032E7</v>
      </c>
      <c r="N33" s="14">
        <f>IF(B33=Calcoli!$A$2,Calcoli!$K$2,IF(B33=Calcoli!$A$3,Calcoli!$K$3,IF(B33=Calcoli!$A$4,Calcoli!$K$4,IF(B33=Calcoli!$A$5,Calcoli!$K$5,IF(B33=Calcoli!$A$6,Calcoli!$K$6,IF(B33=Calcoli!$A$7,Calcoli!$K$7,IF(B33=Calcoli!$A$8,Calcoli!$K$8,IF(B33=Calcoli!$A$9,Calcoli!$K$9,IF(B33=Calcoli!$A$10,Calcoli!$K$10,"Errore")))))))))</f>
        <v>872400000</v>
      </c>
      <c r="O33" s="18" t="s">
        <v>108</v>
      </c>
      <c r="Q33" s="16" t="s">
        <v>109</v>
      </c>
    </row>
    <row r="34">
      <c r="A34" s="21" t="s">
        <v>110</v>
      </c>
      <c r="B34" s="22">
        <v>5.0</v>
      </c>
      <c r="C34" s="8">
        <f>(5*(3374400/27360000))+(10*(1/18.18))+(15*(1/24))+(25*(1/75))+(50*(1/100))+(75*(1/203.39))+(100*(1/287.43))+(150*(1/4800))+(300*(1/20000))+(500*(1/20000))+(1000*(1/30000))+(3000*(1/912000))+(10000*(1/1520000))+(100000*(1/4560000))+(500000*(1/9120000))</f>
        <v>3.532921634</v>
      </c>
      <c r="D34" s="8">
        <f t="shared" si="1"/>
        <v>-1.467078366</v>
      </c>
      <c r="E34" s="9">
        <f t="shared" si="2"/>
        <v>-0.2934156732</v>
      </c>
      <c r="F34" s="9">
        <f>1-G34-(3374400/27360000)</f>
        <v>0.747966538</v>
      </c>
      <c r="G34" s="9">
        <f>1/7.77</f>
        <v>0.1287001287</v>
      </c>
      <c r="H34" s="10">
        <f>((1/30000))+((1/912000))+((1/1520000))+((1/4560000))+((1/9120000))</f>
        <v>0.00003541666667</v>
      </c>
      <c r="I34" s="10">
        <f>((1/1520000))+((1/4560000))+((1/9120000))</f>
        <v>0.0000009868421053</v>
      </c>
      <c r="J34" s="11">
        <f>((1/4560000))+((1/9120000))</f>
        <v>0.0000003289473684</v>
      </c>
      <c r="K34" s="12">
        <v>500000.0</v>
      </c>
      <c r="L34" s="13">
        <f t="shared" si="5"/>
        <v>100000</v>
      </c>
      <c r="M34" s="14">
        <v>2.736E7</v>
      </c>
      <c r="N34" s="14">
        <f>IF(B34=Calcoli!$A$2,Calcoli!$K$2,IF(B34=Calcoli!$A$3,Calcoli!$K$3,IF(B34=Calcoli!$A$4,Calcoli!$K$4,IF(B34=Calcoli!$A$5,Calcoli!$K$5,IF(B34=Calcoli!$A$6,Calcoli!$K$6,IF(B34=Calcoli!$A$7,Calcoli!$K$7,IF(B34=Calcoli!$A$8,Calcoli!$K$8,IF(B34=Calcoli!$A$9,Calcoli!$K$9,IF(B34=Calcoli!$A$10,Calcoli!$K$10,"Errore")))))))))</f>
        <v>872400000</v>
      </c>
      <c r="O34" s="18" t="s">
        <v>111</v>
      </c>
    </row>
    <row r="35">
      <c r="A35" s="21" t="s">
        <v>112</v>
      </c>
      <c r="B35" s="22">
        <v>5.0</v>
      </c>
      <c r="C35" s="8">
        <f>(5*(5420800/42240000))+(10*(1/12))+(20*(1/42.86))+(25*(1/60))+(50*(1/100))+(100*(1/200))+(200*(1/7500))+(500*(1/20000))+(1000*(1/30000))+(10000*(1/3520000))+(50000*(1/5280000))+(500000*(1/10560000))</f>
        <v>3.502961315</v>
      </c>
      <c r="D35" s="8">
        <f t="shared" si="1"/>
        <v>-1.497038685</v>
      </c>
      <c r="E35" s="9">
        <f t="shared" si="2"/>
        <v>-0.299407737</v>
      </c>
      <c r="F35" s="9">
        <f>1-G35-(5420800/42240000)</f>
        <v>0.7331625115</v>
      </c>
      <c r="G35" s="9">
        <f>1/7.22</f>
        <v>0.1385041551</v>
      </c>
      <c r="H35" s="10">
        <f>((1/30000))+((1/3520000))+((1/5280000))+((1/10560000))</f>
        <v>0.00003390151515</v>
      </c>
      <c r="I35" s="10">
        <f>((1/3520000))+((1/5280000))+((1/10560000))</f>
        <v>0.0000005681818182</v>
      </c>
      <c r="J35" s="11">
        <f>((1/10560000))</f>
        <v>0.0000000946969697</v>
      </c>
      <c r="K35" s="12">
        <v>500000.0</v>
      </c>
      <c r="L35" s="13">
        <f t="shared" si="5"/>
        <v>100000</v>
      </c>
      <c r="M35" s="14">
        <v>4.224E7</v>
      </c>
      <c r="N35" s="14">
        <f>IF(B35=Calcoli!$A$2,Calcoli!$K$2,IF(B35=Calcoli!$A$3,Calcoli!$K$3,IF(B35=Calcoli!$A$4,Calcoli!$K$4,IF(B35=Calcoli!$A$5,Calcoli!$K$5,IF(B35=Calcoli!$A$6,Calcoli!$K$6,IF(B35=Calcoli!$A$7,Calcoli!$K$7,IF(B35=Calcoli!$A$8,Calcoli!$K$8,IF(B35=Calcoli!$A$9,Calcoli!$K$9,IF(B35=Calcoli!$A$10,Calcoli!$K$10,"Errore")))))))))</f>
        <v>872400000</v>
      </c>
      <c r="O35" s="18" t="s">
        <v>113</v>
      </c>
      <c r="Q35" s="16" t="s">
        <v>114</v>
      </c>
    </row>
    <row r="36">
      <c r="A36" s="21" t="s">
        <v>115</v>
      </c>
      <c r="B36" s="22">
        <v>5.0</v>
      </c>
      <c r="C36" s="8">
        <f>(5*(3091200/20160000))+(10*(1/13.64))+(15*(1/27.27))+(25*(1/30))+(50*(1/100))+(100*(1/1043.48))+(200*(1/10000))+(500*(1/56000))+(1000*(1/77538.46))+(10000*(1/2016000))+(500000*(1/10080000))</f>
        <v>3.575414898</v>
      </c>
      <c r="D36" s="8">
        <f t="shared" si="1"/>
        <v>-1.424585102</v>
      </c>
      <c r="E36" s="9">
        <f t="shared" si="2"/>
        <v>-0.2849170204</v>
      </c>
      <c r="F36" s="9">
        <f>1-G36-(3091200/20160000)</f>
        <v>0.692345679</v>
      </c>
      <c r="G36" s="9">
        <f>1/6.48</f>
        <v>0.1543209877</v>
      </c>
      <c r="H36" s="10">
        <f>((1/77538.46))+((1/2016000))+((1/10080000))</f>
        <v>0.00001349206375</v>
      </c>
      <c r="I36" s="10">
        <f>((1/2016000))+((1/10080000))</f>
        <v>0.0000005952380952</v>
      </c>
      <c r="J36" s="11">
        <f>(1/10080000)</f>
        <v>0.00000009920634921</v>
      </c>
      <c r="K36" s="12">
        <v>500000.0</v>
      </c>
      <c r="L36" s="13">
        <f t="shared" si="5"/>
        <v>100000</v>
      </c>
      <c r="M36" s="14">
        <v>2.016E7</v>
      </c>
      <c r="N36" s="14">
        <f>IF(B36=Calcoli!$A$2,Calcoli!$K$2,IF(B36=Calcoli!$A$3,Calcoli!$K$3,IF(B36=Calcoli!$A$4,Calcoli!$K$4,IF(B36=Calcoli!$A$5,Calcoli!$K$5,IF(B36=Calcoli!$A$6,Calcoli!$K$6,IF(B36=Calcoli!$A$7,Calcoli!$K$7,IF(B36=Calcoli!$A$8,Calcoli!$K$8,IF(B36=Calcoli!$A$9,Calcoli!$K$9,IF(B36=Calcoli!$A$10,Calcoli!$K$10,"Errore")))))))))</f>
        <v>872400000</v>
      </c>
      <c r="O36" s="18" t="s">
        <v>116</v>
      </c>
    </row>
    <row r="37">
      <c r="A37" s="8" t="s">
        <v>117</v>
      </c>
      <c r="B37" s="22">
        <v>5.0</v>
      </c>
      <c r="C37" s="8">
        <f>(5*(3057600/20160000))+(10*(1/10.34))+(15*(1/40))+(20*(1/52.17))+(50*(1/60))+(100*(1/888.89))+(500*(1/40000))+(1000*(1/134400))+(10000*(1/3360000))+(50000*(1/3360000))+(500000*(1/6720000))</f>
        <v>3.541848981</v>
      </c>
      <c r="D37" s="8">
        <f t="shared" si="1"/>
        <v>-1.458151019</v>
      </c>
      <c r="E37" s="9">
        <f t="shared" si="2"/>
        <v>-0.2916302038</v>
      </c>
      <c r="F37" s="9">
        <f>1-G37-(3057600/20160000)</f>
        <v>0.6896031746</v>
      </c>
      <c r="G37" s="9">
        <f>1/6.3</f>
        <v>0.1587301587</v>
      </c>
      <c r="H37" s="10">
        <f>((1/134400))+((1/3360000))+((1/3360000))+((1/6720000))</f>
        <v>0.00000818452381</v>
      </c>
      <c r="I37" s="10">
        <f>((1/3360000))+((1/3360000))+((1/6720000))</f>
        <v>0.000000744047619</v>
      </c>
      <c r="J37" s="11">
        <f>((1/6720000))</f>
        <v>0.0000001488095238</v>
      </c>
      <c r="K37" s="12">
        <v>500000.0</v>
      </c>
      <c r="L37" s="13">
        <f t="shared" si="5"/>
        <v>100000</v>
      </c>
      <c r="M37" s="14">
        <v>2.016E7</v>
      </c>
      <c r="N37" s="14">
        <f>IF(B37=Calcoli!$A$2,Calcoli!$K$2,IF(B37=Calcoli!$A$3,Calcoli!$K$3,IF(B37=Calcoli!$A$4,Calcoli!$K$4,IF(B37=Calcoli!$A$5,Calcoli!$K$5,IF(B37=Calcoli!$A$6,Calcoli!$K$6,IF(B37=Calcoli!$A$7,Calcoli!$K$7,IF(B37=Calcoli!$A$8,Calcoli!$K$8,IF(B37=Calcoli!$A$9,Calcoli!$K$9,IF(B37=Calcoli!$A$10,Calcoli!$K$10,"Errore")))))))))</f>
        <v>872400000</v>
      </c>
      <c r="O37" s="15" t="s">
        <v>118</v>
      </c>
      <c r="Q37" s="16" t="s">
        <v>119</v>
      </c>
    </row>
    <row r="38">
      <c r="A38" s="21" t="s">
        <v>120</v>
      </c>
      <c r="B38" s="22">
        <v>5.0</v>
      </c>
      <c r="C38" s="21">
        <f>(5*(3091200/20160000))+(10*(1/10))+(15*(1/40))+(25*(1/50))+(50*(1/66.67))+(100*(1/923.08))+(500*(1/60000))+(1000*(1/134400))+(10000*(1/2520000))+(500000*(1/10080000))</f>
        <v>3.569307379</v>
      </c>
      <c r="D38" s="8">
        <f t="shared" si="1"/>
        <v>-1.430692621</v>
      </c>
      <c r="E38" s="9">
        <f t="shared" si="2"/>
        <v>-0.2861385242</v>
      </c>
      <c r="F38" s="9">
        <f>1-G38-(3091200/20160000)</f>
        <v>0.6856360709</v>
      </c>
      <c r="G38" s="9">
        <f>1/6.21</f>
        <v>0.1610305958</v>
      </c>
      <c r="H38" s="10">
        <f>((1/134400))+((1/2520000))+((1/10080000))</f>
        <v>0.000007936507937</v>
      </c>
      <c r="I38" s="10">
        <f>((1/2520000))+((1/10080000))</f>
        <v>0.000000496031746</v>
      </c>
      <c r="J38" s="11">
        <f>(1/10080000)</f>
        <v>0.00000009920634921</v>
      </c>
      <c r="K38" s="12">
        <v>500000.0</v>
      </c>
      <c r="L38" s="13">
        <f t="shared" si="5"/>
        <v>100000</v>
      </c>
      <c r="M38" s="14">
        <v>2.016E7</v>
      </c>
      <c r="N38" s="14">
        <f>IF(B38=Calcoli!$A$2,Calcoli!$K$2,IF(B38=Calcoli!$A$3,Calcoli!$K$3,IF(B38=Calcoli!$A$4,Calcoli!$K$4,IF(B38=Calcoli!$A$5,Calcoli!$K$5,IF(B38=Calcoli!$A$6,Calcoli!$K$6,IF(B38=Calcoli!$A$7,Calcoli!$K$7,IF(B38=Calcoli!$A$8,Calcoli!$K$8,IF(B38=Calcoli!$A$9,Calcoli!$K$9,IF(B38=Calcoli!$A$10,Calcoli!$K$10,"Errore")))))))))</f>
        <v>872400000</v>
      </c>
      <c r="O38" s="18" t="s">
        <v>121</v>
      </c>
    </row>
    <row r="39">
      <c r="A39" s="21" t="s">
        <v>122</v>
      </c>
      <c r="B39" s="22">
        <v>5.0</v>
      </c>
      <c r="C39" s="8">
        <f>(5*(3405600/30960000))+(10*(1/10.53))+(20*(1/60))+(50*(1/85.71))+(100*(1/352.94))+(250*(1/8000))+(500*(1/657.53))+(500000*(1/10320000))</f>
        <v>3.539818919</v>
      </c>
      <c r="D39" s="8">
        <f t="shared" si="1"/>
        <v>-1.460181081</v>
      </c>
      <c r="E39" s="9">
        <f t="shared" si="2"/>
        <v>-0.2920362162</v>
      </c>
      <c r="F39" s="9">
        <f>1-G39-(3405600/30960000)</f>
        <v>0.7621227621</v>
      </c>
      <c r="G39" s="9">
        <f>1/7.82</f>
        <v>0.1278772379</v>
      </c>
      <c r="H39" s="10">
        <f t="shared" ref="H39:J39" si="14">(1/10320000)</f>
        <v>0.00000009689922481</v>
      </c>
      <c r="I39" s="10">
        <f t="shared" si="14"/>
        <v>0.00000009689922481</v>
      </c>
      <c r="J39" s="11">
        <f t="shared" si="14"/>
        <v>0.00000009689922481</v>
      </c>
      <c r="K39" s="12">
        <v>500000.0</v>
      </c>
      <c r="L39" s="13">
        <f t="shared" si="5"/>
        <v>100000</v>
      </c>
      <c r="M39" s="14">
        <v>3.096E7</v>
      </c>
      <c r="N39" s="14">
        <f>IF(B39=Calcoli!$A$2,Calcoli!$K$2,IF(B39=Calcoli!$A$3,Calcoli!$K$3,IF(B39=Calcoli!$A$4,Calcoli!$K$4,IF(B39=Calcoli!$A$5,Calcoli!$K$5,IF(B39=Calcoli!$A$6,Calcoli!$K$6,IF(B39=Calcoli!$A$7,Calcoli!$K$7,IF(B39=Calcoli!$A$8,Calcoli!$K$8,IF(B39=Calcoli!$A$9,Calcoli!$K$9,IF(B39=Calcoli!$A$10,Calcoli!$K$10,"Errore")))))))))</f>
        <v>872400000</v>
      </c>
      <c r="O39" s="18" t="s">
        <v>123</v>
      </c>
    </row>
    <row r="40">
      <c r="A40" s="21" t="s">
        <v>124</v>
      </c>
      <c r="B40" s="22">
        <v>5.0</v>
      </c>
      <c r="C40" s="8">
        <f>(5*(4833600/27360000))+(100*(1/54.55))+(200*(1/258.06))+(500000*(1/13680000))</f>
        <v>3.528077172</v>
      </c>
      <c r="D40" s="8">
        <f t="shared" si="1"/>
        <v>-1.471922828</v>
      </c>
      <c r="E40" s="9">
        <f t="shared" si="2"/>
        <v>-0.2943845656</v>
      </c>
      <c r="F40" s="9">
        <f>1-G40-(4833600/27360000)</f>
        <v>0.8011263867</v>
      </c>
      <c r="G40" s="9">
        <f>((1/54.55))+((1/258.06))+((1/13680000))</f>
        <v>0.0222069466</v>
      </c>
      <c r="H40" s="10">
        <f t="shared" ref="H40:J40" si="15">((1/13680000))</f>
        <v>0.0000000730994152</v>
      </c>
      <c r="I40" s="10">
        <f t="shared" si="15"/>
        <v>0.0000000730994152</v>
      </c>
      <c r="J40" s="11">
        <f t="shared" si="15"/>
        <v>0.0000000730994152</v>
      </c>
      <c r="K40" s="12">
        <v>500000.0</v>
      </c>
      <c r="L40" s="13">
        <f t="shared" si="5"/>
        <v>100000</v>
      </c>
      <c r="M40" s="14">
        <v>2.736E7</v>
      </c>
      <c r="N40" s="14">
        <f>IF(B40=Calcoli!$A$2,Calcoli!$K$2,IF(B40=Calcoli!$A$3,Calcoli!$K$3,IF(B40=Calcoli!$A$4,Calcoli!$K$4,IF(B40=Calcoli!$A$5,Calcoli!$K$5,IF(B40=Calcoli!$A$6,Calcoli!$K$6,IF(B40=Calcoli!$A$7,Calcoli!$K$7,IF(B40=Calcoli!$A$8,Calcoli!$K$8,IF(B40=Calcoli!$A$9,Calcoli!$K$9,IF(B40=Calcoli!$A$10,Calcoli!$K$10,"Errore")))))))))</f>
        <v>872400000</v>
      </c>
      <c r="O40" s="15" t="s">
        <v>125</v>
      </c>
    </row>
    <row r="41">
      <c r="A41" s="16" t="s">
        <v>126</v>
      </c>
      <c r="B41" s="16">
        <v>10.0</v>
      </c>
      <c r="C41" s="17">
        <f>((10*(5040000/33600000))+(20*(1/9.68))+(50*(1/52.17))+(100*(1/126.32))+(200*(1/141.18))+(500*(1/941.18))+(1000*(1/5333.33))+(10000*(1/420000))+(20000*(1/1050000))+(500000*(1/8400000))+(2000000*(1/8400000)))</f>
        <v>7.792016761</v>
      </c>
      <c r="D41" s="24">
        <f t="shared" si="1"/>
        <v>-2.207983239</v>
      </c>
      <c r="E41" s="9">
        <f t="shared" si="2"/>
        <v>-0.2207983239</v>
      </c>
      <c r="F41" s="9">
        <f>1-G41-(5040000/33600000)</f>
        <v>0.7113037448</v>
      </c>
      <c r="G41" s="9">
        <f>1/7.21</f>
        <v>0.1386962552</v>
      </c>
      <c r="H41" s="10">
        <f>(1/5333.33)+((1/420000))+((1/1050000))+((1/8400000))+((1/8400000))</f>
        <v>0.0001910715458</v>
      </c>
      <c r="I41" s="10">
        <f>(((1/420000))+((1/1050000))+((1/8400000))+((1/8400000)))</f>
        <v>0.000003571428571</v>
      </c>
      <c r="J41" s="11">
        <f>(((1/8400000))+((1/8400000)))</f>
        <v>0.0000002380952381</v>
      </c>
      <c r="K41" s="12">
        <v>2000000.0</v>
      </c>
      <c r="L41" s="13">
        <f t="shared" si="5"/>
        <v>200000</v>
      </c>
      <c r="M41" s="14">
        <v>3.36E7</v>
      </c>
      <c r="N41" s="14">
        <f>IF(B41=Calcoli!$A$2,Calcoli!$K$2,IF(B41=Calcoli!$A$3,Calcoli!$K$3,IF(B41=Calcoli!$A$4,Calcoli!$K$4,IF(B41=Calcoli!$A$5,Calcoli!$K$5,IF(B41=Calcoli!$A$6,Calcoli!$K$6,IF(B41=Calcoli!$A$7,Calcoli!$K$7,IF(B41=Calcoli!$A$8,Calcoli!$K$8,IF(B41=Calcoli!$A$9,Calcoli!$K$9,IF(B41=Calcoli!$A$10,Calcoli!$K$10,"Errore")))))))))</f>
        <v>263280000</v>
      </c>
      <c r="O41" s="18" t="s">
        <v>127</v>
      </c>
    </row>
    <row r="42">
      <c r="A42" s="16" t="s">
        <v>128</v>
      </c>
      <c r="B42" s="16">
        <v>10.0</v>
      </c>
      <c r="C42" s="17">
        <f>(10*(4636800/33120000))+(20*(1/9.23))+(50*(1/50))+(100*(1/111.11))+(200*(1/160))+(500*(1/923.08))+(1000*(1/6315.79))+(10000*(1/480000))+(20000*(1/920000))+(500000*(1/11040000))+(2000000*(1/11040000))</f>
        <v>7.685876158</v>
      </c>
      <c r="D42" s="24">
        <f t="shared" si="1"/>
        <v>-2.314123842</v>
      </c>
      <c r="E42" s="9">
        <f t="shared" si="2"/>
        <v>-0.2314123842</v>
      </c>
      <c r="F42" s="9">
        <f>1-G42-(4636800/33120000)</f>
        <v>0.7150724638</v>
      </c>
      <c r="G42" s="9">
        <f>1/6.9</f>
        <v>0.1449275362</v>
      </c>
      <c r="H42" s="10">
        <f>((1/6315.79))+((1/480000))+((1/920000))+((1/11040000))+((1/11040000))</f>
        <v>0.0001616847694</v>
      </c>
      <c r="I42" s="10">
        <f>((1/480000))+((1/920000))+((1/11040000))+((1/11040000))</f>
        <v>0.000003351449275</v>
      </c>
      <c r="J42" s="11">
        <f>((1/11040000))+((1/11040000))</f>
        <v>0.0000001811594203</v>
      </c>
      <c r="K42" s="12">
        <v>2000000.0</v>
      </c>
      <c r="L42" s="13">
        <f t="shared" si="5"/>
        <v>200000</v>
      </c>
      <c r="M42" s="14">
        <v>3.312E7</v>
      </c>
      <c r="N42" s="14">
        <f>IF(B42=Calcoli!$A$2,Calcoli!$K$2,IF(B42=Calcoli!$A$3,Calcoli!$K$3,IF(B42=Calcoli!$A$4,Calcoli!$K$4,IF(B42=Calcoli!$A$5,Calcoli!$K$5,IF(B42=Calcoli!$A$6,Calcoli!$K$6,IF(B42=Calcoli!$A$7,Calcoli!$K$7,IF(B42=Calcoli!$A$8,Calcoli!$K$8,IF(B42=Calcoli!$A$9,Calcoli!$K$9,IF(B42=Calcoli!$A$10,Calcoli!$K$10,"Errore")))))))))</f>
        <v>263280000</v>
      </c>
      <c r="O42" s="18" t="s">
        <v>129</v>
      </c>
    </row>
    <row r="43">
      <c r="A43" s="16" t="s">
        <v>130</v>
      </c>
      <c r="B43" s="16">
        <v>10.0</v>
      </c>
      <c r="C43" s="17">
        <f>(10*(1894400/17760000))+(20*(1/9.38))+(25*(1/50))+(50*(1/57.83))+(100*(1/80))+(200*(1/393.44))+(250*(1/393.44))+(500*(1/2181.82))+(1000*(1/10447.06))+(5000*(1/444000))+(10000*(1/888000))+(50000*(1/1110000))+(200000*(1/8880000))+(2000000*(1/8880000))</f>
        <v>7.597426102</v>
      </c>
      <c r="D43" s="24">
        <f t="shared" si="1"/>
        <v>-2.402573898</v>
      </c>
      <c r="E43" s="9">
        <f t="shared" si="2"/>
        <v>-0.2402573898</v>
      </c>
      <c r="F43" s="9">
        <f>1-G43-(1894400/17760000)</f>
        <v>0.731258779</v>
      </c>
      <c r="G43" s="9">
        <f>1/6.17</f>
        <v>0.1620745543</v>
      </c>
      <c r="H43" s="10">
        <f>((1/10447.06))+((1/444000))+((1/888000))+((1/1110000))+((1/8880000))+((1/8880000))</f>
        <v>0.0001002252144</v>
      </c>
      <c r="I43" s="10">
        <f>((1/888000))+((1/1110000))+((1/8880000))+((1/8880000))</f>
        <v>0.000002252252252</v>
      </c>
      <c r="J43" s="11">
        <f>((1/8880000))+((1/8880000))</f>
        <v>0.0000002252252252</v>
      </c>
      <c r="K43" s="12">
        <v>2000000.0</v>
      </c>
      <c r="L43" s="13">
        <f t="shared" si="5"/>
        <v>200000</v>
      </c>
      <c r="M43" s="14">
        <v>1.776E7</v>
      </c>
      <c r="N43" s="14">
        <f>IF(B43=Calcoli!$A$2,Calcoli!$K$2,IF(B43=Calcoli!$A$3,Calcoli!$K$3,IF(B43=Calcoli!$A$4,Calcoli!$K$4,IF(B43=Calcoli!$A$5,Calcoli!$K$5,IF(B43=Calcoli!$A$6,Calcoli!$K$6,IF(B43=Calcoli!$A$7,Calcoli!$K$7,IF(B43=Calcoli!$A$8,Calcoli!$K$8,IF(B43=Calcoli!$A$9,Calcoli!$K$9,IF(B43=Calcoli!$A$10,Calcoli!$K$10,"Errore")))))))))</f>
        <v>263280000</v>
      </c>
      <c r="O43" s="18" t="s">
        <v>131</v>
      </c>
    </row>
    <row r="44">
      <c r="A44" s="16" t="s">
        <v>132</v>
      </c>
      <c r="B44" s="16">
        <v>10.0</v>
      </c>
      <c r="C44" s="17">
        <f>(10*(3818400/26640000))+(20*(1/14.29))+(50*(1/50))+(100*(1/90.57))+(200*(1/203.05))+(500*(1/363.64))+(1000*(1/20796.25))+(2000*(1/134545.45))+(5000*(1/341538.46))+(10000*(1/634285.71))+(20000*(1/2220000))+(40000*(1/2220000))+(100000*(1/4440000))+(2000000*(1/8880000))</f>
        <v>7.665127778</v>
      </c>
      <c r="D44" s="24">
        <f t="shared" si="1"/>
        <v>-2.334872222</v>
      </c>
      <c r="E44" s="9">
        <f t="shared" si="2"/>
        <v>-0.2334872222</v>
      </c>
      <c r="F44" s="9">
        <f>1-G44-(3818400/26640000)</f>
        <v>0.7478527385</v>
      </c>
      <c r="G44" s="9">
        <f>1/9.19</f>
        <v>0.1088139282</v>
      </c>
      <c r="H44" s="10">
        <f>((1/20796.25))+((1/134545.45))+((1/341538.46))+((1/634285.71))+((1/2220000))+((1/2220000))+((1/4440000))+((1/8880000))</f>
        <v>0.00006126126831</v>
      </c>
      <c r="I44" s="10">
        <f>(1/634285.71)+((1/2220000))+((1/2220000))+((1/4440000))+((1/8880000))</f>
        <v>0.000002815315326</v>
      </c>
      <c r="J44" s="11">
        <f>((1/4440000))+((1/8880000))</f>
        <v>0.0000003378378378</v>
      </c>
      <c r="K44" s="12">
        <v>2000000.0</v>
      </c>
      <c r="L44" s="13">
        <f t="shared" si="5"/>
        <v>200000</v>
      </c>
      <c r="M44" s="14">
        <v>2.664E7</v>
      </c>
      <c r="N44" s="14">
        <f>IF(B44=Calcoli!$A$2,Calcoli!$K$2,IF(B44=Calcoli!$A$3,Calcoli!$K$3,IF(B44=Calcoli!$A$4,Calcoli!$K$4,IF(B44=Calcoli!$A$5,Calcoli!$K$5,IF(B44=Calcoli!$A$6,Calcoli!$K$6,IF(B44=Calcoli!$A$7,Calcoli!$K$7,IF(B44=Calcoli!$A$8,Calcoli!$K$8,IF(B44=Calcoli!$A$9,Calcoli!$K$9,IF(B44=Calcoli!$A$10,Calcoli!$K$10,"Errore")))))))))</f>
        <v>263280000</v>
      </c>
      <c r="O44" s="18" t="s">
        <v>133</v>
      </c>
    </row>
    <row r="45">
      <c r="A45" s="16" t="s">
        <v>134</v>
      </c>
      <c r="B45" s="16">
        <v>10.0</v>
      </c>
      <c r="C45" s="17">
        <f>(10*(2545600/17760000))+(15*(1/11.11))+(25*(1/42.86))+(50*(1/50))+(100*(1/75))+(200*(1/218.18))+((500*(1/1000))+(1000*(1/17939.39))+(2000*(1/592000))+(5000*(1/740000))+(10000*(1/1480000))+(20000*(1/2220000))+(50000*(1/2960000))+(100000*(1/4440000))+(200000*(1/8880000))+(2000000*(1/8880000)))</f>
        <v>7.485576751</v>
      </c>
      <c r="D45" s="24">
        <f t="shared" si="1"/>
        <v>-2.514423249</v>
      </c>
      <c r="E45" s="9">
        <f t="shared" si="2"/>
        <v>-0.2514423249</v>
      </c>
      <c r="F45" s="9">
        <f>1-G45-(2545600/17760000)</f>
        <v>0.7044596651</v>
      </c>
      <c r="G45" s="9">
        <f>1/6.57</f>
        <v>0.1522070015</v>
      </c>
      <c r="H45" s="10">
        <f>((1/17939.39))+((1/592000))+((1/740000))+((1/1480000))+((1/2220000))+((1/2960000))+((1/4440000))+((1/8880000))+((1/8880000))</f>
        <v>0.00006069821044</v>
      </c>
      <c r="I45" s="10">
        <f>(1/1480000)+((1/2220000))+((1/2960000))+((1/4440000))+((1/8880000))+((1/8880000))</f>
        <v>0.000001914414414</v>
      </c>
      <c r="J45" s="11">
        <f>((1/4440000))+((1/8880000))+((1/8880000))</f>
        <v>0.0000004504504505</v>
      </c>
      <c r="K45" s="12">
        <v>2000000.0</v>
      </c>
      <c r="L45" s="13">
        <f t="shared" si="5"/>
        <v>200000</v>
      </c>
      <c r="M45" s="14">
        <v>1.776E7</v>
      </c>
      <c r="N45" s="14">
        <f>IF(B45=Calcoli!$A$2,Calcoli!$K$2,IF(B45=Calcoli!$A$3,Calcoli!$K$3,IF(B45=Calcoli!$A$4,Calcoli!$K$4,IF(B45=Calcoli!$A$5,Calcoli!$K$5,IF(B45=Calcoli!$A$6,Calcoli!$K$6,IF(B45=Calcoli!$A$7,Calcoli!$K$7,IF(B45=Calcoli!$A$8,Calcoli!$K$8,IF(B45=Calcoli!$A$9,Calcoli!$K$9,IF(B45=Calcoli!$A$10,Calcoli!$K$10,"Errore")))))))))</f>
        <v>263280000</v>
      </c>
      <c r="O45" s="15" t="s">
        <v>135</v>
      </c>
    </row>
    <row r="46">
      <c r="A46" s="16" t="s">
        <v>136</v>
      </c>
      <c r="B46" s="16">
        <v>10.0</v>
      </c>
      <c r="C46" s="17">
        <f>(10*(2534400/17280000))+(20*(1/14.29))+(30*(1/42.86))+(50*(1/50))+(100*(1/80))+(200*(1/266.67))+(500*(1/857.14))+(1000*(1/19200))+(5000*(1/432000))+(10000*(1/720000))+(20000*(1/1234285.71))+(100000*(1/4320000))+(2000000*(1/8640000))</f>
        <v>7.497905662</v>
      </c>
      <c r="D46" s="24">
        <f t="shared" si="1"/>
        <v>-2.502094338</v>
      </c>
      <c r="E46" s="9">
        <f t="shared" si="2"/>
        <v>-0.2502094338</v>
      </c>
      <c r="F46" s="9">
        <f>1-G46-(2534400/17280000)</f>
        <v>0.722443281</v>
      </c>
      <c r="G46" s="9">
        <f>1/7.64</f>
        <v>0.1308900524</v>
      </c>
      <c r="H46" s="10">
        <f>((1/19200))+((1/432000))+((1/720000))+((1/1234285.71))+((1/4320000))+((1/8640000))</f>
        <v>0.00005694444445</v>
      </c>
      <c r="I46" s="10">
        <f>((1/720000))+((1/1234285.71))+((1/4320000))+((1/8640000))</f>
        <v>0.000002546296299</v>
      </c>
      <c r="J46" s="11">
        <f>((1/4320000))+((1/8640000))</f>
        <v>0.0000003472222222</v>
      </c>
      <c r="K46" s="12">
        <v>2000000.0</v>
      </c>
      <c r="L46" s="13">
        <f t="shared" si="5"/>
        <v>200000</v>
      </c>
      <c r="M46" s="14">
        <v>1.728E7</v>
      </c>
      <c r="N46" s="14">
        <f>IF(B46=Calcoli!$A$2,Calcoli!$K$2,IF(B46=Calcoli!$A$3,Calcoli!$K$3,IF(B46=Calcoli!$A$4,Calcoli!$K$4,IF(B46=Calcoli!$A$5,Calcoli!$K$5,IF(B46=Calcoli!$A$6,Calcoli!$K$6,IF(B46=Calcoli!$A$7,Calcoli!$K$7,IF(B46=Calcoli!$A$8,Calcoli!$K$8,IF(B46=Calcoli!$A$9,Calcoli!$K$9,IF(B46=Calcoli!$A$10,Calcoli!$K$10,"Errore")))))))))</f>
        <v>263280000</v>
      </c>
      <c r="O46" s="18" t="s">
        <v>137</v>
      </c>
    </row>
    <row r="47">
      <c r="A47" s="16" t="s">
        <v>138</v>
      </c>
      <c r="B47" s="16">
        <v>10.0</v>
      </c>
      <c r="C47" s="17">
        <f>(10*(2476800/17280000))+(15*(1/14.29))+(30*(1/42.86))+(50*(1/50))+(100*(1/87.91))+(300*(1/244.9))+(500*(1/857.14))+(1000*(1/21600))+(3000*(1/172800))+(5000*(1/576000))+(10000*(1/1234285.71))+(30000*(1/1440000))+(100000*(1/2880000))+(2000000*(1/8640000))</f>
        <v>7.496300702</v>
      </c>
      <c r="D47" s="24">
        <f t="shared" si="1"/>
        <v>-2.503699298</v>
      </c>
      <c r="E47" s="9">
        <f t="shared" si="2"/>
        <v>-0.2503699298</v>
      </c>
      <c r="F47" s="9">
        <f>1-G47-(2476800/17280000)</f>
        <v>0.726627655</v>
      </c>
      <c r="G47" s="9">
        <f>1/7.69</f>
        <v>0.1300390117</v>
      </c>
      <c r="H47" s="10">
        <f>((1/21600))+((1/172800))+((1/576000))+((1/1234285.71))+((1/1440000))+((1/2880000))+((1/8640000))</f>
        <v>0.00005578703704</v>
      </c>
      <c r="I47" s="10">
        <f>((1/1234285.71))+((1/1440000))+((1/2880000))+((1/8640000))</f>
        <v>0.000001967592595</v>
      </c>
      <c r="J47" s="11">
        <f>(1/2880000)+((1/8640000))</f>
        <v>0.000000462962963</v>
      </c>
      <c r="K47" s="12">
        <v>2000000.0</v>
      </c>
      <c r="L47" s="13">
        <f t="shared" si="5"/>
        <v>200000</v>
      </c>
      <c r="M47" s="14">
        <v>1.728E7</v>
      </c>
      <c r="N47" s="14">
        <f>IF(B47=Calcoli!$A$2,Calcoli!$K$2,IF(B47=Calcoli!$A$3,Calcoli!$K$3,IF(B47=Calcoli!$A$4,Calcoli!$K$4,IF(B47=Calcoli!$A$5,Calcoli!$K$5,IF(B47=Calcoli!$A$6,Calcoli!$K$6,IF(B47=Calcoli!$A$7,Calcoli!$K$7,IF(B47=Calcoli!$A$8,Calcoli!$K$8,IF(B47=Calcoli!$A$9,Calcoli!$K$9,IF(B47=Calcoli!$A$10,Calcoli!$K$10,"Errore")))))))))</f>
        <v>263280000</v>
      </c>
      <c r="O47" s="18" t="s">
        <v>139</v>
      </c>
    </row>
    <row r="48">
      <c r="A48" s="16" t="s">
        <v>140</v>
      </c>
      <c r="B48" s="16">
        <v>10.0</v>
      </c>
      <c r="C48" s="17">
        <f>(10*(1894400/15360000))+(20*(1/12.5))+(25*(1/50))+(50*(1/54.55))+(100*(1/85.71))+(250*(1/235.29))+(500*(1/774.19))+(1000*(1/23630.77))+(2000*(1/256000))+(5000*(1/768000))+(10000*(1/1920000))+(50000*(1/2560000))+(100000*(1/3840000))+(2000000*(1/7680000))</f>
        <v>7.492842048</v>
      </c>
      <c r="D48" s="24">
        <f t="shared" si="1"/>
        <v>-2.507157952</v>
      </c>
      <c r="E48" s="9">
        <f t="shared" si="2"/>
        <v>-0.2507157952</v>
      </c>
      <c r="F48" s="9">
        <f>1-G48-(1894400/15360000)</f>
        <v>0.7411653117</v>
      </c>
      <c r="G48" s="9">
        <f>1/7.38</f>
        <v>0.135501355</v>
      </c>
      <c r="H48" s="10">
        <f>((1/23630.77))+((1/256000))+((1/768000))+((1/1920000))+((1/2560000))+((1/3840000))+((1/7680000))</f>
        <v>0.00004882812362</v>
      </c>
      <c r="I48" s="10">
        <f>((1/1920000))+((1/2560000))+((1/3840000))+((1/7680000))</f>
        <v>0.000001302083333</v>
      </c>
      <c r="J48" s="11">
        <f>((1/3840000))+((1/7680000))</f>
        <v>0.000000390625</v>
      </c>
      <c r="K48" s="12">
        <v>2000000.0</v>
      </c>
      <c r="L48" s="13">
        <f t="shared" si="5"/>
        <v>200000</v>
      </c>
      <c r="M48" s="14">
        <v>1.536E7</v>
      </c>
      <c r="N48" s="14">
        <f>IF(B48=Calcoli!$A$2,Calcoli!$K$2,IF(B48=Calcoli!$A$3,Calcoli!$K$3,IF(B48=Calcoli!$A$4,Calcoli!$K$4,IF(B48=Calcoli!$A$5,Calcoli!$K$5,IF(B48=Calcoli!$A$6,Calcoli!$K$6,IF(B48=Calcoli!$A$7,Calcoli!$K$7,IF(B48=Calcoli!$A$8,Calcoli!$K$8,IF(B48=Calcoli!$A$9,Calcoli!$K$9,IF(B48=Calcoli!$A$10,Calcoli!$K$10,"Errore")))))))))</f>
        <v>263280000</v>
      </c>
      <c r="O48" s="15" t="s">
        <v>141</v>
      </c>
    </row>
    <row r="49">
      <c r="A49" s="16" t="s">
        <v>142</v>
      </c>
      <c r="B49" s="16">
        <v>10.0</v>
      </c>
      <c r="C49" s="17">
        <f>(10*(2820800/19680000))+(20*(1/12.5))+(30*(1/30))+(50*(1/57.14))+(100*(1/129.73))+(150*(1/177.78))+(300*(1/634.92))+(500*(1/2400))+(1000*(1/32800))+(3000*(1/492000))+(10000*(1/984000))+(30000*(1/1230000))+(100000*(1/4920000))+(2000000*(1/9840000))</f>
        <v>7.498497519</v>
      </c>
      <c r="D49" s="24">
        <f t="shared" si="1"/>
        <v>-2.501502481</v>
      </c>
      <c r="E49" s="9">
        <f t="shared" si="2"/>
        <v>-0.2501502481</v>
      </c>
      <c r="F49" s="9">
        <f>1-G49-(2820800/19680000)</f>
        <v>0.7104678363</v>
      </c>
      <c r="G49" s="9">
        <f>1/6.84</f>
        <v>0.1461988304</v>
      </c>
      <c r="H49" s="10">
        <f>((1/32800))+((1/492000))+((1/984000))+((1/1230000))+((1/4920000))+((1/9840000))</f>
        <v>0.00003465447154</v>
      </c>
      <c r="I49" s="10">
        <f>((1/984000))+((1/1230000))+((1/4920000))+((1/9840000))</f>
        <v>0.000002134146341</v>
      </c>
      <c r="J49" s="11">
        <f>((1/4920000))+((1/9840000))</f>
        <v>0.0000003048780488</v>
      </c>
      <c r="K49" s="12">
        <v>2000000.0</v>
      </c>
      <c r="L49" s="13">
        <f t="shared" si="5"/>
        <v>200000</v>
      </c>
      <c r="M49" s="14">
        <v>1.968E7</v>
      </c>
      <c r="N49" s="14">
        <f>IF(B49=Calcoli!$A$2,Calcoli!$K$2,IF(B49=Calcoli!$A$3,Calcoli!$K$3,IF(B49=Calcoli!$A$4,Calcoli!$K$4,IF(B49=Calcoli!$A$5,Calcoli!$K$5,IF(B49=Calcoli!$A$6,Calcoli!$K$6,IF(B49=Calcoli!$A$7,Calcoli!$K$7,IF(B49=Calcoli!$A$8,Calcoli!$K$8,IF(B49=Calcoli!$A$9,Calcoli!$K$9,IF(B49=Calcoli!$A$10,Calcoli!$K$10,"Errore")))))))))</f>
        <v>263280000</v>
      </c>
      <c r="O49" s="18" t="s">
        <v>143</v>
      </c>
    </row>
    <row r="50">
      <c r="A50" s="16" t="s">
        <v>144</v>
      </c>
      <c r="B50" s="16">
        <v>10.0</v>
      </c>
      <c r="C50" s="17">
        <f>(10*(3508800/24480000))+(20*(1/11.11))+(50*(1/42.86))+(100*(1/78.02))+(200*(1/232.56))+(500*(1/800))+(1000*(1/37777.78))+(5000*(1/408000))+(10000*(1/1020000))+(50000*(1/2040000))+(100000*(1/8160000))+(2000000*(1/8160000))</f>
        <v>7.497210156</v>
      </c>
      <c r="D50" s="24">
        <f t="shared" si="1"/>
        <v>-2.502789844</v>
      </c>
      <c r="E50" s="9">
        <f t="shared" si="2"/>
        <v>-0.2502789844</v>
      </c>
      <c r="F50" s="9">
        <f>1-G50-(3508800/24480000)</f>
        <v>0.724914361</v>
      </c>
      <c r="G50" s="9">
        <f>1/7.59</f>
        <v>0.1317523057</v>
      </c>
      <c r="H50" s="10">
        <f>((1/37777.78))+((1/408000))+((1/1020000))+((1/2040000))+((1/8160000))+((1/8160000))</f>
        <v>0.00003063725334</v>
      </c>
      <c r="I50" s="10">
        <f>((1/1020000))+((1/2040000))+((1/8160000))+((1/8160000))</f>
        <v>0.000001715686275</v>
      </c>
      <c r="J50" s="11">
        <f>((1/8160000))+((1/8160000))</f>
        <v>0.0000002450980392</v>
      </c>
      <c r="K50" s="12">
        <v>2000000.0</v>
      </c>
      <c r="L50" s="13">
        <f t="shared" si="5"/>
        <v>200000</v>
      </c>
      <c r="M50" s="14">
        <v>2.448E7</v>
      </c>
      <c r="N50" s="14">
        <f>IF(B50=Calcoli!$A$2,Calcoli!$K$2,IF(B50=Calcoli!$A$3,Calcoli!$K$3,IF(B50=Calcoli!$A$4,Calcoli!$K$4,IF(B50=Calcoli!$A$5,Calcoli!$K$5,IF(B50=Calcoli!$A$6,Calcoli!$K$6,IF(B50=Calcoli!$A$7,Calcoli!$K$7,IF(B50=Calcoli!$A$8,Calcoli!$K$8,IF(B50=Calcoli!$A$9,Calcoli!$K$9,IF(B50=Calcoli!$A$10,Calcoli!$K$10,"Errore")))))))))</f>
        <v>263280000</v>
      </c>
      <c r="O50" s="18" t="s">
        <v>145</v>
      </c>
    </row>
    <row r="51">
      <c r="A51" s="16" t="s">
        <v>146</v>
      </c>
      <c r="B51" s="16">
        <v>10.0</v>
      </c>
      <c r="C51" s="17">
        <f>(10*(1267200/8640000))+(20*(1/14.29))+(25*(1/33.33))+(30*(1/42.86))+(50*(1/50))+(100*(1/83.62))+(200*(1/1230.77))+(500*(1/3000))+(1000*(1/216000))+(5000*(1/864000))+(10000*(1/1080000))+(50000*(1/1440000))+(200000*(1/2160000))+(2000000*(1/4320000))</f>
        <v>7.451281557</v>
      </c>
      <c r="D51" s="24">
        <f t="shared" si="1"/>
        <v>-2.548718443</v>
      </c>
      <c r="E51" s="9">
        <f t="shared" si="2"/>
        <v>-0.2548718443</v>
      </c>
      <c r="F51" s="9">
        <f>1-G51-(1267200/8640000)</f>
        <v>0.6968388106</v>
      </c>
      <c r="G51" s="9">
        <f>1/6.39</f>
        <v>0.1564945227</v>
      </c>
      <c r="H51" s="10">
        <f>((1/216000))+((1/864000))+((1/1080000))+((1/1440000))+((1/2160000))+((1/4320000))</f>
        <v>0.000008101851852</v>
      </c>
      <c r="I51" s="10">
        <f>((1/1080000))+((1/1440000))+((1/2160000))+((1/4320000))</f>
        <v>0.000002314814815</v>
      </c>
      <c r="J51" s="11">
        <f>((1/2160000))+((1/4320000))</f>
        <v>0.0000006944444444</v>
      </c>
      <c r="K51" s="12">
        <v>2000000.0</v>
      </c>
      <c r="L51" s="13">
        <f t="shared" si="5"/>
        <v>200000</v>
      </c>
      <c r="M51" s="14">
        <v>8640000.0</v>
      </c>
      <c r="N51" s="14">
        <f>IF(B51=Calcoli!$A$2,Calcoli!$K$2,IF(B51=Calcoli!$A$3,Calcoli!$K$3,IF(B51=Calcoli!$A$4,Calcoli!$K$4,IF(B51=Calcoli!$A$5,Calcoli!$K$5,IF(B51=Calcoli!$A$6,Calcoli!$K$6,IF(B51=Calcoli!$A$7,Calcoli!$K$7,IF(B51=Calcoli!$A$8,Calcoli!$K$8,IF(B51=Calcoli!$A$9,Calcoli!$K$9,IF(B51=Calcoli!$A$10,Calcoli!$K$10,"Errore")))))))))</f>
        <v>263280000</v>
      </c>
      <c r="O51" s="18" t="s">
        <v>147</v>
      </c>
    </row>
    <row r="52">
      <c r="A52" s="16" t="s">
        <v>148</v>
      </c>
      <c r="B52" s="16">
        <v>10.0</v>
      </c>
      <c r="C52" s="17">
        <f>(10*(1224000/8160000))+(20*(1/10.71))+(30*(1/27.27))+(50*(1/50))+(100*(1/89.55))+(200*(1/1714.29))+(500*(1/4800))+(1000*(1/240000))+(5000*(1/816000))+(10000*(1/1020000))+(50000*(1/1360000))+(200000*(1/2040000))+(2000000*(1/4080000))</f>
        <v>7.450149308</v>
      </c>
      <c r="D52" s="24">
        <f t="shared" si="1"/>
        <v>-2.549850692</v>
      </c>
      <c r="E52" s="9">
        <f t="shared" si="2"/>
        <v>-0.2549850692</v>
      </c>
      <c r="F52" s="9">
        <f>1-G52-(1224000/8160000)</f>
        <v>0.6879254457</v>
      </c>
      <c r="G52" s="9">
        <f>1/6.17</f>
        <v>0.1620745543</v>
      </c>
      <c r="H52" s="10">
        <f>((1/240000))+((1/816000))+((1/1020000))+((1/1360000))+((1/2040000))+((1/4080000))</f>
        <v>0.000007843137255</v>
      </c>
      <c r="I52" s="10">
        <f>(1/1020000)+((1/1360000))+((1/2040000))+((1/4080000))</f>
        <v>0.000002450980392</v>
      </c>
      <c r="J52" s="11">
        <f>((1/2040000))+((1/4080000))</f>
        <v>0.0000007352941176</v>
      </c>
      <c r="K52" s="12">
        <v>2000000.0</v>
      </c>
      <c r="L52" s="13">
        <f t="shared" si="5"/>
        <v>200000</v>
      </c>
      <c r="M52" s="14">
        <v>8160000.0</v>
      </c>
      <c r="N52" s="14">
        <f>IF(B52=Calcoli!$A$2,Calcoli!$K$2,IF(B52=Calcoli!$A$3,Calcoli!$K$3,IF(B52=Calcoli!$A$4,Calcoli!$K$4,IF(B52=Calcoli!$A$5,Calcoli!$K$5,IF(B52=Calcoli!$A$6,Calcoli!$K$6,IF(B52=Calcoli!$A$7,Calcoli!$K$7,IF(B52=Calcoli!$A$8,Calcoli!$K$8,IF(B52=Calcoli!$A$9,Calcoli!$K$9,IF(B52=Calcoli!$A$10,Calcoli!$K$10,"Errore")))))))))</f>
        <v>263280000</v>
      </c>
      <c r="O52" s="18" t="s">
        <v>149</v>
      </c>
    </row>
    <row r="53">
      <c r="A53" s="16" t="s">
        <v>150</v>
      </c>
      <c r="B53" s="16">
        <v>10.0</v>
      </c>
      <c r="C53" s="17">
        <f>(10*(1169600/8160000))+(20*(1/13.76))+(25*(1/37.5))+(50*(1/42.86))+(100*(1/50))+(500*(1/3000))+(1000*(1/272000))+(5000*(1/816000))+(10000*(1/2040000))+(50000*(1/2720000))+(100000*(1/2720000))+(2000000*(1/4080000))</f>
        <v>7.446792952</v>
      </c>
      <c r="D53" s="24">
        <f t="shared" si="1"/>
        <v>-2.553207048</v>
      </c>
      <c r="E53" s="9">
        <f t="shared" si="2"/>
        <v>-0.2553207048</v>
      </c>
      <c r="F53" s="9">
        <f>1-G53-(1169600/8160000)</f>
        <v>0.7136051502</v>
      </c>
      <c r="G53" s="9">
        <f>1/6.99</f>
        <v>0.1430615165</v>
      </c>
      <c r="H53" s="10">
        <f>((1/272000))+((1/816000))+((1/2040000))+((1/2720000))+((1/2720000))+((1/4080000))</f>
        <v>0.00000637254902</v>
      </c>
      <c r="I53" s="10">
        <f>((1/2040000))+((1/2720000))+((1/2720000))+((1/4080000))</f>
        <v>0.000001470588235</v>
      </c>
      <c r="J53" s="11">
        <f>(1/2720000)+((1/4080000))</f>
        <v>0.000000612745098</v>
      </c>
      <c r="K53" s="12">
        <v>2000000.0</v>
      </c>
      <c r="L53" s="13">
        <f t="shared" si="5"/>
        <v>200000</v>
      </c>
      <c r="M53" s="14">
        <v>8160000.0</v>
      </c>
      <c r="N53" s="14">
        <f>IF(B53=Calcoli!$A$2,Calcoli!$K$2,IF(B53=Calcoli!$A$3,Calcoli!$K$3,IF(B53=Calcoli!$A$4,Calcoli!$K$4,IF(B53=Calcoli!$A$5,Calcoli!$K$5,IF(B53=Calcoli!$A$6,Calcoli!$K$6,IF(B53=Calcoli!$A$7,Calcoli!$K$7,IF(B53=Calcoli!$A$8,Calcoli!$K$8,IF(B53=Calcoli!$A$9,Calcoli!$K$9,IF(B53=Calcoli!$A$10,Calcoli!$K$10,"Errore")))))))))</f>
        <v>263280000</v>
      </c>
      <c r="O53" s="18" t="s">
        <v>151</v>
      </c>
    </row>
    <row r="54">
      <c r="A54" s="16" t="s">
        <v>152</v>
      </c>
      <c r="B54" s="12">
        <v>10.0</v>
      </c>
      <c r="C54" s="24">
        <f>(10*(1307200/9120000))+(20*(1/13.64))+(25*(1/37.5))+(50*(1/42.86))+(100*(1/50))+(200*(1/2790.7))+(500*(1/3076.92))+(1000*(1/304000))+(5000*(1/760000))+(10000*(1/1520000))+(50000*(1/2280000))+(100000*(1/2280000))+(2000000*(1/4560000))</f>
        <v>7.487864657</v>
      </c>
      <c r="D54" s="24">
        <f t="shared" si="1"/>
        <v>-2.512135343</v>
      </c>
      <c r="E54" s="9">
        <f t="shared" si="2"/>
        <v>-0.2512135343</v>
      </c>
      <c r="F54" s="9">
        <f>1-G54-(1307200/9120000)</f>
        <v>0.7125744476</v>
      </c>
      <c r="G54" s="9">
        <f>1/6.94</f>
        <v>0.144092219</v>
      </c>
      <c r="H54" s="10">
        <f>(1/304000)+((1/760000))+((1/1520000))+((1/2280000))+((1/2280000))+((1/4560000))</f>
        <v>0.000006359649123</v>
      </c>
      <c r="I54" s="10">
        <f>((1/1520000))+((1/2280000))+((1/2280000))+((1/4560000))</f>
        <v>0.000001754385965</v>
      </c>
      <c r="J54" s="11">
        <f>((1/2280000))+((1/4560000))</f>
        <v>0.0000006578947368</v>
      </c>
      <c r="K54" s="12">
        <v>2000000.0</v>
      </c>
      <c r="L54" s="13">
        <f t="shared" si="5"/>
        <v>200000</v>
      </c>
      <c r="M54" s="14">
        <v>9120000.0</v>
      </c>
      <c r="N54" s="14">
        <f>IF(B54=Calcoli!$A$2,Calcoli!$K$2,IF(B54=Calcoli!$A$3,Calcoli!$K$3,IF(B54=Calcoli!$A$4,Calcoli!$K$4,IF(B54=Calcoli!$A$5,Calcoli!$K$5,IF(B54=Calcoli!$A$6,Calcoli!$K$6,IF(B54=Calcoli!$A$7,Calcoli!$K$7,IF(B54=Calcoli!$A$8,Calcoli!$K$8,IF(B54=Calcoli!$A$9,Calcoli!$K$9,IF(B54=Calcoli!$A$10,Calcoli!$K$10,"Errore")))))))))</f>
        <v>263280000</v>
      </c>
      <c r="O54" s="18" t="s">
        <v>153</v>
      </c>
    </row>
    <row r="55">
      <c r="A55" s="16" t="s">
        <v>154</v>
      </c>
      <c r="B55" s="16">
        <v>10.0</v>
      </c>
      <c r="C55" s="17">
        <f>(50*(1/10.53))+(100*(1/37.04))</f>
        <v>7.448122099</v>
      </c>
      <c r="D55" s="24">
        <f t="shared" si="1"/>
        <v>-2.551877901</v>
      </c>
      <c r="E55" s="9">
        <f t="shared" si="2"/>
        <v>-0.2551877901</v>
      </c>
      <c r="F55" s="9">
        <f t="shared" ref="F55:F56" si="16">1-G55</f>
        <v>0.8780487805</v>
      </c>
      <c r="G55" s="9">
        <f>1/8.2</f>
        <v>0.1219512195</v>
      </c>
      <c r="H55" s="25">
        <v>0.0</v>
      </c>
      <c r="I55" s="25">
        <v>0.0</v>
      </c>
      <c r="J55" s="25">
        <v>0.0</v>
      </c>
      <c r="K55" s="12">
        <v>100.0</v>
      </c>
      <c r="L55" s="13">
        <f t="shared" si="5"/>
        <v>10</v>
      </c>
      <c r="M55" s="14">
        <v>6240000.0</v>
      </c>
      <c r="N55" s="14">
        <f>IF(B55=Calcoli!$A$2,Calcoli!$K$2,IF(B55=Calcoli!$A$3,Calcoli!$K$3,IF(B55=Calcoli!$A$4,Calcoli!$K$4,IF(B55=Calcoli!$A$5,Calcoli!$K$5,IF(B55=Calcoli!$A$6,Calcoli!$K$6,IF(B55=Calcoli!$A$7,Calcoli!$K$7,IF(B55=Calcoli!$A$8,Calcoli!$K$8,IF(B55=Calcoli!$A$9,Calcoli!$K$9,IF(B55=Calcoli!$A$10,Calcoli!$K$10,"Errore")))))))))</f>
        <v>263280000</v>
      </c>
      <c r="O55" s="18" t="s">
        <v>155</v>
      </c>
    </row>
    <row r="56">
      <c r="A56" s="7" t="s">
        <v>156</v>
      </c>
      <c r="B56" s="7">
        <v>15.0</v>
      </c>
      <c r="C56" s="8">
        <f>(25*(1/6.9))+(40*(1/28.57))+(50*(1/33.33))+(100*(1/66.57))+(150*(1/141.18))+(250*(1/400))+(500*(1/600))+(1000*(1/10666.67))+(5000*(1/480000))+(10000*(1/1200000))+(50000*(1/2400000))+(100000*(1/3200000))+(3000000*(1/9600000))</f>
        <v>11.02347666</v>
      </c>
      <c r="D56" s="19">
        <f t="shared" si="1"/>
        <v>-3.976523342</v>
      </c>
      <c r="E56" s="9">
        <f t="shared" si="2"/>
        <v>-0.2651015561</v>
      </c>
      <c r="F56" s="9">
        <f t="shared" si="16"/>
        <v>0.7635933806</v>
      </c>
      <c r="G56" s="9">
        <f>1/4.23</f>
        <v>0.2364066194</v>
      </c>
      <c r="H56" s="10">
        <f>(1/10666.67)+((1/480000))+((1/1200000))+((1/2400000))+((1/3200000))+((1/9600000))</f>
        <v>0.0000974999707</v>
      </c>
      <c r="I56" s="10">
        <f>((1/1200000))+((1/2400000))+((1/3200000))+((1/9600000))</f>
        <v>0.000001666666667</v>
      </c>
      <c r="J56" s="11">
        <f>(1/3200000)+((1/9600000))</f>
        <v>0.0000004166666667</v>
      </c>
      <c r="K56" s="12">
        <v>3000000.0</v>
      </c>
      <c r="L56" s="13">
        <f t="shared" si="5"/>
        <v>200000</v>
      </c>
      <c r="M56" s="14">
        <v>1.92E7</v>
      </c>
      <c r="N56" s="14">
        <f>IF(B56=Calcoli!$A$2,Calcoli!$K$2,IF(B56=Calcoli!$A$3,Calcoli!$K$3,IF(B56=Calcoli!$A$4,Calcoli!$K$4,IF(B56=Calcoli!$A$5,Calcoli!$K$5,IF(B56=Calcoli!$A$6,Calcoli!$K$6,IF(B56=Calcoli!$A$7,Calcoli!$K$7,IF(B56=Calcoli!$A$8,Calcoli!$K$8,IF(B56=Calcoli!$A$9,Calcoli!$K$9,IF(B56=Calcoli!$A$10,Calcoli!$K$10,"Errore")))))))))</f>
        <v>19200000</v>
      </c>
      <c r="O56" s="18" t="s">
        <v>157</v>
      </c>
    </row>
    <row r="57">
      <c r="A57" s="16" t="s">
        <v>158</v>
      </c>
      <c r="B57" s="16">
        <v>20.0</v>
      </c>
      <c r="C57" s="17">
        <f>(20*(4368000/20160000))+(50*(1/12.5))+(100*(1/53.93))+(200*(1/109.59))+(500*(1/190.48))+(1000*(1/750))+(2000*(1/24466.02))+(5000*(1/840000))+(10000*(1/1120000))+(50000*(1/1680000))+(100000*(1/3360000))+(500000*(1/10080000))+(1000000*(1/10080000))+(5000000*(1/10080000))</f>
        <v>16.77184578</v>
      </c>
      <c r="D57" s="24">
        <f t="shared" si="1"/>
        <v>-3.228154223</v>
      </c>
      <c r="E57" s="9">
        <f t="shared" si="2"/>
        <v>-0.1614077111</v>
      </c>
      <c r="F57" s="9">
        <f>1-G57-(4368000/20160000)</f>
        <v>0.669047619</v>
      </c>
      <c r="G57" s="9">
        <f>1/8.75</f>
        <v>0.1142857143</v>
      </c>
      <c r="H57" s="10">
        <f>((1/750))+((1/24466.02))+((1/840000))+((1/1120000))+((1/1680000))+((1/3360000))+((1/10080000))+((1/10080000))+((1/10080000))</f>
        <v>0.001377480158</v>
      </c>
      <c r="I57" s="10">
        <f>((1/1120000))+((1/1680000))+((1/3360000))+((1/10080000))+((1/10080000))+((1/10080000))</f>
        <v>0.000002083333333</v>
      </c>
      <c r="J57" s="11">
        <f>((1/3360000))+((1/10080000))+((1/10080000))+(1/10080000)</f>
        <v>0.0000005952380952</v>
      </c>
      <c r="K57" s="12">
        <v>5000000.0</v>
      </c>
      <c r="L57" s="13">
        <f t="shared" si="5"/>
        <v>250000</v>
      </c>
      <c r="M57" s="14">
        <v>2.016E7</v>
      </c>
      <c r="N57" s="14">
        <f>IF(B57=Calcoli!$A$2,Calcoli!$K$2,IF(B57=Calcoli!$A$3,Calcoli!$K$3,IF(B57=Calcoli!$A$4,Calcoli!$K$4,IF(B57=Calcoli!$A$5,Calcoli!$K$5,IF(B57=Calcoli!$A$6,Calcoli!$K$6,IF(B57=Calcoli!$A$7,Calcoli!$K$7,IF(B57=Calcoli!$A$8,Calcoli!$K$8,IF(B57=Calcoli!$A$9,Calcoli!$K$9,IF(B57=Calcoli!$A$10,Calcoli!$K$10,"Errore")))))))))</f>
        <v>137760000</v>
      </c>
      <c r="O57" s="18" t="s">
        <v>159</v>
      </c>
    </row>
    <row r="58">
      <c r="A58" s="16" t="s">
        <v>160</v>
      </c>
      <c r="B58" s="16">
        <v>20.0</v>
      </c>
      <c r="C58" s="17">
        <f>(20*(7488000/37440000))+(40*(1/15))+(50*(1/34.09))+(100*(1/46.15))+(200*(1/109.09))+(500*(1/150))+(1000*(1/1500))+(10000*(1/176603.77))+(50000*(1/936000))+(100000*(1/9360000))+(2000000*(1/9360000))+(5000000*(1/9360000))</f>
        <v>17.00215804</v>
      </c>
      <c r="D58" s="24">
        <f t="shared" si="1"/>
        <v>-2.997841961</v>
      </c>
      <c r="E58" s="9">
        <f t="shared" si="2"/>
        <v>-0.1498920981</v>
      </c>
      <c r="F58" s="9">
        <f>1-G58-(7488000/37440000)</f>
        <v>0.6657718121</v>
      </c>
      <c r="G58" s="9">
        <f>1/7.45</f>
        <v>0.1342281879</v>
      </c>
      <c r="H58" s="10">
        <f>((1/1500))+((1/176603.77))+((1/936000))+((1/9360000))+((1/9360000))+((1/9360000))</f>
        <v>0.0006737179488</v>
      </c>
      <c r="I58" s="10">
        <f>((1/176603.77))+((1/936000))+((1/9360000))+((1/9360000))+((1/9360000))</f>
        <v>0.000007051282166</v>
      </c>
      <c r="J58" s="11">
        <f>((1/9360000))+((1/9360000))+((1/9360000))</f>
        <v>0.0000003205128205</v>
      </c>
      <c r="K58" s="12">
        <v>5000000.0</v>
      </c>
      <c r="L58" s="13">
        <f t="shared" si="5"/>
        <v>250000</v>
      </c>
      <c r="M58" s="14">
        <v>3.744E7</v>
      </c>
      <c r="N58" s="14">
        <f>IF(B58=Calcoli!$A$2,Calcoli!$K$2,IF(B58=Calcoli!$A$3,Calcoli!$K$3,IF(B58=Calcoli!$A$4,Calcoli!$K$4,IF(B58=Calcoli!$A$5,Calcoli!$K$5,IF(B58=Calcoli!$A$6,Calcoli!$K$6,IF(B58=Calcoli!$A$7,Calcoli!$K$7,IF(B58=Calcoli!$A$8,Calcoli!$K$8,IF(B58=Calcoli!$A$9,Calcoli!$K$9,IF(B58=Calcoli!$A$10,Calcoli!$K$10,"Errore")))))))))</f>
        <v>137760000</v>
      </c>
      <c r="O58" s="18" t="s">
        <v>161</v>
      </c>
    </row>
    <row r="59">
      <c r="A59" s="16" t="s">
        <v>162</v>
      </c>
      <c r="B59" s="16">
        <v>20.0</v>
      </c>
      <c r="C59" s="17">
        <f>(20*(6988800/37440000))+(40*(1/14.29))+(50*(1/33.33))+(100*(1/42.86))+(200*(1/109.09))+(500*(1/150))+(1000*(1/1500))+(10000*(1/312000))+(20000*(1/1336666.67))+(50000*(1/2080000))+(100000*(1/12480000))+(2000000*(1/12480000))+(5000000*(1/12480000))</f>
        <v>16.83913259</v>
      </c>
      <c r="D59" s="24">
        <f t="shared" si="1"/>
        <v>-3.160867407</v>
      </c>
      <c r="E59" s="9">
        <f t="shared" si="2"/>
        <v>-0.1580433703</v>
      </c>
      <c r="F59" s="9">
        <f>1-G59-(6988800/37440000)</f>
        <v>0.6734731935</v>
      </c>
      <c r="G59" s="9">
        <f>1/7.15</f>
        <v>0.1398601399</v>
      </c>
      <c r="H59" s="10">
        <f>((1/1500))+((1/312000))+((1/1336666.67))+((1/2080000))+((1/12480000))+((1/12480000))+((1/12480000))</f>
        <v>0.0006713410784</v>
      </c>
      <c r="I59" s="10">
        <f>((1/312000))+((1/1336666.67))+((1/2080000))+((1/12480000))+((1/12480000))+((1/12480000))</f>
        <v>0.000004674411725</v>
      </c>
      <c r="J59" s="11">
        <f>((1/12480000))+((1/12480000))+((1/12480000))</f>
        <v>0.0000002403846154</v>
      </c>
      <c r="K59" s="12">
        <v>5000000.0</v>
      </c>
      <c r="L59" s="13">
        <f t="shared" si="5"/>
        <v>250000</v>
      </c>
      <c r="M59" s="14">
        <v>3.744E7</v>
      </c>
      <c r="N59" s="14">
        <f>IF(B59=Calcoli!$A$2,Calcoli!$K$2,IF(B59=Calcoli!$A$3,Calcoli!$K$3,IF(B59=Calcoli!$A$4,Calcoli!$K$4,IF(B59=Calcoli!$A$5,Calcoli!$K$5,IF(B59=Calcoli!$A$6,Calcoli!$K$6,IF(B59=Calcoli!$A$7,Calcoli!$K$7,IF(B59=Calcoli!$A$8,Calcoli!$K$8,IF(B59=Calcoli!$A$9,Calcoli!$K$9,IF(B59=Calcoli!$A$10,Calcoli!$K$10,"Errore")))))))))</f>
        <v>137760000</v>
      </c>
      <c r="O59" s="18" t="s">
        <v>163</v>
      </c>
    </row>
    <row r="60">
      <c r="A60" s="16" t="s">
        <v>164</v>
      </c>
      <c r="B60" s="16">
        <v>20.0</v>
      </c>
      <c r="C60" s="17">
        <f>(20*(4416000/22080000))+(25*(1/2400))+(30*(1/15))+(50*(1/25))+(100*(1/50))+(300*(1/116.11))+(500*(1/240))+(1000*(1/3000))+(3000*(1/368000))+(5000*(1/1226666.67))+(10000*(1/1380000))+(30000*(1/1840000))+(100000*(1/5520000))+(500000*(1/5520000))+(5000000*(1/11040000))</f>
        <v>15.6082133</v>
      </c>
      <c r="D60" s="24">
        <f t="shared" si="1"/>
        <v>-4.391786696</v>
      </c>
      <c r="E60" s="9">
        <f t="shared" si="2"/>
        <v>-0.2195893348</v>
      </c>
      <c r="F60" s="9">
        <f>1-G60-(4416000/22080000)</f>
        <v>0.6597475456</v>
      </c>
      <c r="G60" s="9">
        <f>1/7.13</f>
        <v>0.1402524544</v>
      </c>
      <c r="H60" s="10">
        <f>((1/3000))+((1/368000))+((1/1226666.67))+((1/1380000))+((1/1840000))+((1/5520000))+((1/5520000))+((1/11040000))</f>
        <v>0.0003385869565</v>
      </c>
      <c r="I60" s="10">
        <f>((1/1380000))+((1/1840000))+((1/5520000))+((1/5520000))+((1/11040000))</f>
        <v>0.000001721014493</v>
      </c>
      <c r="J60" s="11">
        <f>((1/5520000))+((1/5520000))+((1/11040000))</f>
        <v>0.0000004528985507</v>
      </c>
      <c r="K60" s="12">
        <v>5000000.0</v>
      </c>
      <c r="L60" s="13">
        <f t="shared" si="5"/>
        <v>250000</v>
      </c>
      <c r="M60" s="14">
        <v>2.208E7</v>
      </c>
      <c r="N60" s="14">
        <f>IF(B60=Calcoli!$A$2,Calcoli!$K$2,IF(B60=Calcoli!$A$3,Calcoli!$K$3,IF(B60=Calcoli!$A$4,Calcoli!$K$4,IF(B60=Calcoli!$A$5,Calcoli!$K$5,IF(B60=Calcoli!$A$6,Calcoli!$K$6,IF(B60=Calcoli!$A$7,Calcoli!$K$7,IF(B60=Calcoli!$A$8,Calcoli!$K$8,IF(B60=Calcoli!$A$9,Calcoli!$K$9,IF(B60=Calcoli!$A$10,Calcoli!$K$10,"Errore")))))))))</f>
        <v>137760000</v>
      </c>
      <c r="O60" s="18" t="s">
        <v>165</v>
      </c>
    </row>
    <row r="61">
      <c r="A61" s="16" t="s">
        <v>166</v>
      </c>
      <c r="B61" s="16">
        <v>20.0</v>
      </c>
      <c r="C61" s="17">
        <f>(20*(3302400/20640000))+(40*(1/10))+(50*(1/37.5))+(100*(1/50))+(200*(1/136.36))+(250*(1/1200))+(500*(1/200))+(1000*(1/4000))+(2000*(1/41280))+(5000*(1/412800))+(10000*(1/1290000))+(20000*(1/2064000))+(50000*(1/3440000))+(100000*(1/5160000))+(200000*(1/5160000))+(5000000*(1/10320000))</f>
        <v>15.59354686</v>
      </c>
      <c r="D61" s="24">
        <f t="shared" si="1"/>
        <v>-4.406453136</v>
      </c>
      <c r="E61" s="9">
        <f t="shared" si="2"/>
        <v>-0.2203226568</v>
      </c>
      <c r="F61" s="9">
        <f>1-G61-(3302400/20640000)</f>
        <v>0.68</v>
      </c>
      <c r="G61" s="9">
        <f>1/6.25</f>
        <v>0.16</v>
      </c>
      <c r="H61" s="10">
        <f>((1/4000))+((1/41280))+((1/412800))+((1/1290000))+((1/2064000))+((1/3440000))+((1/5160000))+((1/5160000))+((1/10320000))</f>
        <v>0.0002786821705</v>
      </c>
      <c r="I61" s="10">
        <f>((1/1290000))+((1/2064000))+((1/3440000))+((1/5160000))+((1/5160000))+((1/10320000))</f>
        <v>0.000002034883721</v>
      </c>
      <c r="J61" s="11">
        <f>((1/5160000))+((1/5160000))+((1/10320000))</f>
        <v>0.000000484496124</v>
      </c>
      <c r="K61" s="12">
        <v>5000000.0</v>
      </c>
      <c r="L61" s="13">
        <f t="shared" si="5"/>
        <v>250000</v>
      </c>
      <c r="M61" s="14">
        <v>2.064E7</v>
      </c>
      <c r="N61" s="14">
        <f>IF(B61=Calcoli!$A$2,Calcoli!$K$2,IF(B61=Calcoli!$A$3,Calcoli!$K$3,IF(B61=Calcoli!$A$4,Calcoli!$K$4,IF(B61=Calcoli!$A$5,Calcoli!$K$5,IF(B61=Calcoli!$A$6,Calcoli!$K$6,IF(B61=Calcoli!$A$7,Calcoli!$K$7,IF(B61=Calcoli!$A$8,Calcoli!$K$8,IF(B61=Calcoli!$A$9,Calcoli!$K$9,IF(B61=Calcoli!$A$10,Calcoli!$K$10,"Errore")))))))))</f>
        <v>137760000</v>
      </c>
      <c r="O61" s="18" t="s">
        <v>167</v>
      </c>
    </row>
    <row r="62">
      <c r="A62" s="7" t="s">
        <v>168</v>
      </c>
      <c r="B62" s="7">
        <v>25.0</v>
      </c>
      <c r="C62" s="8">
        <f>(40*(1/7.5))+(50*(1/17.14))+(75*(1/52.75))+(100*(1/55.81))+(200*(1/120))+(250*(1/387.1))+(400*(1/480))+(500*(1/171.43))+(1000*(1/1947.83))+(2000*(1/48000))+(10000*(1/840000))+(50000*(1/1680000))+(100000*(1/3360000))+(6000000*(1/10080000))</f>
        <v>18.7482762</v>
      </c>
      <c r="D62" s="19">
        <f t="shared" si="1"/>
        <v>-6.251723803</v>
      </c>
      <c r="E62" s="9">
        <f t="shared" si="2"/>
        <v>-0.2500689521</v>
      </c>
      <c r="F62" s="9">
        <f t="shared" ref="F62:F63" si="17">1-G62</f>
        <v>0.7518610422</v>
      </c>
      <c r="G62" s="9">
        <f>1/4.03</f>
        <v>0.2481389578</v>
      </c>
      <c r="H62" s="10">
        <f>((1/1947.83))+((1/48000))+((1/840000))+((1/1680000))+((1/3360000))+((1/10080000))</f>
        <v>0.0005364076988</v>
      </c>
      <c r="I62" s="10">
        <f>((1/840000))+((1/1680000))+((1/3360000))+((1/10080000))</f>
        <v>0.000002182539683</v>
      </c>
      <c r="J62" s="11">
        <f>((1/3360000))+((1/10080000))</f>
        <v>0.0000003968253968</v>
      </c>
      <c r="K62" s="12">
        <v>6000000.0</v>
      </c>
      <c r="L62" s="13">
        <f t="shared" si="5"/>
        <v>240000</v>
      </c>
      <c r="M62" s="14">
        <v>2.016E7</v>
      </c>
      <c r="N62" s="14">
        <f>IF(B62=Calcoli!$A$2,Calcoli!$K$2,IF(B62=Calcoli!$A$3,Calcoli!$K$3,IF(B62=Calcoli!$A$4,Calcoli!$K$4,IF(B62=Calcoli!$A$5,Calcoli!$K$5,IF(B62=Calcoli!$A$6,Calcoli!$K$6,IF(B62=Calcoli!$A$7,Calcoli!$K$7,IF(B62=Calcoli!$A$8,Calcoli!$K$8,IF(B62=Calcoli!$A$9,Calcoli!$K$9,IF(B62=Calcoli!$A$10,Calcoli!$K$10,"Errore")))))))))</f>
        <v>40320000</v>
      </c>
      <c r="O62" s="18" t="s">
        <v>169</v>
      </c>
    </row>
    <row r="63">
      <c r="A63" s="7" t="s">
        <v>170</v>
      </c>
      <c r="B63" s="7">
        <v>25.0</v>
      </c>
      <c r="C63" s="8">
        <f>(40*(1/7.06))+(50*(1/12))+(100*(1/30))+(200*(1/101.18))+(300*(1/512.82))+(500*(1/190.48))+(1000*(1/2240))+(2000*(1/100800))+(10000*(1/916363.64))+(50000*(1/1440000))+(100000*(1/2520000))+(6000000*(1/10080000))</f>
        <v>19.49917109</v>
      </c>
      <c r="D63" s="19">
        <f t="shared" si="1"/>
        <v>-5.500828905</v>
      </c>
      <c r="E63" s="9">
        <f t="shared" si="2"/>
        <v>-0.2200331562</v>
      </c>
      <c r="F63" s="9">
        <f t="shared" si="17"/>
        <v>0.7237569061</v>
      </c>
      <c r="G63" s="9">
        <f>1/3.62</f>
        <v>0.2762430939</v>
      </c>
      <c r="H63" s="10">
        <f>((1/2240))+((1/100800))+((1/916363.64))+((1/1440000))+((1/2520000))+((1/10080000))</f>
        <v>0.0004586309524</v>
      </c>
      <c r="I63" s="10">
        <f>((1/916363.64))+((1/1440000))+((1/2520000))+((1/10080000))</f>
        <v>0.000002281746027</v>
      </c>
      <c r="J63" s="11">
        <f>((1/2520000))+((1/10080000))</f>
        <v>0.000000496031746</v>
      </c>
      <c r="K63" s="12">
        <v>6000000.0</v>
      </c>
      <c r="L63" s="13">
        <f t="shared" si="5"/>
        <v>240000</v>
      </c>
      <c r="M63" s="14">
        <v>2.016E7</v>
      </c>
      <c r="N63" s="14">
        <f>IF(B63=Calcoli!$A$2,Calcoli!$K$2,IF(B63=Calcoli!$A$3,Calcoli!$K$3,IF(B63=Calcoli!$A$4,Calcoli!$K$4,IF(B63=Calcoli!$A$5,Calcoli!$K$5,IF(B63=Calcoli!$A$6,Calcoli!$K$6,IF(B63=Calcoli!$A$7,Calcoli!$K$7,IF(B63=Calcoli!$A$8,Calcoli!$K$8,IF(B63=Calcoli!$A$9,Calcoli!$K$9,IF(B63=Calcoli!$A$10,Calcoli!$K$10,"Errore")))))))))</f>
        <v>40320000</v>
      </c>
      <c r="O63" s="18" t="s">
        <v>171</v>
      </c>
    </row>
    <row r="64">
      <c r="K64" s="26"/>
      <c r="L64" s="27"/>
      <c r="M64" s="28"/>
      <c r="N64" s="28"/>
      <c r="O64" s="27"/>
    </row>
    <row r="65">
      <c r="D65" s="9"/>
      <c r="K65" s="26"/>
      <c r="L65" s="27"/>
      <c r="M65" s="28"/>
      <c r="N65" s="28"/>
      <c r="O65" s="27"/>
    </row>
    <row r="66">
      <c r="K66" s="26"/>
      <c r="L66" s="27"/>
      <c r="M66" s="28"/>
      <c r="N66" s="28"/>
      <c r="O66" s="27"/>
    </row>
    <row r="67">
      <c r="C67" s="29"/>
      <c r="K67" s="26"/>
      <c r="L67" s="27"/>
      <c r="M67" s="28"/>
      <c r="N67" s="28"/>
      <c r="O67" s="27"/>
    </row>
    <row r="68">
      <c r="K68" s="26"/>
      <c r="L68" s="27"/>
      <c r="M68" s="28"/>
      <c r="N68" s="28"/>
      <c r="O68" s="27"/>
    </row>
    <row r="69">
      <c r="K69" s="26"/>
      <c r="L69" s="27"/>
      <c r="M69" s="28"/>
      <c r="N69" s="28"/>
      <c r="O69" s="27"/>
    </row>
    <row r="70">
      <c r="K70" s="26"/>
      <c r="L70" s="27"/>
      <c r="M70" s="28"/>
      <c r="N70" s="28"/>
      <c r="O70" s="27"/>
    </row>
    <row r="71">
      <c r="K71" s="26"/>
      <c r="L71" s="27"/>
      <c r="M71" s="28"/>
      <c r="N71" s="28"/>
      <c r="O71" s="27"/>
    </row>
    <row r="72">
      <c r="K72" s="26"/>
      <c r="L72" s="27"/>
      <c r="M72" s="28"/>
      <c r="N72" s="28"/>
      <c r="O72" s="27"/>
    </row>
    <row r="73">
      <c r="E73" s="9"/>
      <c r="K73" s="26"/>
      <c r="L73" s="27"/>
      <c r="M73" s="28"/>
      <c r="N73" s="28"/>
      <c r="O73" s="27"/>
    </row>
    <row r="74">
      <c r="D74" s="30"/>
      <c r="K74" s="26"/>
      <c r="L74" s="27"/>
      <c r="M74" s="28"/>
      <c r="N74" s="28"/>
      <c r="O74" s="27"/>
    </row>
    <row r="75">
      <c r="K75" s="26"/>
      <c r="L75" s="27"/>
      <c r="M75" s="28"/>
      <c r="N75" s="28"/>
      <c r="O75" s="27"/>
    </row>
    <row r="76">
      <c r="K76" s="26"/>
      <c r="L76" s="27"/>
      <c r="M76" s="28"/>
      <c r="N76" s="28"/>
      <c r="O76" s="27"/>
    </row>
    <row r="77">
      <c r="K77" s="26"/>
      <c r="L77" s="27"/>
      <c r="M77" s="28"/>
      <c r="N77" s="28"/>
      <c r="O77" s="27"/>
    </row>
    <row r="78">
      <c r="K78" s="26"/>
      <c r="L78" s="27"/>
      <c r="M78" s="28"/>
      <c r="N78" s="28"/>
      <c r="O78" s="27"/>
    </row>
    <row r="79">
      <c r="K79" s="26"/>
      <c r="L79" s="27"/>
      <c r="M79" s="28"/>
      <c r="N79" s="28"/>
      <c r="O79" s="27"/>
    </row>
    <row r="80">
      <c r="K80" s="26"/>
      <c r="L80" s="27"/>
      <c r="M80" s="28"/>
      <c r="N80" s="28"/>
      <c r="O80" s="27"/>
    </row>
    <row r="81">
      <c r="K81" s="26"/>
      <c r="L81" s="27"/>
      <c r="M81" s="28"/>
      <c r="N81" s="28"/>
      <c r="O81" s="27"/>
    </row>
    <row r="82">
      <c r="K82" s="26"/>
      <c r="L82" s="27"/>
      <c r="M82" s="28"/>
      <c r="N82" s="28"/>
      <c r="O82" s="27"/>
    </row>
    <row r="83">
      <c r="K83" s="26"/>
      <c r="L83" s="27"/>
      <c r="M83" s="28"/>
      <c r="N83" s="28"/>
      <c r="O83" s="27"/>
    </row>
    <row r="84">
      <c r="K84" s="26"/>
      <c r="L84" s="27"/>
      <c r="M84" s="28"/>
      <c r="N84" s="28"/>
      <c r="O84" s="27"/>
    </row>
    <row r="85">
      <c r="K85" s="26"/>
      <c r="L85" s="27"/>
      <c r="M85" s="28"/>
      <c r="N85" s="28"/>
      <c r="O85" s="27"/>
    </row>
    <row r="86">
      <c r="K86" s="26"/>
      <c r="L86" s="27"/>
      <c r="M86" s="28"/>
      <c r="N86" s="28"/>
      <c r="O86" s="27"/>
    </row>
    <row r="87">
      <c r="K87" s="26"/>
      <c r="L87" s="27"/>
      <c r="M87" s="28"/>
      <c r="N87" s="28"/>
      <c r="O87" s="27"/>
    </row>
    <row r="88">
      <c r="K88" s="26"/>
      <c r="L88" s="27"/>
      <c r="M88" s="28"/>
      <c r="N88" s="28"/>
      <c r="O88" s="27"/>
    </row>
    <row r="89">
      <c r="K89" s="26"/>
      <c r="L89" s="27"/>
      <c r="M89" s="28"/>
      <c r="N89" s="28"/>
      <c r="O89" s="27"/>
    </row>
    <row r="90">
      <c r="K90" s="26"/>
      <c r="L90" s="27"/>
      <c r="M90" s="28"/>
      <c r="N90" s="28"/>
      <c r="O90" s="27"/>
    </row>
    <row r="91">
      <c r="K91" s="26"/>
      <c r="L91" s="27"/>
      <c r="M91" s="28"/>
      <c r="N91" s="28"/>
      <c r="O91" s="27"/>
    </row>
    <row r="92">
      <c r="K92" s="26"/>
      <c r="L92" s="27"/>
      <c r="M92" s="28"/>
      <c r="N92" s="28"/>
      <c r="O92" s="27"/>
    </row>
    <row r="93">
      <c r="K93" s="26"/>
      <c r="L93" s="27"/>
      <c r="M93" s="28"/>
      <c r="N93" s="28"/>
      <c r="O93" s="27"/>
    </row>
    <row r="94">
      <c r="K94" s="26"/>
      <c r="L94" s="27"/>
      <c r="M94" s="28"/>
      <c r="N94" s="28"/>
      <c r="O94" s="27"/>
    </row>
    <row r="95">
      <c r="K95" s="26"/>
      <c r="L95" s="27"/>
      <c r="M95" s="28"/>
      <c r="N95" s="28"/>
      <c r="O95" s="27"/>
    </row>
    <row r="96">
      <c r="K96" s="26"/>
      <c r="L96" s="27"/>
      <c r="M96" s="28"/>
      <c r="N96" s="28"/>
      <c r="O96" s="27"/>
    </row>
    <row r="97">
      <c r="K97" s="26"/>
      <c r="L97" s="27"/>
      <c r="M97" s="28"/>
      <c r="N97" s="28"/>
      <c r="O97" s="27"/>
    </row>
    <row r="98">
      <c r="K98" s="26"/>
      <c r="L98" s="27"/>
      <c r="M98" s="28"/>
      <c r="N98" s="28"/>
      <c r="O98" s="27"/>
    </row>
    <row r="99">
      <c r="K99" s="26"/>
      <c r="L99" s="27"/>
      <c r="M99" s="28"/>
      <c r="N99" s="28"/>
      <c r="O99" s="27"/>
    </row>
    <row r="100">
      <c r="K100" s="26"/>
      <c r="L100" s="27"/>
      <c r="M100" s="28"/>
      <c r="N100" s="28"/>
      <c r="O100" s="27"/>
    </row>
    <row r="101">
      <c r="K101" s="26"/>
      <c r="L101" s="27"/>
      <c r="M101" s="28"/>
      <c r="N101" s="28"/>
      <c r="O101" s="27"/>
    </row>
    <row r="102">
      <c r="K102" s="26"/>
      <c r="L102" s="27"/>
      <c r="M102" s="28"/>
      <c r="N102" s="28"/>
      <c r="O102" s="27"/>
    </row>
    <row r="103">
      <c r="K103" s="26"/>
      <c r="L103" s="27"/>
      <c r="M103" s="28"/>
      <c r="N103" s="28"/>
      <c r="O103" s="27"/>
    </row>
    <row r="104">
      <c r="K104" s="26"/>
      <c r="L104" s="27"/>
      <c r="M104" s="28"/>
      <c r="N104" s="28"/>
      <c r="O104" s="27"/>
    </row>
    <row r="105">
      <c r="K105" s="26"/>
      <c r="L105" s="27"/>
      <c r="M105" s="28"/>
      <c r="N105" s="28"/>
      <c r="O105" s="27"/>
    </row>
    <row r="106">
      <c r="K106" s="26"/>
      <c r="L106" s="27"/>
      <c r="M106" s="28"/>
      <c r="N106" s="28"/>
      <c r="O106" s="27"/>
    </row>
    <row r="107">
      <c r="K107" s="26"/>
      <c r="L107" s="27"/>
      <c r="M107" s="28"/>
      <c r="N107" s="28"/>
      <c r="O107" s="27"/>
    </row>
    <row r="108">
      <c r="K108" s="26"/>
      <c r="L108" s="27"/>
      <c r="M108" s="28"/>
      <c r="N108" s="28"/>
      <c r="O108" s="27"/>
    </row>
    <row r="109">
      <c r="K109" s="26"/>
      <c r="L109" s="27"/>
      <c r="M109" s="28"/>
      <c r="N109" s="28"/>
      <c r="O109" s="27"/>
    </row>
    <row r="110">
      <c r="K110" s="26"/>
      <c r="L110" s="27"/>
      <c r="M110" s="28"/>
      <c r="N110" s="28"/>
      <c r="O110" s="27"/>
    </row>
    <row r="111">
      <c r="K111" s="26"/>
      <c r="L111" s="27"/>
      <c r="M111" s="28"/>
      <c r="N111" s="28"/>
      <c r="O111" s="27"/>
    </row>
    <row r="112">
      <c r="K112" s="26"/>
      <c r="L112" s="27"/>
      <c r="M112" s="28"/>
      <c r="N112" s="28"/>
      <c r="O112" s="27"/>
    </row>
    <row r="113">
      <c r="K113" s="26"/>
      <c r="L113" s="27"/>
      <c r="M113" s="28"/>
      <c r="N113" s="28"/>
      <c r="O113" s="27"/>
    </row>
    <row r="114">
      <c r="K114" s="26"/>
      <c r="L114" s="27"/>
      <c r="M114" s="28"/>
      <c r="N114" s="28"/>
      <c r="O114" s="27"/>
    </row>
    <row r="115">
      <c r="K115" s="26"/>
      <c r="L115" s="27"/>
      <c r="M115" s="28"/>
      <c r="N115" s="28"/>
      <c r="O115" s="27"/>
    </row>
    <row r="116">
      <c r="K116" s="26"/>
      <c r="L116" s="27"/>
      <c r="M116" s="28"/>
      <c r="N116" s="28"/>
      <c r="O116" s="27"/>
    </row>
    <row r="117">
      <c r="K117" s="26"/>
      <c r="L117" s="27"/>
      <c r="M117" s="28"/>
      <c r="N117" s="28"/>
      <c r="O117" s="27"/>
    </row>
    <row r="118">
      <c r="K118" s="26"/>
      <c r="L118" s="27"/>
      <c r="M118" s="28"/>
      <c r="N118" s="28"/>
      <c r="O118" s="27"/>
    </row>
    <row r="119">
      <c r="K119" s="26"/>
      <c r="L119" s="27"/>
      <c r="M119" s="28"/>
      <c r="N119" s="28"/>
      <c r="O119" s="27"/>
    </row>
    <row r="120">
      <c r="K120" s="26"/>
      <c r="L120" s="27"/>
      <c r="M120" s="28"/>
      <c r="N120" s="28"/>
      <c r="O120" s="27"/>
    </row>
    <row r="121">
      <c r="K121" s="26"/>
      <c r="L121" s="27"/>
      <c r="M121" s="28"/>
      <c r="N121" s="28"/>
      <c r="O121" s="27"/>
    </row>
    <row r="122">
      <c r="K122" s="26"/>
      <c r="L122" s="27"/>
      <c r="M122" s="28"/>
      <c r="N122" s="28"/>
      <c r="O122" s="27"/>
    </row>
    <row r="123">
      <c r="K123" s="26"/>
      <c r="L123" s="27"/>
      <c r="M123" s="28"/>
      <c r="N123" s="28"/>
      <c r="O123" s="27"/>
    </row>
    <row r="124">
      <c r="K124" s="26"/>
      <c r="L124" s="27"/>
      <c r="M124" s="28"/>
      <c r="N124" s="28"/>
      <c r="O124" s="27"/>
    </row>
    <row r="125">
      <c r="K125" s="26"/>
      <c r="L125" s="27"/>
      <c r="M125" s="28"/>
      <c r="N125" s="28"/>
      <c r="O125" s="27"/>
    </row>
    <row r="126">
      <c r="K126" s="26"/>
      <c r="L126" s="27"/>
      <c r="M126" s="28"/>
      <c r="N126" s="28"/>
      <c r="O126" s="27"/>
    </row>
    <row r="127">
      <c r="K127" s="26"/>
      <c r="L127" s="27"/>
      <c r="M127" s="28"/>
      <c r="N127" s="28"/>
      <c r="O127" s="27"/>
    </row>
    <row r="128">
      <c r="K128" s="26"/>
      <c r="L128" s="27"/>
      <c r="M128" s="28"/>
      <c r="N128" s="28"/>
      <c r="O128" s="27"/>
    </row>
    <row r="129">
      <c r="K129" s="26"/>
      <c r="L129" s="27"/>
      <c r="M129" s="28"/>
      <c r="N129" s="28"/>
      <c r="O129" s="27"/>
    </row>
    <row r="130">
      <c r="K130" s="26"/>
      <c r="L130" s="27"/>
      <c r="M130" s="28"/>
      <c r="N130" s="28"/>
      <c r="O130" s="27"/>
    </row>
    <row r="131">
      <c r="K131" s="26"/>
      <c r="L131" s="27"/>
      <c r="M131" s="28"/>
      <c r="N131" s="28"/>
      <c r="O131" s="27"/>
    </row>
    <row r="132">
      <c r="K132" s="26"/>
      <c r="L132" s="27"/>
      <c r="M132" s="28"/>
      <c r="N132" s="28"/>
      <c r="O132" s="27"/>
    </row>
    <row r="133">
      <c r="K133" s="26"/>
      <c r="L133" s="27"/>
      <c r="M133" s="28"/>
      <c r="N133" s="28"/>
      <c r="O133" s="27"/>
    </row>
    <row r="134">
      <c r="K134" s="26"/>
      <c r="L134" s="27"/>
      <c r="M134" s="28"/>
      <c r="N134" s="28"/>
      <c r="O134" s="27"/>
    </row>
    <row r="135">
      <c r="K135" s="26"/>
      <c r="L135" s="27"/>
      <c r="M135" s="28"/>
      <c r="N135" s="28"/>
      <c r="O135" s="27"/>
    </row>
    <row r="136">
      <c r="K136" s="26"/>
      <c r="L136" s="27"/>
      <c r="M136" s="28"/>
      <c r="N136" s="28"/>
      <c r="O136" s="27"/>
    </row>
    <row r="137">
      <c r="K137" s="26"/>
      <c r="L137" s="27"/>
      <c r="M137" s="28"/>
      <c r="N137" s="28"/>
      <c r="O137" s="27"/>
    </row>
    <row r="138">
      <c r="K138" s="26"/>
      <c r="L138" s="27"/>
      <c r="M138" s="28"/>
      <c r="N138" s="28"/>
      <c r="O138" s="27"/>
    </row>
    <row r="139">
      <c r="K139" s="26"/>
      <c r="L139" s="27"/>
      <c r="M139" s="28"/>
      <c r="N139" s="28"/>
      <c r="O139" s="27"/>
    </row>
    <row r="140">
      <c r="K140" s="26"/>
      <c r="L140" s="27"/>
      <c r="M140" s="28"/>
      <c r="N140" s="28"/>
      <c r="O140" s="27"/>
    </row>
    <row r="141">
      <c r="K141" s="26"/>
      <c r="L141" s="27"/>
      <c r="M141" s="28"/>
      <c r="N141" s="28"/>
      <c r="O141" s="27"/>
    </row>
    <row r="142">
      <c r="K142" s="26"/>
      <c r="L142" s="27"/>
      <c r="M142" s="28"/>
      <c r="N142" s="28"/>
      <c r="O142" s="27"/>
    </row>
    <row r="143">
      <c r="K143" s="26"/>
      <c r="L143" s="27"/>
      <c r="M143" s="28"/>
      <c r="N143" s="28"/>
      <c r="O143" s="27"/>
    </row>
    <row r="144">
      <c r="K144" s="26"/>
      <c r="L144" s="27"/>
      <c r="M144" s="28"/>
      <c r="N144" s="28"/>
      <c r="O144" s="27"/>
    </row>
    <row r="145">
      <c r="K145" s="26"/>
      <c r="L145" s="27"/>
      <c r="M145" s="28"/>
      <c r="N145" s="28"/>
      <c r="O145" s="27"/>
    </row>
    <row r="146">
      <c r="K146" s="26"/>
      <c r="L146" s="27"/>
      <c r="M146" s="28"/>
      <c r="N146" s="28"/>
      <c r="O146" s="27"/>
    </row>
    <row r="147">
      <c r="K147" s="26"/>
      <c r="L147" s="27"/>
      <c r="M147" s="28"/>
      <c r="N147" s="28"/>
      <c r="O147" s="27"/>
    </row>
    <row r="148">
      <c r="K148" s="26"/>
      <c r="L148" s="27"/>
      <c r="M148" s="28"/>
      <c r="N148" s="28"/>
      <c r="O148" s="27"/>
    </row>
    <row r="149">
      <c r="K149" s="26"/>
      <c r="L149" s="27"/>
      <c r="M149" s="28"/>
      <c r="N149" s="28"/>
      <c r="O149" s="27"/>
    </row>
    <row r="150">
      <c r="K150" s="26"/>
      <c r="L150" s="27"/>
      <c r="M150" s="28"/>
      <c r="N150" s="28"/>
      <c r="O150" s="27"/>
    </row>
    <row r="151">
      <c r="K151" s="26"/>
      <c r="L151" s="27"/>
      <c r="M151" s="28"/>
      <c r="N151" s="28"/>
      <c r="O151" s="27"/>
    </row>
    <row r="152">
      <c r="K152" s="26"/>
      <c r="L152" s="27"/>
      <c r="M152" s="28"/>
      <c r="N152" s="28"/>
      <c r="O152" s="27"/>
    </row>
    <row r="153">
      <c r="K153" s="26"/>
      <c r="L153" s="27"/>
      <c r="M153" s="28"/>
      <c r="N153" s="28"/>
      <c r="O153" s="27"/>
    </row>
    <row r="154">
      <c r="K154" s="26"/>
      <c r="L154" s="27"/>
      <c r="M154" s="28"/>
      <c r="N154" s="28"/>
      <c r="O154" s="27"/>
    </row>
    <row r="155">
      <c r="K155" s="26"/>
      <c r="L155" s="27"/>
      <c r="M155" s="28"/>
      <c r="N155" s="28"/>
      <c r="O155" s="27"/>
    </row>
    <row r="156">
      <c r="K156" s="26"/>
      <c r="L156" s="27"/>
      <c r="M156" s="28"/>
      <c r="N156" s="28"/>
      <c r="O156" s="27"/>
    </row>
    <row r="157">
      <c r="K157" s="26"/>
      <c r="L157" s="27"/>
      <c r="M157" s="28"/>
      <c r="N157" s="28"/>
      <c r="O157" s="27"/>
    </row>
    <row r="158">
      <c r="K158" s="26"/>
      <c r="L158" s="27"/>
      <c r="M158" s="28"/>
      <c r="N158" s="28"/>
      <c r="O158" s="27"/>
    </row>
    <row r="159">
      <c r="K159" s="26"/>
      <c r="L159" s="27"/>
      <c r="M159" s="28"/>
      <c r="N159" s="28"/>
      <c r="O159" s="27"/>
    </row>
    <row r="160">
      <c r="K160" s="26"/>
      <c r="L160" s="27"/>
      <c r="M160" s="28"/>
      <c r="N160" s="28"/>
      <c r="O160" s="27"/>
    </row>
    <row r="161">
      <c r="K161" s="26"/>
      <c r="L161" s="27"/>
      <c r="M161" s="28"/>
      <c r="N161" s="28"/>
      <c r="O161" s="27"/>
    </row>
    <row r="162">
      <c r="K162" s="26"/>
      <c r="L162" s="27"/>
      <c r="M162" s="28"/>
      <c r="N162" s="28"/>
      <c r="O162" s="27"/>
    </row>
    <row r="163">
      <c r="K163" s="26"/>
      <c r="L163" s="27"/>
      <c r="M163" s="28"/>
      <c r="N163" s="28"/>
      <c r="O163" s="27"/>
    </row>
    <row r="164">
      <c r="K164" s="26"/>
      <c r="L164" s="27"/>
      <c r="M164" s="28"/>
      <c r="N164" s="28"/>
      <c r="O164" s="27"/>
    </row>
    <row r="165">
      <c r="K165" s="26"/>
      <c r="L165" s="27"/>
      <c r="M165" s="28"/>
      <c r="N165" s="28"/>
      <c r="O165" s="27"/>
    </row>
    <row r="166">
      <c r="K166" s="26"/>
      <c r="L166" s="27"/>
      <c r="M166" s="28"/>
      <c r="N166" s="28"/>
      <c r="O166" s="27"/>
    </row>
    <row r="167">
      <c r="K167" s="26"/>
      <c r="L167" s="27"/>
      <c r="M167" s="28"/>
      <c r="N167" s="28"/>
      <c r="O167" s="27"/>
    </row>
    <row r="168">
      <c r="K168" s="26"/>
      <c r="L168" s="27"/>
      <c r="M168" s="28"/>
      <c r="N168" s="28"/>
      <c r="O168" s="27"/>
    </row>
    <row r="169">
      <c r="K169" s="26"/>
      <c r="L169" s="27"/>
      <c r="M169" s="28"/>
      <c r="N169" s="28"/>
      <c r="O169" s="27"/>
    </row>
    <row r="170">
      <c r="K170" s="26"/>
      <c r="L170" s="27"/>
      <c r="M170" s="28"/>
      <c r="N170" s="28"/>
      <c r="O170" s="27"/>
    </row>
    <row r="171">
      <c r="K171" s="26"/>
      <c r="L171" s="27"/>
      <c r="M171" s="28"/>
      <c r="N171" s="28"/>
      <c r="O171" s="27"/>
    </row>
    <row r="172">
      <c r="K172" s="26"/>
      <c r="L172" s="27"/>
      <c r="M172" s="28"/>
      <c r="N172" s="28"/>
      <c r="O172" s="27"/>
    </row>
    <row r="173">
      <c r="K173" s="26"/>
      <c r="L173" s="27"/>
      <c r="M173" s="28"/>
      <c r="N173" s="28"/>
      <c r="O173" s="27"/>
    </row>
    <row r="174">
      <c r="K174" s="26"/>
      <c r="L174" s="27"/>
      <c r="M174" s="28"/>
      <c r="N174" s="28"/>
      <c r="O174" s="27"/>
    </row>
    <row r="175">
      <c r="K175" s="26"/>
      <c r="L175" s="27"/>
      <c r="M175" s="28"/>
      <c r="N175" s="28"/>
      <c r="O175" s="27"/>
    </row>
    <row r="176">
      <c r="K176" s="26"/>
      <c r="L176" s="27"/>
      <c r="M176" s="28"/>
      <c r="N176" s="28"/>
      <c r="O176" s="27"/>
    </row>
    <row r="177">
      <c r="K177" s="26"/>
      <c r="L177" s="27"/>
      <c r="M177" s="28"/>
      <c r="N177" s="28"/>
      <c r="O177" s="27"/>
    </row>
    <row r="178">
      <c r="K178" s="26"/>
      <c r="L178" s="27"/>
      <c r="M178" s="28"/>
      <c r="N178" s="28"/>
      <c r="O178" s="27"/>
    </row>
    <row r="179">
      <c r="K179" s="26"/>
      <c r="L179" s="27"/>
      <c r="M179" s="28"/>
      <c r="N179" s="28"/>
      <c r="O179" s="27"/>
    </row>
    <row r="180">
      <c r="K180" s="26"/>
      <c r="L180" s="27"/>
      <c r="M180" s="28"/>
      <c r="N180" s="28"/>
      <c r="O180" s="27"/>
    </row>
    <row r="181">
      <c r="K181" s="26"/>
      <c r="L181" s="27"/>
      <c r="M181" s="28"/>
      <c r="N181" s="28"/>
      <c r="O181" s="27"/>
    </row>
    <row r="182">
      <c r="K182" s="26"/>
      <c r="L182" s="27"/>
      <c r="M182" s="28"/>
      <c r="N182" s="28"/>
      <c r="O182" s="27"/>
    </row>
    <row r="183">
      <c r="K183" s="26"/>
      <c r="L183" s="27"/>
      <c r="M183" s="28"/>
      <c r="N183" s="28"/>
      <c r="O183" s="27"/>
    </row>
    <row r="184">
      <c r="K184" s="26"/>
      <c r="L184" s="27"/>
      <c r="M184" s="28"/>
      <c r="N184" s="28"/>
      <c r="O184" s="27"/>
    </row>
    <row r="185">
      <c r="K185" s="26"/>
      <c r="L185" s="27"/>
      <c r="M185" s="28"/>
      <c r="N185" s="28"/>
      <c r="O185" s="27"/>
    </row>
    <row r="186">
      <c r="K186" s="26"/>
      <c r="L186" s="27"/>
      <c r="M186" s="28"/>
      <c r="N186" s="28"/>
      <c r="O186" s="27"/>
    </row>
    <row r="187">
      <c r="K187" s="26"/>
      <c r="L187" s="27"/>
      <c r="M187" s="28"/>
      <c r="N187" s="28"/>
      <c r="O187" s="27"/>
    </row>
    <row r="188">
      <c r="K188" s="26"/>
      <c r="L188" s="27"/>
      <c r="M188" s="28"/>
      <c r="N188" s="28"/>
      <c r="O188" s="27"/>
    </row>
    <row r="189">
      <c r="K189" s="26"/>
      <c r="L189" s="27"/>
      <c r="M189" s="28"/>
      <c r="N189" s="28"/>
      <c r="O189" s="27"/>
    </row>
    <row r="190">
      <c r="K190" s="26"/>
      <c r="L190" s="27"/>
      <c r="M190" s="28"/>
      <c r="N190" s="28"/>
      <c r="O190" s="27"/>
    </row>
    <row r="191">
      <c r="K191" s="26"/>
      <c r="L191" s="27"/>
      <c r="M191" s="28"/>
      <c r="N191" s="28"/>
      <c r="O191" s="27"/>
    </row>
    <row r="192">
      <c r="K192" s="26"/>
      <c r="L192" s="27"/>
      <c r="M192" s="28"/>
      <c r="N192" s="28"/>
      <c r="O192" s="27"/>
    </row>
    <row r="193">
      <c r="K193" s="26"/>
      <c r="L193" s="27"/>
      <c r="M193" s="28"/>
      <c r="N193" s="28"/>
      <c r="O193" s="27"/>
    </row>
    <row r="194">
      <c r="K194" s="26"/>
      <c r="L194" s="27"/>
      <c r="M194" s="28"/>
      <c r="N194" s="28"/>
      <c r="O194" s="27"/>
    </row>
    <row r="195">
      <c r="K195" s="26"/>
      <c r="L195" s="27"/>
      <c r="M195" s="28"/>
      <c r="N195" s="28"/>
      <c r="O195" s="27"/>
    </row>
    <row r="196">
      <c r="K196" s="26"/>
      <c r="L196" s="27"/>
      <c r="M196" s="28"/>
      <c r="N196" s="28"/>
      <c r="O196" s="27"/>
    </row>
    <row r="197">
      <c r="K197" s="26"/>
      <c r="L197" s="27"/>
      <c r="M197" s="28"/>
      <c r="N197" s="28"/>
      <c r="O197" s="27"/>
    </row>
    <row r="198">
      <c r="K198" s="26"/>
      <c r="L198" s="27"/>
      <c r="M198" s="28"/>
      <c r="N198" s="28"/>
      <c r="O198" s="27"/>
    </row>
    <row r="199">
      <c r="K199" s="26"/>
      <c r="L199" s="27"/>
      <c r="M199" s="28"/>
      <c r="N199" s="28"/>
      <c r="O199" s="27"/>
    </row>
    <row r="200">
      <c r="K200" s="26"/>
      <c r="L200" s="27"/>
      <c r="M200" s="28"/>
      <c r="N200" s="28"/>
      <c r="O200" s="27"/>
    </row>
    <row r="201">
      <c r="K201" s="26"/>
      <c r="L201" s="27"/>
      <c r="M201" s="28"/>
      <c r="N201" s="28"/>
      <c r="O201" s="27"/>
    </row>
    <row r="202">
      <c r="K202" s="26"/>
      <c r="L202" s="27"/>
      <c r="M202" s="28"/>
      <c r="N202" s="28"/>
      <c r="O202" s="27"/>
    </row>
    <row r="203">
      <c r="K203" s="26"/>
      <c r="L203" s="27"/>
      <c r="M203" s="28"/>
      <c r="N203" s="28"/>
      <c r="O203" s="27"/>
    </row>
    <row r="204">
      <c r="K204" s="26"/>
      <c r="L204" s="27"/>
      <c r="M204" s="28"/>
      <c r="N204" s="28"/>
      <c r="O204" s="27"/>
    </row>
    <row r="205">
      <c r="K205" s="26"/>
      <c r="L205" s="27"/>
      <c r="M205" s="28"/>
      <c r="N205" s="28"/>
      <c r="O205" s="27"/>
    </row>
    <row r="206">
      <c r="K206" s="26"/>
      <c r="L206" s="27"/>
      <c r="M206" s="28"/>
      <c r="N206" s="28"/>
      <c r="O206" s="27"/>
    </row>
    <row r="207">
      <c r="K207" s="26"/>
      <c r="L207" s="27"/>
      <c r="M207" s="28"/>
      <c r="N207" s="28"/>
      <c r="O207" s="27"/>
    </row>
    <row r="208">
      <c r="K208" s="26"/>
      <c r="L208" s="27"/>
      <c r="M208" s="28"/>
      <c r="N208" s="28"/>
      <c r="O208" s="27"/>
    </row>
    <row r="209">
      <c r="K209" s="26"/>
      <c r="L209" s="27"/>
      <c r="M209" s="28"/>
      <c r="N209" s="28"/>
      <c r="O209" s="27"/>
    </row>
    <row r="210">
      <c r="K210" s="26"/>
      <c r="L210" s="27"/>
      <c r="M210" s="28"/>
      <c r="N210" s="28"/>
      <c r="O210" s="27"/>
    </row>
    <row r="211">
      <c r="K211" s="26"/>
      <c r="L211" s="27"/>
      <c r="M211" s="28"/>
      <c r="N211" s="28"/>
      <c r="O211" s="27"/>
    </row>
    <row r="212">
      <c r="K212" s="26"/>
      <c r="L212" s="27"/>
      <c r="M212" s="28"/>
      <c r="N212" s="28"/>
      <c r="O212" s="27"/>
    </row>
    <row r="213">
      <c r="K213" s="26"/>
      <c r="L213" s="27"/>
      <c r="M213" s="28"/>
      <c r="N213" s="28"/>
      <c r="O213" s="27"/>
    </row>
    <row r="214">
      <c r="K214" s="26"/>
      <c r="L214" s="27"/>
      <c r="M214" s="28"/>
      <c r="N214" s="28"/>
      <c r="O214" s="27"/>
    </row>
    <row r="215">
      <c r="K215" s="26"/>
      <c r="L215" s="27"/>
      <c r="M215" s="28"/>
      <c r="N215" s="28"/>
      <c r="O215" s="27"/>
    </row>
    <row r="216">
      <c r="K216" s="26"/>
      <c r="L216" s="27"/>
      <c r="M216" s="28"/>
      <c r="N216" s="28"/>
      <c r="O216" s="27"/>
    </row>
    <row r="217">
      <c r="K217" s="26"/>
      <c r="L217" s="27"/>
      <c r="M217" s="28"/>
      <c r="N217" s="28"/>
      <c r="O217" s="27"/>
    </row>
    <row r="218">
      <c r="K218" s="26"/>
      <c r="L218" s="27"/>
      <c r="M218" s="28"/>
      <c r="N218" s="28"/>
      <c r="O218" s="27"/>
    </row>
    <row r="219">
      <c r="K219" s="26"/>
      <c r="L219" s="27"/>
      <c r="M219" s="28"/>
      <c r="N219" s="28"/>
      <c r="O219" s="27"/>
    </row>
    <row r="220">
      <c r="K220" s="26"/>
      <c r="L220" s="27"/>
      <c r="M220" s="28"/>
      <c r="N220" s="28"/>
      <c r="O220" s="27"/>
    </row>
    <row r="221">
      <c r="K221" s="26"/>
      <c r="L221" s="27"/>
      <c r="M221" s="28"/>
      <c r="N221" s="28"/>
      <c r="O221" s="27"/>
    </row>
    <row r="222">
      <c r="K222" s="26"/>
      <c r="L222" s="27"/>
      <c r="M222" s="28"/>
      <c r="N222" s="28"/>
      <c r="O222" s="27"/>
    </row>
    <row r="223">
      <c r="K223" s="26"/>
      <c r="L223" s="27"/>
      <c r="M223" s="28"/>
      <c r="N223" s="28"/>
      <c r="O223" s="27"/>
    </row>
    <row r="224">
      <c r="K224" s="26"/>
      <c r="L224" s="27"/>
      <c r="M224" s="28"/>
      <c r="N224" s="28"/>
      <c r="O224" s="27"/>
    </row>
    <row r="225">
      <c r="K225" s="26"/>
      <c r="L225" s="27"/>
      <c r="M225" s="28"/>
      <c r="N225" s="28"/>
      <c r="O225" s="27"/>
    </row>
    <row r="226">
      <c r="K226" s="26"/>
      <c r="L226" s="27"/>
      <c r="M226" s="28"/>
      <c r="N226" s="28"/>
      <c r="O226" s="27"/>
    </row>
    <row r="227">
      <c r="K227" s="26"/>
      <c r="L227" s="27"/>
      <c r="M227" s="28"/>
      <c r="N227" s="28"/>
      <c r="O227" s="27"/>
    </row>
    <row r="228">
      <c r="K228" s="26"/>
      <c r="L228" s="27"/>
      <c r="M228" s="28"/>
      <c r="N228" s="28"/>
      <c r="O228" s="27"/>
    </row>
    <row r="229">
      <c r="K229" s="26"/>
      <c r="L229" s="27"/>
      <c r="M229" s="28"/>
      <c r="N229" s="28"/>
      <c r="O229" s="27"/>
    </row>
    <row r="230">
      <c r="K230" s="26"/>
      <c r="L230" s="27"/>
      <c r="M230" s="28"/>
      <c r="N230" s="28"/>
      <c r="O230" s="27"/>
    </row>
    <row r="231">
      <c r="K231" s="26"/>
      <c r="L231" s="27"/>
      <c r="M231" s="28"/>
      <c r="N231" s="28"/>
      <c r="O231" s="27"/>
    </row>
    <row r="232">
      <c r="K232" s="26"/>
      <c r="L232" s="27"/>
      <c r="M232" s="28"/>
      <c r="N232" s="28"/>
      <c r="O232" s="27"/>
    </row>
    <row r="233">
      <c r="K233" s="26"/>
      <c r="L233" s="27"/>
      <c r="M233" s="28"/>
      <c r="N233" s="28"/>
      <c r="O233" s="27"/>
    </row>
    <row r="234">
      <c r="K234" s="26"/>
      <c r="L234" s="27"/>
      <c r="M234" s="28"/>
      <c r="N234" s="28"/>
      <c r="O234" s="27"/>
    </row>
    <row r="235">
      <c r="K235" s="26"/>
      <c r="L235" s="27"/>
      <c r="M235" s="28"/>
      <c r="N235" s="28"/>
      <c r="O235" s="27"/>
    </row>
    <row r="236">
      <c r="K236" s="26"/>
      <c r="L236" s="27"/>
      <c r="M236" s="28"/>
      <c r="N236" s="28"/>
      <c r="O236" s="27"/>
    </row>
    <row r="237">
      <c r="K237" s="26"/>
      <c r="L237" s="27"/>
      <c r="M237" s="28"/>
      <c r="N237" s="28"/>
      <c r="O237" s="27"/>
    </row>
    <row r="238">
      <c r="K238" s="26"/>
      <c r="L238" s="27"/>
      <c r="M238" s="28"/>
      <c r="N238" s="28"/>
      <c r="O238" s="27"/>
    </row>
    <row r="239">
      <c r="K239" s="26"/>
      <c r="L239" s="27"/>
      <c r="M239" s="28"/>
      <c r="N239" s="28"/>
      <c r="O239" s="27"/>
    </row>
    <row r="240">
      <c r="K240" s="26"/>
      <c r="L240" s="27"/>
      <c r="M240" s="28"/>
      <c r="N240" s="28"/>
      <c r="O240" s="27"/>
    </row>
    <row r="241">
      <c r="K241" s="26"/>
      <c r="L241" s="27"/>
      <c r="M241" s="28"/>
      <c r="N241" s="28"/>
      <c r="O241" s="27"/>
    </row>
    <row r="242">
      <c r="K242" s="26"/>
      <c r="L242" s="27"/>
      <c r="M242" s="28"/>
      <c r="N242" s="28"/>
      <c r="O242" s="27"/>
    </row>
    <row r="243">
      <c r="K243" s="26"/>
      <c r="L243" s="27"/>
      <c r="M243" s="28"/>
      <c r="N243" s="28"/>
      <c r="O243" s="27"/>
    </row>
    <row r="244">
      <c r="K244" s="26"/>
      <c r="L244" s="27"/>
      <c r="M244" s="28"/>
      <c r="N244" s="28"/>
      <c r="O244" s="27"/>
    </row>
    <row r="245">
      <c r="K245" s="26"/>
      <c r="L245" s="27"/>
      <c r="M245" s="28"/>
      <c r="N245" s="28"/>
      <c r="O245" s="27"/>
    </row>
    <row r="246">
      <c r="K246" s="26"/>
      <c r="L246" s="27"/>
      <c r="M246" s="28"/>
      <c r="N246" s="28"/>
      <c r="O246" s="27"/>
    </row>
    <row r="247">
      <c r="K247" s="26"/>
      <c r="L247" s="27"/>
      <c r="M247" s="28"/>
      <c r="N247" s="28"/>
      <c r="O247" s="27"/>
    </row>
    <row r="248">
      <c r="K248" s="26"/>
      <c r="L248" s="27"/>
      <c r="M248" s="28"/>
      <c r="N248" s="28"/>
      <c r="O248" s="27"/>
    </row>
    <row r="249">
      <c r="K249" s="26"/>
      <c r="L249" s="27"/>
      <c r="M249" s="28"/>
      <c r="N249" s="28"/>
      <c r="O249" s="27"/>
    </row>
    <row r="250">
      <c r="K250" s="26"/>
      <c r="L250" s="27"/>
      <c r="M250" s="28"/>
      <c r="N250" s="28"/>
      <c r="O250" s="27"/>
    </row>
    <row r="251">
      <c r="K251" s="26"/>
      <c r="L251" s="27"/>
      <c r="M251" s="28"/>
      <c r="N251" s="28"/>
      <c r="O251" s="27"/>
    </row>
    <row r="252">
      <c r="K252" s="26"/>
      <c r="L252" s="27"/>
      <c r="M252" s="28"/>
      <c r="N252" s="28"/>
      <c r="O252" s="27"/>
    </row>
    <row r="253">
      <c r="K253" s="26"/>
      <c r="L253" s="27"/>
      <c r="M253" s="28"/>
      <c r="N253" s="28"/>
      <c r="O253" s="27"/>
    </row>
    <row r="254">
      <c r="K254" s="26"/>
      <c r="L254" s="27"/>
      <c r="M254" s="28"/>
      <c r="N254" s="28"/>
      <c r="O254" s="27"/>
    </row>
    <row r="255">
      <c r="K255" s="26"/>
      <c r="L255" s="27"/>
      <c r="M255" s="28"/>
      <c r="N255" s="28"/>
      <c r="O255" s="27"/>
    </row>
    <row r="256">
      <c r="K256" s="26"/>
      <c r="L256" s="27"/>
      <c r="M256" s="28"/>
      <c r="N256" s="28"/>
      <c r="O256" s="27"/>
    </row>
    <row r="257">
      <c r="K257" s="26"/>
      <c r="L257" s="27"/>
      <c r="M257" s="28"/>
      <c r="N257" s="28"/>
      <c r="O257" s="27"/>
    </row>
    <row r="258">
      <c r="K258" s="26"/>
      <c r="L258" s="27"/>
      <c r="M258" s="28"/>
      <c r="N258" s="28"/>
      <c r="O258" s="27"/>
    </row>
    <row r="259">
      <c r="K259" s="26"/>
      <c r="L259" s="27"/>
      <c r="M259" s="28"/>
      <c r="N259" s="28"/>
      <c r="O259" s="27"/>
    </row>
    <row r="260">
      <c r="K260" s="26"/>
      <c r="L260" s="27"/>
      <c r="M260" s="28"/>
      <c r="N260" s="28"/>
      <c r="O260" s="27"/>
    </row>
    <row r="261">
      <c r="K261" s="26"/>
      <c r="L261" s="27"/>
      <c r="M261" s="28"/>
      <c r="N261" s="28"/>
      <c r="O261" s="27"/>
    </row>
    <row r="262">
      <c r="K262" s="26"/>
      <c r="L262" s="27"/>
      <c r="M262" s="28"/>
      <c r="N262" s="28"/>
      <c r="O262" s="27"/>
    </row>
    <row r="263">
      <c r="K263" s="26"/>
      <c r="L263" s="27"/>
      <c r="M263" s="28"/>
      <c r="N263" s="28"/>
      <c r="O263" s="27"/>
    </row>
    <row r="264">
      <c r="K264" s="26"/>
      <c r="L264" s="27"/>
      <c r="M264" s="28"/>
      <c r="N264" s="28"/>
      <c r="O264" s="27"/>
    </row>
    <row r="265">
      <c r="K265" s="26"/>
      <c r="L265" s="27"/>
      <c r="M265" s="28"/>
      <c r="N265" s="28"/>
      <c r="O265" s="27"/>
    </row>
    <row r="266">
      <c r="K266" s="26"/>
      <c r="L266" s="27"/>
      <c r="M266" s="28"/>
      <c r="N266" s="28"/>
      <c r="O266" s="27"/>
    </row>
    <row r="267">
      <c r="K267" s="26"/>
      <c r="L267" s="27"/>
      <c r="M267" s="28"/>
      <c r="N267" s="28"/>
      <c r="O267" s="27"/>
    </row>
    <row r="268">
      <c r="K268" s="26"/>
      <c r="L268" s="27"/>
      <c r="M268" s="28"/>
      <c r="N268" s="28"/>
      <c r="O268" s="27"/>
    </row>
    <row r="269">
      <c r="K269" s="26"/>
      <c r="L269" s="27"/>
      <c r="M269" s="28"/>
      <c r="N269" s="28"/>
      <c r="O269" s="27"/>
    </row>
    <row r="270">
      <c r="K270" s="26"/>
      <c r="L270" s="27"/>
      <c r="M270" s="28"/>
      <c r="N270" s="28"/>
      <c r="O270" s="27"/>
    </row>
    <row r="271">
      <c r="K271" s="26"/>
      <c r="L271" s="27"/>
      <c r="M271" s="28"/>
      <c r="N271" s="28"/>
      <c r="O271" s="27"/>
    </row>
    <row r="272">
      <c r="K272" s="26"/>
      <c r="L272" s="27"/>
      <c r="M272" s="28"/>
      <c r="N272" s="28"/>
      <c r="O272" s="27"/>
    </row>
    <row r="273">
      <c r="K273" s="26"/>
      <c r="L273" s="27"/>
      <c r="M273" s="28"/>
      <c r="N273" s="28"/>
      <c r="O273" s="27"/>
    </row>
    <row r="274">
      <c r="K274" s="26"/>
      <c r="L274" s="27"/>
      <c r="M274" s="28"/>
      <c r="N274" s="28"/>
      <c r="O274" s="27"/>
    </row>
    <row r="275">
      <c r="K275" s="26"/>
      <c r="L275" s="27"/>
      <c r="M275" s="28"/>
      <c r="N275" s="28"/>
      <c r="O275" s="27"/>
    </row>
    <row r="276">
      <c r="K276" s="26"/>
      <c r="L276" s="27"/>
      <c r="M276" s="28"/>
      <c r="N276" s="28"/>
      <c r="O276" s="27"/>
    </row>
    <row r="277">
      <c r="K277" s="26"/>
      <c r="L277" s="27"/>
      <c r="M277" s="28"/>
      <c r="N277" s="28"/>
      <c r="O277" s="27"/>
    </row>
    <row r="278">
      <c r="K278" s="26"/>
      <c r="L278" s="27"/>
      <c r="M278" s="28"/>
      <c r="N278" s="28"/>
      <c r="O278" s="27"/>
    </row>
    <row r="279">
      <c r="K279" s="26"/>
      <c r="L279" s="27"/>
      <c r="M279" s="28"/>
      <c r="N279" s="28"/>
      <c r="O279" s="27"/>
    </row>
    <row r="280">
      <c r="K280" s="26"/>
      <c r="L280" s="27"/>
      <c r="M280" s="28"/>
      <c r="N280" s="28"/>
      <c r="O280" s="27"/>
    </row>
    <row r="281">
      <c r="K281" s="26"/>
      <c r="L281" s="27"/>
      <c r="M281" s="28"/>
      <c r="N281" s="28"/>
      <c r="O281" s="27"/>
    </row>
    <row r="282">
      <c r="K282" s="26"/>
      <c r="L282" s="27"/>
      <c r="M282" s="28"/>
      <c r="N282" s="28"/>
      <c r="O282" s="27"/>
    </row>
    <row r="283">
      <c r="K283" s="26"/>
      <c r="L283" s="27"/>
      <c r="M283" s="28"/>
      <c r="N283" s="28"/>
      <c r="O283" s="27"/>
    </row>
    <row r="284">
      <c r="K284" s="26"/>
      <c r="L284" s="27"/>
      <c r="M284" s="28"/>
      <c r="N284" s="28"/>
      <c r="O284" s="27"/>
    </row>
    <row r="285">
      <c r="K285" s="26"/>
      <c r="L285" s="27"/>
      <c r="M285" s="28"/>
      <c r="N285" s="28"/>
      <c r="O285" s="27"/>
    </row>
    <row r="286">
      <c r="K286" s="26"/>
      <c r="L286" s="27"/>
      <c r="M286" s="28"/>
      <c r="N286" s="28"/>
      <c r="O286" s="27"/>
    </row>
    <row r="287">
      <c r="K287" s="26"/>
      <c r="L287" s="27"/>
      <c r="M287" s="28"/>
      <c r="N287" s="28"/>
      <c r="O287" s="27"/>
    </row>
    <row r="288">
      <c r="K288" s="26"/>
      <c r="L288" s="27"/>
      <c r="M288" s="28"/>
      <c r="N288" s="28"/>
      <c r="O288" s="27"/>
    </row>
    <row r="289">
      <c r="K289" s="26"/>
      <c r="L289" s="27"/>
      <c r="M289" s="28"/>
      <c r="N289" s="28"/>
      <c r="O289" s="27"/>
    </row>
    <row r="290">
      <c r="K290" s="26"/>
      <c r="L290" s="27"/>
      <c r="M290" s="28"/>
      <c r="N290" s="28"/>
      <c r="O290" s="27"/>
    </row>
    <row r="291">
      <c r="K291" s="26"/>
      <c r="L291" s="27"/>
      <c r="M291" s="28"/>
      <c r="N291" s="28"/>
      <c r="O291" s="27"/>
    </row>
    <row r="292">
      <c r="K292" s="26"/>
      <c r="L292" s="27"/>
      <c r="M292" s="28"/>
      <c r="N292" s="28"/>
      <c r="O292" s="27"/>
    </row>
    <row r="293">
      <c r="K293" s="26"/>
      <c r="L293" s="27"/>
      <c r="M293" s="28"/>
      <c r="N293" s="28"/>
      <c r="O293" s="27"/>
    </row>
    <row r="294">
      <c r="K294" s="26"/>
      <c r="L294" s="27"/>
      <c r="M294" s="28"/>
      <c r="N294" s="28"/>
      <c r="O294" s="27"/>
    </row>
    <row r="295">
      <c r="K295" s="26"/>
      <c r="L295" s="27"/>
      <c r="M295" s="28"/>
      <c r="N295" s="28"/>
      <c r="O295" s="27"/>
    </row>
    <row r="296">
      <c r="K296" s="26"/>
      <c r="L296" s="27"/>
      <c r="M296" s="28"/>
      <c r="N296" s="28"/>
      <c r="O296" s="27"/>
    </row>
    <row r="297">
      <c r="K297" s="26"/>
      <c r="L297" s="27"/>
      <c r="M297" s="28"/>
      <c r="N297" s="28"/>
      <c r="O297" s="27"/>
    </row>
    <row r="298">
      <c r="K298" s="26"/>
      <c r="L298" s="27"/>
      <c r="M298" s="28"/>
      <c r="N298" s="28"/>
      <c r="O298" s="27"/>
    </row>
    <row r="299">
      <c r="K299" s="26"/>
      <c r="L299" s="27"/>
      <c r="M299" s="28"/>
      <c r="N299" s="28"/>
      <c r="O299" s="27"/>
    </row>
    <row r="300">
      <c r="K300" s="26"/>
      <c r="L300" s="27"/>
      <c r="M300" s="28"/>
      <c r="N300" s="28"/>
      <c r="O300" s="27"/>
    </row>
    <row r="301">
      <c r="K301" s="26"/>
      <c r="L301" s="27"/>
      <c r="M301" s="28"/>
      <c r="N301" s="28"/>
      <c r="O301" s="27"/>
    </row>
    <row r="302">
      <c r="K302" s="26"/>
      <c r="L302" s="27"/>
      <c r="M302" s="28"/>
      <c r="N302" s="28"/>
      <c r="O302" s="27"/>
    </row>
    <row r="303">
      <c r="K303" s="26"/>
      <c r="L303" s="27"/>
      <c r="M303" s="28"/>
      <c r="N303" s="28"/>
      <c r="O303" s="27"/>
    </row>
    <row r="304">
      <c r="K304" s="26"/>
      <c r="L304" s="27"/>
      <c r="M304" s="28"/>
      <c r="N304" s="28"/>
      <c r="O304" s="27"/>
    </row>
    <row r="305">
      <c r="K305" s="26"/>
      <c r="L305" s="27"/>
      <c r="M305" s="28"/>
      <c r="N305" s="28"/>
      <c r="O305" s="27"/>
    </row>
    <row r="306">
      <c r="K306" s="26"/>
      <c r="L306" s="27"/>
      <c r="M306" s="28"/>
      <c r="N306" s="28"/>
      <c r="O306" s="27"/>
    </row>
    <row r="307">
      <c r="K307" s="26"/>
      <c r="L307" s="27"/>
      <c r="M307" s="28"/>
      <c r="N307" s="28"/>
      <c r="O307" s="27"/>
    </row>
    <row r="308">
      <c r="K308" s="26"/>
      <c r="L308" s="27"/>
      <c r="M308" s="28"/>
      <c r="N308" s="28"/>
      <c r="O308" s="27"/>
    </row>
    <row r="309">
      <c r="K309" s="26"/>
      <c r="L309" s="27"/>
      <c r="M309" s="28"/>
      <c r="N309" s="28"/>
      <c r="O309" s="27"/>
    </row>
    <row r="310">
      <c r="K310" s="26"/>
      <c r="L310" s="27"/>
      <c r="M310" s="28"/>
      <c r="N310" s="28"/>
      <c r="O310" s="27"/>
    </row>
    <row r="311">
      <c r="K311" s="26"/>
      <c r="L311" s="27"/>
      <c r="M311" s="28"/>
      <c r="N311" s="28"/>
      <c r="O311" s="27"/>
    </row>
    <row r="312">
      <c r="K312" s="26"/>
      <c r="L312" s="27"/>
      <c r="M312" s="28"/>
      <c r="N312" s="28"/>
      <c r="O312" s="27"/>
    </row>
    <row r="313">
      <c r="K313" s="26"/>
      <c r="L313" s="27"/>
      <c r="M313" s="28"/>
      <c r="N313" s="28"/>
      <c r="O313" s="27"/>
    </row>
    <row r="314">
      <c r="K314" s="26"/>
      <c r="L314" s="27"/>
      <c r="M314" s="28"/>
      <c r="N314" s="28"/>
      <c r="O314" s="27"/>
    </row>
    <row r="315">
      <c r="K315" s="26"/>
      <c r="L315" s="27"/>
      <c r="M315" s="28"/>
      <c r="N315" s="28"/>
      <c r="O315" s="27"/>
    </row>
    <row r="316">
      <c r="K316" s="26"/>
      <c r="L316" s="27"/>
      <c r="M316" s="28"/>
      <c r="N316" s="28"/>
      <c r="O316" s="27"/>
    </row>
    <row r="317">
      <c r="K317" s="26"/>
      <c r="L317" s="27"/>
      <c r="M317" s="28"/>
      <c r="N317" s="28"/>
      <c r="O317" s="27"/>
    </row>
    <row r="318">
      <c r="K318" s="26"/>
      <c r="L318" s="27"/>
      <c r="M318" s="28"/>
      <c r="N318" s="28"/>
      <c r="O318" s="27"/>
    </row>
    <row r="319">
      <c r="K319" s="26"/>
      <c r="L319" s="27"/>
      <c r="M319" s="28"/>
      <c r="N319" s="28"/>
      <c r="O319" s="27"/>
    </row>
    <row r="320">
      <c r="K320" s="26"/>
      <c r="L320" s="27"/>
      <c r="M320" s="28"/>
      <c r="N320" s="28"/>
      <c r="O320" s="27"/>
    </row>
    <row r="321">
      <c r="K321" s="26"/>
      <c r="L321" s="27"/>
      <c r="M321" s="28"/>
      <c r="N321" s="28"/>
      <c r="O321" s="27"/>
    </row>
    <row r="322">
      <c r="K322" s="26"/>
      <c r="L322" s="27"/>
      <c r="M322" s="28"/>
      <c r="N322" s="28"/>
      <c r="O322" s="27"/>
    </row>
    <row r="323">
      <c r="K323" s="26"/>
      <c r="L323" s="27"/>
      <c r="M323" s="28"/>
      <c r="N323" s="28"/>
      <c r="O323" s="27"/>
    </row>
    <row r="324">
      <c r="K324" s="26"/>
      <c r="L324" s="27"/>
      <c r="M324" s="28"/>
      <c r="N324" s="28"/>
      <c r="O324" s="27"/>
    </row>
    <row r="325">
      <c r="K325" s="26"/>
      <c r="L325" s="27"/>
      <c r="M325" s="28"/>
      <c r="N325" s="28"/>
      <c r="O325" s="27"/>
    </row>
    <row r="326">
      <c r="K326" s="26"/>
      <c r="L326" s="27"/>
      <c r="M326" s="28"/>
      <c r="N326" s="28"/>
      <c r="O326" s="27"/>
    </row>
    <row r="327">
      <c r="K327" s="26"/>
      <c r="L327" s="27"/>
      <c r="M327" s="28"/>
      <c r="N327" s="28"/>
      <c r="O327" s="27"/>
    </row>
    <row r="328">
      <c r="K328" s="26"/>
      <c r="L328" s="27"/>
      <c r="M328" s="28"/>
      <c r="N328" s="28"/>
      <c r="O328" s="27"/>
    </row>
    <row r="329">
      <c r="K329" s="26"/>
      <c r="L329" s="27"/>
      <c r="M329" s="28"/>
      <c r="N329" s="28"/>
      <c r="O329" s="27"/>
    </row>
    <row r="330">
      <c r="K330" s="26"/>
      <c r="L330" s="27"/>
      <c r="M330" s="28"/>
      <c r="N330" s="28"/>
      <c r="O330" s="27"/>
    </row>
    <row r="331">
      <c r="K331" s="26"/>
      <c r="L331" s="27"/>
      <c r="M331" s="28"/>
      <c r="N331" s="28"/>
      <c r="O331" s="27"/>
    </row>
    <row r="332">
      <c r="K332" s="26"/>
      <c r="L332" s="27"/>
      <c r="M332" s="28"/>
      <c r="N332" s="28"/>
      <c r="O332" s="27"/>
    </row>
    <row r="333">
      <c r="K333" s="26"/>
      <c r="L333" s="27"/>
      <c r="M333" s="28"/>
      <c r="N333" s="28"/>
      <c r="O333" s="27"/>
    </row>
    <row r="334">
      <c r="K334" s="26"/>
      <c r="L334" s="27"/>
      <c r="M334" s="28"/>
      <c r="N334" s="28"/>
      <c r="O334" s="27"/>
    </row>
    <row r="335">
      <c r="K335" s="26"/>
      <c r="L335" s="27"/>
      <c r="M335" s="28"/>
      <c r="N335" s="28"/>
      <c r="O335" s="27"/>
    </row>
    <row r="336">
      <c r="K336" s="26"/>
      <c r="L336" s="27"/>
      <c r="M336" s="28"/>
      <c r="N336" s="28"/>
      <c r="O336" s="27"/>
    </row>
    <row r="337">
      <c r="K337" s="26"/>
      <c r="L337" s="27"/>
      <c r="M337" s="28"/>
      <c r="N337" s="28"/>
      <c r="O337" s="27"/>
    </row>
    <row r="338">
      <c r="K338" s="26"/>
      <c r="L338" s="27"/>
      <c r="M338" s="28"/>
      <c r="N338" s="28"/>
      <c r="O338" s="27"/>
    </row>
    <row r="339">
      <c r="K339" s="26"/>
      <c r="L339" s="27"/>
      <c r="M339" s="28"/>
      <c r="N339" s="28"/>
      <c r="O339" s="27"/>
    </row>
    <row r="340">
      <c r="K340" s="26"/>
      <c r="L340" s="27"/>
      <c r="M340" s="28"/>
      <c r="N340" s="28"/>
      <c r="O340" s="27"/>
    </row>
    <row r="341">
      <c r="K341" s="26"/>
      <c r="L341" s="27"/>
      <c r="M341" s="28"/>
      <c r="N341" s="28"/>
      <c r="O341" s="27"/>
    </row>
    <row r="342">
      <c r="K342" s="26"/>
      <c r="L342" s="27"/>
      <c r="M342" s="28"/>
      <c r="N342" s="28"/>
      <c r="O342" s="27"/>
    </row>
    <row r="343">
      <c r="K343" s="26"/>
      <c r="L343" s="27"/>
      <c r="M343" s="28"/>
      <c r="N343" s="28"/>
      <c r="O343" s="27"/>
    </row>
    <row r="344">
      <c r="K344" s="26"/>
      <c r="L344" s="27"/>
      <c r="M344" s="28"/>
      <c r="N344" s="28"/>
      <c r="O344" s="27"/>
    </row>
    <row r="345">
      <c r="K345" s="26"/>
      <c r="L345" s="27"/>
      <c r="M345" s="28"/>
      <c r="N345" s="28"/>
      <c r="O345" s="27"/>
    </row>
    <row r="346">
      <c r="K346" s="26"/>
      <c r="L346" s="27"/>
      <c r="M346" s="28"/>
      <c r="N346" s="28"/>
      <c r="O346" s="27"/>
    </row>
    <row r="347">
      <c r="K347" s="26"/>
      <c r="L347" s="27"/>
      <c r="M347" s="28"/>
      <c r="N347" s="28"/>
      <c r="O347" s="27"/>
    </row>
    <row r="348">
      <c r="K348" s="26"/>
      <c r="L348" s="27"/>
      <c r="M348" s="28"/>
      <c r="N348" s="28"/>
      <c r="O348" s="27"/>
    </row>
    <row r="349">
      <c r="K349" s="26"/>
      <c r="L349" s="27"/>
      <c r="M349" s="28"/>
      <c r="N349" s="28"/>
      <c r="O349" s="27"/>
    </row>
    <row r="350">
      <c r="K350" s="26"/>
      <c r="L350" s="27"/>
      <c r="M350" s="28"/>
      <c r="N350" s="28"/>
      <c r="O350" s="27"/>
    </row>
    <row r="351">
      <c r="K351" s="26"/>
      <c r="L351" s="27"/>
      <c r="M351" s="28"/>
      <c r="N351" s="28"/>
      <c r="O351" s="27"/>
    </row>
    <row r="352">
      <c r="K352" s="26"/>
      <c r="L352" s="27"/>
      <c r="M352" s="28"/>
      <c r="N352" s="28"/>
      <c r="O352" s="27"/>
    </row>
    <row r="353">
      <c r="K353" s="26"/>
      <c r="L353" s="27"/>
      <c r="M353" s="28"/>
      <c r="N353" s="28"/>
      <c r="O353" s="27"/>
    </row>
    <row r="354">
      <c r="K354" s="26"/>
      <c r="L354" s="27"/>
      <c r="M354" s="28"/>
      <c r="N354" s="28"/>
      <c r="O354" s="27"/>
    </row>
    <row r="355">
      <c r="K355" s="26"/>
      <c r="L355" s="27"/>
      <c r="M355" s="28"/>
      <c r="N355" s="28"/>
      <c r="O355" s="27"/>
    </row>
    <row r="356">
      <c r="K356" s="26"/>
      <c r="L356" s="27"/>
      <c r="M356" s="28"/>
      <c r="N356" s="28"/>
      <c r="O356" s="27"/>
    </row>
    <row r="357">
      <c r="K357" s="26"/>
      <c r="L357" s="27"/>
      <c r="M357" s="28"/>
      <c r="N357" s="28"/>
      <c r="O357" s="27"/>
    </row>
    <row r="358">
      <c r="K358" s="26"/>
      <c r="L358" s="27"/>
      <c r="M358" s="28"/>
      <c r="N358" s="28"/>
      <c r="O358" s="27"/>
    </row>
    <row r="359">
      <c r="K359" s="26"/>
      <c r="L359" s="27"/>
      <c r="M359" s="28"/>
      <c r="N359" s="28"/>
      <c r="O359" s="27"/>
    </row>
    <row r="360">
      <c r="K360" s="26"/>
      <c r="L360" s="27"/>
      <c r="M360" s="28"/>
      <c r="N360" s="28"/>
      <c r="O360" s="27"/>
    </row>
    <row r="361">
      <c r="K361" s="26"/>
      <c r="L361" s="27"/>
      <c r="M361" s="28"/>
      <c r="N361" s="28"/>
      <c r="O361" s="27"/>
    </row>
    <row r="362">
      <c r="K362" s="26"/>
      <c r="L362" s="27"/>
      <c r="M362" s="28"/>
      <c r="N362" s="28"/>
      <c r="O362" s="27"/>
    </row>
    <row r="363">
      <c r="K363" s="26"/>
      <c r="L363" s="27"/>
      <c r="M363" s="28"/>
      <c r="N363" s="28"/>
      <c r="O363" s="27"/>
    </row>
    <row r="364">
      <c r="K364" s="26"/>
      <c r="L364" s="27"/>
      <c r="M364" s="28"/>
      <c r="N364" s="28"/>
      <c r="O364" s="27"/>
    </row>
    <row r="365">
      <c r="K365" s="26"/>
      <c r="L365" s="27"/>
      <c r="M365" s="28"/>
      <c r="N365" s="28"/>
      <c r="O365" s="27"/>
    </row>
    <row r="366">
      <c r="K366" s="26"/>
      <c r="L366" s="27"/>
      <c r="M366" s="28"/>
      <c r="N366" s="28"/>
      <c r="O366" s="27"/>
    </row>
    <row r="367">
      <c r="K367" s="26"/>
      <c r="L367" s="27"/>
      <c r="M367" s="28"/>
      <c r="N367" s="28"/>
      <c r="O367" s="27"/>
    </row>
    <row r="368">
      <c r="K368" s="26"/>
      <c r="L368" s="27"/>
      <c r="M368" s="28"/>
      <c r="N368" s="28"/>
      <c r="O368" s="27"/>
    </row>
    <row r="369">
      <c r="K369" s="26"/>
      <c r="L369" s="27"/>
      <c r="M369" s="28"/>
      <c r="N369" s="28"/>
      <c r="O369" s="27"/>
    </row>
    <row r="370">
      <c r="K370" s="26"/>
      <c r="L370" s="27"/>
      <c r="M370" s="28"/>
      <c r="N370" s="28"/>
      <c r="O370" s="27"/>
    </row>
    <row r="371">
      <c r="K371" s="26"/>
      <c r="L371" s="27"/>
      <c r="M371" s="28"/>
      <c r="N371" s="28"/>
      <c r="O371" s="27"/>
    </row>
    <row r="372">
      <c r="K372" s="26"/>
      <c r="L372" s="27"/>
      <c r="M372" s="28"/>
      <c r="N372" s="28"/>
      <c r="O372" s="27"/>
    </row>
    <row r="373">
      <c r="K373" s="26"/>
      <c r="L373" s="27"/>
      <c r="M373" s="28"/>
      <c r="N373" s="28"/>
      <c r="O373" s="27"/>
    </row>
    <row r="374">
      <c r="K374" s="26"/>
      <c r="L374" s="27"/>
      <c r="M374" s="28"/>
      <c r="N374" s="28"/>
      <c r="O374" s="27"/>
    </row>
    <row r="375">
      <c r="K375" s="26"/>
      <c r="L375" s="27"/>
      <c r="M375" s="28"/>
      <c r="N375" s="28"/>
      <c r="O375" s="27"/>
    </row>
    <row r="376">
      <c r="K376" s="26"/>
      <c r="L376" s="27"/>
      <c r="M376" s="28"/>
      <c r="N376" s="28"/>
      <c r="O376" s="27"/>
    </row>
    <row r="377">
      <c r="K377" s="26"/>
      <c r="L377" s="27"/>
      <c r="M377" s="28"/>
      <c r="N377" s="28"/>
      <c r="O377" s="27"/>
    </row>
    <row r="378">
      <c r="K378" s="26"/>
      <c r="L378" s="27"/>
      <c r="M378" s="28"/>
      <c r="N378" s="28"/>
      <c r="O378" s="27"/>
    </row>
    <row r="379">
      <c r="K379" s="26"/>
      <c r="L379" s="27"/>
      <c r="M379" s="28"/>
      <c r="N379" s="28"/>
      <c r="O379" s="27"/>
    </row>
    <row r="380">
      <c r="K380" s="26"/>
      <c r="L380" s="27"/>
      <c r="M380" s="28"/>
      <c r="N380" s="28"/>
      <c r="O380" s="27"/>
    </row>
    <row r="381">
      <c r="K381" s="26"/>
      <c r="L381" s="27"/>
      <c r="M381" s="28"/>
      <c r="N381" s="28"/>
      <c r="O381" s="27"/>
    </row>
    <row r="382">
      <c r="K382" s="26"/>
      <c r="L382" s="27"/>
      <c r="M382" s="28"/>
      <c r="N382" s="28"/>
      <c r="O382" s="27"/>
    </row>
    <row r="383">
      <c r="K383" s="26"/>
      <c r="L383" s="27"/>
      <c r="M383" s="28"/>
      <c r="N383" s="28"/>
      <c r="O383" s="27"/>
    </row>
    <row r="384">
      <c r="K384" s="26"/>
      <c r="L384" s="27"/>
      <c r="M384" s="28"/>
      <c r="N384" s="28"/>
      <c r="O384" s="27"/>
    </row>
    <row r="385">
      <c r="K385" s="26"/>
      <c r="L385" s="27"/>
      <c r="M385" s="28"/>
      <c r="N385" s="28"/>
      <c r="O385" s="27"/>
    </row>
    <row r="386">
      <c r="K386" s="26"/>
      <c r="L386" s="27"/>
      <c r="M386" s="28"/>
      <c r="N386" s="28"/>
      <c r="O386" s="27"/>
    </row>
    <row r="387">
      <c r="K387" s="26"/>
      <c r="L387" s="27"/>
      <c r="M387" s="28"/>
      <c r="N387" s="28"/>
      <c r="O387" s="27"/>
    </row>
    <row r="388">
      <c r="K388" s="26"/>
      <c r="L388" s="27"/>
      <c r="M388" s="28"/>
      <c r="N388" s="28"/>
      <c r="O388" s="27"/>
    </row>
    <row r="389">
      <c r="K389" s="26"/>
      <c r="L389" s="27"/>
      <c r="M389" s="28"/>
      <c r="N389" s="28"/>
      <c r="O389" s="27"/>
    </row>
    <row r="390">
      <c r="K390" s="26"/>
      <c r="L390" s="27"/>
      <c r="M390" s="28"/>
      <c r="N390" s="28"/>
      <c r="O390" s="27"/>
    </row>
    <row r="391">
      <c r="K391" s="26"/>
      <c r="L391" s="27"/>
      <c r="M391" s="28"/>
      <c r="N391" s="28"/>
      <c r="O391" s="27"/>
    </row>
    <row r="392">
      <c r="K392" s="26"/>
      <c r="L392" s="27"/>
      <c r="M392" s="28"/>
      <c r="N392" s="28"/>
      <c r="O392" s="27"/>
    </row>
    <row r="393">
      <c r="K393" s="26"/>
      <c r="L393" s="27"/>
      <c r="M393" s="28"/>
      <c r="N393" s="28"/>
      <c r="O393" s="27"/>
    </row>
    <row r="394">
      <c r="K394" s="26"/>
      <c r="L394" s="27"/>
      <c r="M394" s="28"/>
      <c r="N394" s="28"/>
      <c r="O394" s="27"/>
    </row>
    <row r="395">
      <c r="K395" s="26"/>
      <c r="L395" s="27"/>
      <c r="M395" s="28"/>
      <c r="N395" s="28"/>
      <c r="O395" s="27"/>
    </row>
    <row r="396">
      <c r="K396" s="26"/>
      <c r="L396" s="27"/>
      <c r="M396" s="28"/>
      <c r="N396" s="28"/>
      <c r="O396" s="27"/>
    </row>
    <row r="397">
      <c r="K397" s="26"/>
      <c r="L397" s="27"/>
      <c r="M397" s="28"/>
      <c r="N397" s="28"/>
      <c r="O397" s="27"/>
    </row>
    <row r="398">
      <c r="K398" s="26"/>
      <c r="L398" s="27"/>
      <c r="M398" s="28"/>
      <c r="N398" s="28"/>
      <c r="O398" s="27"/>
    </row>
    <row r="399">
      <c r="K399" s="26"/>
      <c r="L399" s="27"/>
      <c r="M399" s="28"/>
      <c r="N399" s="28"/>
      <c r="O399" s="27"/>
    </row>
    <row r="400">
      <c r="K400" s="26"/>
      <c r="L400" s="27"/>
      <c r="M400" s="28"/>
      <c r="N400" s="28"/>
      <c r="O400" s="27"/>
    </row>
    <row r="401">
      <c r="K401" s="26"/>
      <c r="L401" s="27"/>
      <c r="M401" s="28"/>
      <c r="N401" s="28"/>
      <c r="O401" s="27"/>
    </row>
    <row r="402">
      <c r="K402" s="26"/>
      <c r="L402" s="27"/>
      <c r="M402" s="28"/>
      <c r="N402" s="28"/>
      <c r="O402" s="27"/>
    </row>
    <row r="403">
      <c r="K403" s="26"/>
      <c r="L403" s="27"/>
      <c r="M403" s="28"/>
      <c r="N403" s="28"/>
      <c r="O403" s="27"/>
    </row>
    <row r="404">
      <c r="K404" s="26"/>
      <c r="L404" s="27"/>
      <c r="M404" s="28"/>
      <c r="N404" s="28"/>
      <c r="O404" s="27"/>
    </row>
    <row r="405">
      <c r="K405" s="26"/>
      <c r="L405" s="27"/>
      <c r="M405" s="28"/>
      <c r="N405" s="28"/>
      <c r="O405" s="27"/>
    </row>
    <row r="406">
      <c r="K406" s="26"/>
      <c r="L406" s="27"/>
      <c r="M406" s="28"/>
      <c r="N406" s="28"/>
      <c r="O406" s="27"/>
    </row>
    <row r="407">
      <c r="K407" s="26"/>
      <c r="L407" s="27"/>
      <c r="M407" s="28"/>
      <c r="N407" s="28"/>
      <c r="O407" s="27"/>
    </row>
    <row r="408">
      <c r="K408" s="26"/>
      <c r="L408" s="27"/>
      <c r="M408" s="28"/>
      <c r="N408" s="28"/>
      <c r="O408" s="27"/>
    </row>
    <row r="409">
      <c r="K409" s="26"/>
      <c r="L409" s="27"/>
      <c r="M409" s="28"/>
      <c r="N409" s="28"/>
      <c r="O409" s="27"/>
    </row>
    <row r="410">
      <c r="K410" s="26"/>
      <c r="L410" s="27"/>
      <c r="M410" s="28"/>
      <c r="N410" s="28"/>
      <c r="O410" s="27"/>
    </row>
    <row r="411">
      <c r="K411" s="26"/>
      <c r="L411" s="27"/>
      <c r="M411" s="28"/>
      <c r="N411" s="28"/>
      <c r="O411" s="27"/>
    </row>
    <row r="412">
      <c r="K412" s="26"/>
      <c r="L412" s="27"/>
      <c r="M412" s="28"/>
      <c r="N412" s="28"/>
      <c r="O412" s="27"/>
    </row>
    <row r="413">
      <c r="K413" s="26"/>
      <c r="L413" s="27"/>
      <c r="M413" s="28"/>
      <c r="N413" s="28"/>
      <c r="O413" s="27"/>
    </row>
    <row r="414">
      <c r="K414" s="26"/>
      <c r="L414" s="27"/>
      <c r="M414" s="28"/>
      <c r="N414" s="28"/>
      <c r="O414" s="27"/>
    </row>
    <row r="415">
      <c r="K415" s="26"/>
      <c r="L415" s="27"/>
      <c r="M415" s="28"/>
      <c r="N415" s="28"/>
      <c r="O415" s="27"/>
    </row>
    <row r="416">
      <c r="K416" s="26"/>
      <c r="L416" s="27"/>
      <c r="M416" s="28"/>
      <c r="N416" s="28"/>
      <c r="O416" s="27"/>
    </row>
    <row r="417">
      <c r="K417" s="26"/>
      <c r="L417" s="27"/>
      <c r="M417" s="28"/>
      <c r="N417" s="28"/>
      <c r="O417" s="27"/>
    </row>
    <row r="418">
      <c r="K418" s="26"/>
      <c r="L418" s="27"/>
      <c r="M418" s="28"/>
      <c r="N418" s="28"/>
      <c r="O418" s="27"/>
    </row>
    <row r="419">
      <c r="K419" s="26"/>
      <c r="L419" s="27"/>
      <c r="M419" s="28"/>
      <c r="N419" s="28"/>
      <c r="O419" s="27"/>
    </row>
    <row r="420">
      <c r="K420" s="26"/>
      <c r="L420" s="27"/>
      <c r="M420" s="28"/>
      <c r="N420" s="28"/>
      <c r="O420" s="27"/>
    </row>
    <row r="421">
      <c r="K421" s="26"/>
      <c r="L421" s="27"/>
      <c r="M421" s="28"/>
      <c r="N421" s="28"/>
      <c r="O421" s="27"/>
    </row>
    <row r="422">
      <c r="K422" s="26"/>
      <c r="L422" s="27"/>
      <c r="M422" s="28"/>
      <c r="N422" s="28"/>
      <c r="O422" s="27"/>
    </row>
    <row r="423">
      <c r="K423" s="26"/>
      <c r="L423" s="27"/>
      <c r="M423" s="28"/>
      <c r="N423" s="28"/>
      <c r="O423" s="27"/>
    </row>
    <row r="424">
      <c r="K424" s="26"/>
      <c r="L424" s="27"/>
      <c r="M424" s="28"/>
      <c r="N424" s="28"/>
      <c r="O424" s="27"/>
    </row>
    <row r="425">
      <c r="K425" s="26"/>
      <c r="L425" s="27"/>
      <c r="M425" s="28"/>
      <c r="N425" s="28"/>
      <c r="O425" s="27"/>
    </row>
    <row r="426">
      <c r="K426" s="26"/>
      <c r="L426" s="27"/>
      <c r="M426" s="28"/>
      <c r="N426" s="28"/>
      <c r="O426" s="27"/>
    </row>
    <row r="427">
      <c r="K427" s="26"/>
      <c r="L427" s="27"/>
      <c r="M427" s="28"/>
      <c r="N427" s="28"/>
      <c r="O427" s="27"/>
    </row>
    <row r="428">
      <c r="K428" s="26"/>
      <c r="L428" s="27"/>
      <c r="M428" s="28"/>
      <c r="N428" s="28"/>
      <c r="O428" s="27"/>
    </row>
    <row r="429">
      <c r="K429" s="26"/>
      <c r="L429" s="27"/>
      <c r="M429" s="28"/>
      <c r="N429" s="28"/>
      <c r="O429" s="27"/>
    </row>
    <row r="430">
      <c r="K430" s="26"/>
      <c r="L430" s="27"/>
      <c r="M430" s="28"/>
      <c r="N430" s="28"/>
      <c r="O430" s="27"/>
    </row>
    <row r="431">
      <c r="K431" s="26"/>
      <c r="L431" s="27"/>
      <c r="M431" s="28"/>
      <c r="N431" s="28"/>
      <c r="O431" s="27"/>
    </row>
    <row r="432">
      <c r="K432" s="26"/>
      <c r="L432" s="27"/>
      <c r="M432" s="28"/>
      <c r="N432" s="28"/>
      <c r="O432" s="27"/>
    </row>
    <row r="433">
      <c r="K433" s="26"/>
      <c r="L433" s="27"/>
      <c r="M433" s="28"/>
      <c r="N433" s="28"/>
      <c r="O433" s="27"/>
    </row>
    <row r="434">
      <c r="K434" s="26"/>
      <c r="L434" s="27"/>
      <c r="M434" s="28"/>
      <c r="N434" s="28"/>
      <c r="O434" s="27"/>
    </row>
    <row r="435">
      <c r="K435" s="26"/>
      <c r="L435" s="27"/>
      <c r="M435" s="28"/>
      <c r="N435" s="28"/>
      <c r="O435" s="27"/>
    </row>
    <row r="436">
      <c r="K436" s="26"/>
      <c r="L436" s="27"/>
      <c r="M436" s="28"/>
      <c r="N436" s="28"/>
      <c r="O436" s="27"/>
    </row>
    <row r="437">
      <c r="K437" s="26"/>
      <c r="L437" s="27"/>
      <c r="M437" s="28"/>
      <c r="N437" s="28"/>
      <c r="O437" s="27"/>
    </row>
    <row r="438">
      <c r="K438" s="26"/>
      <c r="L438" s="27"/>
      <c r="M438" s="28"/>
      <c r="N438" s="28"/>
      <c r="O438" s="27"/>
    </row>
    <row r="439">
      <c r="K439" s="26"/>
      <c r="L439" s="27"/>
      <c r="M439" s="28"/>
      <c r="N439" s="28"/>
      <c r="O439" s="27"/>
    </row>
    <row r="440">
      <c r="K440" s="26"/>
      <c r="L440" s="27"/>
      <c r="M440" s="28"/>
      <c r="N440" s="28"/>
      <c r="O440" s="27"/>
    </row>
    <row r="441">
      <c r="K441" s="26"/>
      <c r="L441" s="27"/>
      <c r="M441" s="28"/>
      <c r="N441" s="28"/>
      <c r="O441" s="27"/>
    </row>
    <row r="442">
      <c r="K442" s="26"/>
      <c r="L442" s="27"/>
      <c r="M442" s="28"/>
      <c r="N442" s="28"/>
      <c r="O442" s="27"/>
    </row>
    <row r="443">
      <c r="K443" s="26"/>
      <c r="L443" s="27"/>
      <c r="M443" s="28"/>
      <c r="N443" s="28"/>
      <c r="O443" s="27"/>
    </row>
    <row r="444">
      <c r="K444" s="26"/>
      <c r="L444" s="27"/>
      <c r="M444" s="28"/>
      <c r="N444" s="28"/>
      <c r="O444" s="27"/>
    </row>
    <row r="445">
      <c r="K445" s="26"/>
      <c r="L445" s="27"/>
      <c r="M445" s="28"/>
      <c r="N445" s="28"/>
      <c r="O445" s="27"/>
    </row>
    <row r="446">
      <c r="K446" s="26"/>
      <c r="L446" s="27"/>
      <c r="M446" s="28"/>
      <c r="N446" s="28"/>
      <c r="O446" s="27"/>
    </row>
    <row r="447">
      <c r="K447" s="26"/>
      <c r="L447" s="27"/>
      <c r="M447" s="28"/>
      <c r="N447" s="28"/>
      <c r="O447" s="27"/>
    </row>
    <row r="448">
      <c r="K448" s="26"/>
      <c r="L448" s="27"/>
      <c r="M448" s="28"/>
      <c r="N448" s="28"/>
      <c r="O448" s="27"/>
    </row>
    <row r="449">
      <c r="K449" s="26"/>
      <c r="L449" s="27"/>
      <c r="M449" s="28"/>
      <c r="N449" s="28"/>
      <c r="O449" s="27"/>
    </row>
    <row r="450">
      <c r="K450" s="26"/>
      <c r="L450" s="27"/>
      <c r="M450" s="28"/>
      <c r="N450" s="28"/>
      <c r="O450" s="27"/>
    </row>
    <row r="451">
      <c r="K451" s="26"/>
      <c r="L451" s="27"/>
      <c r="M451" s="28"/>
      <c r="N451" s="28"/>
      <c r="O451" s="27"/>
    </row>
    <row r="452">
      <c r="K452" s="26"/>
      <c r="L452" s="27"/>
      <c r="M452" s="28"/>
      <c r="N452" s="28"/>
      <c r="O452" s="27"/>
    </row>
    <row r="453">
      <c r="K453" s="26"/>
      <c r="L453" s="27"/>
      <c r="M453" s="28"/>
      <c r="N453" s="28"/>
      <c r="O453" s="27"/>
    </row>
    <row r="454">
      <c r="K454" s="26"/>
      <c r="L454" s="27"/>
      <c r="M454" s="28"/>
      <c r="N454" s="28"/>
      <c r="O454" s="27"/>
    </row>
    <row r="455">
      <c r="K455" s="26"/>
      <c r="L455" s="27"/>
      <c r="M455" s="28"/>
      <c r="N455" s="28"/>
      <c r="O455" s="27"/>
    </row>
    <row r="456">
      <c r="K456" s="26"/>
      <c r="L456" s="27"/>
      <c r="M456" s="28"/>
      <c r="N456" s="28"/>
      <c r="O456" s="27"/>
    </row>
    <row r="457">
      <c r="K457" s="26"/>
      <c r="L457" s="27"/>
      <c r="M457" s="28"/>
      <c r="N457" s="28"/>
      <c r="O457" s="27"/>
    </row>
    <row r="458">
      <c r="K458" s="26"/>
      <c r="L458" s="27"/>
      <c r="M458" s="28"/>
      <c r="N458" s="28"/>
      <c r="O458" s="27"/>
    </row>
    <row r="459">
      <c r="K459" s="26"/>
      <c r="L459" s="27"/>
      <c r="M459" s="28"/>
      <c r="N459" s="28"/>
      <c r="O459" s="27"/>
    </row>
    <row r="460">
      <c r="K460" s="26"/>
      <c r="L460" s="27"/>
      <c r="M460" s="28"/>
      <c r="N460" s="28"/>
      <c r="O460" s="27"/>
    </row>
    <row r="461">
      <c r="K461" s="26"/>
      <c r="L461" s="27"/>
      <c r="M461" s="28"/>
      <c r="N461" s="28"/>
      <c r="O461" s="27"/>
    </row>
    <row r="462">
      <c r="K462" s="26"/>
      <c r="L462" s="27"/>
      <c r="M462" s="28"/>
      <c r="N462" s="28"/>
      <c r="O462" s="27"/>
    </row>
    <row r="463">
      <c r="K463" s="26"/>
      <c r="L463" s="27"/>
      <c r="M463" s="28"/>
      <c r="N463" s="28"/>
      <c r="O463" s="27"/>
    </row>
    <row r="464">
      <c r="K464" s="26"/>
      <c r="L464" s="27"/>
      <c r="M464" s="28"/>
      <c r="N464" s="28"/>
      <c r="O464" s="27"/>
    </row>
    <row r="465">
      <c r="K465" s="26"/>
      <c r="L465" s="27"/>
      <c r="M465" s="28"/>
      <c r="N465" s="28"/>
      <c r="O465" s="27"/>
    </row>
    <row r="466">
      <c r="K466" s="26"/>
      <c r="L466" s="27"/>
      <c r="M466" s="28"/>
      <c r="N466" s="28"/>
      <c r="O466" s="27"/>
    </row>
    <row r="467">
      <c r="K467" s="26"/>
      <c r="L467" s="27"/>
      <c r="M467" s="28"/>
      <c r="N467" s="28"/>
      <c r="O467" s="27"/>
    </row>
    <row r="468">
      <c r="K468" s="26"/>
      <c r="L468" s="27"/>
      <c r="M468" s="28"/>
      <c r="N468" s="28"/>
      <c r="O468" s="27"/>
    </row>
    <row r="469">
      <c r="K469" s="26"/>
      <c r="L469" s="27"/>
      <c r="M469" s="28"/>
      <c r="N469" s="28"/>
      <c r="O469" s="27"/>
    </row>
    <row r="470">
      <c r="K470" s="26"/>
      <c r="L470" s="27"/>
      <c r="M470" s="28"/>
      <c r="N470" s="28"/>
      <c r="O470" s="27"/>
    </row>
    <row r="471">
      <c r="K471" s="26"/>
      <c r="L471" s="27"/>
      <c r="M471" s="28"/>
      <c r="N471" s="28"/>
      <c r="O471" s="27"/>
    </row>
    <row r="472">
      <c r="K472" s="26"/>
      <c r="L472" s="27"/>
      <c r="M472" s="28"/>
      <c r="N472" s="28"/>
      <c r="O472" s="27"/>
    </row>
    <row r="473">
      <c r="K473" s="26"/>
      <c r="L473" s="27"/>
      <c r="M473" s="28"/>
      <c r="N473" s="28"/>
      <c r="O473" s="27"/>
    </row>
    <row r="474">
      <c r="K474" s="26"/>
      <c r="L474" s="27"/>
      <c r="M474" s="28"/>
      <c r="N474" s="28"/>
      <c r="O474" s="27"/>
    </row>
    <row r="475">
      <c r="K475" s="26"/>
      <c r="L475" s="27"/>
      <c r="M475" s="28"/>
      <c r="N475" s="28"/>
      <c r="O475" s="27"/>
    </row>
    <row r="476">
      <c r="K476" s="26"/>
      <c r="L476" s="27"/>
      <c r="M476" s="28"/>
      <c r="N476" s="28"/>
      <c r="O476" s="27"/>
    </row>
    <row r="477">
      <c r="K477" s="26"/>
      <c r="L477" s="27"/>
      <c r="M477" s="28"/>
      <c r="N477" s="28"/>
      <c r="O477" s="27"/>
    </row>
    <row r="478">
      <c r="K478" s="26"/>
      <c r="L478" s="27"/>
      <c r="M478" s="28"/>
      <c r="N478" s="28"/>
      <c r="O478" s="27"/>
    </row>
    <row r="479">
      <c r="K479" s="26"/>
      <c r="L479" s="27"/>
      <c r="M479" s="28"/>
      <c r="N479" s="28"/>
      <c r="O479" s="27"/>
    </row>
    <row r="480">
      <c r="K480" s="26"/>
      <c r="L480" s="27"/>
      <c r="M480" s="28"/>
      <c r="N480" s="28"/>
      <c r="O480" s="27"/>
    </row>
    <row r="481">
      <c r="K481" s="26"/>
      <c r="L481" s="27"/>
      <c r="M481" s="28"/>
      <c r="N481" s="28"/>
      <c r="O481" s="27"/>
    </row>
    <row r="482">
      <c r="K482" s="26"/>
      <c r="L482" s="27"/>
      <c r="M482" s="28"/>
      <c r="N482" s="28"/>
      <c r="O482" s="27"/>
    </row>
    <row r="483">
      <c r="K483" s="26"/>
      <c r="L483" s="27"/>
      <c r="M483" s="28"/>
      <c r="N483" s="28"/>
      <c r="O483" s="27"/>
    </row>
    <row r="484">
      <c r="K484" s="26"/>
      <c r="L484" s="27"/>
      <c r="M484" s="28"/>
      <c r="N484" s="28"/>
      <c r="O484" s="27"/>
    </row>
    <row r="485">
      <c r="K485" s="26"/>
      <c r="L485" s="27"/>
      <c r="M485" s="28"/>
      <c r="N485" s="28"/>
      <c r="O485" s="27"/>
    </row>
    <row r="486">
      <c r="K486" s="26"/>
      <c r="L486" s="27"/>
      <c r="M486" s="28"/>
      <c r="N486" s="28"/>
      <c r="O486" s="27"/>
    </row>
    <row r="487">
      <c r="K487" s="26"/>
      <c r="L487" s="27"/>
      <c r="M487" s="28"/>
      <c r="N487" s="28"/>
      <c r="O487" s="27"/>
    </row>
    <row r="488">
      <c r="K488" s="26"/>
      <c r="L488" s="27"/>
      <c r="M488" s="28"/>
      <c r="N488" s="28"/>
      <c r="O488" s="27"/>
    </row>
    <row r="489">
      <c r="K489" s="26"/>
      <c r="L489" s="27"/>
      <c r="M489" s="28"/>
      <c r="N489" s="28"/>
      <c r="O489" s="27"/>
    </row>
    <row r="490">
      <c r="K490" s="26"/>
      <c r="L490" s="27"/>
      <c r="M490" s="28"/>
      <c r="N490" s="28"/>
      <c r="O490" s="27"/>
    </row>
    <row r="491">
      <c r="K491" s="26"/>
      <c r="L491" s="27"/>
      <c r="M491" s="28"/>
      <c r="N491" s="28"/>
      <c r="O491" s="27"/>
    </row>
    <row r="492">
      <c r="K492" s="26"/>
      <c r="L492" s="27"/>
      <c r="M492" s="28"/>
      <c r="N492" s="28"/>
      <c r="O492" s="27"/>
    </row>
    <row r="493">
      <c r="K493" s="26"/>
      <c r="L493" s="27"/>
      <c r="M493" s="28"/>
      <c r="N493" s="28"/>
      <c r="O493" s="27"/>
    </row>
    <row r="494">
      <c r="K494" s="26"/>
      <c r="L494" s="27"/>
      <c r="M494" s="28"/>
      <c r="N494" s="28"/>
      <c r="O494" s="27"/>
    </row>
    <row r="495">
      <c r="K495" s="26"/>
      <c r="L495" s="27"/>
      <c r="M495" s="28"/>
      <c r="N495" s="28"/>
      <c r="O495" s="27"/>
    </row>
    <row r="496">
      <c r="K496" s="26"/>
      <c r="L496" s="27"/>
      <c r="M496" s="28"/>
      <c r="N496" s="28"/>
      <c r="O496" s="27"/>
    </row>
    <row r="497">
      <c r="K497" s="26"/>
      <c r="L497" s="27"/>
      <c r="M497" s="28"/>
      <c r="N497" s="28"/>
      <c r="O497" s="27"/>
    </row>
    <row r="498">
      <c r="K498" s="26"/>
      <c r="L498" s="27"/>
      <c r="M498" s="28"/>
      <c r="N498" s="28"/>
      <c r="O498" s="27"/>
    </row>
    <row r="499">
      <c r="K499" s="26"/>
      <c r="L499" s="27"/>
      <c r="M499" s="28"/>
      <c r="N499" s="28"/>
      <c r="O499" s="27"/>
    </row>
    <row r="500">
      <c r="K500" s="26"/>
      <c r="L500" s="27"/>
      <c r="M500" s="28"/>
      <c r="N500" s="28"/>
      <c r="O500" s="27"/>
    </row>
    <row r="501">
      <c r="K501" s="26"/>
      <c r="L501" s="27"/>
      <c r="M501" s="28"/>
      <c r="N501" s="28"/>
      <c r="O501" s="27"/>
    </row>
    <row r="502">
      <c r="K502" s="26"/>
      <c r="L502" s="27"/>
      <c r="M502" s="28"/>
      <c r="N502" s="28"/>
      <c r="O502" s="27"/>
    </row>
    <row r="503">
      <c r="K503" s="26"/>
      <c r="L503" s="27"/>
      <c r="M503" s="28"/>
      <c r="N503" s="28"/>
      <c r="O503" s="27"/>
    </row>
    <row r="504">
      <c r="K504" s="26"/>
      <c r="L504" s="27"/>
      <c r="M504" s="28"/>
      <c r="N504" s="28"/>
      <c r="O504" s="27"/>
    </row>
    <row r="505">
      <c r="K505" s="26"/>
      <c r="L505" s="27"/>
      <c r="M505" s="28"/>
      <c r="N505" s="28"/>
      <c r="O505" s="27"/>
    </row>
    <row r="506">
      <c r="K506" s="26"/>
      <c r="L506" s="27"/>
      <c r="M506" s="28"/>
      <c r="N506" s="28"/>
      <c r="O506" s="27"/>
    </row>
    <row r="507">
      <c r="K507" s="26"/>
      <c r="L507" s="27"/>
      <c r="M507" s="28"/>
      <c r="N507" s="28"/>
      <c r="O507" s="27"/>
    </row>
    <row r="508">
      <c r="K508" s="26"/>
      <c r="L508" s="27"/>
      <c r="M508" s="28"/>
      <c r="N508" s="28"/>
      <c r="O508" s="27"/>
    </row>
    <row r="509">
      <c r="K509" s="26"/>
      <c r="L509" s="27"/>
      <c r="M509" s="28"/>
      <c r="N509" s="28"/>
      <c r="O509" s="27"/>
    </row>
    <row r="510">
      <c r="K510" s="26"/>
      <c r="L510" s="27"/>
      <c r="M510" s="28"/>
      <c r="N510" s="28"/>
      <c r="O510" s="27"/>
    </row>
    <row r="511">
      <c r="K511" s="26"/>
      <c r="L511" s="27"/>
      <c r="M511" s="28"/>
      <c r="N511" s="28"/>
      <c r="O511" s="27"/>
    </row>
    <row r="512">
      <c r="K512" s="26"/>
      <c r="L512" s="27"/>
      <c r="M512" s="28"/>
      <c r="N512" s="28"/>
      <c r="O512" s="27"/>
    </row>
    <row r="513">
      <c r="K513" s="26"/>
      <c r="L513" s="27"/>
      <c r="M513" s="28"/>
      <c r="N513" s="28"/>
      <c r="O513" s="27"/>
    </row>
    <row r="514">
      <c r="K514" s="26"/>
      <c r="L514" s="27"/>
      <c r="M514" s="28"/>
      <c r="N514" s="28"/>
      <c r="O514" s="27"/>
    </row>
    <row r="515">
      <c r="K515" s="26"/>
      <c r="L515" s="27"/>
      <c r="M515" s="28"/>
      <c r="N515" s="28"/>
      <c r="O515" s="27"/>
    </row>
    <row r="516">
      <c r="K516" s="26"/>
      <c r="L516" s="27"/>
      <c r="M516" s="28"/>
      <c r="N516" s="28"/>
      <c r="O516" s="27"/>
    </row>
    <row r="517">
      <c r="K517" s="26"/>
      <c r="L517" s="27"/>
      <c r="M517" s="28"/>
      <c r="N517" s="28"/>
      <c r="O517" s="27"/>
    </row>
    <row r="518">
      <c r="K518" s="26"/>
      <c r="L518" s="27"/>
      <c r="M518" s="28"/>
      <c r="N518" s="28"/>
      <c r="O518" s="27"/>
    </row>
    <row r="519">
      <c r="K519" s="26"/>
      <c r="L519" s="27"/>
      <c r="M519" s="28"/>
      <c r="N519" s="28"/>
      <c r="O519" s="27"/>
    </row>
    <row r="520">
      <c r="K520" s="26"/>
      <c r="L520" s="27"/>
      <c r="M520" s="28"/>
      <c r="N520" s="28"/>
      <c r="O520" s="27"/>
    </row>
    <row r="521">
      <c r="K521" s="26"/>
      <c r="L521" s="27"/>
      <c r="M521" s="28"/>
      <c r="N521" s="28"/>
      <c r="O521" s="27"/>
    </row>
    <row r="522">
      <c r="K522" s="26"/>
      <c r="L522" s="27"/>
      <c r="M522" s="28"/>
      <c r="N522" s="28"/>
      <c r="O522" s="27"/>
    </row>
    <row r="523">
      <c r="K523" s="26"/>
      <c r="L523" s="27"/>
      <c r="M523" s="28"/>
      <c r="N523" s="28"/>
      <c r="O523" s="27"/>
    </row>
    <row r="524">
      <c r="K524" s="26"/>
      <c r="L524" s="27"/>
      <c r="M524" s="28"/>
      <c r="N524" s="28"/>
      <c r="O524" s="27"/>
    </row>
    <row r="525">
      <c r="K525" s="26"/>
      <c r="L525" s="27"/>
      <c r="M525" s="28"/>
      <c r="N525" s="28"/>
      <c r="O525" s="27"/>
    </row>
    <row r="526">
      <c r="K526" s="26"/>
      <c r="L526" s="27"/>
      <c r="M526" s="28"/>
      <c r="N526" s="28"/>
      <c r="O526" s="27"/>
    </row>
    <row r="527">
      <c r="K527" s="26"/>
      <c r="L527" s="27"/>
      <c r="M527" s="28"/>
      <c r="N527" s="28"/>
      <c r="O527" s="27"/>
    </row>
    <row r="528">
      <c r="K528" s="26"/>
      <c r="L528" s="27"/>
      <c r="M528" s="28"/>
      <c r="N528" s="28"/>
      <c r="O528" s="27"/>
    </row>
    <row r="529">
      <c r="K529" s="26"/>
      <c r="L529" s="27"/>
      <c r="M529" s="28"/>
      <c r="N529" s="28"/>
      <c r="O529" s="27"/>
    </row>
    <row r="530">
      <c r="K530" s="26"/>
      <c r="L530" s="27"/>
      <c r="M530" s="28"/>
      <c r="N530" s="28"/>
      <c r="O530" s="27"/>
    </row>
    <row r="531">
      <c r="K531" s="26"/>
      <c r="L531" s="27"/>
      <c r="M531" s="28"/>
      <c r="N531" s="28"/>
      <c r="O531" s="27"/>
    </row>
    <row r="532">
      <c r="K532" s="26"/>
      <c r="L532" s="27"/>
      <c r="M532" s="28"/>
      <c r="N532" s="28"/>
      <c r="O532" s="27"/>
    </row>
    <row r="533">
      <c r="K533" s="26"/>
      <c r="L533" s="27"/>
      <c r="M533" s="28"/>
      <c r="N533" s="28"/>
      <c r="O533" s="27"/>
    </row>
    <row r="534">
      <c r="K534" s="26"/>
      <c r="L534" s="27"/>
      <c r="M534" s="28"/>
      <c r="N534" s="28"/>
      <c r="O534" s="27"/>
    </row>
    <row r="535">
      <c r="K535" s="26"/>
      <c r="L535" s="27"/>
      <c r="M535" s="28"/>
      <c r="N535" s="28"/>
      <c r="O535" s="27"/>
    </row>
    <row r="536">
      <c r="K536" s="26"/>
      <c r="L536" s="27"/>
      <c r="M536" s="28"/>
      <c r="N536" s="28"/>
      <c r="O536" s="27"/>
    </row>
    <row r="537">
      <c r="K537" s="26"/>
      <c r="L537" s="27"/>
      <c r="M537" s="28"/>
      <c r="N537" s="28"/>
      <c r="O537" s="27"/>
    </row>
    <row r="538">
      <c r="K538" s="26"/>
      <c r="L538" s="27"/>
      <c r="M538" s="28"/>
      <c r="N538" s="28"/>
      <c r="O538" s="27"/>
    </row>
    <row r="539">
      <c r="K539" s="26"/>
      <c r="L539" s="27"/>
      <c r="M539" s="28"/>
      <c r="N539" s="28"/>
      <c r="O539" s="27"/>
    </row>
    <row r="540">
      <c r="K540" s="26"/>
      <c r="L540" s="27"/>
      <c r="M540" s="28"/>
      <c r="N540" s="28"/>
      <c r="O540" s="27"/>
    </row>
    <row r="541">
      <c r="K541" s="26"/>
      <c r="L541" s="27"/>
      <c r="M541" s="28"/>
      <c r="N541" s="28"/>
      <c r="O541" s="27"/>
    </row>
    <row r="542">
      <c r="K542" s="26"/>
      <c r="L542" s="27"/>
      <c r="M542" s="28"/>
      <c r="N542" s="28"/>
      <c r="O542" s="27"/>
    </row>
    <row r="543">
      <c r="K543" s="26"/>
      <c r="L543" s="27"/>
      <c r="M543" s="28"/>
      <c r="N543" s="28"/>
      <c r="O543" s="27"/>
    </row>
    <row r="544">
      <c r="K544" s="26"/>
      <c r="L544" s="27"/>
      <c r="M544" s="28"/>
      <c r="N544" s="28"/>
      <c r="O544" s="27"/>
    </row>
    <row r="545">
      <c r="K545" s="26"/>
      <c r="L545" s="27"/>
      <c r="M545" s="28"/>
      <c r="N545" s="28"/>
      <c r="O545" s="27"/>
    </row>
    <row r="546">
      <c r="K546" s="26"/>
      <c r="L546" s="27"/>
      <c r="M546" s="28"/>
      <c r="N546" s="28"/>
      <c r="O546" s="27"/>
    </row>
    <row r="547">
      <c r="K547" s="26"/>
      <c r="L547" s="27"/>
      <c r="M547" s="28"/>
      <c r="N547" s="28"/>
      <c r="O547" s="27"/>
    </row>
    <row r="548">
      <c r="K548" s="26"/>
      <c r="L548" s="27"/>
      <c r="M548" s="28"/>
      <c r="N548" s="28"/>
      <c r="O548" s="27"/>
    </row>
    <row r="549">
      <c r="K549" s="26"/>
      <c r="L549" s="27"/>
      <c r="M549" s="28"/>
      <c r="N549" s="28"/>
      <c r="O549" s="27"/>
    </row>
    <row r="550">
      <c r="K550" s="26"/>
      <c r="L550" s="27"/>
      <c r="M550" s="28"/>
      <c r="N550" s="28"/>
      <c r="O550" s="27"/>
    </row>
    <row r="551">
      <c r="K551" s="26"/>
      <c r="L551" s="27"/>
      <c r="M551" s="28"/>
      <c r="N551" s="28"/>
      <c r="O551" s="27"/>
    </row>
    <row r="552">
      <c r="K552" s="26"/>
      <c r="L552" s="27"/>
      <c r="M552" s="28"/>
      <c r="N552" s="28"/>
      <c r="O552" s="27"/>
    </row>
    <row r="553">
      <c r="K553" s="26"/>
      <c r="L553" s="27"/>
      <c r="M553" s="28"/>
      <c r="N553" s="28"/>
      <c r="O553" s="27"/>
    </row>
    <row r="554">
      <c r="K554" s="26"/>
      <c r="L554" s="27"/>
      <c r="M554" s="28"/>
      <c r="N554" s="28"/>
      <c r="O554" s="27"/>
    </row>
    <row r="555">
      <c r="K555" s="26"/>
      <c r="L555" s="27"/>
      <c r="M555" s="28"/>
      <c r="N555" s="28"/>
      <c r="O555" s="27"/>
    </row>
    <row r="556">
      <c r="K556" s="26"/>
      <c r="L556" s="27"/>
      <c r="M556" s="28"/>
      <c r="N556" s="28"/>
      <c r="O556" s="27"/>
    </row>
    <row r="557">
      <c r="K557" s="26"/>
      <c r="L557" s="27"/>
      <c r="M557" s="28"/>
      <c r="N557" s="28"/>
      <c r="O557" s="27"/>
    </row>
    <row r="558">
      <c r="K558" s="26"/>
      <c r="L558" s="27"/>
      <c r="M558" s="28"/>
      <c r="N558" s="28"/>
      <c r="O558" s="27"/>
    </row>
    <row r="559">
      <c r="K559" s="26"/>
      <c r="L559" s="27"/>
      <c r="M559" s="28"/>
      <c r="N559" s="28"/>
      <c r="O559" s="27"/>
    </row>
    <row r="560">
      <c r="K560" s="26"/>
      <c r="L560" s="27"/>
      <c r="M560" s="28"/>
      <c r="N560" s="28"/>
      <c r="O560" s="27"/>
    </row>
    <row r="561">
      <c r="K561" s="26"/>
      <c r="L561" s="27"/>
      <c r="M561" s="28"/>
      <c r="N561" s="28"/>
      <c r="O561" s="27"/>
    </row>
    <row r="562">
      <c r="K562" s="26"/>
      <c r="L562" s="27"/>
      <c r="M562" s="28"/>
      <c r="N562" s="28"/>
      <c r="O562" s="27"/>
    </row>
    <row r="563">
      <c r="K563" s="26"/>
      <c r="L563" s="27"/>
      <c r="M563" s="28"/>
      <c r="N563" s="28"/>
      <c r="O563" s="27"/>
    </row>
    <row r="564">
      <c r="K564" s="26"/>
      <c r="L564" s="27"/>
      <c r="M564" s="28"/>
      <c r="N564" s="28"/>
      <c r="O564" s="27"/>
    </row>
    <row r="565">
      <c r="K565" s="26"/>
      <c r="L565" s="27"/>
      <c r="M565" s="28"/>
      <c r="N565" s="28"/>
      <c r="O565" s="27"/>
    </row>
    <row r="566">
      <c r="K566" s="26"/>
      <c r="L566" s="27"/>
      <c r="M566" s="28"/>
      <c r="N566" s="28"/>
      <c r="O566" s="27"/>
    </row>
    <row r="567">
      <c r="K567" s="26"/>
      <c r="L567" s="27"/>
      <c r="M567" s="28"/>
      <c r="N567" s="28"/>
      <c r="O567" s="27"/>
    </row>
    <row r="568">
      <c r="K568" s="26"/>
      <c r="L568" s="27"/>
      <c r="M568" s="28"/>
      <c r="N568" s="28"/>
      <c r="O568" s="27"/>
    </row>
    <row r="569">
      <c r="K569" s="26"/>
      <c r="L569" s="27"/>
      <c r="M569" s="28"/>
      <c r="N569" s="28"/>
      <c r="O569" s="27"/>
    </row>
    <row r="570">
      <c r="K570" s="26"/>
      <c r="L570" s="27"/>
      <c r="M570" s="28"/>
      <c r="N570" s="28"/>
      <c r="O570" s="27"/>
    </row>
    <row r="571">
      <c r="K571" s="26"/>
      <c r="L571" s="27"/>
      <c r="M571" s="28"/>
      <c r="N571" s="28"/>
      <c r="O571" s="27"/>
    </row>
    <row r="572">
      <c r="K572" s="26"/>
      <c r="L572" s="27"/>
      <c r="M572" s="28"/>
      <c r="N572" s="28"/>
      <c r="O572" s="27"/>
    </row>
    <row r="573">
      <c r="K573" s="26"/>
      <c r="L573" s="27"/>
      <c r="M573" s="28"/>
      <c r="N573" s="28"/>
      <c r="O573" s="27"/>
    </row>
    <row r="574">
      <c r="K574" s="26"/>
      <c r="L574" s="27"/>
      <c r="M574" s="28"/>
      <c r="N574" s="28"/>
      <c r="O574" s="27"/>
    </row>
    <row r="575">
      <c r="K575" s="26"/>
      <c r="L575" s="27"/>
      <c r="M575" s="28"/>
      <c r="N575" s="28"/>
      <c r="O575" s="27"/>
    </row>
    <row r="576">
      <c r="K576" s="26"/>
      <c r="L576" s="27"/>
      <c r="M576" s="28"/>
      <c r="N576" s="28"/>
      <c r="O576" s="27"/>
    </row>
    <row r="577">
      <c r="K577" s="26"/>
      <c r="L577" s="27"/>
      <c r="M577" s="28"/>
      <c r="N577" s="28"/>
      <c r="O577" s="27"/>
    </row>
    <row r="578">
      <c r="K578" s="26"/>
      <c r="L578" s="27"/>
      <c r="M578" s="28"/>
      <c r="N578" s="28"/>
      <c r="O578" s="27"/>
    </row>
    <row r="579">
      <c r="K579" s="26"/>
      <c r="L579" s="27"/>
      <c r="M579" s="28"/>
      <c r="N579" s="28"/>
      <c r="O579" s="27"/>
    </row>
    <row r="580">
      <c r="K580" s="26"/>
      <c r="L580" s="27"/>
      <c r="M580" s="28"/>
      <c r="N580" s="28"/>
      <c r="O580" s="27"/>
    </row>
    <row r="581">
      <c r="K581" s="26"/>
      <c r="L581" s="27"/>
      <c r="M581" s="28"/>
      <c r="N581" s="28"/>
      <c r="O581" s="27"/>
    </row>
    <row r="582">
      <c r="K582" s="26"/>
      <c r="L582" s="27"/>
      <c r="M582" s="28"/>
      <c r="N582" s="28"/>
      <c r="O582" s="27"/>
    </row>
    <row r="583">
      <c r="K583" s="26"/>
      <c r="L583" s="27"/>
      <c r="M583" s="28"/>
      <c r="N583" s="28"/>
      <c r="O583" s="27"/>
    </row>
    <row r="584">
      <c r="K584" s="26"/>
      <c r="L584" s="27"/>
      <c r="M584" s="28"/>
      <c r="N584" s="28"/>
      <c r="O584" s="27"/>
    </row>
    <row r="585">
      <c r="K585" s="26"/>
      <c r="L585" s="27"/>
      <c r="M585" s="28"/>
      <c r="N585" s="28"/>
      <c r="O585" s="27"/>
    </row>
    <row r="586">
      <c r="K586" s="26"/>
      <c r="L586" s="27"/>
      <c r="M586" s="28"/>
      <c r="N586" s="28"/>
      <c r="O586" s="27"/>
    </row>
    <row r="587">
      <c r="K587" s="26"/>
      <c r="L587" s="27"/>
      <c r="M587" s="28"/>
      <c r="N587" s="28"/>
      <c r="O587" s="27"/>
    </row>
    <row r="588">
      <c r="K588" s="26"/>
      <c r="L588" s="27"/>
      <c r="M588" s="28"/>
      <c r="N588" s="28"/>
      <c r="O588" s="27"/>
    </row>
    <row r="589">
      <c r="K589" s="26"/>
      <c r="L589" s="27"/>
      <c r="M589" s="28"/>
      <c r="N589" s="28"/>
      <c r="O589" s="27"/>
    </row>
    <row r="590">
      <c r="K590" s="26"/>
      <c r="L590" s="27"/>
      <c r="M590" s="28"/>
      <c r="N590" s="28"/>
      <c r="O590" s="27"/>
    </row>
    <row r="591">
      <c r="K591" s="26"/>
      <c r="L591" s="27"/>
      <c r="M591" s="28"/>
      <c r="N591" s="28"/>
      <c r="O591" s="27"/>
    </row>
    <row r="592">
      <c r="K592" s="26"/>
      <c r="L592" s="27"/>
      <c r="M592" s="28"/>
      <c r="N592" s="28"/>
      <c r="O592" s="27"/>
    </row>
    <row r="593">
      <c r="K593" s="26"/>
      <c r="L593" s="27"/>
      <c r="M593" s="28"/>
      <c r="N593" s="28"/>
      <c r="O593" s="27"/>
    </row>
    <row r="594">
      <c r="K594" s="26"/>
      <c r="L594" s="27"/>
      <c r="M594" s="28"/>
      <c r="N594" s="28"/>
      <c r="O594" s="27"/>
    </row>
    <row r="595">
      <c r="K595" s="26"/>
      <c r="L595" s="27"/>
      <c r="M595" s="28"/>
      <c r="N595" s="28"/>
      <c r="O595" s="27"/>
    </row>
    <row r="596">
      <c r="K596" s="26"/>
      <c r="L596" s="27"/>
      <c r="M596" s="28"/>
      <c r="N596" s="28"/>
      <c r="O596" s="27"/>
    </row>
    <row r="597">
      <c r="K597" s="26"/>
      <c r="L597" s="27"/>
      <c r="M597" s="28"/>
      <c r="N597" s="28"/>
      <c r="O597" s="27"/>
    </row>
    <row r="598">
      <c r="K598" s="26"/>
      <c r="L598" s="27"/>
      <c r="M598" s="28"/>
      <c r="N598" s="28"/>
      <c r="O598" s="27"/>
    </row>
    <row r="599">
      <c r="K599" s="26"/>
      <c r="L599" s="27"/>
      <c r="M599" s="28"/>
      <c r="N599" s="28"/>
      <c r="O599" s="27"/>
    </row>
    <row r="600">
      <c r="K600" s="26"/>
      <c r="L600" s="27"/>
      <c r="M600" s="28"/>
      <c r="N600" s="28"/>
      <c r="O600" s="27"/>
    </row>
    <row r="601">
      <c r="K601" s="26"/>
      <c r="L601" s="27"/>
      <c r="M601" s="28"/>
      <c r="N601" s="28"/>
      <c r="O601" s="27"/>
    </row>
    <row r="602">
      <c r="K602" s="26"/>
      <c r="L602" s="27"/>
      <c r="M602" s="28"/>
      <c r="N602" s="28"/>
      <c r="O602" s="27"/>
    </row>
    <row r="603">
      <c r="K603" s="26"/>
      <c r="L603" s="27"/>
      <c r="M603" s="28"/>
      <c r="N603" s="28"/>
      <c r="O603" s="27"/>
    </row>
    <row r="604">
      <c r="K604" s="26"/>
      <c r="L604" s="27"/>
      <c r="M604" s="28"/>
      <c r="N604" s="28"/>
      <c r="O604" s="27"/>
    </row>
    <row r="605">
      <c r="K605" s="26"/>
      <c r="L605" s="27"/>
      <c r="M605" s="28"/>
      <c r="N605" s="28"/>
      <c r="O605" s="27"/>
    </row>
    <row r="606">
      <c r="K606" s="26"/>
      <c r="L606" s="27"/>
      <c r="M606" s="28"/>
      <c r="N606" s="28"/>
      <c r="O606" s="27"/>
    </row>
    <row r="607">
      <c r="K607" s="26"/>
      <c r="L607" s="27"/>
      <c r="M607" s="28"/>
      <c r="N607" s="28"/>
      <c r="O607" s="27"/>
    </row>
    <row r="608">
      <c r="K608" s="26"/>
      <c r="L608" s="27"/>
      <c r="M608" s="28"/>
      <c r="N608" s="28"/>
      <c r="O608" s="27"/>
    </row>
    <row r="609">
      <c r="K609" s="26"/>
      <c r="L609" s="27"/>
      <c r="M609" s="28"/>
      <c r="N609" s="28"/>
      <c r="O609" s="27"/>
    </row>
    <row r="610">
      <c r="K610" s="26"/>
      <c r="L610" s="27"/>
      <c r="M610" s="28"/>
      <c r="N610" s="28"/>
      <c r="O610" s="27"/>
    </row>
    <row r="611">
      <c r="K611" s="26"/>
      <c r="L611" s="27"/>
      <c r="M611" s="28"/>
      <c r="N611" s="28"/>
      <c r="O611" s="27"/>
    </row>
    <row r="612">
      <c r="K612" s="26"/>
      <c r="L612" s="27"/>
      <c r="M612" s="28"/>
      <c r="N612" s="28"/>
      <c r="O612" s="27"/>
    </row>
    <row r="613">
      <c r="K613" s="26"/>
      <c r="L613" s="27"/>
      <c r="M613" s="28"/>
      <c r="N613" s="28"/>
      <c r="O613" s="27"/>
    </row>
    <row r="614">
      <c r="K614" s="26"/>
      <c r="L614" s="27"/>
      <c r="M614" s="28"/>
      <c r="N614" s="28"/>
      <c r="O614" s="27"/>
    </row>
    <row r="615">
      <c r="K615" s="26"/>
      <c r="L615" s="27"/>
      <c r="M615" s="28"/>
      <c r="N615" s="28"/>
      <c r="O615" s="27"/>
    </row>
    <row r="616">
      <c r="K616" s="26"/>
      <c r="L616" s="27"/>
      <c r="M616" s="28"/>
      <c r="N616" s="28"/>
      <c r="O616" s="27"/>
    </row>
    <row r="617">
      <c r="K617" s="26"/>
      <c r="L617" s="27"/>
      <c r="M617" s="28"/>
      <c r="N617" s="28"/>
      <c r="O617" s="27"/>
    </row>
    <row r="618">
      <c r="K618" s="26"/>
      <c r="L618" s="27"/>
      <c r="M618" s="28"/>
      <c r="N618" s="28"/>
      <c r="O618" s="27"/>
    </row>
    <row r="619">
      <c r="K619" s="26"/>
      <c r="L619" s="27"/>
      <c r="M619" s="28"/>
      <c r="N619" s="28"/>
      <c r="O619" s="27"/>
    </row>
    <row r="620">
      <c r="K620" s="26"/>
      <c r="L620" s="27"/>
      <c r="M620" s="28"/>
      <c r="N620" s="28"/>
      <c r="O620" s="27"/>
    </row>
    <row r="621">
      <c r="K621" s="26"/>
      <c r="L621" s="27"/>
      <c r="M621" s="28"/>
      <c r="N621" s="28"/>
      <c r="O621" s="27"/>
    </row>
    <row r="622">
      <c r="K622" s="26"/>
      <c r="L622" s="27"/>
      <c r="M622" s="28"/>
      <c r="N622" s="28"/>
      <c r="O622" s="27"/>
    </row>
    <row r="623">
      <c r="K623" s="26"/>
      <c r="L623" s="27"/>
      <c r="M623" s="28"/>
      <c r="N623" s="28"/>
      <c r="O623" s="27"/>
    </row>
    <row r="624">
      <c r="K624" s="26"/>
      <c r="L624" s="27"/>
      <c r="M624" s="28"/>
      <c r="N624" s="28"/>
      <c r="O624" s="27"/>
    </row>
    <row r="625">
      <c r="K625" s="26"/>
      <c r="L625" s="27"/>
      <c r="M625" s="28"/>
      <c r="N625" s="28"/>
      <c r="O625" s="27"/>
    </row>
    <row r="626">
      <c r="K626" s="26"/>
      <c r="L626" s="27"/>
      <c r="M626" s="28"/>
      <c r="N626" s="28"/>
      <c r="O626" s="27"/>
    </row>
    <row r="627">
      <c r="K627" s="26"/>
      <c r="L627" s="27"/>
      <c r="M627" s="28"/>
      <c r="N627" s="28"/>
      <c r="O627" s="27"/>
    </row>
    <row r="628">
      <c r="K628" s="26"/>
      <c r="L628" s="27"/>
      <c r="M628" s="28"/>
      <c r="N628" s="28"/>
      <c r="O628" s="27"/>
    </row>
    <row r="629">
      <c r="K629" s="26"/>
      <c r="L629" s="27"/>
      <c r="M629" s="28"/>
      <c r="N629" s="28"/>
      <c r="O629" s="27"/>
    </row>
    <row r="630">
      <c r="K630" s="26"/>
      <c r="L630" s="27"/>
      <c r="M630" s="28"/>
      <c r="N630" s="28"/>
      <c r="O630" s="27"/>
    </row>
    <row r="631">
      <c r="K631" s="26"/>
      <c r="L631" s="27"/>
      <c r="M631" s="28"/>
      <c r="N631" s="28"/>
      <c r="O631" s="27"/>
    </row>
    <row r="632">
      <c r="K632" s="26"/>
      <c r="L632" s="27"/>
      <c r="M632" s="28"/>
      <c r="N632" s="28"/>
      <c r="O632" s="27"/>
    </row>
    <row r="633">
      <c r="K633" s="26"/>
      <c r="L633" s="27"/>
      <c r="M633" s="28"/>
      <c r="N633" s="28"/>
      <c r="O633" s="27"/>
    </row>
    <row r="634">
      <c r="K634" s="26"/>
      <c r="L634" s="27"/>
      <c r="M634" s="28"/>
      <c r="N634" s="28"/>
      <c r="O634" s="27"/>
    </row>
    <row r="635">
      <c r="K635" s="26"/>
      <c r="L635" s="27"/>
      <c r="M635" s="28"/>
      <c r="N635" s="28"/>
      <c r="O635" s="27"/>
    </row>
    <row r="636">
      <c r="K636" s="26"/>
      <c r="L636" s="27"/>
      <c r="M636" s="28"/>
      <c r="N636" s="28"/>
      <c r="O636" s="27"/>
    </row>
    <row r="637">
      <c r="K637" s="26"/>
      <c r="L637" s="27"/>
      <c r="M637" s="28"/>
      <c r="N637" s="28"/>
      <c r="O637" s="27"/>
    </row>
    <row r="638">
      <c r="K638" s="26"/>
      <c r="L638" s="27"/>
      <c r="M638" s="28"/>
      <c r="N638" s="28"/>
      <c r="O638" s="27"/>
    </row>
    <row r="639">
      <c r="K639" s="26"/>
      <c r="L639" s="27"/>
      <c r="M639" s="28"/>
      <c r="N639" s="28"/>
      <c r="O639" s="27"/>
    </row>
    <row r="640">
      <c r="K640" s="26"/>
      <c r="L640" s="27"/>
      <c r="M640" s="28"/>
      <c r="N640" s="28"/>
      <c r="O640" s="27"/>
    </row>
    <row r="641">
      <c r="K641" s="26"/>
      <c r="L641" s="27"/>
      <c r="M641" s="28"/>
      <c r="N641" s="28"/>
      <c r="O641" s="27"/>
    </row>
    <row r="642">
      <c r="K642" s="26"/>
      <c r="L642" s="27"/>
      <c r="M642" s="28"/>
      <c r="N642" s="28"/>
      <c r="O642" s="27"/>
    </row>
    <row r="643">
      <c r="K643" s="26"/>
      <c r="L643" s="27"/>
      <c r="M643" s="28"/>
      <c r="N643" s="28"/>
      <c r="O643" s="27"/>
    </row>
    <row r="644">
      <c r="K644" s="26"/>
      <c r="L644" s="27"/>
      <c r="M644" s="28"/>
      <c r="N644" s="28"/>
      <c r="O644" s="27"/>
    </row>
    <row r="645">
      <c r="K645" s="26"/>
      <c r="L645" s="27"/>
      <c r="M645" s="28"/>
      <c r="N645" s="28"/>
      <c r="O645" s="27"/>
    </row>
    <row r="646">
      <c r="K646" s="26"/>
      <c r="L646" s="27"/>
      <c r="M646" s="28"/>
      <c r="N646" s="28"/>
      <c r="O646" s="27"/>
    </row>
    <row r="647">
      <c r="K647" s="26"/>
      <c r="L647" s="27"/>
      <c r="M647" s="28"/>
      <c r="N647" s="28"/>
      <c r="O647" s="27"/>
    </row>
    <row r="648">
      <c r="K648" s="26"/>
      <c r="L648" s="27"/>
      <c r="M648" s="28"/>
      <c r="N648" s="28"/>
      <c r="O648" s="27"/>
    </row>
    <row r="649">
      <c r="K649" s="26"/>
      <c r="L649" s="27"/>
      <c r="M649" s="28"/>
      <c r="N649" s="28"/>
      <c r="O649" s="27"/>
    </row>
    <row r="650">
      <c r="K650" s="26"/>
      <c r="L650" s="27"/>
      <c r="M650" s="28"/>
      <c r="N650" s="28"/>
      <c r="O650" s="27"/>
    </row>
    <row r="651">
      <c r="K651" s="26"/>
      <c r="L651" s="27"/>
      <c r="M651" s="28"/>
      <c r="N651" s="28"/>
      <c r="O651" s="27"/>
    </row>
    <row r="652">
      <c r="K652" s="26"/>
      <c r="L652" s="27"/>
      <c r="M652" s="28"/>
      <c r="N652" s="28"/>
      <c r="O652" s="27"/>
    </row>
    <row r="653">
      <c r="K653" s="26"/>
      <c r="L653" s="27"/>
      <c r="M653" s="28"/>
      <c r="N653" s="28"/>
      <c r="O653" s="27"/>
    </row>
    <row r="654">
      <c r="K654" s="26"/>
      <c r="L654" s="27"/>
      <c r="M654" s="28"/>
      <c r="N654" s="28"/>
      <c r="O654" s="27"/>
    </row>
    <row r="655">
      <c r="K655" s="26"/>
      <c r="L655" s="27"/>
      <c r="M655" s="28"/>
      <c r="N655" s="28"/>
      <c r="O655" s="27"/>
    </row>
    <row r="656">
      <c r="K656" s="26"/>
      <c r="L656" s="27"/>
      <c r="M656" s="28"/>
      <c r="N656" s="28"/>
      <c r="O656" s="27"/>
    </row>
    <row r="657">
      <c r="K657" s="26"/>
      <c r="L657" s="27"/>
      <c r="M657" s="28"/>
      <c r="N657" s="28"/>
      <c r="O657" s="27"/>
    </row>
    <row r="658">
      <c r="K658" s="26"/>
      <c r="L658" s="27"/>
      <c r="M658" s="28"/>
      <c r="N658" s="28"/>
      <c r="O658" s="27"/>
    </row>
    <row r="659">
      <c r="K659" s="26"/>
      <c r="L659" s="27"/>
      <c r="M659" s="28"/>
      <c r="N659" s="28"/>
      <c r="O659" s="27"/>
    </row>
    <row r="660">
      <c r="K660" s="26"/>
      <c r="L660" s="27"/>
      <c r="M660" s="28"/>
      <c r="N660" s="28"/>
      <c r="O660" s="27"/>
    </row>
    <row r="661">
      <c r="K661" s="26"/>
      <c r="L661" s="27"/>
      <c r="M661" s="28"/>
      <c r="N661" s="28"/>
      <c r="O661" s="27"/>
    </row>
    <row r="662">
      <c r="K662" s="26"/>
      <c r="L662" s="27"/>
      <c r="M662" s="28"/>
      <c r="N662" s="28"/>
      <c r="O662" s="27"/>
    </row>
    <row r="663">
      <c r="K663" s="26"/>
      <c r="L663" s="27"/>
      <c r="M663" s="28"/>
      <c r="N663" s="28"/>
      <c r="O663" s="27"/>
    </row>
    <row r="664">
      <c r="K664" s="26"/>
      <c r="L664" s="27"/>
      <c r="M664" s="28"/>
      <c r="N664" s="28"/>
      <c r="O664" s="27"/>
    </row>
    <row r="665">
      <c r="K665" s="26"/>
      <c r="L665" s="27"/>
      <c r="M665" s="28"/>
      <c r="N665" s="28"/>
      <c r="O665" s="27"/>
    </row>
    <row r="666">
      <c r="K666" s="26"/>
      <c r="L666" s="27"/>
      <c r="M666" s="28"/>
      <c r="N666" s="28"/>
      <c r="O666" s="27"/>
    </row>
    <row r="667">
      <c r="K667" s="26"/>
      <c r="L667" s="27"/>
      <c r="M667" s="28"/>
      <c r="N667" s="28"/>
      <c r="O667" s="27"/>
    </row>
    <row r="668">
      <c r="K668" s="26"/>
      <c r="L668" s="27"/>
      <c r="M668" s="28"/>
      <c r="N668" s="28"/>
      <c r="O668" s="27"/>
    </row>
    <row r="669">
      <c r="K669" s="26"/>
      <c r="L669" s="27"/>
      <c r="M669" s="28"/>
      <c r="N669" s="28"/>
      <c r="O669" s="27"/>
    </row>
    <row r="670">
      <c r="K670" s="26"/>
      <c r="L670" s="27"/>
      <c r="M670" s="28"/>
      <c r="N670" s="28"/>
      <c r="O670" s="27"/>
    </row>
    <row r="671">
      <c r="K671" s="26"/>
      <c r="L671" s="27"/>
      <c r="M671" s="28"/>
      <c r="N671" s="28"/>
      <c r="O671" s="27"/>
    </row>
    <row r="672">
      <c r="K672" s="26"/>
      <c r="L672" s="27"/>
      <c r="M672" s="28"/>
      <c r="N672" s="28"/>
      <c r="O672" s="27"/>
    </row>
    <row r="673">
      <c r="K673" s="26"/>
      <c r="L673" s="27"/>
      <c r="M673" s="28"/>
      <c r="N673" s="28"/>
      <c r="O673" s="27"/>
    </row>
    <row r="674">
      <c r="K674" s="26"/>
      <c r="L674" s="27"/>
      <c r="M674" s="28"/>
      <c r="N674" s="28"/>
      <c r="O674" s="27"/>
    </row>
    <row r="675">
      <c r="K675" s="26"/>
      <c r="L675" s="27"/>
      <c r="M675" s="28"/>
      <c r="N675" s="28"/>
      <c r="O675" s="27"/>
    </row>
    <row r="676">
      <c r="K676" s="26"/>
      <c r="L676" s="27"/>
      <c r="M676" s="28"/>
      <c r="N676" s="28"/>
      <c r="O676" s="27"/>
    </row>
    <row r="677">
      <c r="K677" s="26"/>
      <c r="L677" s="27"/>
      <c r="M677" s="28"/>
      <c r="N677" s="28"/>
      <c r="O677" s="27"/>
    </row>
    <row r="678">
      <c r="K678" s="26"/>
      <c r="L678" s="27"/>
      <c r="M678" s="28"/>
      <c r="N678" s="28"/>
      <c r="O678" s="27"/>
    </row>
    <row r="679">
      <c r="K679" s="26"/>
      <c r="L679" s="27"/>
      <c r="M679" s="28"/>
      <c r="N679" s="28"/>
      <c r="O679" s="27"/>
    </row>
    <row r="680">
      <c r="K680" s="26"/>
      <c r="L680" s="27"/>
      <c r="M680" s="28"/>
      <c r="N680" s="28"/>
      <c r="O680" s="27"/>
    </row>
    <row r="681">
      <c r="K681" s="26"/>
      <c r="L681" s="27"/>
      <c r="M681" s="28"/>
      <c r="N681" s="28"/>
      <c r="O681" s="27"/>
    </row>
    <row r="682">
      <c r="K682" s="26"/>
      <c r="L682" s="27"/>
      <c r="M682" s="28"/>
      <c r="N682" s="28"/>
      <c r="O682" s="27"/>
    </row>
    <row r="683">
      <c r="K683" s="26"/>
      <c r="L683" s="27"/>
      <c r="M683" s="28"/>
      <c r="N683" s="28"/>
      <c r="O683" s="27"/>
    </row>
    <row r="684">
      <c r="K684" s="26"/>
      <c r="L684" s="27"/>
      <c r="M684" s="28"/>
      <c r="N684" s="28"/>
      <c r="O684" s="27"/>
    </row>
    <row r="685">
      <c r="K685" s="26"/>
      <c r="L685" s="27"/>
      <c r="M685" s="28"/>
      <c r="N685" s="28"/>
      <c r="O685" s="27"/>
    </row>
    <row r="686">
      <c r="K686" s="26"/>
      <c r="L686" s="27"/>
      <c r="M686" s="28"/>
      <c r="N686" s="28"/>
      <c r="O686" s="27"/>
    </row>
    <row r="687">
      <c r="K687" s="26"/>
      <c r="L687" s="27"/>
      <c r="M687" s="28"/>
      <c r="N687" s="28"/>
      <c r="O687" s="27"/>
    </row>
    <row r="688">
      <c r="K688" s="26"/>
      <c r="L688" s="27"/>
      <c r="M688" s="28"/>
      <c r="N688" s="28"/>
      <c r="O688" s="27"/>
    </row>
    <row r="689">
      <c r="K689" s="26"/>
      <c r="L689" s="27"/>
      <c r="M689" s="28"/>
      <c r="N689" s="28"/>
      <c r="O689" s="27"/>
    </row>
    <row r="690">
      <c r="K690" s="26"/>
      <c r="L690" s="27"/>
      <c r="M690" s="28"/>
      <c r="N690" s="28"/>
      <c r="O690" s="27"/>
    </row>
    <row r="691">
      <c r="K691" s="26"/>
      <c r="L691" s="27"/>
      <c r="M691" s="28"/>
      <c r="N691" s="28"/>
      <c r="O691" s="27"/>
    </row>
    <row r="692">
      <c r="K692" s="26"/>
      <c r="L692" s="27"/>
      <c r="M692" s="28"/>
      <c r="N692" s="28"/>
      <c r="O692" s="27"/>
    </row>
    <row r="693">
      <c r="K693" s="26"/>
      <c r="L693" s="27"/>
      <c r="M693" s="28"/>
      <c r="N693" s="28"/>
      <c r="O693" s="27"/>
    </row>
    <row r="694">
      <c r="K694" s="26"/>
      <c r="L694" s="27"/>
      <c r="M694" s="28"/>
      <c r="N694" s="28"/>
      <c r="O694" s="27"/>
    </row>
    <row r="695">
      <c r="K695" s="26"/>
      <c r="L695" s="27"/>
      <c r="M695" s="28"/>
      <c r="N695" s="28"/>
      <c r="O695" s="27"/>
    </row>
    <row r="696">
      <c r="K696" s="26"/>
      <c r="L696" s="27"/>
      <c r="M696" s="28"/>
      <c r="N696" s="28"/>
      <c r="O696" s="27"/>
    </row>
    <row r="697">
      <c r="K697" s="26"/>
      <c r="L697" s="27"/>
      <c r="M697" s="28"/>
      <c r="N697" s="28"/>
      <c r="O697" s="27"/>
    </row>
    <row r="698">
      <c r="K698" s="26"/>
      <c r="L698" s="27"/>
      <c r="M698" s="28"/>
      <c r="N698" s="28"/>
      <c r="O698" s="27"/>
    </row>
    <row r="699">
      <c r="K699" s="26"/>
      <c r="L699" s="27"/>
      <c r="M699" s="28"/>
      <c r="N699" s="28"/>
      <c r="O699" s="27"/>
    </row>
    <row r="700">
      <c r="K700" s="26"/>
      <c r="L700" s="27"/>
      <c r="M700" s="28"/>
      <c r="N700" s="28"/>
      <c r="O700" s="27"/>
    </row>
    <row r="701">
      <c r="K701" s="26"/>
      <c r="L701" s="27"/>
      <c r="M701" s="28"/>
      <c r="N701" s="28"/>
      <c r="O701" s="27"/>
    </row>
    <row r="702">
      <c r="K702" s="26"/>
      <c r="L702" s="27"/>
      <c r="M702" s="28"/>
      <c r="N702" s="28"/>
      <c r="O702" s="27"/>
    </row>
    <row r="703">
      <c r="K703" s="26"/>
      <c r="L703" s="27"/>
      <c r="M703" s="28"/>
      <c r="N703" s="28"/>
      <c r="O703" s="27"/>
    </row>
    <row r="704">
      <c r="K704" s="26"/>
      <c r="L704" s="27"/>
      <c r="M704" s="28"/>
      <c r="N704" s="28"/>
      <c r="O704" s="27"/>
    </row>
    <row r="705">
      <c r="K705" s="26"/>
      <c r="L705" s="27"/>
      <c r="M705" s="28"/>
      <c r="N705" s="28"/>
      <c r="O705" s="27"/>
    </row>
    <row r="706">
      <c r="K706" s="26"/>
      <c r="L706" s="27"/>
      <c r="M706" s="28"/>
      <c r="N706" s="28"/>
      <c r="O706" s="27"/>
    </row>
    <row r="707">
      <c r="K707" s="26"/>
      <c r="L707" s="27"/>
      <c r="M707" s="28"/>
      <c r="N707" s="28"/>
      <c r="O707" s="27"/>
    </row>
    <row r="708">
      <c r="K708" s="26"/>
      <c r="L708" s="27"/>
      <c r="M708" s="28"/>
      <c r="N708" s="28"/>
      <c r="O708" s="27"/>
    </row>
    <row r="709">
      <c r="K709" s="26"/>
      <c r="L709" s="27"/>
      <c r="M709" s="28"/>
      <c r="N709" s="28"/>
      <c r="O709" s="27"/>
    </row>
    <row r="710">
      <c r="K710" s="26"/>
      <c r="L710" s="27"/>
      <c r="M710" s="28"/>
      <c r="N710" s="28"/>
      <c r="O710" s="27"/>
    </row>
    <row r="711">
      <c r="K711" s="26"/>
      <c r="L711" s="27"/>
      <c r="M711" s="28"/>
      <c r="N711" s="28"/>
      <c r="O711" s="27"/>
    </row>
    <row r="712">
      <c r="K712" s="26"/>
      <c r="L712" s="27"/>
      <c r="M712" s="28"/>
      <c r="N712" s="28"/>
      <c r="O712" s="27"/>
    </row>
    <row r="713">
      <c r="K713" s="26"/>
      <c r="L713" s="27"/>
      <c r="M713" s="28"/>
      <c r="N713" s="28"/>
      <c r="O713" s="27"/>
    </row>
    <row r="714">
      <c r="K714" s="26"/>
      <c r="L714" s="27"/>
      <c r="M714" s="28"/>
      <c r="N714" s="28"/>
      <c r="O714" s="27"/>
    </row>
    <row r="715">
      <c r="K715" s="26"/>
      <c r="L715" s="27"/>
      <c r="M715" s="28"/>
      <c r="N715" s="28"/>
      <c r="O715" s="27"/>
    </row>
    <row r="716">
      <c r="K716" s="26"/>
      <c r="L716" s="27"/>
      <c r="M716" s="28"/>
      <c r="N716" s="28"/>
      <c r="O716" s="27"/>
    </row>
    <row r="717">
      <c r="K717" s="26"/>
      <c r="L717" s="27"/>
      <c r="M717" s="28"/>
      <c r="N717" s="28"/>
      <c r="O717" s="27"/>
    </row>
    <row r="718">
      <c r="K718" s="26"/>
      <c r="L718" s="27"/>
      <c r="M718" s="28"/>
      <c r="N718" s="28"/>
      <c r="O718" s="27"/>
    </row>
    <row r="719">
      <c r="K719" s="26"/>
      <c r="L719" s="27"/>
      <c r="M719" s="28"/>
      <c r="N719" s="28"/>
      <c r="O719" s="27"/>
    </row>
    <row r="720">
      <c r="K720" s="26"/>
      <c r="L720" s="27"/>
      <c r="M720" s="28"/>
      <c r="N720" s="28"/>
      <c r="O720" s="27"/>
    </row>
    <row r="721">
      <c r="K721" s="26"/>
      <c r="L721" s="27"/>
      <c r="M721" s="28"/>
      <c r="N721" s="28"/>
      <c r="O721" s="27"/>
    </row>
    <row r="722">
      <c r="K722" s="26"/>
      <c r="L722" s="27"/>
      <c r="M722" s="28"/>
      <c r="N722" s="28"/>
      <c r="O722" s="27"/>
    </row>
    <row r="723">
      <c r="K723" s="26"/>
      <c r="L723" s="27"/>
      <c r="M723" s="28"/>
      <c r="N723" s="28"/>
      <c r="O723" s="27"/>
    </row>
    <row r="724">
      <c r="K724" s="26"/>
      <c r="L724" s="27"/>
      <c r="M724" s="28"/>
      <c r="N724" s="28"/>
      <c r="O724" s="27"/>
    </row>
    <row r="725">
      <c r="K725" s="26"/>
      <c r="L725" s="27"/>
      <c r="M725" s="28"/>
      <c r="N725" s="28"/>
      <c r="O725" s="27"/>
    </row>
    <row r="726">
      <c r="K726" s="26"/>
      <c r="L726" s="27"/>
      <c r="M726" s="28"/>
      <c r="N726" s="28"/>
      <c r="O726" s="27"/>
    </row>
    <row r="727">
      <c r="K727" s="26"/>
      <c r="L727" s="27"/>
      <c r="M727" s="28"/>
      <c r="N727" s="28"/>
      <c r="O727" s="27"/>
    </row>
    <row r="728">
      <c r="K728" s="26"/>
      <c r="L728" s="27"/>
      <c r="M728" s="28"/>
      <c r="N728" s="28"/>
      <c r="O728" s="27"/>
    </row>
    <row r="729">
      <c r="K729" s="26"/>
      <c r="L729" s="27"/>
      <c r="M729" s="28"/>
      <c r="N729" s="28"/>
      <c r="O729" s="27"/>
    </row>
    <row r="730">
      <c r="K730" s="26"/>
      <c r="L730" s="27"/>
      <c r="M730" s="28"/>
      <c r="N730" s="28"/>
      <c r="O730" s="27"/>
    </row>
    <row r="731">
      <c r="K731" s="26"/>
      <c r="L731" s="27"/>
      <c r="M731" s="28"/>
      <c r="N731" s="28"/>
      <c r="O731" s="27"/>
    </row>
    <row r="732">
      <c r="K732" s="26"/>
      <c r="L732" s="27"/>
      <c r="M732" s="28"/>
      <c r="N732" s="28"/>
      <c r="O732" s="27"/>
    </row>
    <row r="733">
      <c r="K733" s="26"/>
      <c r="L733" s="27"/>
      <c r="M733" s="28"/>
      <c r="N733" s="28"/>
      <c r="O733" s="27"/>
    </row>
    <row r="734">
      <c r="K734" s="26"/>
      <c r="L734" s="27"/>
      <c r="M734" s="28"/>
      <c r="N734" s="28"/>
      <c r="O734" s="27"/>
    </row>
    <row r="735">
      <c r="K735" s="26"/>
      <c r="L735" s="27"/>
      <c r="M735" s="28"/>
      <c r="N735" s="28"/>
      <c r="O735" s="27"/>
    </row>
    <row r="736">
      <c r="K736" s="26"/>
      <c r="L736" s="27"/>
      <c r="M736" s="28"/>
      <c r="N736" s="28"/>
      <c r="O736" s="27"/>
    </row>
    <row r="737">
      <c r="K737" s="26"/>
      <c r="L737" s="27"/>
      <c r="M737" s="28"/>
      <c r="N737" s="28"/>
      <c r="O737" s="27"/>
    </row>
    <row r="738">
      <c r="K738" s="26"/>
      <c r="L738" s="27"/>
      <c r="M738" s="28"/>
      <c r="N738" s="28"/>
      <c r="O738" s="27"/>
    </row>
    <row r="739">
      <c r="K739" s="26"/>
      <c r="L739" s="27"/>
      <c r="M739" s="28"/>
      <c r="N739" s="28"/>
      <c r="O739" s="27"/>
    </row>
    <row r="740">
      <c r="K740" s="26"/>
      <c r="L740" s="27"/>
      <c r="M740" s="28"/>
      <c r="N740" s="28"/>
      <c r="O740" s="27"/>
    </row>
    <row r="741">
      <c r="K741" s="26"/>
      <c r="L741" s="27"/>
      <c r="M741" s="28"/>
      <c r="N741" s="28"/>
      <c r="O741" s="27"/>
    </row>
    <row r="742">
      <c r="K742" s="26"/>
      <c r="L742" s="27"/>
      <c r="M742" s="28"/>
      <c r="N742" s="28"/>
      <c r="O742" s="27"/>
    </row>
    <row r="743">
      <c r="K743" s="26"/>
      <c r="L743" s="27"/>
      <c r="M743" s="28"/>
      <c r="N743" s="28"/>
      <c r="O743" s="27"/>
    </row>
    <row r="744">
      <c r="K744" s="26"/>
      <c r="L744" s="27"/>
      <c r="M744" s="28"/>
      <c r="N744" s="28"/>
      <c r="O744" s="27"/>
    </row>
    <row r="745">
      <c r="K745" s="26"/>
      <c r="L745" s="27"/>
      <c r="M745" s="28"/>
      <c r="N745" s="28"/>
      <c r="O745" s="27"/>
    </row>
    <row r="746">
      <c r="K746" s="26"/>
      <c r="L746" s="27"/>
      <c r="M746" s="28"/>
      <c r="N746" s="28"/>
      <c r="O746" s="27"/>
    </row>
    <row r="747">
      <c r="K747" s="26"/>
      <c r="L747" s="27"/>
      <c r="M747" s="28"/>
      <c r="N747" s="28"/>
      <c r="O747" s="27"/>
    </row>
    <row r="748">
      <c r="K748" s="26"/>
      <c r="L748" s="27"/>
      <c r="M748" s="28"/>
      <c r="N748" s="28"/>
      <c r="O748" s="27"/>
    </row>
    <row r="749">
      <c r="K749" s="26"/>
      <c r="L749" s="27"/>
      <c r="M749" s="28"/>
      <c r="N749" s="28"/>
      <c r="O749" s="27"/>
    </row>
    <row r="750">
      <c r="K750" s="26"/>
      <c r="L750" s="27"/>
      <c r="M750" s="28"/>
      <c r="N750" s="28"/>
      <c r="O750" s="27"/>
    </row>
    <row r="751">
      <c r="K751" s="26"/>
      <c r="L751" s="27"/>
      <c r="M751" s="28"/>
      <c r="N751" s="28"/>
      <c r="O751" s="27"/>
    </row>
    <row r="752">
      <c r="K752" s="26"/>
      <c r="L752" s="27"/>
      <c r="M752" s="28"/>
      <c r="N752" s="28"/>
      <c r="O752" s="27"/>
    </row>
    <row r="753">
      <c r="K753" s="26"/>
      <c r="L753" s="27"/>
      <c r="M753" s="28"/>
      <c r="N753" s="28"/>
      <c r="O753" s="27"/>
    </row>
    <row r="754">
      <c r="K754" s="26"/>
      <c r="L754" s="27"/>
      <c r="M754" s="28"/>
      <c r="N754" s="28"/>
      <c r="O754" s="27"/>
    </row>
    <row r="755">
      <c r="K755" s="26"/>
      <c r="L755" s="27"/>
      <c r="M755" s="28"/>
      <c r="N755" s="28"/>
      <c r="O755" s="27"/>
    </row>
    <row r="756">
      <c r="K756" s="26"/>
      <c r="L756" s="27"/>
      <c r="M756" s="28"/>
      <c r="N756" s="28"/>
      <c r="O756" s="27"/>
    </row>
    <row r="757">
      <c r="K757" s="26"/>
      <c r="L757" s="27"/>
      <c r="M757" s="28"/>
      <c r="N757" s="28"/>
      <c r="O757" s="27"/>
    </row>
    <row r="758">
      <c r="K758" s="26"/>
      <c r="L758" s="27"/>
      <c r="M758" s="28"/>
      <c r="N758" s="28"/>
      <c r="O758" s="27"/>
    </row>
    <row r="759">
      <c r="K759" s="26"/>
      <c r="L759" s="27"/>
      <c r="M759" s="28"/>
      <c r="N759" s="28"/>
      <c r="O759" s="27"/>
    </row>
    <row r="760">
      <c r="K760" s="26"/>
      <c r="L760" s="27"/>
      <c r="M760" s="28"/>
      <c r="N760" s="28"/>
      <c r="O760" s="27"/>
    </row>
    <row r="761">
      <c r="K761" s="26"/>
      <c r="L761" s="27"/>
      <c r="M761" s="28"/>
      <c r="N761" s="28"/>
      <c r="O761" s="27"/>
    </row>
    <row r="762">
      <c r="K762" s="26"/>
      <c r="L762" s="27"/>
      <c r="M762" s="28"/>
      <c r="N762" s="28"/>
      <c r="O762" s="27"/>
    </row>
    <row r="763">
      <c r="K763" s="26"/>
      <c r="L763" s="27"/>
      <c r="M763" s="28"/>
      <c r="N763" s="28"/>
      <c r="O763" s="27"/>
    </row>
    <row r="764">
      <c r="K764" s="26"/>
      <c r="L764" s="27"/>
      <c r="M764" s="28"/>
      <c r="N764" s="28"/>
      <c r="O764" s="27"/>
    </row>
    <row r="765">
      <c r="K765" s="26"/>
      <c r="L765" s="27"/>
      <c r="M765" s="28"/>
      <c r="N765" s="28"/>
      <c r="O765" s="27"/>
    </row>
    <row r="766">
      <c r="K766" s="26"/>
      <c r="L766" s="27"/>
      <c r="M766" s="28"/>
      <c r="N766" s="28"/>
      <c r="O766" s="27"/>
    </row>
    <row r="767">
      <c r="K767" s="26"/>
      <c r="L767" s="27"/>
      <c r="M767" s="28"/>
      <c r="N767" s="28"/>
      <c r="O767" s="27"/>
    </row>
    <row r="768">
      <c r="K768" s="26"/>
      <c r="L768" s="27"/>
      <c r="M768" s="28"/>
      <c r="N768" s="28"/>
      <c r="O768" s="27"/>
    </row>
    <row r="769">
      <c r="K769" s="26"/>
      <c r="L769" s="27"/>
      <c r="M769" s="28"/>
      <c r="N769" s="28"/>
      <c r="O769" s="27"/>
    </row>
    <row r="770">
      <c r="K770" s="26"/>
      <c r="L770" s="27"/>
      <c r="M770" s="28"/>
      <c r="N770" s="28"/>
      <c r="O770" s="27"/>
    </row>
    <row r="771">
      <c r="K771" s="26"/>
      <c r="L771" s="27"/>
      <c r="M771" s="28"/>
      <c r="N771" s="28"/>
      <c r="O771" s="27"/>
    </row>
    <row r="772">
      <c r="K772" s="26"/>
      <c r="L772" s="27"/>
      <c r="M772" s="28"/>
      <c r="N772" s="28"/>
      <c r="O772" s="27"/>
    </row>
    <row r="773">
      <c r="K773" s="26"/>
      <c r="L773" s="27"/>
      <c r="M773" s="28"/>
      <c r="N773" s="28"/>
      <c r="O773" s="27"/>
    </row>
    <row r="774">
      <c r="K774" s="26"/>
      <c r="L774" s="27"/>
      <c r="M774" s="28"/>
      <c r="N774" s="28"/>
      <c r="O774" s="27"/>
    </row>
    <row r="775">
      <c r="K775" s="26"/>
      <c r="L775" s="27"/>
      <c r="M775" s="28"/>
      <c r="N775" s="28"/>
      <c r="O775" s="27"/>
    </row>
    <row r="776">
      <c r="K776" s="26"/>
      <c r="L776" s="27"/>
      <c r="M776" s="28"/>
      <c r="N776" s="28"/>
      <c r="O776" s="27"/>
    </row>
    <row r="777">
      <c r="K777" s="26"/>
      <c r="L777" s="27"/>
      <c r="M777" s="28"/>
      <c r="N777" s="28"/>
      <c r="O777" s="27"/>
    </row>
    <row r="778">
      <c r="K778" s="26"/>
      <c r="L778" s="27"/>
      <c r="M778" s="28"/>
      <c r="N778" s="28"/>
      <c r="O778" s="27"/>
    </row>
    <row r="779">
      <c r="K779" s="26"/>
      <c r="L779" s="27"/>
      <c r="M779" s="28"/>
      <c r="N779" s="28"/>
      <c r="O779" s="27"/>
    </row>
    <row r="780">
      <c r="K780" s="26"/>
      <c r="L780" s="27"/>
      <c r="M780" s="28"/>
      <c r="N780" s="28"/>
      <c r="O780" s="27"/>
    </row>
    <row r="781">
      <c r="K781" s="26"/>
      <c r="L781" s="27"/>
      <c r="M781" s="28"/>
      <c r="N781" s="28"/>
      <c r="O781" s="27"/>
    </row>
    <row r="782">
      <c r="K782" s="26"/>
      <c r="L782" s="27"/>
      <c r="M782" s="28"/>
      <c r="N782" s="28"/>
      <c r="O782" s="27"/>
    </row>
    <row r="783">
      <c r="K783" s="26"/>
      <c r="L783" s="27"/>
      <c r="M783" s="28"/>
      <c r="N783" s="28"/>
      <c r="O783" s="27"/>
    </row>
    <row r="784">
      <c r="K784" s="26"/>
      <c r="L784" s="27"/>
      <c r="M784" s="28"/>
      <c r="N784" s="28"/>
      <c r="O784" s="27"/>
    </row>
    <row r="785">
      <c r="K785" s="26"/>
      <c r="L785" s="27"/>
      <c r="M785" s="28"/>
      <c r="N785" s="28"/>
      <c r="O785" s="27"/>
    </row>
    <row r="786">
      <c r="K786" s="26"/>
      <c r="L786" s="27"/>
      <c r="M786" s="28"/>
      <c r="N786" s="28"/>
      <c r="O786" s="27"/>
    </row>
    <row r="787">
      <c r="K787" s="26"/>
      <c r="L787" s="27"/>
      <c r="M787" s="28"/>
      <c r="N787" s="28"/>
      <c r="O787" s="27"/>
    </row>
    <row r="788">
      <c r="K788" s="26"/>
      <c r="L788" s="27"/>
      <c r="M788" s="28"/>
      <c r="N788" s="28"/>
      <c r="O788" s="27"/>
    </row>
    <row r="789">
      <c r="K789" s="26"/>
      <c r="L789" s="27"/>
      <c r="M789" s="28"/>
      <c r="N789" s="28"/>
      <c r="O789" s="27"/>
    </row>
    <row r="790">
      <c r="K790" s="26"/>
      <c r="L790" s="27"/>
      <c r="M790" s="28"/>
      <c r="N790" s="28"/>
      <c r="O790" s="27"/>
    </row>
    <row r="791">
      <c r="K791" s="26"/>
      <c r="L791" s="27"/>
      <c r="M791" s="28"/>
      <c r="N791" s="28"/>
      <c r="O791" s="27"/>
    </row>
    <row r="792">
      <c r="K792" s="26"/>
      <c r="L792" s="27"/>
      <c r="M792" s="28"/>
      <c r="N792" s="28"/>
      <c r="O792" s="27"/>
    </row>
    <row r="793">
      <c r="K793" s="26"/>
      <c r="L793" s="27"/>
      <c r="M793" s="28"/>
      <c r="N793" s="28"/>
      <c r="O793" s="27"/>
    </row>
    <row r="794">
      <c r="K794" s="26"/>
      <c r="L794" s="27"/>
      <c r="M794" s="28"/>
      <c r="N794" s="28"/>
      <c r="O794" s="27"/>
    </row>
    <row r="795">
      <c r="K795" s="26"/>
      <c r="L795" s="27"/>
      <c r="M795" s="28"/>
      <c r="N795" s="28"/>
      <c r="O795" s="27"/>
    </row>
    <row r="796">
      <c r="K796" s="26"/>
      <c r="L796" s="27"/>
      <c r="M796" s="28"/>
      <c r="N796" s="28"/>
      <c r="O796" s="27"/>
    </row>
    <row r="797">
      <c r="K797" s="26"/>
      <c r="L797" s="27"/>
      <c r="M797" s="28"/>
      <c r="N797" s="28"/>
      <c r="O797" s="27"/>
    </row>
    <row r="798">
      <c r="K798" s="26"/>
      <c r="L798" s="27"/>
      <c r="M798" s="28"/>
      <c r="N798" s="28"/>
      <c r="O798" s="27"/>
    </row>
    <row r="799">
      <c r="K799" s="26"/>
      <c r="L799" s="27"/>
      <c r="M799" s="28"/>
      <c r="N799" s="28"/>
      <c r="O799" s="27"/>
    </row>
    <row r="800">
      <c r="K800" s="26"/>
      <c r="L800" s="27"/>
      <c r="M800" s="28"/>
      <c r="N800" s="28"/>
      <c r="O800" s="27"/>
    </row>
    <row r="801">
      <c r="K801" s="26"/>
      <c r="L801" s="27"/>
      <c r="M801" s="28"/>
      <c r="N801" s="28"/>
      <c r="O801" s="27"/>
    </row>
    <row r="802">
      <c r="K802" s="26"/>
      <c r="L802" s="27"/>
      <c r="M802" s="28"/>
      <c r="N802" s="28"/>
      <c r="O802" s="27"/>
    </row>
    <row r="803">
      <c r="K803" s="26"/>
      <c r="L803" s="27"/>
      <c r="M803" s="28"/>
      <c r="N803" s="28"/>
      <c r="O803" s="27"/>
    </row>
    <row r="804">
      <c r="K804" s="26"/>
      <c r="L804" s="27"/>
      <c r="M804" s="28"/>
      <c r="N804" s="28"/>
      <c r="O804" s="27"/>
    </row>
    <row r="805">
      <c r="K805" s="26"/>
      <c r="L805" s="27"/>
      <c r="M805" s="28"/>
      <c r="N805" s="28"/>
      <c r="O805" s="27"/>
    </row>
    <row r="806">
      <c r="K806" s="26"/>
      <c r="L806" s="27"/>
      <c r="M806" s="28"/>
      <c r="N806" s="28"/>
      <c r="O806" s="27"/>
    </row>
    <row r="807">
      <c r="K807" s="26"/>
      <c r="L807" s="27"/>
      <c r="M807" s="28"/>
      <c r="N807" s="28"/>
      <c r="O807" s="27"/>
    </row>
    <row r="808">
      <c r="K808" s="26"/>
      <c r="L808" s="27"/>
      <c r="M808" s="28"/>
      <c r="N808" s="28"/>
      <c r="O808" s="27"/>
    </row>
    <row r="809">
      <c r="K809" s="26"/>
      <c r="L809" s="27"/>
      <c r="M809" s="28"/>
      <c r="N809" s="28"/>
      <c r="O809" s="27"/>
    </row>
    <row r="810">
      <c r="K810" s="26"/>
      <c r="L810" s="27"/>
      <c r="M810" s="28"/>
      <c r="N810" s="28"/>
      <c r="O810" s="27"/>
    </row>
    <row r="811">
      <c r="K811" s="26"/>
      <c r="L811" s="27"/>
      <c r="M811" s="28"/>
      <c r="N811" s="28"/>
      <c r="O811" s="27"/>
    </row>
    <row r="812">
      <c r="K812" s="26"/>
      <c r="L812" s="27"/>
      <c r="M812" s="28"/>
      <c r="N812" s="28"/>
      <c r="O812" s="27"/>
    </row>
    <row r="813">
      <c r="K813" s="26"/>
      <c r="L813" s="27"/>
      <c r="M813" s="28"/>
      <c r="N813" s="28"/>
      <c r="O813" s="27"/>
    </row>
    <row r="814">
      <c r="K814" s="26"/>
      <c r="L814" s="27"/>
      <c r="M814" s="28"/>
      <c r="N814" s="28"/>
      <c r="O814" s="27"/>
    </row>
    <row r="815">
      <c r="K815" s="26"/>
      <c r="L815" s="27"/>
      <c r="M815" s="28"/>
      <c r="N815" s="28"/>
      <c r="O815" s="27"/>
    </row>
    <row r="816">
      <c r="K816" s="26"/>
      <c r="L816" s="27"/>
      <c r="M816" s="28"/>
      <c r="N816" s="28"/>
      <c r="O816" s="27"/>
    </row>
    <row r="817">
      <c r="K817" s="26"/>
      <c r="L817" s="27"/>
      <c r="M817" s="28"/>
      <c r="N817" s="28"/>
      <c r="O817" s="27"/>
    </row>
    <row r="818">
      <c r="K818" s="26"/>
      <c r="L818" s="27"/>
      <c r="M818" s="28"/>
      <c r="N818" s="28"/>
      <c r="O818" s="27"/>
    </row>
    <row r="819">
      <c r="K819" s="26"/>
      <c r="L819" s="27"/>
      <c r="M819" s="28"/>
      <c r="N819" s="28"/>
      <c r="O819" s="27"/>
    </row>
    <row r="820">
      <c r="K820" s="26"/>
      <c r="L820" s="27"/>
      <c r="M820" s="28"/>
      <c r="N820" s="28"/>
      <c r="O820" s="27"/>
    </row>
    <row r="821">
      <c r="K821" s="26"/>
      <c r="L821" s="27"/>
      <c r="M821" s="28"/>
      <c r="N821" s="28"/>
      <c r="O821" s="27"/>
    </row>
    <row r="822">
      <c r="K822" s="26"/>
      <c r="L822" s="27"/>
      <c r="M822" s="28"/>
      <c r="N822" s="28"/>
      <c r="O822" s="27"/>
    </row>
    <row r="823">
      <c r="K823" s="26"/>
      <c r="L823" s="27"/>
      <c r="M823" s="28"/>
      <c r="N823" s="28"/>
      <c r="O823" s="27"/>
    </row>
    <row r="824">
      <c r="K824" s="26"/>
      <c r="L824" s="27"/>
      <c r="M824" s="28"/>
      <c r="N824" s="28"/>
      <c r="O824" s="27"/>
    </row>
    <row r="825">
      <c r="K825" s="26"/>
      <c r="L825" s="27"/>
      <c r="M825" s="28"/>
      <c r="N825" s="28"/>
      <c r="O825" s="27"/>
    </row>
    <row r="826">
      <c r="K826" s="26"/>
      <c r="L826" s="27"/>
      <c r="M826" s="28"/>
      <c r="N826" s="28"/>
      <c r="O826" s="27"/>
    </row>
    <row r="827">
      <c r="K827" s="26"/>
      <c r="L827" s="27"/>
      <c r="M827" s="28"/>
      <c r="N827" s="28"/>
      <c r="O827" s="27"/>
    </row>
    <row r="828">
      <c r="K828" s="26"/>
      <c r="L828" s="27"/>
      <c r="M828" s="28"/>
      <c r="N828" s="28"/>
      <c r="O828" s="27"/>
    </row>
    <row r="829">
      <c r="K829" s="26"/>
      <c r="L829" s="27"/>
      <c r="M829" s="28"/>
      <c r="N829" s="28"/>
      <c r="O829" s="27"/>
    </row>
    <row r="830">
      <c r="K830" s="26"/>
      <c r="L830" s="27"/>
      <c r="M830" s="28"/>
      <c r="N830" s="28"/>
      <c r="O830" s="27"/>
    </row>
    <row r="831">
      <c r="K831" s="26"/>
      <c r="L831" s="27"/>
      <c r="M831" s="28"/>
      <c r="N831" s="28"/>
      <c r="O831" s="27"/>
    </row>
    <row r="832">
      <c r="K832" s="26"/>
      <c r="L832" s="27"/>
      <c r="M832" s="28"/>
      <c r="N832" s="28"/>
      <c r="O832" s="27"/>
    </row>
    <row r="833">
      <c r="K833" s="26"/>
      <c r="L833" s="27"/>
      <c r="M833" s="28"/>
      <c r="N833" s="28"/>
      <c r="O833" s="27"/>
    </row>
    <row r="834">
      <c r="K834" s="26"/>
      <c r="L834" s="27"/>
      <c r="M834" s="28"/>
      <c r="N834" s="28"/>
      <c r="O834" s="27"/>
    </row>
    <row r="835">
      <c r="K835" s="26"/>
      <c r="L835" s="27"/>
      <c r="M835" s="28"/>
      <c r="N835" s="28"/>
      <c r="O835" s="27"/>
    </row>
    <row r="836">
      <c r="K836" s="26"/>
      <c r="L836" s="27"/>
      <c r="M836" s="28"/>
      <c r="N836" s="28"/>
      <c r="O836" s="27"/>
    </row>
    <row r="837">
      <c r="K837" s="26"/>
      <c r="L837" s="27"/>
      <c r="M837" s="28"/>
      <c r="N837" s="28"/>
      <c r="O837" s="27"/>
    </row>
    <row r="838">
      <c r="K838" s="26"/>
      <c r="L838" s="27"/>
      <c r="M838" s="28"/>
      <c r="N838" s="28"/>
      <c r="O838" s="27"/>
    </row>
    <row r="839">
      <c r="K839" s="26"/>
      <c r="L839" s="27"/>
      <c r="M839" s="28"/>
      <c r="N839" s="28"/>
      <c r="O839" s="27"/>
    </row>
    <row r="840">
      <c r="K840" s="26"/>
      <c r="L840" s="27"/>
      <c r="M840" s="28"/>
      <c r="N840" s="28"/>
      <c r="O840" s="27"/>
    </row>
    <row r="841">
      <c r="K841" s="26"/>
      <c r="L841" s="27"/>
      <c r="M841" s="28"/>
      <c r="N841" s="28"/>
      <c r="O841" s="27"/>
    </row>
    <row r="842">
      <c r="K842" s="26"/>
      <c r="L842" s="27"/>
      <c r="M842" s="28"/>
      <c r="N842" s="28"/>
      <c r="O842" s="27"/>
    </row>
    <row r="843">
      <c r="K843" s="26"/>
      <c r="L843" s="27"/>
      <c r="M843" s="28"/>
      <c r="N843" s="28"/>
      <c r="O843" s="27"/>
    </row>
    <row r="844">
      <c r="K844" s="26"/>
      <c r="L844" s="27"/>
      <c r="M844" s="28"/>
      <c r="N844" s="28"/>
      <c r="O844" s="27"/>
    </row>
    <row r="845">
      <c r="K845" s="26"/>
      <c r="L845" s="27"/>
      <c r="M845" s="28"/>
      <c r="N845" s="28"/>
      <c r="O845" s="27"/>
    </row>
    <row r="846">
      <c r="K846" s="26"/>
      <c r="L846" s="27"/>
      <c r="M846" s="28"/>
      <c r="N846" s="28"/>
      <c r="O846" s="27"/>
    </row>
    <row r="847">
      <c r="K847" s="26"/>
      <c r="L847" s="27"/>
      <c r="M847" s="28"/>
      <c r="N847" s="28"/>
      <c r="O847" s="27"/>
    </row>
    <row r="848">
      <c r="K848" s="26"/>
      <c r="L848" s="27"/>
      <c r="M848" s="28"/>
      <c r="N848" s="28"/>
      <c r="O848" s="27"/>
    </row>
    <row r="849">
      <c r="K849" s="26"/>
      <c r="L849" s="27"/>
      <c r="M849" s="28"/>
      <c r="N849" s="28"/>
      <c r="O849" s="27"/>
    </row>
    <row r="850">
      <c r="K850" s="26"/>
      <c r="L850" s="27"/>
      <c r="M850" s="28"/>
      <c r="N850" s="28"/>
      <c r="O850" s="27"/>
    </row>
    <row r="851">
      <c r="K851" s="26"/>
      <c r="L851" s="27"/>
      <c r="M851" s="28"/>
      <c r="N851" s="28"/>
      <c r="O851" s="27"/>
    </row>
    <row r="852">
      <c r="K852" s="26"/>
      <c r="L852" s="27"/>
      <c r="M852" s="28"/>
      <c r="N852" s="28"/>
      <c r="O852" s="27"/>
    </row>
    <row r="853">
      <c r="K853" s="26"/>
      <c r="L853" s="27"/>
      <c r="M853" s="28"/>
      <c r="N853" s="28"/>
      <c r="O853" s="27"/>
    </row>
    <row r="854">
      <c r="K854" s="26"/>
      <c r="L854" s="27"/>
      <c r="M854" s="28"/>
      <c r="N854" s="28"/>
      <c r="O854" s="27"/>
    </row>
    <row r="855">
      <c r="K855" s="26"/>
      <c r="L855" s="27"/>
      <c r="M855" s="28"/>
      <c r="N855" s="28"/>
      <c r="O855" s="27"/>
    </row>
    <row r="856">
      <c r="K856" s="26"/>
      <c r="L856" s="27"/>
      <c r="M856" s="28"/>
      <c r="N856" s="28"/>
      <c r="O856" s="27"/>
    </row>
    <row r="857">
      <c r="K857" s="26"/>
      <c r="L857" s="27"/>
      <c r="M857" s="28"/>
      <c r="N857" s="28"/>
      <c r="O857" s="27"/>
    </row>
    <row r="858">
      <c r="K858" s="26"/>
      <c r="L858" s="27"/>
      <c r="M858" s="28"/>
      <c r="N858" s="28"/>
      <c r="O858" s="27"/>
    </row>
    <row r="859">
      <c r="K859" s="26"/>
      <c r="L859" s="27"/>
      <c r="M859" s="28"/>
      <c r="N859" s="28"/>
      <c r="O859" s="27"/>
    </row>
    <row r="860">
      <c r="K860" s="26"/>
      <c r="L860" s="27"/>
      <c r="M860" s="28"/>
      <c r="N860" s="28"/>
      <c r="O860" s="27"/>
    </row>
    <row r="861">
      <c r="K861" s="26"/>
      <c r="L861" s="27"/>
      <c r="M861" s="28"/>
      <c r="N861" s="28"/>
      <c r="O861" s="27"/>
    </row>
    <row r="862">
      <c r="K862" s="26"/>
      <c r="L862" s="27"/>
      <c r="M862" s="28"/>
      <c r="N862" s="28"/>
      <c r="O862" s="27"/>
    </row>
    <row r="863">
      <c r="K863" s="26"/>
      <c r="L863" s="27"/>
      <c r="M863" s="28"/>
      <c r="N863" s="28"/>
      <c r="O863" s="27"/>
    </row>
    <row r="864">
      <c r="K864" s="26"/>
      <c r="L864" s="27"/>
      <c r="M864" s="28"/>
      <c r="N864" s="28"/>
      <c r="O864" s="27"/>
    </row>
    <row r="865">
      <c r="K865" s="26"/>
      <c r="L865" s="27"/>
      <c r="M865" s="28"/>
      <c r="N865" s="28"/>
      <c r="O865" s="27"/>
    </row>
    <row r="866">
      <c r="K866" s="26"/>
      <c r="L866" s="27"/>
      <c r="M866" s="28"/>
      <c r="N866" s="28"/>
      <c r="O866" s="27"/>
    </row>
    <row r="867">
      <c r="K867" s="26"/>
      <c r="L867" s="27"/>
      <c r="M867" s="28"/>
      <c r="N867" s="28"/>
      <c r="O867" s="27"/>
    </row>
    <row r="868">
      <c r="K868" s="26"/>
      <c r="L868" s="27"/>
      <c r="M868" s="28"/>
      <c r="N868" s="28"/>
      <c r="O868" s="27"/>
    </row>
    <row r="869">
      <c r="K869" s="26"/>
      <c r="L869" s="27"/>
      <c r="M869" s="28"/>
      <c r="N869" s="28"/>
      <c r="O869" s="27"/>
    </row>
    <row r="870">
      <c r="K870" s="26"/>
      <c r="L870" s="27"/>
      <c r="M870" s="28"/>
      <c r="N870" s="28"/>
      <c r="O870" s="27"/>
    </row>
    <row r="871">
      <c r="K871" s="26"/>
      <c r="L871" s="27"/>
      <c r="M871" s="28"/>
      <c r="N871" s="28"/>
      <c r="O871" s="27"/>
    </row>
    <row r="872">
      <c r="K872" s="26"/>
      <c r="L872" s="27"/>
      <c r="M872" s="28"/>
      <c r="N872" s="28"/>
      <c r="O872" s="27"/>
    </row>
    <row r="873">
      <c r="K873" s="26"/>
      <c r="L873" s="27"/>
      <c r="M873" s="28"/>
      <c r="N873" s="28"/>
      <c r="O873" s="27"/>
    </row>
    <row r="874">
      <c r="K874" s="26"/>
      <c r="L874" s="27"/>
      <c r="M874" s="28"/>
      <c r="N874" s="28"/>
      <c r="O874" s="27"/>
    </row>
    <row r="875">
      <c r="K875" s="26"/>
      <c r="L875" s="27"/>
      <c r="M875" s="28"/>
      <c r="N875" s="28"/>
      <c r="O875" s="27"/>
    </row>
    <row r="876">
      <c r="K876" s="26"/>
      <c r="L876" s="27"/>
      <c r="M876" s="28"/>
      <c r="N876" s="28"/>
      <c r="O876" s="27"/>
    </row>
    <row r="877">
      <c r="K877" s="26"/>
      <c r="L877" s="27"/>
      <c r="M877" s="28"/>
      <c r="N877" s="28"/>
      <c r="O877" s="27"/>
    </row>
    <row r="878">
      <c r="K878" s="26"/>
      <c r="L878" s="27"/>
      <c r="M878" s="28"/>
      <c r="N878" s="28"/>
      <c r="O878" s="27"/>
    </row>
    <row r="879">
      <c r="K879" s="26"/>
      <c r="L879" s="27"/>
      <c r="M879" s="28"/>
      <c r="N879" s="28"/>
      <c r="O879" s="27"/>
    </row>
    <row r="880">
      <c r="K880" s="26"/>
      <c r="L880" s="27"/>
      <c r="M880" s="28"/>
      <c r="N880" s="28"/>
      <c r="O880" s="27"/>
    </row>
    <row r="881">
      <c r="K881" s="26"/>
      <c r="L881" s="27"/>
      <c r="M881" s="28"/>
      <c r="N881" s="28"/>
      <c r="O881" s="27"/>
    </row>
    <row r="882">
      <c r="K882" s="26"/>
      <c r="L882" s="27"/>
      <c r="M882" s="28"/>
      <c r="N882" s="28"/>
      <c r="O882" s="27"/>
    </row>
    <row r="883">
      <c r="K883" s="26"/>
      <c r="L883" s="27"/>
      <c r="M883" s="28"/>
      <c r="N883" s="28"/>
      <c r="O883" s="27"/>
    </row>
    <row r="884">
      <c r="K884" s="26"/>
      <c r="L884" s="27"/>
      <c r="M884" s="28"/>
      <c r="N884" s="28"/>
      <c r="O884" s="27"/>
    </row>
    <row r="885">
      <c r="K885" s="26"/>
      <c r="L885" s="27"/>
      <c r="M885" s="28"/>
      <c r="N885" s="28"/>
      <c r="O885" s="27"/>
    </row>
    <row r="886">
      <c r="K886" s="26"/>
      <c r="L886" s="27"/>
      <c r="M886" s="28"/>
      <c r="N886" s="28"/>
      <c r="O886" s="27"/>
    </row>
    <row r="887">
      <c r="K887" s="26"/>
      <c r="L887" s="27"/>
      <c r="M887" s="28"/>
      <c r="N887" s="28"/>
      <c r="O887" s="27"/>
    </row>
    <row r="888">
      <c r="K888" s="26"/>
      <c r="L888" s="27"/>
      <c r="M888" s="28"/>
      <c r="N888" s="28"/>
      <c r="O888" s="27"/>
    </row>
    <row r="889">
      <c r="K889" s="26"/>
      <c r="L889" s="27"/>
      <c r="M889" s="28"/>
      <c r="N889" s="28"/>
      <c r="O889" s="27"/>
    </row>
    <row r="890">
      <c r="K890" s="26"/>
      <c r="L890" s="27"/>
      <c r="M890" s="28"/>
      <c r="N890" s="28"/>
      <c r="O890" s="27"/>
    </row>
    <row r="891">
      <c r="K891" s="26"/>
      <c r="L891" s="27"/>
      <c r="M891" s="28"/>
      <c r="N891" s="28"/>
      <c r="O891" s="27"/>
    </row>
    <row r="892">
      <c r="K892" s="26"/>
      <c r="L892" s="27"/>
      <c r="M892" s="28"/>
      <c r="N892" s="28"/>
      <c r="O892" s="27"/>
    </row>
    <row r="893">
      <c r="K893" s="26"/>
      <c r="L893" s="27"/>
      <c r="M893" s="28"/>
      <c r="N893" s="28"/>
      <c r="O893" s="27"/>
    </row>
    <row r="894">
      <c r="K894" s="26"/>
      <c r="L894" s="27"/>
      <c r="M894" s="28"/>
      <c r="N894" s="28"/>
      <c r="O894" s="27"/>
    </row>
    <row r="895">
      <c r="K895" s="26"/>
      <c r="L895" s="27"/>
      <c r="M895" s="28"/>
      <c r="N895" s="28"/>
      <c r="O895" s="27"/>
    </row>
    <row r="896">
      <c r="K896" s="26"/>
      <c r="L896" s="27"/>
      <c r="M896" s="28"/>
      <c r="N896" s="28"/>
      <c r="O896" s="27"/>
    </row>
    <row r="897">
      <c r="K897" s="26"/>
      <c r="L897" s="27"/>
      <c r="M897" s="28"/>
      <c r="N897" s="28"/>
      <c r="O897" s="27"/>
    </row>
    <row r="898">
      <c r="K898" s="26"/>
      <c r="L898" s="27"/>
      <c r="M898" s="28"/>
      <c r="N898" s="28"/>
      <c r="O898" s="27"/>
    </row>
    <row r="899">
      <c r="K899" s="26"/>
      <c r="L899" s="27"/>
      <c r="M899" s="28"/>
      <c r="N899" s="28"/>
      <c r="O899" s="27"/>
    </row>
    <row r="900">
      <c r="K900" s="26"/>
      <c r="L900" s="27"/>
      <c r="M900" s="28"/>
      <c r="N900" s="28"/>
      <c r="O900" s="27"/>
    </row>
    <row r="901">
      <c r="K901" s="26"/>
      <c r="L901" s="27"/>
      <c r="M901" s="28"/>
      <c r="N901" s="28"/>
      <c r="O901" s="27"/>
    </row>
    <row r="902">
      <c r="K902" s="26"/>
      <c r="L902" s="27"/>
      <c r="M902" s="28"/>
      <c r="N902" s="28"/>
      <c r="O902" s="27"/>
    </row>
    <row r="903">
      <c r="K903" s="26"/>
      <c r="L903" s="27"/>
      <c r="M903" s="28"/>
      <c r="N903" s="28"/>
      <c r="O903" s="27"/>
    </row>
    <row r="904">
      <c r="K904" s="26"/>
      <c r="L904" s="27"/>
      <c r="M904" s="28"/>
      <c r="N904" s="28"/>
      <c r="O904" s="27"/>
    </row>
    <row r="905">
      <c r="K905" s="26"/>
      <c r="L905" s="27"/>
      <c r="M905" s="28"/>
      <c r="N905" s="28"/>
      <c r="O905" s="27"/>
    </row>
    <row r="906">
      <c r="K906" s="26"/>
      <c r="L906" s="27"/>
      <c r="M906" s="28"/>
      <c r="N906" s="28"/>
      <c r="O906" s="27"/>
    </row>
    <row r="907">
      <c r="K907" s="26"/>
      <c r="L907" s="27"/>
      <c r="M907" s="28"/>
      <c r="N907" s="28"/>
      <c r="O907" s="27"/>
    </row>
    <row r="908">
      <c r="K908" s="26"/>
      <c r="L908" s="27"/>
      <c r="M908" s="28"/>
      <c r="N908" s="28"/>
      <c r="O908" s="27"/>
    </row>
    <row r="909">
      <c r="K909" s="26"/>
      <c r="L909" s="27"/>
      <c r="M909" s="28"/>
      <c r="N909" s="28"/>
      <c r="O909" s="27"/>
    </row>
    <row r="910">
      <c r="K910" s="26"/>
      <c r="L910" s="27"/>
      <c r="M910" s="28"/>
      <c r="N910" s="28"/>
      <c r="O910" s="27"/>
    </row>
    <row r="911">
      <c r="K911" s="26"/>
      <c r="L911" s="27"/>
      <c r="M911" s="28"/>
      <c r="N911" s="28"/>
      <c r="O911" s="27"/>
    </row>
    <row r="912">
      <c r="K912" s="26"/>
      <c r="L912" s="27"/>
      <c r="M912" s="28"/>
      <c r="N912" s="28"/>
      <c r="O912" s="27"/>
    </row>
    <row r="913">
      <c r="K913" s="26"/>
      <c r="L913" s="27"/>
      <c r="M913" s="28"/>
      <c r="N913" s="28"/>
      <c r="O913" s="27"/>
    </row>
    <row r="914">
      <c r="K914" s="26"/>
      <c r="L914" s="27"/>
      <c r="M914" s="28"/>
      <c r="N914" s="28"/>
      <c r="O914" s="27"/>
    </row>
    <row r="915">
      <c r="K915" s="26"/>
      <c r="L915" s="27"/>
      <c r="M915" s="28"/>
      <c r="N915" s="28"/>
      <c r="O915" s="27"/>
    </row>
    <row r="916">
      <c r="K916" s="26"/>
      <c r="L916" s="27"/>
      <c r="M916" s="28"/>
      <c r="N916" s="28"/>
      <c r="O916" s="27"/>
    </row>
    <row r="917">
      <c r="K917" s="26"/>
      <c r="L917" s="27"/>
      <c r="M917" s="28"/>
      <c r="N917" s="28"/>
      <c r="O917" s="27"/>
    </row>
    <row r="918">
      <c r="K918" s="26"/>
      <c r="L918" s="27"/>
      <c r="M918" s="28"/>
      <c r="N918" s="28"/>
      <c r="O918" s="27"/>
    </row>
    <row r="919">
      <c r="K919" s="26"/>
      <c r="L919" s="27"/>
      <c r="M919" s="28"/>
      <c r="N919" s="28"/>
      <c r="O919" s="27"/>
    </row>
    <row r="920">
      <c r="K920" s="26"/>
      <c r="L920" s="27"/>
      <c r="M920" s="28"/>
      <c r="N920" s="28"/>
      <c r="O920" s="27"/>
    </row>
    <row r="921">
      <c r="K921" s="26"/>
      <c r="L921" s="27"/>
      <c r="M921" s="28"/>
      <c r="N921" s="28"/>
      <c r="O921" s="27"/>
    </row>
    <row r="922">
      <c r="K922" s="26"/>
      <c r="L922" s="27"/>
      <c r="M922" s="28"/>
      <c r="N922" s="28"/>
      <c r="O922" s="27"/>
    </row>
    <row r="923">
      <c r="K923" s="26"/>
      <c r="L923" s="27"/>
      <c r="M923" s="28"/>
      <c r="N923" s="28"/>
      <c r="O923" s="27"/>
    </row>
    <row r="924">
      <c r="K924" s="26"/>
      <c r="L924" s="27"/>
      <c r="M924" s="28"/>
      <c r="N924" s="28"/>
      <c r="O924" s="27"/>
    </row>
    <row r="925">
      <c r="K925" s="26"/>
      <c r="L925" s="27"/>
      <c r="M925" s="28"/>
      <c r="N925" s="28"/>
      <c r="O925" s="27"/>
    </row>
    <row r="926">
      <c r="K926" s="26"/>
      <c r="L926" s="27"/>
      <c r="M926" s="28"/>
      <c r="N926" s="28"/>
      <c r="O926" s="27"/>
    </row>
    <row r="927">
      <c r="K927" s="26"/>
      <c r="L927" s="27"/>
      <c r="M927" s="28"/>
      <c r="N927" s="28"/>
      <c r="O927" s="27"/>
    </row>
    <row r="928">
      <c r="K928" s="26"/>
      <c r="L928" s="27"/>
      <c r="M928" s="28"/>
      <c r="N928" s="28"/>
      <c r="O928" s="27"/>
    </row>
    <row r="929">
      <c r="K929" s="26"/>
      <c r="L929" s="27"/>
      <c r="M929" s="28"/>
      <c r="N929" s="28"/>
      <c r="O929" s="27"/>
    </row>
    <row r="930">
      <c r="K930" s="26"/>
      <c r="L930" s="27"/>
      <c r="M930" s="28"/>
      <c r="N930" s="28"/>
      <c r="O930" s="27"/>
    </row>
    <row r="931">
      <c r="K931" s="26"/>
      <c r="L931" s="27"/>
      <c r="M931" s="28"/>
      <c r="N931" s="28"/>
      <c r="O931" s="27"/>
    </row>
    <row r="932">
      <c r="K932" s="26"/>
      <c r="L932" s="27"/>
      <c r="M932" s="28"/>
      <c r="N932" s="28"/>
      <c r="O932" s="27"/>
    </row>
    <row r="933">
      <c r="K933" s="26"/>
      <c r="L933" s="27"/>
      <c r="M933" s="28"/>
      <c r="N933" s="28"/>
      <c r="O933" s="27"/>
    </row>
    <row r="934">
      <c r="K934" s="26"/>
      <c r="L934" s="27"/>
      <c r="M934" s="28"/>
      <c r="N934" s="28"/>
      <c r="O934" s="27"/>
    </row>
    <row r="935">
      <c r="K935" s="26"/>
      <c r="L935" s="27"/>
      <c r="M935" s="28"/>
      <c r="N935" s="28"/>
      <c r="O935" s="27"/>
    </row>
    <row r="936">
      <c r="K936" s="26"/>
      <c r="L936" s="27"/>
      <c r="M936" s="28"/>
      <c r="N936" s="28"/>
      <c r="O936" s="27"/>
    </row>
    <row r="937">
      <c r="K937" s="26"/>
      <c r="L937" s="27"/>
      <c r="M937" s="28"/>
      <c r="N937" s="28"/>
      <c r="O937" s="27"/>
    </row>
    <row r="938">
      <c r="K938" s="26"/>
      <c r="L938" s="27"/>
      <c r="M938" s="28"/>
      <c r="N938" s="28"/>
      <c r="O938" s="27"/>
    </row>
    <row r="939">
      <c r="K939" s="26"/>
      <c r="L939" s="27"/>
      <c r="M939" s="28"/>
      <c r="N939" s="28"/>
      <c r="O939" s="27"/>
    </row>
    <row r="940">
      <c r="K940" s="26"/>
      <c r="L940" s="27"/>
      <c r="M940" s="28"/>
      <c r="N940" s="28"/>
      <c r="O940" s="27"/>
    </row>
    <row r="941">
      <c r="K941" s="26"/>
      <c r="L941" s="27"/>
      <c r="M941" s="28"/>
      <c r="N941" s="28"/>
      <c r="O941" s="27"/>
    </row>
    <row r="942">
      <c r="K942" s="26"/>
      <c r="L942" s="27"/>
      <c r="M942" s="28"/>
      <c r="N942" s="28"/>
      <c r="O942" s="27"/>
    </row>
    <row r="943">
      <c r="K943" s="26"/>
      <c r="L943" s="27"/>
      <c r="M943" s="28"/>
      <c r="N943" s="28"/>
      <c r="O943" s="27"/>
    </row>
    <row r="944">
      <c r="K944" s="26"/>
      <c r="L944" s="27"/>
      <c r="M944" s="28"/>
      <c r="N944" s="28"/>
      <c r="O944" s="27"/>
    </row>
    <row r="945">
      <c r="K945" s="26"/>
      <c r="L945" s="27"/>
      <c r="M945" s="28"/>
      <c r="N945" s="28"/>
      <c r="O945" s="27"/>
    </row>
    <row r="946">
      <c r="K946" s="26"/>
      <c r="L946" s="27"/>
      <c r="M946" s="28"/>
      <c r="N946" s="28"/>
      <c r="O946" s="27"/>
    </row>
    <row r="947">
      <c r="K947" s="26"/>
      <c r="L947" s="27"/>
      <c r="M947" s="28"/>
      <c r="N947" s="28"/>
      <c r="O947" s="27"/>
    </row>
    <row r="948">
      <c r="K948" s="26"/>
      <c r="L948" s="27"/>
      <c r="M948" s="28"/>
      <c r="N948" s="28"/>
      <c r="O948" s="27"/>
    </row>
    <row r="949">
      <c r="K949" s="26"/>
      <c r="L949" s="27"/>
      <c r="M949" s="28"/>
      <c r="N949" s="28"/>
      <c r="O949" s="27"/>
    </row>
    <row r="950">
      <c r="K950" s="26"/>
      <c r="L950" s="27"/>
      <c r="M950" s="28"/>
      <c r="N950" s="28"/>
      <c r="O950" s="27"/>
    </row>
    <row r="951">
      <c r="K951" s="26"/>
      <c r="L951" s="27"/>
      <c r="M951" s="28"/>
      <c r="N951" s="28"/>
      <c r="O951" s="27"/>
    </row>
    <row r="952">
      <c r="K952" s="26"/>
      <c r="L952" s="27"/>
      <c r="M952" s="28"/>
      <c r="N952" s="28"/>
      <c r="O952" s="27"/>
    </row>
    <row r="953">
      <c r="K953" s="26"/>
      <c r="L953" s="27"/>
      <c r="M953" s="28"/>
      <c r="N953" s="28"/>
      <c r="O953" s="27"/>
    </row>
    <row r="954">
      <c r="K954" s="26"/>
      <c r="L954" s="27"/>
      <c r="M954" s="28"/>
      <c r="N954" s="28"/>
      <c r="O954" s="27"/>
    </row>
    <row r="955">
      <c r="K955" s="26"/>
      <c r="L955" s="27"/>
      <c r="M955" s="28"/>
      <c r="N955" s="28"/>
      <c r="O955" s="27"/>
    </row>
    <row r="956">
      <c r="K956" s="26"/>
      <c r="L956" s="27"/>
      <c r="M956" s="28"/>
      <c r="N956" s="28"/>
      <c r="O956" s="27"/>
    </row>
    <row r="957">
      <c r="K957" s="26"/>
      <c r="L957" s="27"/>
      <c r="M957" s="28"/>
      <c r="N957" s="28"/>
      <c r="O957" s="27"/>
    </row>
    <row r="958">
      <c r="K958" s="26"/>
      <c r="L958" s="27"/>
      <c r="M958" s="28"/>
      <c r="N958" s="28"/>
      <c r="O958" s="27"/>
    </row>
    <row r="959">
      <c r="K959" s="26"/>
      <c r="L959" s="27"/>
      <c r="M959" s="28"/>
      <c r="N959" s="28"/>
      <c r="O959" s="27"/>
    </row>
    <row r="960">
      <c r="K960" s="26"/>
      <c r="L960" s="27"/>
      <c r="M960" s="28"/>
      <c r="N960" s="28"/>
      <c r="O960" s="27"/>
    </row>
    <row r="961">
      <c r="K961" s="26"/>
      <c r="L961" s="27"/>
      <c r="M961" s="28"/>
      <c r="N961" s="28"/>
      <c r="O961" s="27"/>
    </row>
    <row r="962">
      <c r="K962" s="26"/>
      <c r="L962" s="27"/>
      <c r="M962" s="28"/>
      <c r="N962" s="28"/>
      <c r="O962" s="27"/>
    </row>
    <row r="963">
      <c r="K963" s="26"/>
      <c r="L963" s="27"/>
      <c r="M963" s="28"/>
      <c r="N963" s="28"/>
      <c r="O963" s="27"/>
    </row>
    <row r="964">
      <c r="K964" s="26"/>
      <c r="L964" s="27"/>
      <c r="M964" s="28"/>
      <c r="N964" s="28"/>
      <c r="O964" s="27"/>
    </row>
    <row r="965">
      <c r="K965" s="26"/>
      <c r="L965" s="27"/>
      <c r="M965" s="28"/>
      <c r="N965" s="28"/>
      <c r="O965" s="27"/>
    </row>
    <row r="966">
      <c r="K966" s="26"/>
      <c r="L966" s="27"/>
      <c r="M966" s="28"/>
      <c r="N966" s="28"/>
      <c r="O966" s="27"/>
    </row>
    <row r="967">
      <c r="K967" s="26"/>
      <c r="L967" s="27"/>
      <c r="M967" s="28"/>
      <c r="N967" s="28"/>
      <c r="O967" s="27"/>
    </row>
    <row r="968">
      <c r="K968" s="26"/>
      <c r="L968" s="27"/>
      <c r="M968" s="28"/>
      <c r="N968" s="28"/>
      <c r="O968" s="27"/>
    </row>
    <row r="969">
      <c r="K969" s="26"/>
      <c r="L969" s="27"/>
      <c r="M969" s="28"/>
      <c r="N969" s="28"/>
      <c r="O969" s="27"/>
    </row>
    <row r="970">
      <c r="K970" s="26"/>
      <c r="L970" s="27"/>
      <c r="M970" s="28"/>
      <c r="N970" s="28"/>
      <c r="O970" s="27"/>
    </row>
    <row r="971">
      <c r="K971" s="26"/>
      <c r="L971" s="27"/>
      <c r="M971" s="28"/>
      <c r="N971" s="28"/>
      <c r="O971" s="27"/>
    </row>
    <row r="972">
      <c r="K972" s="26"/>
      <c r="L972" s="27"/>
      <c r="M972" s="28"/>
      <c r="N972" s="28"/>
      <c r="O972" s="27"/>
    </row>
    <row r="973">
      <c r="K973" s="26"/>
      <c r="L973" s="27"/>
      <c r="M973" s="28"/>
      <c r="N973" s="28"/>
      <c r="O973" s="27"/>
    </row>
    <row r="974">
      <c r="K974" s="26"/>
      <c r="L974" s="27"/>
      <c r="M974" s="28"/>
      <c r="N974" s="28"/>
      <c r="O974" s="27"/>
    </row>
    <row r="975">
      <c r="K975" s="26"/>
      <c r="L975" s="27"/>
      <c r="M975" s="28"/>
      <c r="N975" s="28"/>
      <c r="O975" s="27"/>
    </row>
    <row r="976">
      <c r="K976" s="26"/>
      <c r="L976" s="27"/>
      <c r="M976" s="28"/>
      <c r="N976" s="28"/>
      <c r="O976" s="27"/>
    </row>
    <row r="977">
      <c r="K977" s="26"/>
      <c r="L977" s="27"/>
      <c r="M977" s="28"/>
      <c r="N977" s="28"/>
      <c r="O977" s="27"/>
    </row>
    <row r="978">
      <c r="K978" s="26"/>
      <c r="L978" s="27"/>
      <c r="M978" s="28"/>
      <c r="N978" s="28"/>
      <c r="O978" s="27"/>
    </row>
    <row r="979">
      <c r="K979" s="26"/>
      <c r="L979" s="27"/>
      <c r="M979" s="28"/>
      <c r="N979" s="28"/>
      <c r="O979" s="27"/>
    </row>
    <row r="980">
      <c r="K980" s="26"/>
      <c r="L980" s="27"/>
      <c r="M980" s="28"/>
      <c r="N980" s="28"/>
      <c r="O980" s="27"/>
    </row>
    <row r="981">
      <c r="K981" s="26"/>
      <c r="L981" s="27"/>
      <c r="M981" s="28"/>
      <c r="N981" s="28"/>
      <c r="O981" s="27"/>
    </row>
    <row r="982">
      <c r="K982" s="26"/>
      <c r="L982" s="27"/>
      <c r="M982" s="28"/>
      <c r="N982" s="28"/>
      <c r="O982" s="27"/>
    </row>
    <row r="983">
      <c r="K983" s="26"/>
      <c r="L983" s="27"/>
      <c r="M983" s="28"/>
      <c r="N983" s="28"/>
      <c r="O983" s="27"/>
    </row>
    <row r="984">
      <c r="K984" s="26"/>
      <c r="L984" s="27"/>
      <c r="M984" s="28"/>
      <c r="N984" s="28"/>
      <c r="O984" s="27"/>
    </row>
    <row r="985">
      <c r="K985" s="26"/>
      <c r="L985" s="27"/>
      <c r="M985" s="28"/>
      <c r="N985" s="28"/>
      <c r="O985" s="27"/>
    </row>
    <row r="986">
      <c r="K986" s="26"/>
      <c r="L986" s="27"/>
      <c r="M986" s="28"/>
      <c r="N986" s="28"/>
      <c r="O986" s="27"/>
    </row>
    <row r="987">
      <c r="K987" s="26"/>
      <c r="L987" s="27"/>
      <c r="M987" s="28"/>
      <c r="N987" s="28"/>
      <c r="O987" s="27"/>
    </row>
    <row r="988">
      <c r="K988" s="26"/>
      <c r="L988" s="27"/>
      <c r="M988" s="28"/>
      <c r="N988" s="28"/>
      <c r="O988" s="27"/>
    </row>
    <row r="989">
      <c r="K989" s="26"/>
      <c r="L989" s="27"/>
      <c r="M989" s="28"/>
      <c r="N989" s="28"/>
      <c r="O989" s="27"/>
    </row>
    <row r="990">
      <c r="K990" s="26"/>
      <c r="L990" s="27"/>
      <c r="M990" s="28"/>
      <c r="N990" s="28"/>
      <c r="O990" s="27"/>
    </row>
    <row r="991">
      <c r="K991" s="26"/>
      <c r="L991" s="27"/>
      <c r="M991" s="28"/>
      <c r="N991" s="28"/>
      <c r="O991" s="27"/>
    </row>
    <row r="992">
      <c r="K992" s="26"/>
      <c r="L992" s="27"/>
      <c r="M992" s="28"/>
      <c r="N992" s="28"/>
      <c r="O992" s="27"/>
    </row>
    <row r="993">
      <c r="K993" s="26"/>
      <c r="L993" s="27"/>
      <c r="M993" s="28"/>
      <c r="N993" s="28"/>
      <c r="O993" s="27"/>
    </row>
    <row r="994">
      <c r="K994" s="26"/>
      <c r="L994" s="27"/>
      <c r="M994" s="28"/>
      <c r="N994" s="28"/>
      <c r="O994" s="27"/>
    </row>
    <row r="995">
      <c r="K995" s="26"/>
      <c r="L995" s="27"/>
      <c r="M995" s="28"/>
      <c r="N995" s="28"/>
      <c r="O995" s="27"/>
    </row>
    <row r="996">
      <c r="K996" s="26"/>
      <c r="L996" s="27"/>
      <c r="M996" s="28"/>
      <c r="N996" s="28"/>
      <c r="O996" s="27"/>
    </row>
    <row r="997">
      <c r="K997" s="26"/>
      <c r="L997" s="27"/>
      <c r="M997" s="28"/>
      <c r="N997" s="28"/>
      <c r="O997" s="27"/>
    </row>
    <row r="998">
      <c r="K998" s="26"/>
      <c r="L998" s="27"/>
      <c r="M998" s="28"/>
      <c r="N998" s="28"/>
      <c r="O998" s="27"/>
    </row>
    <row r="999">
      <c r="K999" s="26"/>
      <c r="L999" s="27"/>
      <c r="M999" s="28"/>
      <c r="N999" s="28"/>
      <c r="O999" s="27"/>
    </row>
    <row r="1000">
      <c r="K1000" s="26"/>
      <c r="L1000" s="27"/>
      <c r="M1000" s="28"/>
      <c r="N1000" s="28"/>
      <c r="O1000" s="27"/>
    </row>
  </sheetData>
  <autoFilter ref="$A$1:$O$63">
    <sortState ref="A1:O63">
      <sortCondition ref="B1:B63"/>
      <sortCondition ref="A1:A63"/>
      <sortCondition descending="1" ref="K1:K63"/>
      <sortCondition descending="1" ref="J1:J63"/>
      <sortCondition descending="1" ref="I1:I63"/>
      <sortCondition descending="1" ref="H1:H63"/>
    </sortState>
  </autoFilter>
  <conditionalFormatting sqref="E1:E1000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G2:G63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H1:H1000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I2:I63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J2:J63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1:F1000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R1"/>
    <hyperlink r:id="rId2" ref="O2"/>
    <hyperlink r:id="rId3" ref="O3"/>
    <hyperlink r:id="rId4" ref="O4"/>
    <hyperlink r:id="rId5" ref="O5"/>
    <hyperlink r:id="rId6" ref="O6"/>
    <hyperlink r:id="rId7" ref="O7"/>
    <hyperlink r:id="rId8" ref="O8"/>
    <hyperlink r:id="rId9" ref="O9"/>
    <hyperlink r:id="rId10" ref="O10"/>
    <hyperlink r:id="rId11" ref="O11"/>
    <hyperlink r:id="rId12" ref="O12"/>
    <hyperlink r:id="rId13" ref="O13"/>
    <hyperlink r:id="rId14" ref="O14"/>
    <hyperlink r:id="rId15" ref="O15"/>
    <hyperlink r:id="rId16" ref="O16"/>
    <hyperlink r:id="rId17" ref="O17"/>
    <hyperlink r:id="rId18" ref="T17"/>
    <hyperlink r:id="rId19" ref="O18"/>
    <hyperlink r:id="rId20" ref="O19"/>
    <hyperlink r:id="rId21" ref="O20"/>
    <hyperlink r:id="rId22" ref="O21"/>
    <hyperlink r:id="rId23" ref="O22"/>
    <hyperlink r:id="rId24" ref="O23"/>
    <hyperlink r:id="rId25" ref="Q23"/>
    <hyperlink r:id="rId26" ref="O24"/>
    <hyperlink r:id="rId27" ref="O25"/>
    <hyperlink r:id="rId28" ref="O26"/>
    <hyperlink r:id="rId29" ref="O27"/>
    <hyperlink r:id="rId30" ref="O28"/>
    <hyperlink r:id="rId31" ref="O29"/>
    <hyperlink r:id="rId32" ref="O30"/>
    <hyperlink r:id="rId33" ref="O31"/>
    <hyperlink r:id="rId34" ref="O32"/>
    <hyperlink r:id="rId35" ref="O33"/>
    <hyperlink r:id="rId36" ref="O34"/>
    <hyperlink r:id="rId37" ref="O35"/>
    <hyperlink r:id="rId38" ref="O36"/>
    <hyperlink r:id="rId39" ref="O37"/>
    <hyperlink r:id="rId40" ref="O38"/>
    <hyperlink r:id="rId41" ref="O39"/>
    <hyperlink r:id="rId42" ref="O40"/>
    <hyperlink r:id="rId43" ref="O41"/>
    <hyperlink r:id="rId44" ref="O42"/>
    <hyperlink r:id="rId45" ref="O43"/>
    <hyperlink r:id="rId46" ref="O44"/>
    <hyperlink r:id="rId47" ref="O45"/>
    <hyperlink r:id="rId48" ref="O46"/>
    <hyperlink r:id="rId49" ref="O47"/>
    <hyperlink r:id="rId50" ref="O48"/>
    <hyperlink r:id="rId51" ref="O49"/>
    <hyperlink r:id="rId52" ref="O50"/>
    <hyperlink r:id="rId53" ref="O51"/>
    <hyperlink r:id="rId54" ref="O52"/>
    <hyperlink r:id="rId55" ref="O53"/>
    <hyperlink r:id="rId56" ref="O54"/>
    <hyperlink r:id="rId57" ref="O55"/>
    <hyperlink r:id="rId58" ref="O56"/>
    <hyperlink r:id="rId59" ref="O57"/>
    <hyperlink r:id="rId60" ref="O58"/>
    <hyperlink r:id="rId61" ref="O59"/>
    <hyperlink r:id="rId62" ref="O60"/>
    <hyperlink r:id="rId63" ref="O61"/>
    <hyperlink r:id="rId64" ref="O62"/>
    <hyperlink r:id="rId65" ref="O63"/>
  </hyperlinks>
  <drawing r:id="rId6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16.38"/>
    <col customWidth="1" min="3" max="3" width="18.75"/>
    <col customWidth="1" min="4" max="4" width="15.25"/>
    <col customWidth="1" min="5" max="5" width="15.75"/>
    <col customWidth="1" min="6" max="6" width="13.5"/>
    <col customWidth="1" min="7" max="7" width="14.75"/>
    <col customWidth="1" min="8" max="8" width="15.75"/>
    <col customWidth="1" min="9" max="9" width="22.5"/>
    <col customWidth="1" min="11" max="11" width="16.13"/>
    <col customWidth="1" min="12" max="12" width="22.5"/>
  </cols>
  <sheetData>
    <row r="1">
      <c r="A1" s="31" t="s">
        <v>172</v>
      </c>
      <c r="B1" s="32" t="s">
        <v>173</v>
      </c>
      <c r="C1" s="32" t="s">
        <v>2</v>
      </c>
      <c r="D1" s="32" t="s">
        <v>174</v>
      </c>
      <c r="E1" s="32" t="s">
        <v>6</v>
      </c>
      <c r="F1" s="32" t="s">
        <v>175</v>
      </c>
      <c r="G1" s="32" t="s">
        <v>8</v>
      </c>
      <c r="H1" s="32" t="s">
        <v>9</v>
      </c>
      <c r="I1" s="33" t="s">
        <v>11</v>
      </c>
      <c r="J1" s="33" t="s">
        <v>176</v>
      </c>
      <c r="K1" s="33" t="s">
        <v>177</v>
      </c>
      <c r="L1" s="34" t="s">
        <v>178</v>
      </c>
    </row>
    <row r="2">
      <c r="A2" s="35">
        <v>0.5</v>
      </c>
      <c r="B2" s="36">
        <f>COUNTIF(Dati!$B$1:$B$63,A2)</f>
        <v>2</v>
      </c>
      <c r="C2" s="37">
        <f>AVERAGE(Dati!C2:C3)</f>
        <v>0.3310579372</v>
      </c>
      <c r="D2" s="38">
        <f>AVERAGE(Dati!E2:E3)</f>
        <v>-0.3378841257</v>
      </c>
      <c r="E2" s="38">
        <f>AVERAGE(Dati!G2:G3)</f>
        <v>0.1146406701</v>
      </c>
      <c r="F2" s="39">
        <f>AVERAGE(Dati!H2:H3)</f>
        <v>0.000004166666667</v>
      </c>
      <c r="G2" s="39">
        <f>AVERAGE(Dati!I2:I3)</f>
        <v>0</v>
      </c>
      <c r="H2" s="40">
        <f>AVERAGE(Dati!J2:J3)</f>
        <v>0</v>
      </c>
      <c r="I2" s="41">
        <f>AVERAGE(Dati!L2:L3)</f>
        <v>2000</v>
      </c>
      <c r="J2" s="41">
        <f>AVERAGE(Dati!M2:M3)</f>
        <v>25920000</v>
      </c>
      <c r="K2" s="41">
        <f>SUM(Dati!M2:M3)</f>
        <v>51840000</v>
      </c>
      <c r="L2" s="42">
        <f t="shared" ref="L2:L10" si="1">K2*A2</f>
        <v>25920000</v>
      </c>
    </row>
    <row r="3">
      <c r="A3" s="43">
        <v>1.0</v>
      </c>
      <c r="B3" s="44">
        <f>COUNTIF(Dati!$B$1:$B$63,A3)</f>
        <v>2</v>
      </c>
      <c r="C3" s="45">
        <f>AVERAGE(Dati!C4:C5)</f>
        <v>0.5929511579</v>
      </c>
      <c r="D3" s="46">
        <f>AVERAGE(Dati!E4:E5)</f>
        <v>-0.4070488421</v>
      </c>
      <c r="E3" s="46">
        <f>AVERAGE(Dati!G4:G5)</f>
        <v>0.09852455834</v>
      </c>
      <c r="F3" s="47">
        <f>AVERAGE(Dati!H4:H5)</f>
        <v>0.0000006365740741</v>
      </c>
      <c r="G3" s="47">
        <f>AVERAGE(Dati!I4:I5)</f>
        <v>0.0000006365740741</v>
      </c>
      <c r="H3" s="48">
        <f>AVERAGE(Dati!J4:J5)</f>
        <v>0</v>
      </c>
      <c r="I3" s="49">
        <f>AVERAGE(Dati!L4:L5)</f>
        <v>10000</v>
      </c>
      <c r="J3" s="49">
        <f>AVERAGE(Dati!M4:M5)</f>
        <v>44640000</v>
      </c>
      <c r="K3" s="49">
        <f>SUM(Dati!M4:M5)</f>
        <v>89280000</v>
      </c>
      <c r="L3" s="50">
        <f t="shared" si="1"/>
        <v>89280000</v>
      </c>
    </row>
    <row r="4">
      <c r="A4" s="51">
        <v>2.0</v>
      </c>
      <c r="B4" s="36">
        <f>COUNTIF(Dati!$B$1:$B$63,A4)</f>
        <v>8</v>
      </c>
      <c r="C4" s="37">
        <f>AVERAGE(Dati!C6:C13)</f>
        <v>1.27661977</v>
      </c>
      <c r="D4" s="38">
        <f>AVERAGE(Dati!E6:E13)</f>
        <v>-0.3616901152</v>
      </c>
      <c r="E4" s="38">
        <f>AVERAGE(Dati!G6:G13)</f>
        <v>0.1105004912</v>
      </c>
      <c r="F4" s="39">
        <f>AVERAGE(Dati!H6:H13)</f>
        <v>0.000003237312446</v>
      </c>
      <c r="G4" s="39">
        <f>AVERAGE(Dati!I6:I13)</f>
        <v>0.0000002226589994</v>
      </c>
      <c r="H4" s="40">
        <f>AVERAGE(Dati!J6:J13)</f>
        <v>0.0000001071222544</v>
      </c>
      <c r="I4" s="41">
        <f>AVERAGE(Dati!L6:L13)</f>
        <v>50000</v>
      </c>
      <c r="J4" s="41">
        <f>AVERAGE(Dati!M6:M13)</f>
        <v>30240000</v>
      </c>
      <c r="K4" s="41">
        <f>SUM(Dati!M6:M13)</f>
        <v>241920000</v>
      </c>
      <c r="L4" s="42">
        <f t="shared" si="1"/>
        <v>483840000</v>
      </c>
    </row>
    <row r="5">
      <c r="A5" s="52">
        <v>3.0</v>
      </c>
      <c r="B5" s="44">
        <f>COUNTIF(Dati!$B$1:$B$63,A5)</f>
        <v>8</v>
      </c>
      <c r="C5" s="45">
        <f>AVERAGE(Dati!C14:C21)</f>
        <v>2.024523662</v>
      </c>
      <c r="D5" s="46">
        <f>AVERAGE(Dati!E14:E21)</f>
        <v>-0.3251587794</v>
      </c>
      <c r="E5" s="46">
        <f>AVERAGE(Dati!G14:G21)</f>
        <v>0.1340528887</v>
      </c>
      <c r="F5" s="47">
        <f>AVERAGE(Dati!H14:H21)</f>
        <v>0.000004930015488</v>
      </c>
      <c r="G5" s="47">
        <f>AVERAGE(Dati!I14:I21)</f>
        <v>0.0000002870989362</v>
      </c>
      <c r="H5" s="48">
        <f>AVERAGE(Dati!J14:J21)</f>
        <v>0.0000001299358974</v>
      </c>
      <c r="I5" s="49">
        <f>AVERAGE(Dati!L14:L21)</f>
        <v>66666.66667</v>
      </c>
      <c r="J5" s="49">
        <f>AVERAGE(Dati!M14:M21)</f>
        <v>34530000</v>
      </c>
      <c r="K5" s="49">
        <f>SUM(Dati!M14:M21)</f>
        <v>276240000</v>
      </c>
      <c r="L5" s="50">
        <f t="shared" si="1"/>
        <v>828720000</v>
      </c>
    </row>
    <row r="6">
      <c r="A6" s="53">
        <v>5.0</v>
      </c>
      <c r="B6" s="36">
        <f>COUNTIF(Dati!$B$1:$B$63,A6)</f>
        <v>19</v>
      </c>
      <c r="C6" s="37">
        <f>AVERAGE(Dati!C22:C40)</f>
        <v>3.565205604</v>
      </c>
      <c r="D6" s="38">
        <f>AVERAGE(Dati!E22:E40)</f>
        <v>-0.2869588792</v>
      </c>
      <c r="E6" s="38">
        <f>AVERAGE(Dati!G22:G40)</f>
        <v>0.1339392976</v>
      </c>
      <c r="F6" s="39">
        <f>AVERAGE(Dati!H22:H40)</f>
        <v>0.0000454736386</v>
      </c>
      <c r="G6" s="39">
        <f>AVERAGE(Dati!I22:I40)</f>
        <v>0.0000011979884</v>
      </c>
      <c r="H6" s="40">
        <f>AVERAGE(Dati!J22:J40)</f>
        <v>0.0000001907569089</v>
      </c>
      <c r="I6" s="41">
        <f>AVERAGE(Dati!L22:L40)</f>
        <v>128478.6737</v>
      </c>
      <c r="J6" s="41">
        <f>AVERAGE(Dati!M22:M40)</f>
        <v>45915789.47</v>
      </c>
      <c r="K6" s="41">
        <f>SUM(Dati!M22:M40)</f>
        <v>872400000</v>
      </c>
      <c r="L6" s="42">
        <f t="shared" si="1"/>
        <v>4362000000</v>
      </c>
    </row>
    <row r="7">
      <c r="A7" s="52">
        <v>10.0</v>
      </c>
      <c r="B7" s="44">
        <f>COUNTIF(Dati!$B$1:$B$63,A7)</f>
        <v>15</v>
      </c>
      <c r="C7" s="45">
        <f>AVERAGE(Dati!C41:C55)</f>
        <v>7.532866014</v>
      </c>
      <c r="D7" s="46">
        <f>AVERAGE(Dati!E41:E55)</f>
        <v>-0.2467133986</v>
      </c>
      <c r="E7" s="46">
        <f>AVERAGE(Dati!G41:G55)</f>
        <v>0.1405849908</v>
      </c>
      <c r="F7" s="47">
        <f>AVERAGE(Dati!H41:H55)</f>
        <v>0.00005536463504</v>
      </c>
      <c r="G7" s="47">
        <f>AVERAGE(Dati!I41:I55)</f>
        <v>0.000002104095606</v>
      </c>
      <c r="H7" s="48">
        <f>AVERAGE(Dati!J41:J55)</f>
        <v>0.0000003922621895</v>
      </c>
      <c r="I7" s="54">
        <f>AVERAGE(Dati!L41:L55)</f>
        <v>186667.3333</v>
      </c>
      <c r="J7" s="54">
        <f>AVERAGE(Dati!M41:M55)</f>
        <v>17552000</v>
      </c>
      <c r="K7" s="54">
        <f>SUM(Dati!M41:M55)</f>
        <v>263280000</v>
      </c>
      <c r="L7" s="50">
        <f t="shared" si="1"/>
        <v>2632800000</v>
      </c>
    </row>
    <row r="8">
      <c r="A8" s="53">
        <v>15.0</v>
      </c>
      <c r="B8" s="36">
        <f>COUNTIF(Dati!$B$1:$B$63,A8)</f>
        <v>1</v>
      </c>
      <c r="C8" s="37">
        <f>Dati!C56</f>
        <v>11.02347666</v>
      </c>
      <c r="D8" s="38">
        <f>Dati!E56</f>
        <v>-0.2651015561</v>
      </c>
      <c r="E8" s="38">
        <f>Dati!G56</f>
        <v>0.2364066194</v>
      </c>
      <c r="F8" s="39">
        <f>Dati!H56</f>
        <v>0.0000974999707</v>
      </c>
      <c r="G8" s="39">
        <f>Dati!I56</f>
        <v>0.000001666666667</v>
      </c>
      <c r="H8" s="40">
        <f>Dati!J56</f>
        <v>0.0000004166666667</v>
      </c>
      <c r="I8" s="41">
        <f>AVERAGE(Dati!L56)</f>
        <v>200000</v>
      </c>
      <c r="J8" s="41">
        <f>AVERAGE(Dati!M56)</f>
        <v>19200000</v>
      </c>
      <c r="K8" s="41">
        <f>SUM(Dati!M56)</f>
        <v>19200000</v>
      </c>
      <c r="L8" s="42">
        <f t="shared" si="1"/>
        <v>288000000</v>
      </c>
    </row>
    <row r="9">
      <c r="A9" s="52">
        <v>20.0</v>
      </c>
      <c r="B9" s="44">
        <f>COUNTIF(Dati!$B$1:$B$63,A9)</f>
        <v>5</v>
      </c>
      <c r="C9" s="45">
        <f>AVERAGE(Dati!C57:C61)</f>
        <v>16.36297932</v>
      </c>
      <c r="D9" s="46">
        <f>AVERAGE(Dati!E57:E61)</f>
        <v>-0.1818510342</v>
      </c>
      <c r="E9" s="46">
        <f>AVERAGE(Dati!G57:G61)</f>
        <v>0.1377252993</v>
      </c>
      <c r="F9" s="47">
        <f>AVERAGE(Dati!H57:H61)</f>
        <v>0.0006679616624</v>
      </c>
      <c r="G9" s="47">
        <f>AVERAGE(Dati!I57:I61)</f>
        <v>0.000003512985088</v>
      </c>
      <c r="H9" s="48">
        <f>AVERAGE(Dati!J57:J61)</f>
        <v>0.0000004187060412</v>
      </c>
      <c r="I9" s="49">
        <f>AVERAGE(Dati!L57:L61)</f>
        <v>250000</v>
      </c>
      <c r="J9" s="49">
        <f>AVERAGE(Dati!M57:M61)</f>
        <v>27552000</v>
      </c>
      <c r="K9" s="54">
        <f>SUM(Dati!M57:M61)</f>
        <v>137760000</v>
      </c>
      <c r="L9" s="50">
        <f t="shared" si="1"/>
        <v>2755200000</v>
      </c>
    </row>
    <row r="10">
      <c r="A10" s="53">
        <v>25.0</v>
      </c>
      <c r="B10" s="36">
        <f>COUNTIF(Dati!$B$1:$B$63,A10)</f>
        <v>2</v>
      </c>
      <c r="C10" s="37">
        <f>AVERAGE(Dati!C62:C63)</f>
        <v>19.12372365</v>
      </c>
      <c r="D10" s="38">
        <f>AVERAGE(Dati!E62:E63)</f>
        <v>-0.2350510542</v>
      </c>
      <c r="E10" s="38">
        <f>AVERAGE(Dati!G62:G63)</f>
        <v>0.2621910259</v>
      </c>
      <c r="F10" s="39">
        <f>AVERAGE(Dati!H62:H63)</f>
        <v>0.0004975193256</v>
      </c>
      <c r="G10" s="39">
        <f>AVERAGE(Dati!I62:I63)</f>
        <v>0.000002232142855</v>
      </c>
      <c r="H10" s="40">
        <f>AVERAGE(Dati!J62:J63)</f>
        <v>0.0000004464285714</v>
      </c>
      <c r="I10" s="41">
        <f>AVERAGE(Dati!L62:L63)</f>
        <v>240000</v>
      </c>
      <c r="J10" s="41">
        <f>AVERAGE(Dati!M62:M63)</f>
        <v>20160000</v>
      </c>
      <c r="K10" s="41">
        <f>SUM(Dati!M62:M63)</f>
        <v>40320000</v>
      </c>
      <c r="L10" s="42">
        <f t="shared" si="1"/>
        <v>1008000000</v>
      </c>
    </row>
    <row r="11">
      <c r="B11" s="55"/>
      <c r="C11" s="45"/>
      <c r="D11" s="46"/>
      <c r="E11" s="46"/>
      <c r="F11" s="47"/>
      <c r="G11" s="47"/>
      <c r="H11" s="48"/>
      <c r="I11" s="49"/>
      <c r="J11" s="49"/>
      <c r="K11" s="49"/>
      <c r="L11" s="50"/>
    </row>
    <row r="12">
      <c r="A12" s="56" t="s">
        <v>179</v>
      </c>
      <c r="B12" s="36">
        <f t="shared" ref="B12:B13" si="3">SUM(B2:B10)</f>
        <v>62</v>
      </c>
      <c r="C12" s="57">
        <f>AVERAGE(Dati!C2:C63)</f>
        <v>5.485078756</v>
      </c>
      <c r="D12" s="38">
        <f>AVERAGE(Dati!E2:E63)</f>
        <v>-0.286807026</v>
      </c>
      <c r="E12" s="38">
        <f>AVERAGE(Dati!G2:G63)</f>
        <v>0.1368676481</v>
      </c>
      <c r="F12" s="39">
        <f>AVERAGE(Dati!H2:H63)</f>
        <v>0.0001000283984</v>
      </c>
      <c r="G12" s="39">
        <f>AVERAGE(Dati!I2:I63)</f>
        <v>0.000001344682309</v>
      </c>
      <c r="H12" s="40">
        <f>AVERAGE(Dati!J2:J63)</f>
        <v>0.0000002388360216</v>
      </c>
      <c r="I12" s="41">
        <f>AVERAGE(Dati!L20:L63)</f>
        <v>166009.9576</v>
      </c>
      <c r="J12" s="41">
        <f>AVERAGE(Dati!M20:M63)</f>
        <v>31805454.55</v>
      </c>
      <c r="K12" s="41">
        <f t="shared" ref="K12:L12" si="2">SUM(K2:K10)</f>
        <v>1992240000</v>
      </c>
      <c r="L12" s="42">
        <f t="shared" si="2"/>
        <v>12473760000</v>
      </c>
    </row>
    <row r="13">
      <c r="A13" s="58" t="s">
        <v>180</v>
      </c>
      <c r="B13" s="59">
        <f t="shared" si="3"/>
        <v>60</v>
      </c>
      <c r="C13" s="60">
        <f>SUMPRODUCT(Dati!C2:C63,Dati!$M$2:$M$63)/SUM(Dati!$M$2:$M$63)</f>
        <v>4.673744256</v>
      </c>
      <c r="D13" s="61">
        <f>SUMPRODUCT(Dati!E2:E63,Dati!$M$2:$M$63)/SUM(Dati!$M$2:$M$63)</f>
        <v>-0.2927885265</v>
      </c>
      <c r="E13" s="61">
        <f>SUMPRODUCT(Dati!G2:G63,Dati!$M$2:$M$63)/SUM(Dati!$M$2:$M$63)</f>
        <v>0.1335077516</v>
      </c>
      <c r="F13" s="62">
        <f>SUMPRODUCT(Dati!H2:H63,Dati!$M$2:$M$63)/SUM(Dati!$M$2:$M$63)</f>
        <v>0.00009516573934</v>
      </c>
      <c r="G13" s="62">
        <f>SUMPRODUCT(Dati!I2:I63,Dati!$M$2:$M$63)/SUM(Dati!$M$2:$M$63)</f>
        <v>0.000001395419218</v>
      </c>
      <c r="H13" s="63">
        <f>SUMPRODUCT(Dati!J2:J63,Dati!$M$2:$M$63)/SUM(Dati!$M$2:$M$63)</f>
        <v>0.0000002158374493</v>
      </c>
      <c r="I13" s="64">
        <f>SUMPRODUCT(Dati!L2:L63,Dati!$M$2:$M$63)/SUM(Dati!$M$2:$M$63)</f>
        <v>124526.8712</v>
      </c>
      <c r="J13" s="59" t="s">
        <v>181</v>
      </c>
      <c r="K13" s="59" t="s">
        <v>181</v>
      </c>
      <c r="L13" s="65" t="s">
        <v>181</v>
      </c>
    </row>
  </sheetData>
  <dataValidations>
    <dataValidation type="custom" allowBlank="1" showDropDown="1" sqref="B2:I13 L2:L1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