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y/Downloads/"/>
    </mc:Choice>
  </mc:AlternateContent>
  <xr:revisionPtr revIDLastSave="0" documentId="13_ncr:1_{D2254915-638D-E541-95BD-58018687203D}" xr6:coauthVersionLast="47" xr6:coauthVersionMax="47" xr10:uidLastSave="{00000000-0000-0000-0000-000000000000}"/>
  <bookViews>
    <workbookView xWindow="0" yWindow="720" windowWidth="29400" windowHeight="18400" activeTab="5" xr2:uid="{00000000-000D-0000-FFFF-FFFF00000000}"/>
  </bookViews>
  <sheets>
    <sheet name="Total" sheetId="1" r:id="rId1"/>
    <sheet name="Total analysis" sheetId="3" r:id="rId2"/>
    <sheet name="Steps Taken" sheetId="4" r:id="rId3"/>
    <sheet name="Gen Z and Millenials" sheetId="7" r:id="rId4"/>
    <sheet name="Gen Z &amp; Millenials analysis" sheetId="8" r:id="rId5"/>
    <sheet name="Testing H1" sheetId="2" r:id="rId6"/>
    <sheet name="Testing H2" sheetId="5" r:id="rId7"/>
    <sheet name="Testing H3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5" i="7" l="1"/>
  <c r="P101" i="7"/>
  <c r="P102" i="7"/>
  <c r="P103" i="7"/>
  <c r="P104" i="7"/>
  <c r="P100" i="7"/>
  <c r="E21" i="5"/>
  <c r="E20" i="5"/>
  <c r="E17" i="5"/>
  <c r="E16" i="5"/>
  <c r="F13" i="5"/>
  <c r="F11" i="5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D116" i="8"/>
  <c r="D115" i="8"/>
  <c r="C3" i="3"/>
  <c r="D124" i="8"/>
  <c r="D123" i="8"/>
  <c r="D122" i="8"/>
  <c r="D121" i="8"/>
  <c r="D119" i="8"/>
  <c r="D118" i="8"/>
  <c r="D112" i="8"/>
  <c r="D111" i="8"/>
  <c r="D106" i="8"/>
  <c r="D107" i="8"/>
  <c r="D108" i="8"/>
  <c r="D109" i="8"/>
  <c r="D105" i="8"/>
  <c r="D100" i="8"/>
  <c r="D101" i="8"/>
  <c r="D102" i="8"/>
  <c r="D103" i="8"/>
  <c r="D99" i="8"/>
  <c r="D94" i="8"/>
  <c r="D95" i="8"/>
  <c r="D96" i="8"/>
  <c r="D97" i="8"/>
  <c r="D93" i="8"/>
  <c r="D88" i="8"/>
  <c r="D89" i="8"/>
  <c r="D90" i="8"/>
  <c r="D91" i="8"/>
  <c r="D87" i="8"/>
  <c r="D82" i="8"/>
  <c r="D83" i="8"/>
  <c r="D84" i="8"/>
  <c r="D85" i="8"/>
  <c r="D81" i="8"/>
  <c r="D76" i="8"/>
  <c r="D77" i="8"/>
  <c r="D78" i="8"/>
  <c r="D79" i="8"/>
  <c r="D75" i="8"/>
  <c r="D70" i="8"/>
  <c r="D71" i="8"/>
  <c r="D72" i="8"/>
  <c r="D73" i="8"/>
  <c r="D69" i="8"/>
  <c r="D64" i="8"/>
  <c r="D65" i="8"/>
  <c r="D66" i="8"/>
  <c r="D67" i="8"/>
  <c r="D63" i="8"/>
  <c r="D58" i="8"/>
  <c r="D59" i="8"/>
  <c r="D60" i="8"/>
  <c r="D61" i="8"/>
  <c r="D57" i="8"/>
  <c r="D52" i="8"/>
  <c r="D53" i="8"/>
  <c r="D54" i="8"/>
  <c r="D55" i="8"/>
  <c r="D51" i="8"/>
  <c r="D46" i="8"/>
  <c r="D47" i="8"/>
  <c r="D48" i="8"/>
  <c r="D49" i="8"/>
  <c r="D45" i="8"/>
  <c r="D40" i="8"/>
  <c r="D41" i="8"/>
  <c r="D42" i="8"/>
  <c r="D43" i="8"/>
  <c r="D39" i="8"/>
  <c r="F39" i="8"/>
  <c r="F81" i="8"/>
  <c r="F75" i="8"/>
  <c r="F69" i="8"/>
  <c r="C9" i="5" s="1"/>
  <c r="F63" i="8"/>
  <c r="F57" i="8"/>
  <c r="C13" i="2" s="1"/>
  <c r="F51" i="8"/>
  <c r="C11" i="2" s="1"/>
  <c r="F45" i="8"/>
  <c r="D37" i="8"/>
  <c r="D36" i="8"/>
  <c r="D35" i="8"/>
  <c r="D33" i="8"/>
  <c r="D32" i="8"/>
  <c r="D31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9" i="8"/>
  <c r="D6" i="8"/>
  <c r="D5" i="8"/>
  <c r="D12" i="8"/>
  <c r="D8" i="8"/>
  <c r="G30" i="3" a="1"/>
  <c r="G30" i="3" s="1"/>
  <c r="D30" i="3"/>
  <c r="D20" i="3"/>
  <c r="D5" i="3"/>
  <c r="D126" i="3"/>
  <c r="D125" i="3"/>
  <c r="D124" i="3"/>
  <c r="D123" i="3"/>
  <c r="D121" i="3"/>
  <c r="D120" i="3"/>
  <c r="D118" i="3"/>
  <c r="D117" i="3"/>
  <c r="F107" i="3"/>
  <c r="F101" i="3"/>
  <c r="F95" i="3"/>
  <c r="D114" i="3"/>
  <c r="D113" i="3"/>
  <c r="D108" i="3"/>
  <c r="D109" i="3"/>
  <c r="D110" i="3"/>
  <c r="D111" i="3"/>
  <c r="D107" i="3"/>
  <c r="D102" i="3"/>
  <c r="D103" i="3"/>
  <c r="D104" i="3"/>
  <c r="D105" i="3"/>
  <c r="D101" i="3"/>
  <c r="D96" i="3"/>
  <c r="D97" i="3"/>
  <c r="D98" i="3"/>
  <c r="D99" i="3"/>
  <c r="D95" i="3"/>
  <c r="F89" i="3"/>
  <c r="F83" i="3"/>
  <c r="F77" i="3"/>
  <c r="F71" i="3"/>
  <c r="D90" i="3"/>
  <c r="D91" i="3"/>
  <c r="D92" i="3"/>
  <c r="D93" i="3"/>
  <c r="D89" i="3"/>
  <c r="D84" i="3"/>
  <c r="D85" i="3"/>
  <c r="D86" i="3"/>
  <c r="D87" i="3"/>
  <c r="D83" i="3"/>
  <c r="D78" i="3"/>
  <c r="D79" i="3"/>
  <c r="D80" i="3"/>
  <c r="D81" i="3"/>
  <c r="D77" i="3"/>
  <c r="D72" i="3"/>
  <c r="D73" i="3"/>
  <c r="D74" i="3"/>
  <c r="D75" i="3"/>
  <c r="D71" i="3"/>
  <c r="F65" i="3"/>
  <c r="D66" i="3"/>
  <c r="D67" i="3"/>
  <c r="D68" i="3"/>
  <c r="D69" i="3"/>
  <c r="D65" i="3"/>
  <c r="F59" i="3"/>
  <c r="D60" i="3"/>
  <c r="D61" i="3"/>
  <c r="D62" i="3"/>
  <c r="D63" i="3"/>
  <c r="D59" i="3"/>
  <c r="F53" i="3"/>
  <c r="F47" i="3"/>
  <c r="F41" i="3"/>
  <c r="D54" i="3"/>
  <c r="D55" i="3"/>
  <c r="D56" i="3"/>
  <c r="D57" i="3"/>
  <c r="D53" i="3"/>
  <c r="D6" i="3"/>
  <c r="D48" i="3"/>
  <c r="D49" i="3"/>
  <c r="D50" i="3"/>
  <c r="D51" i="3"/>
  <c r="D47" i="3"/>
  <c r="D42" i="3"/>
  <c r="D43" i="3"/>
  <c r="D44" i="3"/>
  <c r="D45" i="3"/>
  <c r="D41" i="3"/>
  <c r="D39" i="3"/>
  <c r="D38" i="3"/>
  <c r="D37" i="3"/>
  <c r="D35" i="3"/>
  <c r="D34" i="3"/>
  <c r="D33" i="3"/>
  <c r="D17" i="3"/>
  <c r="D18" i="3"/>
  <c r="D14" i="3"/>
  <c r="D28" i="3"/>
  <c r="D31" i="3"/>
  <c r="D22" i="3"/>
  <c r="D23" i="3"/>
  <c r="D24" i="3"/>
  <c r="D25" i="3"/>
  <c r="D26" i="3"/>
  <c r="D27" i="3"/>
  <c r="D15" i="3"/>
  <c r="D16" i="3"/>
  <c r="D19" i="3"/>
  <c r="D21" i="3"/>
  <c r="D11" i="3"/>
  <c r="D10" i="3"/>
  <c r="D8" i="3"/>
  <c r="D7" i="3"/>
  <c r="F115" i="8" l="1"/>
  <c r="F118" i="8"/>
  <c r="F111" i="8"/>
  <c r="F87" i="8"/>
  <c r="F93" i="8"/>
  <c r="F99" i="8"/>
  <c r="F105" i="8"/>
  <c r="H19" i="5"/>
  <c r="C9" i="2"/>
  <c r="C3" i="8"/>
  <c r="D115" i="3"/>
  <c r="F113" i="3" s="1"/>
  <c r="C7" i="5" l="1"/>
  <c r="F124" i="3"/>
  <c r="F125" i="3"/>
  <c r="F123" i="3"/>
  <c r="F114" i="3"/>
  <c r="F121" i="3"/>
  <c r="F120" i="3"/>
  <c r="F117" i="3"/>
  <c r="F118" i="3"/>
  <c r="F12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<sst xmlns="http://schemas.openxmlformats.org/spreadsheetml/2006/main" count="2520" uniqueCount="153">
  <si>
    <t>Timestamp</t>
  </si>
  <si>
    <t xml:space="preserve">Age </t>
  </si>
  <si>
    <t>Gender</t>
  </si>
  <si>
    <t>Country where you currently live, please answer with first letter capitalized ex: Germany</t>
  </si>
  <si>
    <t>Have you used a BNPL service in the past 12 months?</t>
  </si>
  <si>
    <t xml:space="preserve">Which best describes your most recent BNPL experience?” </t>
  </si>
  <si>
    <t>I'd feel safe paying through AmazonPay’s checkout.</t>
  </si>
  <si>
    <t>AmazonPay seems trustworthy.</t>
  </si>
  <si>
    <t>Products from Amazon's partner stores seem to be good quality.</t>
  </si>
  <si>
    <t>If something went wrong with my order, I would feel more supported if the BNPL payment was handled directly by the store.</t>
  </si>
  <si>
    <t>AmazonPay would take care of issues quickly.</t>
  </si>
  <si>
    <t>If AmazonPay were available, I would see Amazon as a more premium brand.</t>
  </si>
  <si>
    <t>If AmazonPay were available, I would see Amazon as a more exclusive brand.</t>
  </si>
  <si>
    <t xml:space="preserve">Amazon would attract high status shoppers, if they added AmazonPay. </t>
  </si>
  <si>
    <t>Not offering BNPL makes me think the brand is targeting customers who value exclusivity and personal service.</t>
  </si>
  <si>
    <t>I would expect luxury products (e.g., Lamborghini, high-end Rolex, mansion) to be sold without BNPL options.</t>
  </si>
  <si>
    <t>Offering BNPL for luxury products would make them feel less exclusive.</t>
  </si>
  <si>
    <t>Having this loan option, AmazonPay, would make me more likely to buy now.</t>
  </si>
  <si>
    <t>I would buy unplanned items, if AmazonPay were available.</t>
  </si>
  <si>
    <t>If AmazonPay were available, I would spend more money than planned.</t>
  </si>
  <si>
    <t>If AmazonPay were available, I would choose higher priced items.</t>
  </si>
  <si>
    <t>If you were making an online purchase of $200 today, which payment option would you be most likely to choose?</t>
  </si>
  <si>
    <t>29 - 44</t>
  </si>
  <si>
    <t>18 -28</t>
  </si>
  <si>
    <t>More than 44</t>
  </si>
  <si>
    <t>Male</t>
  </si>
  <si>
    <t>Female</t>
  </si>
  <si>
    <t>Paraguay</t>
  </si>
  <si>
    <t xml:space="preserve">Ireland </t>
  </si>
  <si>
    <t xml:space="preserve">Spain </t>
  </si>
  <si>
    <t xml:space="preserve">France </t>
  </si>
  <si>
    <t xml:space="preserve">Venezuela </t>
  </si>
  <si>
    <t>Canada</t>
  </si>
  <si>
    <t>Czech Republic</t>
  </si>
  <si>
    <t>Hungary</t>
  </si>
  <si>
    <t>Portugal</t>
  </si>
  <si>
    <t>Slovenia</t>
  </si>
  <si>
    <t>USA</t>
  </si>
  <si>
    <t xml:space="preserve">Germany </t>
  </si>
  <si>
    <t>Chile</t>
  </si>
  <si>
    <t xml:space="preserve">United Kingdom </t>
  </si>
  <si>
    <t>Yes</t>
  </si>
  <si>
    <t>No</t>
  </si>
  <si>
    <t>I completed the payment after being redirected or shown a well-known BNPL brand (e.g., Klarna, PayPal Pay Later, Afterpay).</t>
  </si>
  <si>
    <t>I completed the payment directly through the store’s own checkout. (In-house payment)</t>
  </si>
  <si>
    <t>I am not sure / I don’t remember.</t>
  </si>
  <si>
    <t>Yes, I'd use this "AmazonPay"</t>
  </si>
  <si>
    <t>No, I would rather use a more known BNPL (third party: Klarna, Cashea, PayPal pay)</t>
  </si>
  <si>
    <t>None</t>
  </si>
  <si>
    <t>no</t>
  </si>
  <si>
    <t>Pay in 3 equal payments of about $67.</t>
  </si>
  <si>
    <t>Pay the full $200 at once.</t>
  </si>
  <si>
    <t>Pay the full $200 later at once (pay 100% of your loan or credit in a single payment).</t>
  </si>
  <si>
    <t>Pay in 4 equal payments of $50.</t>
  </si>
  <si>
    <t>Total</t>
  </si>
  <si>
    <t xml:space="preserve">I believe a payment handled by the store (internal payment service) is more secure, than using an external BNPL brand. 
Imagine Amazon had an internal payment BNPL option called "AmazonPay" instead </t>
  </si>
  <si>
    <t>Number of Participants</t>
  </si>
  <si>
    <t>Age</t>
  </si>
  <si>
    <t>Less than 18</t>
  </si>
  <si>
    <t>18 - 28</t>
  </si>
  <si>
    <t>OVERVIEW DATA COLLECTED</t>
  </si>
  <si>
    <t>Country</t>
  </si>
  <si>
    <t>Used BNPL TTM</t>
  </si>
  <si>
    <t>Trailing Twelve Months</t>
  </si>
  <si>
    <t>Third Party BNPL</t>
  </si>
  <si>
    <t>In-house</t>
  </si>
  <si>
    <t>Don't remember</t>
  </si>
  <si>
    <t>2. Clean data, incomplete and correct the Countries.</t>
  </si>
  <si>
    <t>1: Format to table.</t>
  </si>
  <si>
    <t>I don't use BNPL services</t>
  </si>
  <si>
    <t>F</t>
  </si>
  <si>
    <t>Column</t>
  </si>
  <si>
    <t>B</t>
  </si>
  <si>
    <t>C</t>
  </si>
  <si>
    <t>D</t>
  </si>
  <si>
    <t>E</t>
  </si>
  <si>
    <t>G</t>
  </si>
  <si>
    <t>H</t>
  </si>
  <si>
    <t>I</t>
  </si>
  <si>
    <t>J</t>
  </si>
  <si>
    <t>K</t>
  </si>
  <si>
    <t>Mean</t>
  </si>
  <si>
    <t>3. Started analying the overall data, on the tab called Overview.</t>
  </si>
  <si>
    <t>L</t>
  </si>
  <si>
    <t>M</t>
  </si>
  <si>
    <t>N</t>
  </si>
  <si>
    <t>O</t>
  </si>
  <si>
    <t>P</t>
  </si>
  <si>
    <t>If a store would offer an in-house BNPL, I would see it as a more exclusive brand.</t>
  </si>
  <si>
    <t>If a store would offer an in-house BNPL, I would see it as a more premium brand.</t>
  </si>
  <si>
    <t>No BNPL signals a focus on more personal service.</t>
  </si>
  <si>
    <t>I would expect luxury products  to be sold without BNPL options.</t>
  </si>
  <si>
    <t>Q</t>
  </si>
  <si>
    <t>R</t>
  </si>
  <si>
    <t>S</t>
  </si>
  <si>
    <t>T</t>
  </si>
  <si>
    <t>Percentage</t>
  </si>
  <si>
    <t>5 agree</t>
  </si>
  <si>
    <t>1 disagree</t>
  </si>
  <si>
    <t>Having this internal BNPL option, would make me more likely to buy now.</t>
  </si>
  <si>
    <t>An In-house store would attract high status shoppers.</t>
  </si>
  <si>
    <t>In-house BNPL would take care of issues quickly.</t>
  </si>
  <si>
    <t>With in-house BNPL, then I would feel more supported if something went wrong.</t>
  </si>
  <si>
    <t>Product seems like good quality.</t>
  </si>
  <si>
    <t>Would feel safe using internal BNPL Payment (AmazonPay).</t>
  </si>
  <si>
    <t>Internal payment seems more secure.</t>
  </si>
  <si>
    <t>U</t>
  </si>
  <si>
    <t>V</t>
  </si>
  <si>
    <t>W</t>
  </si>
  <si>
    <t>Pay all at once</t>
  </si>
  <si>
    <t>Pay the full credit later at once (pay
100% of your loan or credit in a single
payment)</t>
  </si>
  <si>
    <t>Pay in 4 equal payments of $50</t>
  </si>
  <si>
    <t>Pay in 3 equal payments of about $67</t>
  </si>
  <si>
    <t>India</t>
  </si>
  <si>
    <t>H1: Internal BNPL vs third-party on trust</t>
  </si>
  <si>
    <t>H1a (Perceived as higher Product quality):</t>
  </si>
  <si>
    <t>H1b (Perceived as better customer service):</t>
  </si>
  <si>
    <t>From those 41 people that used BNPL TTM</t>
  </si>
  <si>
    <t>Gen Z &amp; Millenials that used BNPL</t>
  </si>
  <si>
    <t xml:space="preserve">I believe a payment handled by the store (internal payment service) is more secure, than using an external BNPL brand. 
Imagine "AmazonPay" instead </t>
  </si>
  <si>
    <t>From those 26 people that used BNPL TTM</t>
  </si>
  <si>
    <t>4. Created another worksheet in which only contestants from 18 until 44 years old, since my study is about Gen Z and Millenials.</t>
  </si>
  <si>
    <t xml:space="preserve">*specify somewhere that people under 18 usually haven't interacted a much as 18 years old. Even though Gen Z are usually considered from 13 years old. </t>
  </si>
  <si>
    <t>H2: Avoiding BNPL → exclusivity/premium</t>
  </si>
  <si>
    <t>K, L</t>
  </si>
  <si>
    <t>Venezuela</t>
  </si>
  <si>
    <t>P Q R</t>
  </si>
  <si>
    <t>Exclusivity index</t>
  </si>
  <si>
    <t>1 disagree, 5 agree</t>
  </si>
  <si>
    <t>H2b (No BNPL, attracts higher status shoppers):</t>
  </si>
  <si>
    <t>H2a(Lack of BNPL feels more exclusive &amp; premium)</t>
  </si>
  <si>
    <t>H, I, K, L</t>
  </si>
  <si>
    <t>In-house BNPL Trust Index</t>
  </si>
  <si>
    <t>respondents who said they’d just pay the full $200 at once, labeled as "financially stable".</t>
  </si>
  <si>
    <t>coded as 1</t>
  </si>
  <si>
    <t>coded as 0</t>
  </si>
  <si>
    <t>Financial_Stability</t>
  </si>
  <si>
    <t>Total Count</t>
  </si>
  <si>
    <t>every other answer "financially unstable"</t>
  </si>
  <si>
    <t>X</t>
  </si>
  <si>
    <t>No BNPL signals targeting customers who value exclusivity and personal service.</t>
  </si>
  <si>
    <t>I would expect luxury products to be sold without BNPL options.</t>
  </si>
  <si>
    <t>financially stable</t>
  </si>
  <si>
    <t>financially unstable</t>
  </si>
  <si>
    <t>Average</t>
  </si>
  <si>
    <t>Conclusions:</t>
  </si>
  <si>
    <r>
      <t xml:space="preserve">Consumers </t>
    </r>
    <r>
      <rPr>
        <i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associate luxury brands with not offering BNPL (that part supports your hypothesis).</t>
    </r>
  </si>
  <si>
    <r>
      <t xml:space="preserve">But consumers don’t necessarily see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BNPL avoidance as a deliberate exclusivity play, and high-status shoppers aren’t especially convinced.</t>
    </r>
  </si>
  <si>
    <r>
      <t xml:space="preserve">So your hypothesis is only </t>
    </r>
    <r>
      <rPr>
        <b/>
        <sz val="11"/>
        <color theme="1"/>
        <rFont val="Calibri"/>
        <family val="2"/>
        <scheme val="minor"/>
      </rPr>
      <t>partially supported</t>
    </r>
    <r>
      <rPr>
        <sz val="11"/>
        <color theme="1"/>
        <rFont val="Calibri"/>
        <family val="2"/>
        <scheme val="minor"/>
      </rPr>
      <t>: the “luxury = no BNPL” connection is there, but the “brands avoid BNPL specifically to attract high-status customers” isn’t clearly reflected in the data.</t>
    </r>
  </si>
  <si>
    <t>Both groups basically agree (leaning toward “yes”) that luxury products should be sold without BNPL. The 0.02 difference is meaningless — they’re aligned here.</t>
  </si>
  <si>
    <r>
      <t xml:space="preserve">This </t>
    </r>
    <r>
      <rPr>
        <i/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support the hypothesis, because people expect high-status brands/products to avoid BNPL. That’s consistent with the idea that BNPL doesn’t “fit” luxury positioning.</t>
    </r>
  </si>
  <si>
    <t>Both Gen Z &amp; Millenials mean regardless of financial situation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</si>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</sst>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434343"/>
      <name val="Roboto"/>
    </font>
    <font>
      <sz val="11"/>
      <color theme="1"/>
      <name val="Arial"/>
      <family val="2"/>
    </font>
    <font>
      <sz val="11"/>
      <color theme="1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6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2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9" fontId="0" fillId="0" borderId="0" xfId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55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404210</xdr:colOff>
      <xdr:row>0</xdr:row>
      <xdr:rowOff>19270</xdr:rowOff>
    </xdr:from>
    <xdr:to>
      <xdr:col>16</xdr:col>
      <xdr:colOff>753071</xdr:colOff>
      <xdr:row>25</xdr:row>
      <xdr:rowOff>152165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9F2163-F6C0-056F-B0F5-E2A19C41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1365" y="19270"/>
          <a:ext cx="10202308" cy="52494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703729</xdr:colOff>
      <xdr:row>2</xdr:row>
      <xdr:rowOff>152649</xdr:rowOff>
    </xdr:from>
    <xdr:to>
      <xdr:col>17</xdr:col>
      <xdr:colOff>216897</xdr:colOff>
      <xdr:row>15</xdr:row>
      <xdr:rowOff>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DDEF8-D9B5-93E6-C5FA-B55DEE8F3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8435" y="650688"/>
          <a:ext cx="7730815" cy="36992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1</xdr:row>
      <xdr:rowOff>12700</xdr:rowOff>
    </xdr:from>
    <xdr:to>
      <xdr:col>15</xdr:col>
      <xdr:colOff>787400</xdr:colOff>
      <xdr:row>21</xdr:row>
      <xdr:rowOff>135709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E83AA3-6310-EFAD-2AC6-236CC4187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0" y="203200"/>
          <a:ext cx="7772400" cy="40092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D704-167A-8449-BA7E-9473F5E86290}" name="Table1" displayName="Table1" ref="A1:W140" totalsRowShown="0" headerRowDxfId="54" dataDxfId="52" headerRowBorderDxfId="53" tableBorderDxfId="51">
  <autoFilter ref="A1:W140" xr:uid="{B465D704-167A-8449-BA7E-9473F5E86290}"/>
  <tableColumns count="23">
    <tableColumn id="1" xr3:uid="{1C4535EA-B484-0A44-AAF4-3647223572F4}" name="Timestamp" dataDxfId="50"/>
    <tableColumn id="2" xr3:uid="{BE34D6AE-D0FC-E14F-BB9F-7AA98C9F9750}" name="Age " dataDxfId="49"/>
    <tableColumn id="3" xr3:uid="{624AA922-71A5-5C49-93B6-8C510BE7ADE7}" name="Gender" dataDxfId="48"/>
    <tableColumn id="4" xr3:uid="{048400F8-678A-1440-843D-317230DAE9DE}" name="Country where you currently live, please answer with first letter capitalized ex: Germany" dataDxfId="47"/>
    <tableColumn id="5" xr3:uid="{F4A0341A-F370-4840-BACA-5057982E5F64}" name="Have you used a BNPL service in the past 12 months?" dataDxfId="46"/>
    <tableColumn id="6" xr3:uid="{8ADCDA45-8586-C44E-B9B3-2DA984EBA535}" name="Which best describes your most recent BNPL experience?” " dataDxfId="45"/>
    <tableColumn id="7" xr3:uid="{89FB92BC-176A-9349-9779-56DC56D216FB}" name="I believe a payment handled by the store (internal payment service) is more secure, than using an external BNPL brand. _x000a_Imagine Amazon had an internal payment BNPL option called &quot;AmazonPay&quot; instead " dataDxfId="44"/>
    <tableColumn id="8" xr3:uid="{89AC3A54-3E43-8E4C-831F-CF14E44DD751}" name="I'd feel safe paying through AmazonPay’s checkout." dataDxfId="43"/>
    <tableColumn id="9" xr3:uid="{AE703AA3-953B-B74F-A4E1-366D14FB5F31}" name="AmazonPay seems trustworthy." dataDxfId="42"/>
    <tableColumn id="10" xr3:uid="{76E835A2-E7F6-774F-89D3-1E27CCB942A3}" name="Products from Amazon's partner stores seem to be good quality." dataDxfId="41"/>
    <tableColumn id="11" xr3:uid="{F9CB42B8-AE66-D24F-95FB-AEDEFA4205E0}" name="If something went wrong with my order, I would feel more supported if the BNPL payment was handled directly by the store." dataDxfId="40"/>
    <tableColumn id="12" xr3:uid="{F807CA86-D4B4-174F-A365-A57D537E4E87}" name="AmazonPay would take care of issues quickly." dataDxfId="39"/>
    <tableColumn id="13" xr3:uid="{9B7995ED-17B3-364B-AC29-377FD4906C8F}" name="If AmazonPay were available, I would see Amazon as a more premium brand." dataDxfId="38"/>
    <tableColumn id="14" xr3:uid="{9984FE98-9058-D445-9BB4-7A20628B5888}" name="If AmazonPay were available, I would see Amazon as a more exclusive brand." dataDxfId="37"/>
    <tableColumn id="15" xr3:uid="{E22BB833-A4A7-4D46-B278-52B613139585}" name="Amazon would attract high status shoppers, if they added AmazonPay. " dataDxfId="36"/>
    <tableColumn id="16" xr3:uid="{3CCF17F9-2170-974A-9968-248A725510E4}" name="Not offering BNPL makes me think the brand is targeting customers who value exclusivity and personal service." dataDxfId="35"/>
    <tableColumn id="17" xr3:uid="{54B26FDF-3C2A-A840-9B1B-1D5797A03603}" name="I would expect luxury products (e.g., Lamborghini, high-end Rolex, mansion) to be sold without BNPL options." dataDxfId="34"/>
    <tableColumn id="18" xr3:uid="{739A8C53-952E-7048-9551-27222F050F0A}" name="Offering BNPL for luxury products would make them feel less exclusive." dataDxfId="33"/>
    <tableColumn id="19" xr3:uid="{EB7B41D2-4E33-6948-929C-70550AA727BC}" name="Having this loan option, AmazonPay, would make me more likely to buy now." dataDxfId="32"/>
    <tableColumn id="20" xr3:uid="{D9225069-E2C2-734F-9661-A905F926B067}" name="I would buy unplanned items, if AmazonPay were available." dataDxfId="31"/>
    <tableColumn id="21" xr3:uid="{D45DBA1C-B542-F843-A1B0-CE40927F9DAF}" name="If AmazonPay were available, I would spend more money than planned." dataDxfId="30"/>
    <tableColumn id="22" xr3:uid="{9DC3409C-0C42-2449-BE3E-D5A7911F7F43}" name="If AmazonPay were available, I would choose higher priced items." dataDxfId="29"/>
    <tableColumn id="23" xr3:uid="{C9A7ADAC-BD86-324F-910B-CD50C8C836E6}" name="If you were making an online purchase of $200 today, which payment option would you be most likely to choose?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D114B-1379-1740-874B-10759D8D50A7}" name="Table_thesis" displayName="Table_thesis" ref="A1:X96" totalsRowShown="0" headerRowDxfId="27" dataDxfId="26" headerRowBorderDxfId="24" tableBorderDxfId="25">
  <autoFilter ref="A1:X96" xr:uid="{98BD114B-1379-1740-874B-10759D8D50A7}"/>
  <tableColumns count="24">
    <tableColumn id="1" xr3:uid="{2A385437-D575-974C-809F-374C9311E779}" name="Timestamp" dataDxfId="23"/>
    <tableColumn id="2" xr3:uid="{6DE822FA-7948-7E44-95FF-92EBEC94F6A7}" name="Age " dataDxfId="22"/>
    <tableColumn id="3" xr3:uid="{645FD87C-17D3-124A-A1F1-A6282550779D}" name="Gender" dataDxfId="21"/>
    <tableColumn id="4" xr3:uid="{DBE89480-E6DB-7541-93C6-71C44123C6E5}" name="Country where you currently live, please answer with first letter capitalized ex: Germany" dataDxfId="20"/>
    <tableColumn id="5" xr3:uid="{EC7F01C5-C744-BE45-8A79-D6AE4F388056}" name="Have you used a BNPL service in the past 12 months?" dataDxfId="19"/>
    <tableColumn id="6" xr3:uid="{8820F431-21D8-7941-A0F0-67DEC7D07B23}" name="Which best describes your most recent BNPL experience?” " dataDxfId="18"/>
    <tableColumn id="7" xr3:uid="{6F1D211F-532F-454B-BFF1-298F90264689}" name="I believe a payment handled by the store (internal payment service) is more secure, than using an external BNPL brand. _x000a_Imagine &quot;AmazonPay&quot; instead " dataDxfId="17"/>
    <tableColumn id="8" xr3:uid="{368369A0-C60C-C442-8F7D-9491D80E3444}" name="I'd feel safe paying through AmazonPay’s checkout." dataDxfId="16"/>
    <tableColumn id="9" xr3:uid="{5B9AD152-4389-314C-AFFE-D4FDFAF834A9}" name="AmazonPay seems trustworthy." dataDxfId="15"/>
    <tableColumn id="10" xr3:uid="{B3C7A353-B0CA-D543-9B4D-213E96929D8D}" name="Products from Amazon's partner stores seem to be good quality." dataDxfId="14"/>
    <tableColumn id="11" xr3:uid="{F5970AFD-D510-6A4D-A2A3-4A2B53642D08}" name="If something went wrong with my order, I would feel more supported if the BNPL payment was handled directly by the store." dataDxfId="13"/>
    <tableColumn id="12" xr3:uid="{42C1DBE4-E76E-2F4B-A831-4AD6380747FE}" name="AmazonPay would take care of issues quickly." dataDxfId="12"/>
    <tableColumn id="13" xr3:uid="{86D63A02-C0D8-D248-95FB-F5B7E7ADBF69}" name="If AmazonPay were available, I would see Amazon as a more premium brand." dataDxfId="11"/>
    <tableColumn id="14" xr3:uid="{5E48CDC0-C581-A84F-B7CA-00CCD8C54A70}" name="If AmazonPay were available, I would see Amazon as a more exclusive brand." dataDxfId="10"/>
    <tableColumn id="15" xr3:uid="{727E0BA2-5AD8-6242-825F-07F2E6BE62C6}" name="Amazon would attract high status shoppers, if they added AmazonPay. " dataDxfId="9"/>
    <tableColumn id="16" xr3:uid="{39E4AACF-DE3A-FD4A-8401-BBC316FCEBC4}" name="Not offering BNPL makes me think the brand is targeting customers who value exclusivity and personal service." dataDxfId="8"/>
    <tableColumn id="17" xr3:uid="{5FC2D961-3AE2-2E4E-8031-61ACF0E17E2A}" name="I would expect luxury products (e.g., Lamborghini, high-end Rolex, mansion) to be sold without BNPL options." dataDxfId="7"/>
    <tableColumn id="18" xr3:uid="{4DACD042-3020-8F4D-802E-043C8388A4D4}" name="Offering BNPL for luxury products would make them feel less exclusive." dataDxfId="6"/>
    <tableColumn id="19" xr3:uid="{2F039AAD-22C3-9D45-B32A-3A05D2F922D5}" name="Having this loan option, AmazonPay, would make me more likely to buy now." dataDxfId="5"/>
    <tableColumn id="20" xr3:uid="{DA4614CF-12A3-834B-9E02-E05EAD4FBE70}" name="I would buy unplanned items, if AmazonPay were available." dataDxfId="4"/>
    <tableColumn id="21" xr3:uid="{81042B61-8B51-1D41-B5D6-B7710711F591}" name="If AmazonPay were available, I would spend more money than planned." dataDxfId="3"/>
    <tableColumn id="22" xr3:uid="{99FF8021-4FAC-3B4D-A3E5-75D092A2C5A5}" name="If AmazonPay were available, I would choose higher priced items." dataDxfId="2"/>
    <tableColumn id="23" xr3:uid="{50443AEA-A028-E944-B315-355239330556}" name="If you were making an online purchase of $200 today, which payment option would you be most likely to choose?" dataDxfId="1"/>
    <tableColumn id="24" xr3:uid="{6B64E4D0-4B65-8047-A7E5-826427D7ED71}" name="Financial_Stability" dataDxfId="0">
      <calculatedColumnFormula>IF(EXACT(TRIM(CLEAN(W2)),"Pay the full $200 at once."),1,0)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89BEE9-3F7F-004A-902A-E92B6C17119F}">
  <we:reference id="wa200006007" version="1.2.3.0" store="en-US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zoomScale="144" workbookViewId="0">
      <pane ySplit="1" topLeftCell="A45" activePane="bottomLeft" state="frozen"/>
      <selection activeCell="B1" sqref="B1"/>
      <selection pane="bottomLeft" activeCell="B142" sqref="B142"/>
    </sheetView>
  </sheetViews>
  <sheetFormatPr baseColWidth="10" defaultColWidth="8.83203125" defaultRowHeight="15" x14ac:dyDescent="0.2"/>
  <cols>
    <col min="1" max="1" width="19.1640625" bestFit="1" customWidth="1"/>
    <col min="2" max="2" width="15" customWidth="1"/>
    <col min="3" max="3" width="9.33203125" customWidth="1"/>
    <col min="4" max="4" width="30.1640625" customWidth="1"/>
    <col min="5" max="5" width="27.5" customWidth="1"/>
    <col min="6" max="6" width="100.83203125" customWidth="1"/>
    <col min="7" max="7" width="53.33203125" customWidth="1"/>
    <col min="8" max="8" width="42.33203125" customWidth="1"/>
    <col min="9" max="9" width="36.6640625" customWidth="1"/>
    <col min="10" max="10" width="54.83203125" customWidth="1"/>
    <col min="11" max="11" width="85.6640625" customWidth="1"/>
    <col min="12" max="12" width="37.83203125" customWidth="1"/>
    <col min="13" max="14" width="61.5" customWidth="1"/>
    <col min="15" max="15" width="57" customWidth="1"/>
    <col min="16" max="17" width="85.6640625" customWidth="1"/>
    <col min="18" max="18" width="57.5" customWidth="1"/>
    <col min="19" max="19" width="62" customWidth="1"/>
    <col min="20" max="20" width="48.6640625" customWidth="1"/>
    <col min="21" max="21" width="57.83203125" customWidth="1"/>
    <col min="22" max="22" width="53.33203125" customWidth="1"/>
    <col min="23" max="23" width="85.6640625" customWidth="1"/>
  </cols>
  <sheetData>
    <row r="1" spans="1:23" s="4" customFormat="1" ht="64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55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</row>
    <row r="3" spans="1:23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</row>
    <row r="4" spans="1:23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</row>
    <row r="5" spans="1:23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</row>
    <row r="6" spans="1:23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</row>
    <row r="7" spans="1:23" x14ac:dyDescent="0.2">
      <c r="A7" s="14">
        <v>45891.743541805547</v>
      </c>
      <c r="B7" s="4" t="s">
        <v>24</v>
      </c>
      <c r="C7" s="4" t="s">
        <v>26</v>
      </c>
      <c r="D7" s="4" t="s">
        <v>37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1</v>
      </c>
      <c r="N7" s="4">
        <v>1</v>
      </c>
      <c r="O7" s="4">
        <v>1</v>
      </c>
      <c r="P7" s="4">
        <v>2</v>
      </c>
      <c r="Q7" s="4">
        <v>3</v>
      </c>
      <c r="R7" s="4">
        <v>1</v>
      </c>
      <c r="S7" s="4">
        <v>4</v>
      </c>
      <c r="T7" s="4" t="s">
        <v>49</v>
      </c>
      <c r="U7" s="4" t="s">
        <v>42</v>
      </c>
      <c r="V7" s="4" t="s">
        <v>42</v>
      </c>
      <c r="W7" s="4" t="s">
        <v>51</v>
      </c>
    </row>
    <row r="8" spans="1:23" x14ac:dyDescent="0.2">
      <c r="A8" s="14">
        <v>45891.743665543981</v>
      </c>
      <c r="B8" s="4" t="s">
        <v>23</v>
      </c>
      <c r="C8" s="4" t="s">
        <v>25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 t="s">
        <v>49</v>
      </c>
      <c r="U8" s="4" t="s">
        <v>41</v>
      </c>
      <c r="V8" s="4" t="s">
        <v>42</v>
      </c>
      <c r="W8" s="4" t="s">
        <v>50</v>
      </c>
    </row>
    <row r="9" spans="1:23" x14ac:dyDescent="0.2">
      <c r="A9" s="14">
        <v>45891.743674907397</v>
      </c>
      <c r="B9" s="4" t="s">
        <v>23</v>
      </c>
      <c r="C9" s="4" t="s">
        <v>26</v>
      </c>
      <c r="D9" s="4" t="s">
        <v>29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2</v>
      </c>
      <c r="N9" s="4">
        <v>2</v>
      </c>
      <c r="O9" s="4">
        <v>2</v>
      </c>
      <c r="P9" s="4">
        <v>2</v>
      </c>
      <c r="Q9" s="4">
        <v>4</v>
      </c>
      <c r="R9" s="4">
        <v>3</v>
      </c>
      <c r="S9" s="4">
        <v>4</v>
      </c>
      <c r="T9" s="4" t="s">
        <v>49</v>
      </c>
      <c r="U9" s="4" t="s">
        <v>41</v>
      </c>
      <c r="V9" s="4" t="s">
        <v>41</v>
      </c>
      <c r="W9" s="4" t="s">
        <v>51</v>
      </c>
    </row>
    <row r="10" spans="1:23" x14ac:dyDescent="0.2">
      <c r="A10" s="14">
        <v>45891.743862094911</v>
      </c>
      <c r="B10" s="4" t="s">
        <v>23</v>
      </c>
      <c r="C10" s="4" t="s">
        <v>26</v>
      </c>
      <c r="D10" s="4" t="s">
        <v>27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5</v>
      </c>
      <c r="P10" s="4">
        <v>1</v>
      </c>
      <c r="Q10" s="4">
        <v>5</v>
      </c>
      <c r="R10" s="4">
        <v>1</v>
      </c>
      <c r="S10" s="4">
        <v>3</v>
      </c>
      <c r="T10" s="4" t="s">
        <v>41</v>
      </c>
      <c r="U10" s="4" t="s">
        <v>42</v>
      </c>
      <c r="V10" s="4" t="s">
        <v>41</v>
      </c>
      <c r="W10" s="4" t="s">
        <v>50</v>
      </c>
    </row>
    <row r="11" spans="1:23" x14ac:dyDescent="0.2">
      <c r="A11" s="14">
        <v>45891.744547453702</v>
      </c>
      <c r="B11" s="4" t="s">
        <v>23</v>
      </c>
      <c r="C11" s="4" t="s">
        <v>25</v>
      </c>
      <c r="D11" s="4" t="s">
        <v>28</v>
      </c>
      <c r="E11" s="4" t="s">
        <v>42</v>
      </c>
      <c r="F11" s="4"/>
      <c r="G11" s="4" t="s">
        <v>46</v>
      </c>
      <c r="H11" s="4">
        <v>5</v>
      </c>
      <c r="I11" s="4">
        <v>5</v>
      </c>
      <c r="J11" s="4">
        <v>4</v>
      </c>
      <c r="K11" s="4">
        <v>5</v>
      </c>
      <c r="L11" s="4">
        <v>4</v>
      </c>
      <c r="M11" s="4">
        <v>3</v>
      </c>
      <c r="N11" s="4">
        <v>3</v>
      </c>
      <c r="O11" s="4">
        <v>2</v>
      </c>
      <c r="P11" s="4">
        <v>2</v>
      </c>
      <c r="Q11" s="4">
        <v>5</v>
      </c>
      <c r="R11" s="4">
        <v>5</v>
      </c>
      <c r="S11" s="4">
        <v>4</v>
      </c>
      <c r="T11" s="4" t="s">
        <v>49</v>
      </c>
      <c r="U11" s="4" t="s">
        <v>42</v>
      </c>
      <c r="V11" s="4" t="s">
        <v>42</v>
      </c>
      <c r="W11" s="4" t="s">
        <v>51</v>
      </c>
    </row>
    <row r="12" spans="1:23" x14ac:dyDescent="0.2">
      <c r="A12" s="14">
        <v>45891.744780277782</v>
      </c>
      <c r="B12" s="4" t="s">
        <v>23</v>
      </c>
      <c r="C12" s="4" t="s">
        <v>25</v>
      </c>
      <c r="D12" s="4" t="s">
        <v>31</v>
      </c>
      <c r="E12" s="4" t="s">
        <v>41</v>
      </c>
      <c r="F12" s="4" t="s">
        <v>43</v>
      </c>
      <c r="G12" s="4" t="s">
        <v>46</v>
      </c>
      <c r="H12" s="4">
        <v>5</v>
      </c>
      <c r="I12" s="4">
        <v>5</v>
      </c>
      <c r="J12" s="4">
        <v>5</v>
      </c>
      <c r="K12" s="4">
        <v>3</v>
      </c>
      <c r="L12" s="4">
        <v>5</v>
      </c>
      <c r="M12" s="4">
        <v>5</v>
      </c>
      <c r="N12" s="4">
        <v>5</v>
      </c>
      <c r="O12" s="4">
        <v>5</v>
      </c>
      <c r="P12" s="4">
        <v>3</v>
      </c>
      <c r="Q12" s="4">
        <v>3</v>
      </c>
      <c r="R12" s="4">
        <v>4</v>
      </c>
      <c r="S12" s="4">
        <v>3</v>
      </c>
      <c r="T12" s="4" t="s">
        <v>41</v>
      </c>
      <c r="U12" s="4" t="s">
        <v>41</v>
      </c>
      <c r="V12" s="4" t="s">
        <v>41</v>
      </c>
      <c r="W12" s="4" t="s">
        <v>53</v>
      </c>
    </row>
    <row r="13" spans="1:23" x14ac:dyDescent="0.2">
      <c r="A13" s="14">
        <v>45891.745288506943</v>
      </c>
      <c r="B13" s="4" t="s">
        <v>23</v>
      </c>
      <c r="C13" s="4" t="s">
        <v>26</v>
      </c>
      <c r="D13" s="4" t="s">
        <v>31</v>
      </c>
      <c r="E13" s="4" t="s">
        <v>42</v>
      </c>
      <c r="F13" s="4"/>
      <c r="G13" s="4" t="s">
        <v>46</v>
      </c>
      <c r="H13" s="4">
        <v>5</v>
      </c>
      <c r="I13" s="4">
        <v>5</v>
      </c>
      <c r="J13" s="4">
        <v>4</v>
      </c>
      <c r="K13" s="4">
        <v>5</v>
      </c>
      <c r="L13" s="4">
        <v>4</v>
      </c>
      <c r="M13" s="4">
        <v>1</v>
      </c>
      <c r="N13" s="4">
        <v>1</v>
      </c>
      <c r="O13" s="4">
        <v>3</v>
      </c>
      <c r="P13" s="4">
        <v>1</v>
      </c>
      <c r="Q13" s="4">
        <v>4</v>
      </c>
      <c r="R13" s="4">
        <v>5</v>
      </c>
      <c r="S13" s="4">
        <v>4</v>
      </c>
      <c r="T13" s="4" t="s">
        <v>41</v>
      </c>
      <c r="U13" s="4" t="s">
        <v>41</v>
      </c>
      <c r="V13" s="4" t="s">
        <v>42</v>
      </c>
      <c r="W13" s="4" t="s">
        <v>53</v>
      </c>
    </row>
    <row r="14" spans="1:23" x14ac:dyDescent="0.2">
      <c r="A14" s="14">
        <v>45891.745688981478</v>
      </c>
      <c r="B14" s="4" t="s">
        <v>23</v>
      </c>
      <c r="C14" s="4" t="s">
        <v>25</v>
      </c>
      <c r="D14" s="4" t="s">
        <v>31</v>
      </c>
      <c r="E14" s="4" t="s">
        <v>41</v>
      </c>
      <c r="F14" s="4" t="s">
        <v>43</v>
      </c>
      <c r="G14" s="4" t="s">
        <v>47</v>
      </c>
      <c r="H14" s="4">
        <v>4</v>
      </c>
      <c r="I14" s="4">
        <v>4</v>
      </c>
      <c r="J14" s="4">
        <v>4</v>
      </c>
      <c r="K14" s="4">
        <v>5</v>
      </c>
      <c r="L14" s="4">
        <v>3</v>
      </c>
      <c r="M14" s="4">
        <v>5</v>
      </c>
      <c r="N14" s="4">
        <v>5</v>
      </c>
      <c r="O14" s="4">
        <v>1</v>
      </c>
      <c r="P14" s="4">
        <v>4</v>
      </c>
      <c r="Q14" s="4">
        <v>2</v>
      </c>
      <c r="R14" s="4">
        <v>2</v>
      </c>
      <c r="S14" s="4">
        <v>5</v>
      </c>
      <c r="T14" s="4" t="s">
        <v>41</v>
      </c>
      <c r="U14" s="4" t="s">
        <v>42</v>
      </c>
      <c r="V14" s="4" t="s">
        <v>41</v>
      </c>
      <c r="W14" s="4" t="s">
        <v>50</v>
      </c>
    </row>
    <row r="15" spans="1:23" x14ac:dyDescent="0.2">
      <c r="A15" s="14">
        <v>45891.746321238417</v>
      </c>
      <c r="B15" s="4" t="s">
        <v>23</v>
      </c>
      <c r="C15" s="4" t="s">
        <v>26</v>
      </c>
      <c r="D15" s="4" t="s">
        <v>29</v>
      </c>
      <c r="E15" s="4" t="s">
        <v>42</v>
      </c>
      <c r="F15" s="4"/>
      <c r="G15" s="4" t="s">
        <v>46</v>
      </c>
      <c r="H15" s="4">
        <v>5</v>
      </c>
      <c r="I15" s="4">
        <v>5</v>
      </c>
      <c r="J15" s="4">
        <v>4</v>
      </c>
      <c r="K15" s="4">
        <v>5</v>
      </c>
      <c r="L15" s="4">
        <v>4</v>
      </c>
      <c r="M15" s="4">
        <v>2</v>
      </c>
      <c r="N15" s="4">
        <v>2</v>
      </c>
      <c r="O15" s="4">
        <v>4</v>
      </c>
      <c r="P15" s="4">
        <v>1</v>
      </c>
      <c r="Q15" s="4">
        <v>2</v>
      </c>
      <c r="R15" s="4">
        <v>4</v>
      </c>
      <c r="S15" s="4">
        <v>4</v>
      </c>
      <c r="T15" s="4" t="s">
        <v>41</v>
      </c>
      <c r="U15" s="4" t="s">
        <v>41</v>
      </c>
      <c r="V15" s="4" t="s">
        <v>41</v>
      </c>
      <c r="W15" s="4" t="s">
        <v>53</v>
      </c>
    </row>
    <row r="16" spans="1:23" x14ac:dyDescent="0.2">
      <c r="A16" s="14">
        <v>45891.747338043977</v>
      </c>
      <c r="B16" s="4" t="s">
        <v>23</v>
      </c>
      <c r="C16" s="4" t="s">
        <v>26</v>
      </c>
      <c r="D16" s="4" t="s">
        <v>30</v>
      </c>
      <c r="E16" s="4" t="s">
        <v>41</v>
      </c>
      <c r="F16" s="4" t="s">
        <v>44</v>
      </c>
      <c r="G16" s="4" t="s">
        <v>47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4</v>
      </c>
      <c r="Q16" s="4">
        <v>5</v>
      </c>
      <c r="R16" s="4">
        <v>5</v>
      </c>
      <c r="S16" s="4">
        <v>3</v>
      </c>
      <c r="T16" s="4" t="s">
        <v>49</v>
      </c>
      <c r="U16" s="4" t="s">
        <v>42</v>
      </c>
      <c r="V16" s="4" t="s">
        <v>42</v>
      </c>
      <c r="W16" s="4" t="s">
        <v>50</v>
      </c>
    </row>
    <row r="17" spans="1:23" x14ac:dyDescent="0.2">
      <c r="A17" s="14">
        <v>45891.750777037043</v>
      </c>
      <c r="B17" s="4" t="s">
        <v>24</v>
      </c>
      <c r="C17" s="4" t="s">
        <v>26</v>
      </c>
      <c r="D17" s="4" t="s">
        <v>37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1</v>
      </c>
      <c r="R17" s="4">
        <v>3</v>
      </c>
      <c r="S17" s="4">
        <v>1</v>
      </c>
      <c r="T17" s="4" t="s">
        <v>49</v>
      </c>
      <c r="U17" s="4" t="s">
        <v>42</v>
      </c>
      <c r="V17" s="4" t="s">
        <v>42</v>
      </c>
      <c r="W17" s="4" t="s">
        <v>51</v>
      </c>
    </row>
    <row r="18" spans="1:23" x14ac:dyDescent="0.2">
      <c r="A18" s="14">
        <v>45891.752668761583</v>
      </c>
      <c r="B18" s="4" t="s">
        <v>23</v>
      </c>
      <c r="C18" s="4" t="s">
        <v>25</v>
      </c>
      <c r="D18" s="4" t="s">
        <v>31</v>
      </c>
      <c r="E18" s="4" t="s">
        <v>42</v>
      </c>
      <c r="F18" s="4"/>
      <c r="G18" s="4" t="s">
        <v>46</v>
      </c>
      <c r="H18" s="4">
        <v>5</v>
      </c>
      <c r="I18" s="4">
        <v>5</v>
      </c>
      <c r="J18" s="4">
        <v>4</v>
      </c>
      <c r="K18" s="4">
        <v>5</v>
      </c>
      <c r="L18" s="4">
        <v>4</v>
      </c>
      <c r="M18" s="4">
        <v>3</v>
      </c>
      <c r="N18" s="4">
        <v>3</v>
      </c>
      <c r="O18" s="4">
        <v>4</v>
      </c>
      <c r="P18" s="4">
        <v>2</v>
      </c>
      <c r="Q18" s="4">
        <v>2</v>
      </c>
      <c r="R18" s="4">
        <v>2</v>
      </c>
      <c r="S18" s="4">
        <v>3</v>
      </c>
      <c r="T18" s="4" t="s">
        <v>41</v>
      </c>
      <c r="U18" s="4" t="s">
        <v>41</v>
      </c>
      <c r="V18" s="4" t="s">
        <v>41</v>
      </c>
      <c r="W18" s="4" t="s">
        <v>51</v>
      </c>
    </row>
    <row r="19" spans="1:23" x14ac:dyDescent="0.2">
      <c r="A19" s="14">
        <v>45891.752966643522</v>
      </c>
      <c r="B19" s="4" t="s">
        <v>23</v>
      </c>
      <c r="C19" s="4" t="s">
        <v>26</v>
      </c>
      <c r="D19" s="4" t="s">
        <v>31</v>
      </c>
      <c r="E19" s="4" t="s">
        <v>42</v>
      </c>
      <c r="F19" s="4"/>
      <c r="G19" s="4" t="s">
        <v>46</v>
      </c>
      <c r="H19" s="4">
        <v>5</v>
      </c>
      <c r="I19" s="4">
        <v>5</v>
      </c>
      <c r="J19" s="4">
        <v>4</v>
      </c>
      <c r="K19" s="4">
        <v>5</v>
      </c>
      <c r="L19" s="4">
        <v>4</v>
      </c>
      <c r="M19" s="4">
        <v>4</v>
      </c>
      <c r="N19" s="4">
        <v>4</v>
      </c>
      <c r="O19" s="4">
        <v>4</v>
      </c>
      <c r="P19" s="4">
        <v>3</v>
      </c>
      <c r="Q19" s="4">
        <v>2</v>
      </c>
      <c r="R19" s="4">
        <v>2</v>
      </c>
      <c r="S19" s="4">
        <v>3</v>
      </c>
      <c r="T19" s="4" t="s">
        <v>41</v>
      </c>
      <c r="U19" s="4" t="s">
        <v>41</v>
      </c>
      <c r="V19" s="4" t="s">
        <v>41</v>
      </c>
      <c r="W19" s="4" t="s">
        <v>53</v>
      </c>
    </row>
    <row r="20" spans="1:23" x14ac:dyDescent="0.2">
      <c r="A20" s="14">
        <v>45891.754713414353</v>
      </c>
      <c r="B20" s="4" t="s">
        <v>23</v>
      </c>
      <c r="C20" s="4" t="s">
        <v>25</v>
      </c>
      <c r="D20" s="4" t="s">
        <v>31</v>
      </c>
      <c r="E20" s="4" t="s">
        <v>41</v>
      </c>
      <c r="F20" s="4" t="s">
        <v>43</v>
      </c>
      <c r="G20" s="4" t="s">
        <v>46</v>
      </c>
      <c r="H20" s="4">
        <v>5</v>
      </c>
      <c r="I20" s="4">
        <v>5</v>
      </c>
      <c r="J20" s="4">
        <v>5</v>
      </c>
      <c r="K20" s="4">
        <v>5</v>
      </c>
      <c r="L20" s="4">
        <v>3</v>
      </c>
      <c r="M20" s="4">
        <v>1</v>
      </c>
      <c r="N20" s="4">
        <v>1</v>
      </c>
      <c r="O20" s="4">
        <v>1</v>
      </c>
      <c r="P20" s="4">
        <v>5</v>
      </c>
      <c r="Q20" s="4">
        <v>5</v>
      </c>
      <c r="R20" s="4">
        <v>5</v>
      </c>
      <c r="S20" s="4">
        <v>4</v>
      </c>
      <c r="T20" s="4" t="s">
        <v>41</v>
      </c>
      <c r="U20" s="4" t="s">
        <v>41</v>
      </c>
      <c r="V20" s="4" t="s">
        <v>41</v>
      </c>
      <c r="W20" s="4" t="s">
        <v>53</v>
      </c>
    </row>
    <row r="21" spans="1:23" x14ac:dyDescent="0.2">
      <c r="A21" s="14">
        <v>45891.754978425917</v>
      </c>
      <c r="B21" s="4" t="s">
        <v>23</v>
      </c>
      <c r="C21" s="4" t="s">
        <v>26</v>
      </c>
      <c r="D21" s="4" t="s">
        <v>38</v>
      </c>
      <c r="E21" s="4" t="s">
        <v>41</v>
      </c>
      <c r="F21" s="4" t="s">
        <v>43</v>
      </c>
      <c r="G21" s="4" t="s">
        <v>46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4</v>
      </c>
      <c r="P21" s="4">
        <v>3</v>
      </c>
      <c r="Q21" s="4">
        <v>5</v>
      </c>
      <c r="R21" s="4">
        <v>3</v>
      </c>
      <c r="S21" s="4">
        <v>5</v>
      </c>
      <c r="T21" s="4" t="s">
        <v>41</v>
      </c>
      <c r="U21" s="4" t="s">
        <v>41</v>
      </c>
      <c r="V21" s="4" t="s">
        <v>41</v>
      </c>
      <c r="W21" s="4" t="s">
        <v>51</v>
      </c>
    </row>
    <row r="22" spans="1:23" x14ac:dyDescent="0.2">
      <c r="A22" s="14">
        <v>45891.755566377316</v>
      </c>
      <c r="B22" s="4" t="s">
        <v>24</v>
      </c>
      <c r="C22" s="4" t="s">
        <v>26</v>
      </c>
      <c r="D22" s="4" t="s">
        <v>37</v>
      </c>
      <c r="E22" s="4" t="s">
        <v>41</v>
      </c>
      <c r="F22" s="4" t="s">
        <v>43</v>
      </c>
      <c r="G22" s="4" t="s">
        <v>46</v>
      </c>
      <c r="H22" s="4">
        <v>4</v>
      </c>
      <c r="I22" s="4">
        <v>4</v>
      </c>
      <c r="J22" s="4">
        <v>4</v>
      </c>
      <c r="K22" s="4">
        <v>4</v>
      </c>
      <c r="L22" s="4">
        <v>3</v>
      </c>
      <c r="M22" s="4">
        <v>3</v>
      </c>
      <c r="N22" s="4">
        <v>3</v>
      </c>
      <c r="O22" s="4">
        <v>4</v>
      </c>
      <c r="P22" s="4">
        <v>3</v>
      </c>
      <c r="Q22" s="4">
        <v>4</v>
      </c>
      <c r="R22" s="4">
        <v>1</v>
      </c>
      <c r="S22" s="4">
        <v>4</v>
      </c>
      <c r="T22" s="4" t="s">
        <v>49</v>
      </c>
      <c r="U22" s="4" t="s">
        <v>42</v>
      </c>
      <c r="V22" s="4" t="s">
        <v>42</v>
      </c>
      <c r="W22" s="4" t="s">
        <v>50</v>
      </c>
    </row>
    <row r="23" spans="1:23" x14ac:dyDescent="0.2">
      <c r="A23" s="14">
        <v>45891.758453136572</v>
      </c>
      <c r="B23" s="4" t="s">
        <v>22</v>
      </c>
      <c r="C23" s="4" t="s">
        <v>26</v>
      </c>
      <c r="D23" s="4" t="s">
        <v>38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4</v>
      </c>
      <c r="N23" s="4">
        <v>3</v>
      </c>
      <c r="O23" s="4">
        <v>5</v>
      </c>
      <c r="P23" s="4">
        <v>1</v>
      </c>
      <c r="Q23" s="4">
        <v>5</v>
      </c>
      <c r="R23" s="4">
        <v>1</v>
      </c>
      <c r="S23" s="4">
        <v>5</v>
      </c>
      <c r="T23" s="4" t="s">
        <v>41</v>
      </c>
      <c r="U23" s="4" t="s">
        <v>41</v>
      </c>
      <c r="V23" s="4" t="s">
        <v>42</v>
      </c>
      <c r="W23" s="4" t="s">
        <v>50</v>
      </c>
    </row>
    <row r="24" spans="1:23" x14ac:dyDescent="0.2">
      <c r="A24" s="14">
        <v>45891.759408506943</v>
      </c>
      <c r="B24" s="4" t="s">
        <v>23</v>
      </c>
      <c r="C24" s="4" t="s">
        <v>26</v>
      </c>
      <c r="D24" s="4" t="s">
        <v>29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3</v>
      </c>
      <c r="N24" s="4">
        <v>3</v>
      </c>
      <c r="O24" s="4">
        <v>3</v>
      </c>
      <c r="P24" s="4">
        <v>5</v>
      </c>
      <c r="Q24" s="4">
        <v>5</v>
      </c>
      <c r="R24" s="4">
        <v>5</v>
      </c>
      <c r="S24" s="4">
        <v>3</v>
      </c>
      <c r="T24" s="4" t="s">
        <v>49</v>
      </c>
      <c r="U24" s="4" t="s">
        <v>41</v>
      </c>
      <c r="V24" s="4" t="s">
        <v>41</v>
      </c>
      <c r="W24" s="4" t="s">
        <v>53</v>
      </c>
    </row>
    <row r="25" spans="1:23" x14ac:dyDescent="0.2">
      <c r="A25" s="14">
        <v>45891.760414398152</v>
      </c>
      <c r="B25" s="4" t="s">
        <v>23</v>
      </c>
      <c r="C25" s="4" t="s">
        <v>25</v>
      </c>
      <c r="D25" s="4" t="s">
        <v>31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1</v>
      </c>
      <c r="N25" s="4">
        <v>1</v>
      </c>
      <c r="O25" s="4">
        <v>2</v>
      </c>
      <c r="P25" s="4">
        <v>5</v>
      </c>
      <c r="Q25" s="4">
        <v>1</v>
      </c>
      <c r="R25" s="4">
        <v>1</v>
      </c>
      <c r="S25" s="4">
        <v>5</v>
      </c>
      <c r="T25" s="4" t="s">
        <v>41</v>
      </c>
      <c r="U25" s="4" t="s">
        <v>42</v>
      </c>
      <c r="V25" s="4" t="s">
        <v>42</v>
      </c>
      <c r="W25" s="4" t="s">
        <v>53</v>
      </c>
    </row>
    <row r="26" spans="1:23" x14ac:dyDescent="0.2">
      <c r="A26" s="14">
        <v>45891.761227951392</v>
      </c>
      <c r="B26" s="4" t="s">
        <v>23</v>
      </c>
      <c r="C26" s="4" t="s">
        <v>26</v>
      </c>
      <c r="D26" s="4" t="s">
        <v>30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1</v>
      </c>
      <c r="N26" s="4">
        <v>1</v>
      </c>
      <c r="O26" s="4">
        <v>1</v>
      </c>
      <c r="P26" s="4">
        <v>2</v>
      </c>
      <c r="Q26" s="4">
        <v>3</v>
      </c>
      <c r="R26" s="4">
        <v>2</v>
      </c>
      <c r="S26" s="4">
        <v>4</v>
      </c>
      <c r="T26" s="4" t="s">
        <v>41</v>
      </c>
      <c r="U26" s="4" t="s">
        <v>42</v>
      </c>
      <c r="V26" s="4" t="s">
        <v>42</v>
      </c>
      <c r="W26" s="4" t="s">
        <v>51</v>
      </c>
    </row>
    <row r="27" spans="1:23" x14ac:dyDescent="0.2">
      <c r="A27" s="14">
        <v>45891.762674375001</v>
      </c>
      <c r="B27" s="4" t="s">
        <v>23</v>
      </c>
      <c r="C27" s="4" t="s">
        <v>25</v>
      </c>
      <c r="D27" s="4" t="s">
        <v>38</v>
      </c>
      <c r="E27" s="4" t="s">
        <v>42</v>
      </c>
      <c r="F27" s="4"/>
      <c r="G27" s="4" t="s">
        <v>46</v>
      </c>
      <c r="H27" s="4">
        <v>5</v>
      </c>
      <c r="I27" s="4">
        <v>5</v>
      </c>
      <c r="J27" s="4">
        <v>4</v>
      </c>
      <c r="K27" s="4">
        <v>5</v>
      </c>
      <c r="L27" s="4">
        <v>4</v>
      </c>
      <c r="M27" s="4">
        <v>1</v>
      </c>
      <c r="N27" s="4">
        <v>2</v>
      </c>
      <c r="O27" s="4">
        <v>3</v>
      </c>
      <c r="P27" s="4">
        <v>3</v>
      </c>
      <c r="Q27" s="4">
        <v>5</v>
      </c>
      <c r="R27" s="4">
        <v>5</v>
      </c>
      <c r="S27" s="4">
        <v>4</v>
      </c>
      <c r="T27" s="4" t="s">
        <v>41</v>
      </c>
      <c r="U27" s="4" t="s">
        <v>41</v>
      </c>
      <c r="V27" s="4" t="s">
        <v>41</v>
      </c>
      <c r="W27" s="4" t="s">
        <v>51</v>
      </c>
    </row>
    <row r="28" spans="1:23" x14ac:dyDescent="0.2">
      <c r="A28" s="14">
        <v>45891.767746018522</v>
      </c>
      <c r="B28" s="4" t="s">
        <v>23</v>
      </c>
      <c r="C28" s="4" t="s">
        <v>25</v>
      </c>
      <c r="D28" s="4" t="s">
        <v>37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2</v>
      </c>
      <c r="N28" s="4">
        <v>2</v>
      </c>
      <c r="O28" s="4">
        <v>2</v>
      </c>
      <c r="P28" s="4">
        <v>2</v>
      </c>
      <c r="Q28" s="4">
        <v>5</v>
      </c>
      <c r="R28" s="4">
        <v>4</v>
      </c>
      <c r="S28" s="4">
        <v>4</v>
      </c>
      <c r="T28" s="4" t="s">
        <v>41</v>
      </c>
      <c r="U28" s="4" t="s">
        <v>41</v>
      </c>
      <c r="V28" s="4" t="s">
        <v>42</v>
      </c>
      <c r="W28" s="4" t="s">
        <v>53</v>
      </c>
    </row>
    <row r="29" spans="1:23" x14ac:dyDescent="0.2">
      <c r="A29" s="14">
        <v>45891.767885520843</v>
      </c>
      <c r="B29" s="4" t="s">
        <v>23</v>
      </c>
      <c r="C29" s="4" t="s">
        <v>26</v>
      </c>
      <c r="D29" s="4" t="s">
        <v>37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1</v>
      </c>
      <c r="P29" s="4">
        <v>2</v>
      </c>
      <c r="Q29" s="4">
        <v>5</v>
      </c>
      <c r="R29" s="4">
        <v>5</v>
      </c>
      <c r="S29" s="4">
        <v>2</v>
      </c>
      <c r="T29" s="4" t="s">
        <v>49</v>
      </c>
      <c r="U29" s="4" t="s">
        <v>42</v>
      </c>
      <c r="V29" s="4" t="s">
        <v>42</v>
      </c>
      <c r="W29" s="4" t="s">
        <v>51</v>
      </c>
    </row>
    <row r="30" spans="1:23" x14ac:dyDescent="0.2">
      <c r="A30" s="14">
        <v>45891.768177060178</v>
      </c>
      <c r="B30" s="4" t="s">
        <v>24</v>
      </c>
      <c r="C30" s="4" t="s">
        <v>26</v>
      </c>
      <c r="D30" s="4" t="s">
        <v>32</v>
      </c>
      <c r="E30" s="4" t="s">
        <v>41</v>
      </c>
      <c r="F30" s="4" t="s">
        <v>44</v>
      </c>
      <c r="G30" s="4" t="s">
        <v>46</v>
      </c>
      <c r="H30" s="4">
        <v>4</v>
      </c>
      <c r="I30" s="4">
        <v>4</v>
      </c>
      <c r="J30" s="4">
        <v>3</v>
      </c>
      <c r="K30" s="4">
        <v>5</v>
      </c>
      <c r="L30" s="4">
        <v>4</v>
      </c>
      <c r="M30" s="4">
        <v>2</v>
      </c>
      <c r="N30" s="4">
        <v>2</v>
      </c>
      <c r="O30" s="4">
        <v>1</v>
      </c>
      <c r="P30" s="4">
        <v>3</v>
      </c>
      <c r="Q30" s="4">
        <v>1</v>
      </c>
      <c r="R30" s="4">
        <v>4</v>
      </c>
      <c r="S30" s="4">
        <v>4</v>
      </c>
      <c r="T30" s="4" t="s">
        <v>49</v>
      </c>
      <c r="U30" s="4" t="s">
        <v>41</v>
      </c>
      <c r="V30" s="4" t="s">
        <v>41</v>
      </c>
      <c r="W30" s="4" t="s">
        <v>51</v>
      </c>
    </row>
    <row r="31" spans="1:23" x14ac:dyDescent="0.2">
      <c r="A31" s="14">
        <v>45891.770363750002</v>
      </c>
      <c r="B31" s="4" t="s">
        <v>22</v>
      </c>
      <c r="C31" s="4" t="s">
        <v>25</v>
      </c>
      <c r="D31" s="4" t="s">
        <v>38</v>
      </c>
      <c r="E31" s="4" t="s">
        <v>41</v>
      </c>
      <c r="F31" s="4" t="s">
        <v>45</v>
      </c>
      <c r="G31" s="4" t="s">
        <v>47</v>
      </c>
      <c r="H31" s="4">
        <v>5</v>
      </c>
      <c r="I31" s="4">
        <v>5</v>
      </c>
      <c r="J31" s="4">
        <v>3</v>
      </c>
      <c r="K31" s="4">
        <v>4</v>
      </c>
      <c r="L31" s="4">
        <v>3</v>
      </c>
      <c r="M31" s="4">
        <v>1</v>
      </c>
      <c r="N31" s="4">
        <v>1</v>
      </c>
      <c r="O31" s="4">
        <v>1</v>
      </c>
      <c r="P31" s="4">
        <v>1</v>
      </c>
      <c r="Q31" s="4">
        <v>4</v>
      </c>
      <c r="R31" s="4">
        <v>2</v>
      </c>
      <c r="S31" s="4">
        <v>2</v>
      </c>
      <c r="T31" s="4" t="s">
        <v>49</v>
      </c>
      <c r="U31" s="4" t="s">
        <v>42</v>
      </c>
      <c r="V31" s="4" t="s">
        <v>42</v>
      </c>
      <c r="W31" s="4" t="s">
        <v>53</v>
      </c>
    </row>
    <row r="32" spans="1:23" x14ac:dyDescent="0.2">
      <c r="A32" s="14">
        <v>45891.772955451393</v>
      </c>
      <c r="B32" s="4" t="s">
        <v>23</v>
      </c>
      <c r="C32" s="4" t="s">
        <v>26</v>
      </c>
      <c r="D32" s="4" t="s">
        <v>33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1</v>
      </c>
      <c r="N32" s="4">
        <v>1</v>
      </c>
      <c r="O32" s="4">
        <v>2</v>
      </c>
      <c r="P32" s="4">
        <v>1</v>
      </c>
      <c r="Q32" s="4">
        <v>5</v>
      </c>
      <c r="R32" s="4">
        <v>5</v>
      </c>
      <c r="S32" s="4">
        <v>1</v>
      </c>
      <c r="T32" s="4" t="s">
        <v>49</v>
      </c>
      <c r="U32" s="4" t="s">
        <v>42</v>
      </c>
      <c r="V32" s="4" t="s">
        <v>42</v>
      </c>
      <c r="W32" s="4" t="s">
        <v>51</v>
      </c>
    </row>
    <row r="33" spans="1:23" x14ac:dyDescent="0.2">
      <c r="A33" s="14">
        <v>45891.776503981477</v>
      </c>
      <c r="B33" s="4" t="s">
        <v>22</v>
      </c>
      <c r="C33" s="4" t="s">
        <v>26</v>
      </c>
      <c r="D33" s="4" t="s">
        <v>31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4</v>
      </c>
      <c r="M33" s="4">
        <v>5</v>
      </c>
      <c r="N33" s="4">
        <v>5</v>
      </c>
      <c r="O33" s="4">
        <v>5</v>
      </c>
      <c r="P33" s="4">
        <v>1</v>
      </c>
      <c r="Q33" s="4">
        <v>1</v>
      </c>
      <c r="R33" s="4">
        <v>1</v>
      </c>
      <c r="S33" s="4">
        <v>1</v>
      </c>
      <c r="T33" s="4" t="s">
        <v>49</v>
      </c>
      <c r="U33" s="4" t="s">
        <v>42</v>
      </c>
      <c r="V33" s="4" t="s">
        <v>42</v>
      </c>
      <c r="W33" s="4" t="s">
        <v>51</v>
      </c>
    </row>
    <row r="34" spans="1:23" x14ac:dyDescent="0.2">
      <c r="A34" s="14">
        <v>45891.785221215279</v>
      </c>
      <c r="B34" s="4" t="s">
        <v>24</v>
      </c>
      <c r="C34" s="4" t="s">
        <v>25</v>
      </c>
      <c r="D34" s="4" t="s">
        <v>31</v>
      </c>
      <c r="E34" s="4" t="s">
        <v>41</v>
      </c>
      <c r="F34" s="4" t="s">
        <v>44</v>
      </c>
      <c r="G34" s="4" t="s">
        <v>48</v>
      </c>
      <c r="H34" s="4">
        <v>5</v>
      </c>
      <c r="I34" s="4">
        <v>5</v>
      </c>
      <c r="J34" s="4">
        <v>4</v>
      </c>
      <c r="K34" s="4">
        <v>1</v>
      </c>
      <c r="L34" s="4">
        <v>5</v>
      </c>
      <c r="M34" s="4">
        <v>5</v>
      </c>
      <c r="N34" s="4">
        <v>5</v>
      </c>
      <c r="O34" s="4">
        <v>3</v>
      </c>
      <c r="P34" s="4">
        <v>3</v>
      </c>
      <c r="Q34" s="4">
        <v>5</v>
      </c>
      <c r="R34" s="4">
        <v>5</v>
      </c>
      <c r="S34" s="4">
        <v>4</v>
      </c>
      <c r="T34" s="4" t="s">
        <v>41</v>
      </c>
      <c r="U34" s="4" t="s">
        <v>41</v>
      </c>
      <c r="V34" s="4" t="s">
        <v>41</v>
      </c>
      <c r="W34" s="4" t="s">
        <v>52</v>
      </c>
    </row>
    <row r="35" spans="1:23" x14ac:dyDescent="0.2">
      <c r="A35" s="14">
        <v>45891.786581307868</v>
      </c>
      <c r="B35" s="4" t="s">
        <v>23</v>
      </c>
      <c r="C35" s="4" t="s">
        <v>26</v>
      </c>
      <c r="D35" s="4" t="s">
        <v>31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4</v>
      </c>
      <c r="M35" s="4">
        <v>3</v>
      </c>
      <c r="N35" s="4">
        <v>3</v>
      </c>
      <c r="O35" s="4">
        <v>4</v>
      </c>
      <c r="P35" s="4">
        <v>5</v>
      </c>
      <c r="Q35" s="4">
        <v>4</v>
      </c>
      <c r="R35" s="4">
        <v>5</v>
      </c>
      <c r="S35" s="4">
        <v>3</v>
      </c>
      <c r="T35" s="4" t="s">
        <v>41</v>
      </c>
      <c r="U35" s="4" t="s">
        <v>41</v>
      </c>
      <c r="V35" s="4" t="s">
        <v>41</v>
      </c>
      <c r="W35" s="4" t="s">
        <v>53</v>
      </c>
    </row>
    <row r="36" spans="1:23" x14ac:dyDescent="0.2">
      <c r="A36" s="14">
        <v>45891.78701122685</v>
      </c>
      <c r="B36" s="4" t="s">
        <v>23</v>
      </c>
      <c r="C36" s="4" t="s">
        <v>26</v>
      </c>
      <c r="D36" s="4" t="s">
        <v>29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4</v>
      </c>
      <c r="M36" s="4">
        <v>5</v>
      </c>
      <c r="N36" s="4">
        <v>5</v>
      </c>
      <c r="O36" s="4">
        <v>3</v>
      </c>
      <c r="P36" s="4">
        <v>5</v>
      </c>
      <c r="Q36" s="4">
        <v>5</v>
      </c>
      <c r="R36" s="4">
        <v>5</v>
      </c>
      <c r="S36" s="4">
        <v>3</v>
      </c>
      <c r="T36" s="4" t="s">
        <v>41</v>
      </c>
      <c r="U36" s="4" t="s">
        <v>41</v>
      </c>
      <c r="V36" s="4" t="s">
        <v>42</v>
      </c>
      <c r="W36" s="4" t="s">
        <v>50</v>
      </c>
    </row>
    <row r="37" spans="1:23" x14ac:dyDescent="0.2">
      <c r="A37" s="14">
        <v>45891.789896342591</v>
      </c>
      <c r="B37" s="4" t="s">
        <v>23</v>
      </c>
      <c r="C37" s="4" t="s">
        <v>25</v>
      </c>
      <c r="D37" s="4" t="s">
        <v>29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4</v>
      </c>
      <c r="K37" s="4">
        <v>5</v>
      </c>
      <c r="L37" s="4">
        <v>4</v>
      </c>
      <c r="M37" s="4">
        <v>3</v>
      </c>
      <c r="N37" s="4">
        <v>3</v>
      </c>
      <c r="O37" s="4">
        <v>3</v>
      </c>
      <c r="P37" s="4">
        <v>4</v>
      </c>
      <c r="Q37" s="4">
        <v>5</v>
      </c>
      <c r="R37" s="4">
        <v>4</v>
      </c>
      <c r="S37" s="4">
        <v>4</v>
      </c>
      <c r="T37" s="4" t="s">
        <v>49</v>
      </c>
      <c r="U37" s="4" t="s">
        <v>41</v>
      </c>
      <c r="V37" s="4" t="s">
        <v>42</v>
      </c>
      <c r="W37" s="4" t="s">
        <v>53</v>
      </c>
    </row>
    <row r="38" spans="1:23" x14ac:dyDescent="0.2">
      <c r="A38" s="14">
        <v>45891.794979259263</v>
      </c>
      <c r="B38" s="4" t="s">
        <v>24</v>
      </c>
      <c r="C38" s="4" t="s">
        <v>26</v>
      </c>
      <c r="D38" s="4" t="s">
        <v>37</v>
      </c>
      <c r="E38" s="4" t="s">
        <v>42</v>
      </c>
      <c r="F38" s="4"/>
      <c r="G38" s="4" t="s">
        <v>46</v>
      </c>
      <c r="H38" s="4">
        <v>5</v>
      </c>
      <c r="I38" s="4">
        <v>5</v>
      </c>
      <c r="J38" s="4">
        <v>4</v>
      </c>
      <c r="K38" s="4">
        <v>5</v>
      </c>
      <c r="L38" s="4">
        <v>4</v>
      </c>
      <c r="M38" s="4">
        <v>3</v>
      </c>
      <c r="N38" s="4">
        <v>3</v>
      </c>
      <c r="O38" s="4">
        <v>2</v>
      </c>
      <c r="P38" s="4">
        <v>5</v>
      </c>
      <c r="Q38" s="4">
        <v>4</v>
      </c>
      <c r="R38" s="4">
        <v>4</v>
      </c>
      <c r="S38" s="4">
        <v>4</v>
      </c>
      <c r="T38" s="4" t="s">
        <v>49</v>
      </c>
      <c r="U38" s="4" t="s">
        <v>42</v>
      </c>
      <c r="V38" s="4" t="s">
        <v>41</v>
      </c>
      <c r="W38" s="4" t="s">
        <v>53</v>
      </c>
    </row>
    <row r="39" spans="1:23" x14ac:dyDescent="0.2">
      <c r="A39" s="14">
        <v>45891.795187974538</v>
      </c>
      <c r="B39" s="4" t="s">
        <v>24</v>
      </c>
      <c r="C39" s="4" t="s">
        <v>26</v>
      </c>
      <c r="D39" s="4" t="s">
        <v>31</v>
      </c>
      <c r="E39" s="4" t="s">
        <v>41</v>
      </c>
      <c r="F39" s="4" t="s">
        <v>43</v>
      </c>
      <c r="G39" s="4" t="s">
        <v>47</v>
      </c>
      <c r="H39" s="4">
        <v>5</v>
      </c>
      <c r="I39" s="4">
        <v>5</v>
      </c>
      <c r="J39" s="4">
        <v>5</v>
      </c>
      <c r="K39" s="4">
        <v>5</v>
      </c>
      <c r="L39" s="4">
        <v>5</v>
      </c>
      <c r="M39" s="4">
        <v>5</v>
      </c>
      <c r="N39" s="4">
        <v>5</v>
      </c>
      <c r="O39" s="4">
        <v>5</v>
      </c>
      <c r="P39" s="4">
        <v>5</v>
      </c>
      <c r="Q39" s="4">
        <v>5</v>
      </c>
      <c r="R39" s="4">
        <v>5</v>
      </c>
      <c r="S39" s="4">
        <v>5</v>
      </c>
      <c r="T39" s="4" t="s">
        <v>41</v>
      </c>
      <c r="U39" s="4" t="s">
        <v>41</v>
      </c>
      <c r="V39" s="4" t="s">
        <v>42</v>
      </c>
      <c r="W39" s="4" t="s">
        <v>53</v>
      </c>
    </row>
    <row r="40" spans="1:23" x14ac:dyDescent="0.2">
      <c r="A40" s="14">
        <v>45891.798525902777</v>
      </c>
      <c r="B40" s="4" t="s">
        <v>23</v>
      </c>
      <c r="C40" s="4" t="s">
        <v>25</v>
      </c>
      <c r="D40" s="4" t="s">
        <v>38</v>
      </c>
      <c r="E40" s="4" t="s">
        <v>42</v>
      </c>
      <c r="F40" s="4"/>
      <c r="G40" s="4" t="s">
        <v>46</v>
      </c>
      <c r="H40" s="4">
        <v>5</v>
      </c>
      <c r="I40" s="4">
        <v>5</v>
      </c>
      <c r="J40" s="4">
        <v>4</v>
      </c>
      <c r="K40" s="4">
        <v>5</v>
      </c>
      <c r="L40" s="4">
        <v>5</v>
      </c>
      <c r="M40" s="4">
        <v>3</v>
      </c>
      <c r="N40" s="4">
        <v>3</v>
      </c>
      <c r="O40" s="4">
        <v>2</v>
      </c>
      <c r="P40" s="4">
        <v>2</v>
      </c>
      <c r="Q40" s="4">
        <v>5</v>
      </c>
      <c r="R40" s="4">
        <v>2</v>
      </c>
      <c r="S40" s="4">
        <v>3</v>
      </c>
      <c r="T40" s="4" t="s">
        <v>49</v>
      </c>
      <c r="U40" s="4" t="s">
        <v>41</v>
      </c>
      <c r="V40" s="4" t="s">
        <v>42</v>
      </c>
      <c r="W40" s="4" t="s">
        <v>51</v>
      </c>
    </row>
    <row r="41" spans="1:23" x14ac:dyDescent="0.2">
      <c r="A41" s="14">
        <v>45891.803155960653</v>
      </c>
      <c r="B41" s="4" t="s">
        <v>23</v>
      </c>
      <c r="C41" s="4" t="s">
        <v>26</v>
      </c>
      <c r="D41" s="4" t="s">
        <v>31</v>
      </c>
      <c r="E41" s="4" t="s">
        <v>41</v>
      </c>
      <c r="F41" s="4" t="s">
        <v>43</v>
      </c>
      <c r="G41" s="4" t="s">
        <v>46</v>
      </c>
      <c r="H41" s="4">
        <v>5</v>
      </c>
      <c r="I41" s="4">
        <v>5</v>
      </c>
      <c r="J41" s="4">
        <v>4</v>
      </c>
      <c r="K41" s="4">
        <v>4</v>
      </c>
      <c r="L41" s="4">
        <v>3</v>
      </c>
      <c r="M41" s="4">
        <v>3</v>
      </c>
      <c r="N41" s="4">
        <v>3</v>
      </c>
      <c r="O41" s="4">
        <v>3</v>
      </c>
      <c r="P41" s="4">
        <v>5</v>
      </c>
      <c r="Q41" s="4">
        <v>5</v>
      </c>
      <c r="R41" s="4">
        <v>5</v>
      </c>
      <c r="S41" s="4">
        <v>3</v>
      </c>
      <c r="T41" s="4" t="s">
        <v>41</v>
      </c>
      <c r="U41" s="4" t="s">
        <v>41</v>
      </c>
      <c r="V41" s="4" t="s">
        <v>42</v>
      </c>
      <c r="W41" s="4" t="s">
        <v>53</v>
      </c>
    </row>
    <row r="42" spans="1:23" x14ac:dyDescent="0.2">
      <c r="A42" s="14">
        <v>45891.80515803241</v>
      </c>
      <c r="B42" s="4" t="s">
        <v>23</v>
      </c>
      <c r="C42" s="4" t="s">
        <v>26</v>
      </c>
      <c r="D42" s="4" t="s">
        <v>37</v>
      </c>
      <c r="E42" s="4" t="s">
        <v>42</v>
      </c>
      <c r="F42" s="4"/>
      <c r="G42" s="4" t="s">
        <v>46</v>
      </c>
      <c r="H42" s="4">
        <v>5</v>
      </c>
      <c r="I42" s="4">
        <v>5</v>
      </c>
      <c r="J42" s="4">
        <v>4</v>
      </c>
      <c r="K42" s="4">
        <v>5</v>
      </c>
      <c r="L42" s="4">
        <v>5</v>
      </c>
      <c r="M42" s="4">
        <v>3</v>
      </c>
      <c r="N42" s="4">
        <v>2</v>
      </c>
      <c r="O42" s="4">
        <v>1</v>
      </c>
      <c r="P42" s="4">
        <v>1</v>
      </c>
      <c r="Q42" s="4">
        <v>1</v>
      </c>
      <c r="R42" s="4">
        <v>3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</row>
    <row r="43" spans="1:23" x14ac:dyDescent="0.2">
      <c r="A43" s="14">
        <v>45891.812765567127</v>
      </c>
      <c r="B43" s="4" t="s">
        <v>23</v>
      </c>
      <c r="C43" s="4" t="s">
        <v>25</v>
      </c>
      <c r="D43" s="4" t="s">
        <v>38</v>
      </c>
      <c r="E43" s="4" t="s">
        <v>42</v>
      </c>
      <c r="F43" s="4"/>
      <c r="G43" s="4" t="s">
        <v>46</v>
      </c>
      <c r="H43" s="4">
        <v>5</v>
      </c>
      <c r="I43" s="4">
        <v>5</v>
      </c>
      <c r="J43" s="4">
        <v>4</v>
      </c>
      <c r="K43" s="4">
        <v>5</v>
      </c>
      <c r="L43" s="4">
        <v>5</v>
      </c>
      <c r="M43" s="4">
        <v>5</v>
      </c>
      <c r="N43" s="4">
        <v>4</v>
      </c>
      <c r="O43" s="4">
        <v>5</v>
      </c>
      <c r="P43" s="4">
        <v>3</v>
      </c>
      <c r="Q43" s="4">
        <v>4</v>
      </c>
      <c r="R43" s="4">
        <v>2</v>
      </c>
      <c r="S43" s="4">
        <v>4</v>
      </c>
      <c r="T43" s="4" t="s">
        <v>41</v>
      </c>
      <c r="U43" s="4" t="s">
        <v>42</v>
      </c>
      <c r="V43" s="4" t="s">
        <v>42</v>
      </c>
      <c r="W43" s="4" t="s">
        <v>53</v>
      </c>
    </row>
    <row r="44" spans="1:23" x14ac:dyDescent="0.2">
      <c r="A44" s="14">
        <v>45891.814591793976</v>
      </c>
      <c r="B44" s="4" t="s">
        <v>23</v>
      </c>
      <c r="C44" s="4" t="s">
        <v>25</v>
      </c>
      <c r="D44" s="4" t="s">
        <v>34</v>
      </c>
      <c r="E44" s="4" t="s">
        <v>42</v>
      </c>
      <c r="F44" s="4"/>
      <c r="G44" s="4" t="s">
        <v>46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2</v>
      </c>
      <c r="O44" s="4">
        <v>1</v>
      </c>
      <c r="P44" s="4">
        <v>3</v>
      </c>
      <c r="Q44" s="4">
        <v>5</v>
      </c>
      <c r="R44" s="4">
        <v>5</v>
      </c>
      <c r="S44" s="4">
        <v>5</v>
      </c>
      <c r="T44" s="4" t="s">
        <v>49</v>
      </c>
      <c r="U44" s="4" t="s">
        <v>42</v>
      </c>
      <c r="V44" s="4" t="s">
        <v>41</v>
      </c>
      <c r="W44" s="4" t="s">
        <v>52</v>
      </c>
    </row>
    <row r="45" spans="1:23" x14ac:dyDescent="0.2">
      <c r="A45" s="14">
        <v>45891.822205277778</v>
      </c>
      <c r="B45" s="4" t="s">
        <v>24</v>
      </c>
      <c r="C45" s="4" t="s">
        <v>26</v>
      </c>
      <c r="D45" s="4" t="s">
        <v>31</v>
      </c>
      <c r="E45" s="4" t="s">
        <v>41</v>
      </c>
      <c r="F45" s="4" t="s">
        <v>43</v>
      </c>
      <c r="G45" s="4" t="s">
        <v>46</v>
      </c>
      <c r="H45" s="4">
        <v>5</v>
      </c>
      <c r="I45" s="4">
        <v>5</v>
      </c>
      <c r="J45" s="4">
        <v>5</v>
      </c>
      <c r="K45" s="4">
        <v>5</v>
      </c>
      <c r="L45" s="4">
        <v>5</v>
      </c>
      <c r="M45" s="4">
        <v>3</v>
      </c>
      <c r="N45" s="4">
        <v>3</v>
      </c>
      <c r="O45" s="4">
        <v>5</v>
      </c>
      <c r="P45" s="4">
        <v>1</v>
      </c>
      <c r="Q45" s="4">
        <v>5</v>
      </c>
      <c r="R45" s="4">
        <v>5</v>
      </c>
      <c r="S45" s="4">
        <v>5</v>
      </c>
      <c r="T45" s="4" t="s">
        <v>41</v>
      </c>
      <c r="U45" s="4" t="s">
        <v>41</v>
      </c>
      <c r="V45" s="4" t="s">
        <v>41</v>
      </c>
      <c r="W45" s="4" t="s">
        <v>53</v>
      </c>
    </row>
    <row r="46" spans="1:23" x14ac:dyDescent="0.2">
      <c r="A46" s="14">
        <v>45891.823933796302</v>
      </c>
      <c r="B46" s="4" t="s">
        <v>23</v>
      </c>
      <c r="C46" s="4" t="s">
        <v>25</v>
      </c>
      <c r="D46" s="4" t="s">
        <v>31</v>
      </c>
      <c r="E46" s="4" t="s">
        <v>42</v>
      </c>
      <c r="F46" s="4"/>
      <c r="G46" s="4" t="s">
        <v>47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4</v>
      </c>
      <c r="R46" s="4">
        <v>5</v>
      </c>
      <c r="S46" s="4">
        <v>3</v>
      </c>
      <c r="T46" s="4" t="s">
        <v>41</v>
      </c>
      <c r="U46" s="4" t="s">
        <v>41</v>
      </c>
      <c r="V46" s="4" t="s">
        <v>41</v>
      </c>
      <c r="W46" s="4" t="s">
        <v>53</v>
      </c>
    </row>
    <row r="47" spans="1:23" x14ac:dyDescent="0.2">
      <c r="A47" s="14">
        <v>45891.829873622693</v>
      </c>
      <c r="B47" s="4" t="s">
        <v>23</v>
      </c>
      <c r="C47" s="4" t="s">
        <v>25</v>
      </c>
      <c r="D47" s="4" t="s">
        <v>35</v>
      </c>
      <c r="E47" s="4" t="s">
        <v>42</v>
      </c>
      <c r="F47" s="4"/>
      <c r="G47" s="4" t="s">
        <v>47</v>
      </c>
      <c r="H47" s="4">
        <v>5</v>
      </c>
      <c r="I47" s="4">
        <v>5</v>
      </c>
      <c r="J47" s="4">
        <v>5</v>
      </c>
      <c r="K47" s="4">
        <v>4</v>
      </c>
      <c r="L47" s="4">
        <v>5</v>
      </c>
      <c r="M47" s="4">
        <v>2</v>
      </c>
      <c r="N47" s="4">
        <v>3</v>
      </c>
      <c r="O47" s="4">
        <v>2</v>
      </c>
      <c r="P47" s="4">
        <v>2</v>
      </c>
      <c r="Q47" s="4">
        <v>1</v>
      </c>
      <c r="R47" s="4">
        <v>1</v>
      </c>
      <c r="S47" s="4">
        <v>3</v>
      </c>
      <c r="T47" s="4" t="s">
        <v>49</v>
      </c>
      <c r="U47" s="4" t="s">
        <v>42</v>
      </c>
      <c r="V47" s="4" t="s">
        <v>42</v>
      </c>
      <c r="W47" s="4" t="s">
        <v>51</v>
      </c>
    </row>
    <row r="48" spans="1:23" x14ac:dyDescent="0.2">
      <c r="A48" s="14">
        <v>45891.833718043978</v>
      </c>
      <c r="B48" s="4" t="s">
        <v>23</v>
      </c>
      <c r="C48" s="4" t="s">
        <v>25</v>
      </c>
      <c r="D48" s="4" t="s">
        <v>35</v>
      </c>
      <c r="E48" s="4" t="s">
        <v>42</v>
      </c>
      <c r="F48" s="4"/>
      <c r="G48" s="4" t="s">
        <v>47</v>
      </c>
      <c r="H48" s="4">
        <v>5</v>
      </c>
      <c r="I48" s="4">
        <v>5</v>
      </c>
      <c r="J48" s="4">
        <v>5</v>
      </c>
      <c r="K48" s="4">
        <v>4</v>
      </c>
      <c r="L48" s="4">
        <v>5</v>
      </c>
      <c r="M48" s="4">
        <v>1</v>
      </c>
      <c r="N48" s="4">
        <v>1</v>
      </c>
      <c r="O48" s="4">
        <v>2</v>
      </c>
      <c r="P48" s="4">
        <v>5</v>
      </c>
      <c r="Q48" s="4">
        <v>5</v>
      </c>
      <c r="R48" s="4">
        <v>5</v>
      </c>
      <c r="S48" s="4">
        <v>1</v>
      </c>
      <c r="T48" s="4" t="s">
        <v>49</v>
      </c>
      <c r="U48" s="4" t="s">
        <v>42</v>
      </c>
      <c r="V48" s="4" t="s">
        <v>42</v>
      </c>
      <c r="W48" s="4" t="s">
        <v>51</v>
      </c>
    </row>
    <row r="49" spans="1:23" x14ac:dyDescent="0.2">
      <c r="A49" s="14">
        <v>45891.845107048612</v>
      </c>
      <c r="B49" s="4" t="s">
        <v>23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5</v>
      </c>
      <c r="I49" s="4">
        <v>5</v>
      </c>
      <c r="J49" s="4">
        <v>5</v>
      </c>
      <c r="K49" s="4">
        <v>4</v>
      </c>
      <c r="L49" s="4">
        <v>5</v>
      </c>
      <c r="M49" s="4">
        <v>3</v>
      </c>
      <c r="N49" s="4">
        <v>3</v>
      </c>
      <c r="O49" s="4">
        <v>5</v>
      </c>
      <c r="P49" s="4">
        <v>5</v>
      </c>
      <c r="Q49" s="4">
        <v>5</v>
      </c>
      <c r="R49" s="4">
        <v>5</v>
      </c>
      <c r="S49" s="4">
        <v>4</v>
      </c>
      <c r="T49" s="4" t="s">
        <v>41</v>
      </c>
      <c r="U49" s="4" t="s">
        <v>41</v>
      </c>
      <c r="V49" s="4" t="s">
        <v>41</v>
      </c>
      <c r="W49" s="4" t="s">
        <v>51</v>
      </c>
    </row>
    <row r="50" spans="1:23" x14ac:dyDescent="0.2">
      <c r="A50" s="14">
        <v>45891.857246782412</v>
      </c>
      <c r="B50" s="4" t="s">
        <v>23</v>
      </c>
      <c r="C50" s="4" t="s">
        <v>25</v>
      </c>
      <c r="D50" s="4" t="s">
        <v>36</v>
      </c>
      <c r="E50" s="4" t="s">
        <v>42</v>
      </c>
      <c r="F50" s="4"/>
      <c r="G50" s="4" t="s">
        <v>47</v>
      </c>
      <c r="H50" s="4">
        <v>5</v>
      </c>
      <c r="I50" s="4">
        <v>5</v>
      </c>
      <c r="J50" s="4">
        <v>5</v>
      </c>
      <c r="K50" s="4">
        <v>4</v>
      </c>
      <c r="L50" s="4">
        <v>5</v>
      </c>
      <c r="M50" s="4">
        <v>2</v>
      </c>
      <c r="N50" s="4">
        <v>1</v>
      </c>
      <c r="O50" s="4">
        <v>2</v>
      </c>
      <c r="P50" s="4">
        <v>3</v>
      </c>
      <c r="Q50" s="4">
        <v>5</v>
      </c>
      <c r="R50" s="4">
        <v>5</v>
      </c>
      <c r="S50" s="4">
        <v>1</v>
      </c>
      <c r="T50" s="4" t="s">
        <v>49</v>
      </c>
      <c r="U50" s="4" t="s">
        <v>42</v>
      </c>
      <c r="V50" s="4" t="s">
        <v>42</v>
      </c>
      <c r="W50" s="4" t="s">
        <v>51</v>
      </c>
    </row>
    <row r="51" spans="1:23" x14ac:dyDescent="0.2">
      <c r="A51" s="14">
        <v>45891.881441238424</v>
      </c>
      <c r="B51" s="4" t="s">
        <v>24</v>
      </c>
      <c r="C51" s="4" t="s">
        <v>26</v>
      </c>
      <c r="D51" s="4" t="s">
        <v>37</v>
      </c>
      <c r="E51" s="4" t="s">
        <v>42</v>
      </c>
      <c r="F51" s="4"/>
      <c r="G51" s="4" t="s">
        <v>46</v>
      </c>
      <c r="H51" s="4">
        <v>5</v>
      </c>
      <c r="I51" s="4">
        <v>5</v>
      </c>
      <c r="J51" s="4">
        <v>5</v>
      </c>
      <c r="K51" s="4">
        <v>4</v>
      </c>
      <c r="L51" s="4">
        <v>5</v>
      </c>
      <c r="M51" s="4">
        <v>1</v>
      </c>
      <c r="N51" s="4">
        <v>1</v>
      </c>
      <c r="O51" s="4">
        <v>3</v>
      </c>
      <c r="P51" s="4">
        <v>3</v>
      </c>
      <c r="Q51" s="4">
        <v>1</v>
      </c>
      <c r="R51" s="4">
        <v>1</v>
      </c>
      <c r="S51" s="4">
        <v>1</v>
      </c>
      <c r="T51" s="4" t="s">
        <v>49</v>
      </c>
      <c r="U51" s="4" t="s">
        <v>42</v>
      </c>
      <c r="V51" s="4" t="s">
        <v>42</v>
      </c>
      <c r="W51" s="4" t="s">
        <v>51</v>
      </c>
    </row>
    <row r="52" spans="1:23" x14ac:dyDescent="0.2">
      <c r="A52" s="14">
        <v>45891.896045520843</v>
      </c>
      <c r="B52" s="4" t="s">
        <v>23</v>
      </c>
      <c r="C52" s="4" t="s">
        <v>26</v>
      </c>
      <c r="D52" s="4" t="s">
        <v>38</v>
      </c>
      <c r="E52" s="4" t="s">
        <v>42</v>
      </c>
      <c r="F52" s="4"/>
      <c r="G52" s="4" t="s">
        <v>47</v>
      </c>
      <c r="H52" s="4">
        <v>5</v>
      </c>
      <c r="I52" s="4">
        <v>5</v>
      </c>
      <c r="J52" s="4">
        <v>5</v>
      </c>
      <c r="K52" s="4">
        <v>4</v>
      </c>
      <c r="L52" s="4">
        <v>5</v>
      </c>
      <c r="M52" s="4">
        <v>3</v>
      </c>
      <c r="N52" s="4">
        <v>4</v>
      </c>
      <c r="O52" s="4">
        <v>2</v>
      </c>
      <c r="P52" s="4">
        <v>4</v>
      </c>
      <c r="Q52" s="4">
        <v>5</v>
      </c>
      <c r="R52" s="4">
        <v>2</v>
      </c>
      <c r="S52" s="4">
        <v>3</v>
      </c>
      <c r="T52" s="4" t="s">
        <v>41</v>
      </c>
      <c r="U52" s="4" t="s">
        <v>41</v>
      </c>
      <c r="V52" s="4" t="s">
        <v>41</v>
      </c>
      <c r="W52" s="4" t="s">
        <v>50</v>
      </c>
    </row>
    <row r="53" spans="1:23" x14ac:dyDescent="0.2">
      <c r="A53" s="14">
        <v>45891.908314074077</v>
      </c>
      <c r="B53" s="4" t="s">
        <v>23</v>
      </c>
      <c r="C53" s="4" t="s">
        <v>25</v>
      </c>
      <c r="D53" s="4" t="s">
        <v>38</v>
      </c>
      <c r="E53" s="4" t="s">
        <v>42</v>
      </c>
      <c r="F53" s="4"/>
      <c r="G53" s="4" t="s">
        <v>47</v>
      </c>
      <c r="H53" s="4">
        <v>5</v>
      </c>
      <c r="I53" s="4">
        <v>5</v>
      </c>
      <c r="J53" s="4">
        <v>5</v>
      </c>
      <c r="K53" s="4">
        <v>4</v>
      </c>
      <c r="L53" s="4">
        <v>5</v>
      </c>
      <c r="M53" s="4">
        <v>1</v>
      </c>
      <c r="N53" s="4">
        <v>1</v>
      </c>
      <c r="O53" s="4">
        <v>1</v>
      </c>
      <c r="P53" s="4">
        <v>3</v>
      </c>
      <c r="Q53" s="4">
        <v>5</v>
      </c>
      <c r="R53" s="4">
        <v>1</v>
      </c>
      <c r="S53" s="4">
        <v>1</v>
      </c>
      <c r="T53" s="4" t="s">
        <v>49</v>
      </c>
      <c r="U53" s="4" t="s">
        <v>41</v>
      </c>
      <c r="V53" s="4" t="s">
        <v>42</v>
      </c>
      <c r="W53" s="4" t="s">
        <v>51</v>
      </c>
    </row>
    <row r="54" spans="1:23" x14ac:dyDescent="0.2">
      <c r="A54" s="14">
        <v>45891.90954453704</v>
      </c>
      <c r="B54" s="4" t="s">
        <v>23</v>
      </c>
      <c r="C54" s="4" t="s">
        <v>25</v>
      </c>
      <c r="D54" s="4" t="s">
        <v>30</v>
      </c>
      <c r="E54" s="4" t="s">
        <v>42</v>
      </c>
      <c r="F54" s="4"/>
      <c r="G54" s="4" t="s">
        <v>48</v>
      </c>
      <c r="H54" s="4">
        <v>5</v>
      </c>
      <c r="I54" s="4">
        <v>5</v>
      </c>
      <c r="J54" s="4">
        <v>5</v>
      </c>
      <c r="K54" s="4">
        <v>4</v>
      </c>
      <c r="L54" s="4">
        <v>5</v>
      </c>
      <c r="M54" s="4">
        <v>3</v>
      </c>
      <c r="N54" s="4">
        <v>1</v>
      </c>
      <c r="O54" s="4">
        <v>3</v>
      </c>
      <c r="P54" s="4">
        <v>3</v>
      </c>
      <c r="Q54" s="4">
        <v>5</v>
      </c>
      <c r="R54" s="4">
        <v>4</v>
      </c>
      <c r="S54" s="4">
        <v>1</v>
      </c>
      <c r="T54" s="4" t="s">
        <v>49</v>
      </c>
      <c r="U54" s="4" t="s">
        <v>42</v>
      </c>
      <c r="V54" s="4" t="s">
        <v>42</v>
      </c>
      <c r="W54" s="4" t="s">
        <v>51</v>
      </c>
    </row>
    <row r="55" spans="1:23" x14ac:dyDescent="0.2">
      <c r="A55" s="14">
        <v>45891.924383576392</v>
      </c>
      <c r="B55" s="4" t="s">
        <v>24</v>
      </c>
      <c r="C55" s="4" t="s">
        <v>25</v>
      </c>
      <c r="D55" s="4" t="s">
        <v>38</v>
      </c>
      <c r="E55" s="4" t="s">
        <v>41</v>
      </c>
      <c r="F55" s="4" t="s">
        <v>44</v>
      </c>
      <c r="G55" s="4" t="s">
        <v>46</v>
      </c>
      <c r="H55" s="4">
        <v>5</v>
      </c>
      <c r="I55" s="4">
        <v>5</v>
      </c>
      <c r="J55" s="4">
        <v>4</v>
      </c>
      <c r="K55" s="4">
        <v>4</v>
      </c>
      <c r="L55" s="4">
        <v>4</v>
      </c>
      <c r="M55" s="4">
        <v>4</v>
      </c>
      <c r="N55" s="4">
        <v>3</v>
      </c>
      <c r="O55" s="4">
        <v>4</v>
      </c>
      <c r="P55" s="4">
        <v>3</v>
      </c>
      <c r="Q55" s="4">
        <v>4</v>
      </c>
      <c r="R55" s="4">
        <v>3</v>
      </c>
      <c r="S55" s="4">
        <v>3</v>
      </c>
      <c r="T55" s="4" t="s">
        <v>49</v>
      </c>
      <c r="U55" s="4" t="s">
        <v>41</v>
      </c>
      <c r="V55" s="4" t="s">
        <v>41</v>
      </c>
      <c r="W55" s="4" t="s">
        <v>51</v>
      </c>
    </row>
    <row r="56" spans="1:23" x14ac:dyDescent="0.2">
      <c r="A56" s="14">
        <v>45891.946312974527</v>
      </c>
      <c r="B56" s="4" t="s">
        <v>24</v>
      </c>
      <c r="C56" s="4" t="s">
        <v>26</v>
      </c>
      <c r="D56" s="4" t="s">
        <v>31</v>
      </c>
      <c r="E56" s="4" t="s">
        <v>42</v>
      </c>
      <c r="F56" s="4"/>
      <c r="G56" s="4" t="s">
        <v>46</v>
      </c>
      <c r="H56" s="4">
        <v>5</v>
      </c>
      <c r="I56" s="4">
        <v>5</v>
      </c>
      <c r="J56" s="4">
        <v>5</v>
      </c>
      <c r="K56" s="4">
        <v>4</v>
      </c>
      <c r="L56" s="4">
        <v>5</v>
      </c>
      <c r="M56" s="4">
        <v>3</v>
      </c>
      <c r="N56" s="4">
        <v>2</v>
      </c>
      <c r="O56" s="4">
        <v>2</v>
      </c>
      <c r="P56" s="4">
        <v>4</v>
      </c>
      <c r="Q56" s="4">
        <v>5</v>
      </c>
      <c r="R56" s="4">
        <v>5</v>
      </c>
      <c r="S56" s="4">
        <v>4</v>
      </c>
      <c r="T56" s="4" t="s">
        <v>41</v>
      </c>
      <c r="U56" s="4" t="s">
        <v>41</v>
      </c>
      <c r="V56" s="4" t="s">
        <v>41</v>
      </c>
      <c r="W56" s="4" t="s">
        <v>53</v>
      </c>
    </row>
    <row r="57" spans="1:23" x14ac:dyDescent="0.2">
      <c r="A57" s="14">
        <v>45891.947571550932</v>
      </c>
      <c r="B57" s="4" t="s">
        <v>22</v>
      </c>
      <c r="C57" s="4" t="s">
        <v>26</v>
      </c>
      <c r="D57" s="4" t="s">
        <v>31</v>
      </c>
      <c r="E57" s="4" t="s">
        <v>42</v>
      </c>
      <c r="F57" s="4"/>
      <c r="G57" s="4" t="s">
        <v>46</v>
      </c>
      <c r="H57" s="4">
        <v>5</v>
      </c>
      <c r="I57" s="4">
        <v>5</v>
      </c>
      <c r="J57" s="4">
        <v>5</v>
      </c>
      <c r="K57" s="4">
        <v>4</v>
      </c>
      <c r="L57" s="4">
        <v>5</v>
      </c>
      <c r="M57" s="4">
        <v>3</v>
      </c>
      <c r="N57" s="4">
        <v>3</v>
      </c>
      <c r="O57" s="4">
        <v>3</v>
      </c>
      <c r="P57" s="4">
        <v>2</v>
      </c>
      <c r="Q57" s="4">
        <v>5</v>
      </c>
      <c r="R57" s="4">
        <v>2</v>
      </c>
      <c r="S57" s="4">
        <v>2</v>
      </c>
      <c r="T57" s="4" t="s">
        <v>41</v>
      </c>
      <c r="U57" s="4" t="s">
        <v>41</v>
      </c>
      <c r="V57" s="4" t="s">
        <v>41</v>
      </c>
      <c r="W57" s="4" t="s">
        <v>53</v>
      </c>
    </row>
    <row r="58" spans="1:23" x14ac:dyDescent="0.2">
      <c r="A58" s="14">
        <v>45891.948608645827</v>
      </c>
      <c r="B58" s="4" t="s">
        <v>24</v>
      </c>
      <c r="C58" s="4" t="s">
        <v>25</v>
      </c>
      <c r="D58" s="4" t="s">
        <v>29</v>
      </c>
      <c r="E58" s="4" t="s">
        <v>42</v>
      </c>
      <c r="F58" s="4"/>
      <c r="G58" s="4" t="s">
        <v>46</v>
      </c>
      <c r="H58" s="4">
        <v>5</v>
      </c>
      <c r="I58" s="4">
        <v>4</v>
      </c>
      <c r="J58" s="4">
        <v>5</v>
      </c>
      <c r="K58" s="4">
        <v>4</v>
      </c>
      <c r="L58" s="4">
        <v>5</v>
      </c>
      <c r="M58" s="4">
        <v>4</v>
      </c>
      <c r="N58" s="4">
        <v>1</v>
      </c>
      <c r="O58" s="4">
        <v>2</v>
      </c>
      <c r="P58" s="4">
        <v>5</v>
      </c>
      <c r="Q58" s="4">
        <v>3</v>
      </c>
      <c r="R58" s="4">
        <v>4</v>
      </c>
      <c r="S58" s="4">
        <v>4</v>
      </c>
      <c r="T58" s="4" t="s">
        <v>49</v>
      </c>
      <c r="U58" s="4" t="s">
        <v>41</v>
      </c>
      <c r="V58" s="4" t="s">
        <v>41</v>
      </c>
      <c r="W58" s="4" t="s">
        <v>51</v>
      </c>
    </row>
    <row r="59" spans="1:23" x14ac:dyDescent="0.2">
      <c r="A59" s="14">
        <v>45891.949104872678</v>
      </c>
      <c r="B59" s="4" t="s">
        <v>24</v>
      </c>
      <c r="C59" s="4" t="s">
        <v>26</v>
      </c>
      <c r="D59" s="4" t="s">
        <v>31</v>
      </c>
      <c r="E59" s="4" t="s">
        <v>42</v>
      </c>
      <c r="F59" s="4"/>
      <c r="G59" s="4" t="s">
        <v>46</v>
      </c>
      <c r="H59" s="4">
        <v>5</v>
      </c>
      <c r="I59" s="4">
        <v>4</v>
      </c>
      <c r="J59" s="4">
        <v>5</v>
      </c>
      <c r="K59" s="4">
        <v>4</v>
      </c>
      <c r="L59" s="4">
        <v>5</v>
      </c>
      <c r="M59" s="4">
        <v>5</v>
      </c>
      <c r="N59" s="4">
        <v>5</v>
      </c>
      <c r="O59" s="4">
        <v>5</v>
      </c>
      <c r="P59" s="4">
        <v>3</v>
      </c>
      <c r="Q59" s="4">
        <v>5</v>
      </c>
      <c r="R59" s="4">
        <v>5</v>
      </c>
      <c r="S59" s="4">
        <v>5</v>
      </c>
      <c r="T59" s="4" t="s">
        <v>41</v>
      </c>
      <c r="U59" s="4" t="s">
        <v>41</v>
      </c>
      <c r="V59" s="4" t="s">
        <v>42</v>
      </c>
      <c r="W59" s="4" t="s">
        <v>51</v>
      </c>
    </row>
    <row r="60" spans="1:23" x14ac:dyDescent="0.2">
      <c r="A60" s="14">
        <v>45891.954857013887</v>
      </c>
      <c r="B60" s="4" t="s">
        <v>24</v>
      </c>
      <c r="C60" s="4" t="s">
        <v>26</v>
      </c>
      <c r="D60" s="4" t="s">
        <v>31</v>
      </c>
      <c r="E60" s="4" t="s">
        <v>42</v>
      </c>
      <c r="F60" s="4"/>
      <c r="G60" s="4" t="s">
        <v>46</v>
      </c>
      <c r="H60" s="4">
        <v>4</v>
      </c>
      <c r="I60" s="4">
        <v>4</v>
      </c>
      <c r="J60" s="4">
        <v>5</v>
      </c>
      <c r="K60" s="4">
        <v>4</v>
      </c>
      <c r="L60" s="4">
        <v>5</v>
      </c>
      <c r="M60" s="4">
        <v>1</v>
      </c>
      <c r="N60" s="4">
        <v>1</v>
      </c>
      <c r="O60" s="4">
        <v>1</v>
      </c>
      <c r="P60" s="4">
        <v>3</v>
      </c>
      <c r="Q60" s="4">
        <v>1</v>
      </c>
      <c r="R60" s="4">
        <v>5</v>
      </c>
      <c r="S60" s="4">
        <v>3</v>
      </c>
      <c r="T60" s="4" t="s">
        <v>41</v>
      </c>
      <c r="U60" s="4" t="s">
        <v>41</v>
      </c>
      <c r="V60" s="4" t="s">
        <v>42</v>
      </c>
      <c r="W60" s="4" t="s">
        <v>50</v>
      </c>
    </row>
    <row r="61" spans="1:23" x14ac:dyDescent="0.2">
      <c r="A61" s="14">
        <v>45891.958157060188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4</v>
      </c>
      <c r="I61" s="4">
        <v>4</v>
      </c>
      <c r="J61" s="4">
        <v>5</v>
      </c>
      <c r="K61" s="4">
        <v>4</v>
      </c>
      <c r="L61" s="4">
        <v>5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1</v>
      </c>
      <c r="S61" s="4">
        <v>1</v>
      </c>
      <c r="T61" s="4" t="s">
        <v>41</v>
      </c>
      <c r="U61" s="4" t="s">
        <v>41</v>
      </c>
      <c r="V61" s="4" t="s">
        <v>41</v>
      </c>
      <c r="W61" s="4" t="s">
        <v>51</v>
      </c>
    </row>
    <row r="62" spans="1:23" x14ac:dyDescent="0.2">
      <c r="A62" s="14">
        <v>45891.96002633102</v>
      </c>
      <c r="B62" s="4" t="s">
        <v>22</v>
      </c>
      <c r="C62" s="4" t="s">
        <v>25</v>
      </c>
      <c r="D62" s="4" t="s">
        <v>31</v>
      </c>
      <c r="E62" s="4" t="s">
        <v>42</v>
      </c>
      <c r="F62" s="4"/>
      <c r="G62" s="4" t="s">
        <v>47</v>
      </c>
      <c r="H62" s="4">
        <v>4</v>
      </c>
      <c r="I62" s="4">
        <v>4</v>
      </c>
      <c r="J62" s="4">
        <v>5</v>
      </c>
      <c r="K62" s="4">
        <v>4</v>
      </c>
      <c r="L62" s="4">
        <v>5</v>
      </c>
      <c r="M62" s="4">
        <v>3</v>
      </c>
      <c r="N62" s="4">
        <v>4</v>
      </c>
      <c r="O62" s="4">
        <v>2</v>
      </c>
      <c r="P62" s="4">
        <v>3</v>
      </c>
      <c r="Q62" s="4">
        <v>2</v>
      </c>
      <c r="R62" s="4">
        <v>4</v>
      </c>
      <c r="S62" s="4">
        <v>4</v>
      </c>
      <c r="T62" s="4" t="s">
        <v>49</v>
      </c>
      <c r="U62" s="4" t="s">
        <v>42</v>
      </c>
      <c r="V62" s="4" t="s">
        <v>42</v>
      </c>
      <c r="W62" s="4" t="s">
        <v>53</v>
      </c>
    </row>
    <row r="63" spans="1:23" x14ac:dyDescent="0.2">
      <c r="A63" s="14">
        <v>45891.960829305557</v>
      </c>
      <c r="B63" s="4" t="s">
        <v>24</v>
      </c>
      <c r="C63" s="4" t="s">
        <v>26</v>
      </c>
      <c r="D63" s="4" t="s">
        <v>31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5</v>
      </c>
      <c r="K63" s="4">
        <v>4</v>
      </c>
      <c r="L63" s="4">
        <v>5</v>
      </c>
      <c r="M63" s="4">
        <v>5</v>
      </c>
      <c r="N63" s="4">
        <v>5</v>
      </c>
      <c r="O63" s="4">
        <v>5</v>
      </c>
      <c r="P63" s="4">
        <v>3</v>
      </c>
      <c r="Q63" s="4">
        <v>1</v>
      </c>
      <c r="R63" s="4">
        <v>4</v>
      </c>
      <c r="S63" s="4">
        <v>5</v>
      </c>
      <c r="T63" s="4" t="s">
        <v>41</v>
      </c>
      <c r="U63" s="4" t="s">
        <v>41</v>
      </c>
      <c r="V63" s="4" t="s">
        <v>41</v>
      </c>
      <c r="W63" s="4" t="s">
        <v>53</v>
      </c>
    </row>
    <row r="64" spans="1:23" x14ac:dyDescent="0.2">
      <c r="A64" s="14">
        <v>45891.961590474537</v>
      </c>
      <c r="B64" s="4" t="s">
        <v>24</v>
      </c>
      <c r="C64" s="4" t="s">
        <v>26</v>
      </c>
      <c r="D64" s="4" t="s">
        <v>31</v>
      </c>
      <c r="E64" s="4" t="s">
        <v>42</v>
      </c>
      <c r="F64" s="4"/>
      <c r="G64" s="4" t="s">
        <v>46</v>
      </c>
      <c r="H64" s="4">
        <v>4</v>
      </c>
      <c r="I64" s="4">
        <v>4</v>
      </c>
      <c r="J64" s="4">
        <v>5</v>
      </c>
      <c r="K64" s="4">
        <v>4</v>
      </c>
      <c r="L64" s="4">
        <v>5</v>
      </c>
      <c r="M64" s="4">
        <v>5</v>
      </c>
      <c r="N64" s="4">
        <v>5</v>
      </c>
      <c r="O64" s="4">
        <v>5</v>
      </c>
      <c r="P64" s="4">
        <v>5</v>
      </c>
      <c r="Q64" s="4">
        <v>1</v>
      </c>
      <c r="R64" s="4">
        <v>1</v>
      </c>
      <c r="S64" s="4">
        <v>5</v>
      </c>
      <c r="T64" s="4" t="s">
        <v>41</v>
      </c>
      <c r="U64" s="4" t="s">
        <v>41</v>
      </c>
      <c r="V64" s="4" t="s">
        <v>41</v>
      </c>
      <c r="W64" s="4" t="s">
        <v>53</v>
      </c>
    </row>
    <row r="65" spans="1:23" x14ac:dyDescent="0.2">
      <c r="A65" s="14">
        <v>45891.963381331021</v>
      </c>
      <c r="B65" s="4" t="s">
        <v>22</v>
      </c>
      <c r="C65" s="4" t="s">
        <v>26</v>
      </c>
      <c r="D65" s="4" t="s">
        <v>31</v>
      </c>
      <c r="E65" s="4" t="s">
        <v>42</v>
      </c>
      <c r="F65" s="4"/>
      <c r="G65" s="4" t="s">
        <v>47</v>
      </c>
      <c r="H65" s="4">
        <v>4</v>
      </c>
      <c r="I65" s="4">
        <v>4</v>
      </c>
      <c r="J65" s="4">
        <v>5</v>
      </c>
      <c r="K65" s="4">
        <v>4</v>
      </c>
      <c r="L65" s="4">
        <v>3</v>
      </c>
      <c r="M65" s="4">
        <v>5</v>
      </c>
      <c r="N65" s="4">
        <v>5</v>
      </c>
      <c r="O65" s="4">
        <v>5</v>
      </c>
      <c r="P65" s="4">
        <v>5</v>
      </c>
      <c r="Q65" s="4">
        <v>5</v>
      </c>
      <c r="R65" s="4">
        <v>5</v>
      </c>
      <c r="S65" s="4">
        <v>5</v>
      </c>
      <c r="T65" s="4" t="s">
        <v>41</v>
      </c>
      <c r="U65" s="4" t="s">
        <v>41</v>
      </c>
      <c r="V65" s="4" t="s">
        <v>42</v>
      </c>
      <c r="W65" s="4" t="s">
        <v>53</v>
      </c>
    </row>
    <row r="66" spans="1:23" x14ac:dyDescent="0.2">
      <c r="A66" s="14">
        <v>45891.965678043976</v>
      </c>
      <c r="B66" s="4" t="s">
        <v>24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5</v>
      </c>
      <c r="K66" s="4">
        <v>4</v>
      </c>
      <c r="L66" s="4">
        <v>3</v>
      </c>
      <c r="M66" s="4">
        <v>1</v>
      </c>
      <c r="N66" s="4">
        <v>1</v>
      </c>
      <c r="O66" s="4">
        <v>1</v>
      </c>
      <c r="P66" s="4">
        <v>1</v>
      </c>
      <c r="Q66" s="4">
        <v>5</v>
      </c>
      <c r="R66" s="4">
        <v>1</v>
      </c>
      <c r="S66" s="4">
        <v>1</v>
      </c>
      <c r="T66" s="4" t="s">
        <v>49</v>
      </c>
      <c r="U66" s="4" t="s">
        <v>41</v>
      </c>
      <c r="V66" s="4" t="s">
        <v>41</v>
      </c>
      <c r="W66" s="4" t="s">
        <v>53</v>
      </c>
    </row>
    <row r="67" spans="1:23" x14ac:dyDescent="0.2">
      <c r="A67" s="14">
        <v>45891.96641922454</v>
      </c>
      <c r="B67" s="4" t="s">
        <v>24</v>
      </c>
      <c r="C67" s="4" t="s">
        <v>26</v>
      </c>
      <c r="D67" s="4" t="s">
        <v>31</v>
      </c>
      <c r="E67" s="4" t="s">
        <v>41</v>
      </c>
      <c r="F67" s="4" t="s">
        <v>45</v>
      </c>
      <c r="G67" s="4" t="s">
        <v>46</v>
      </c>
      <c r="H67" s="4">
        <v>5</v>
      </c>
      <c r="I67" s="4">
        <v>5</v>
      </c>
      <c r="J67" s="4">
        <v>5</v>
      </c>
      <c r="K67" s="4">
        <v>5</v>
      </c>
      <c r="L67" s="4">
        <v>5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 t="s">
        <v>49</v>
      </c>
      <c r="U67" s="4" t="s">
        <v>42</v>
      </c>
      <c r="V67" s="4" t="s">
        <v>42</v>
      </c>
      <c r="W67" s="4" t="s">
        <v>53</v>
      </c>
    </row>
    <row r="68" spans="1:23" x14ac:dyDescent="0.2">
      <c r="A68" s="14">
        <v>45891.972280532413</v>
      </c>
      <c r="B68" s="4" t="s">
        <v>24</v>
      </c>
      <c r="C68" s="4" t="s">
        <v>26</v>
      </c>
      <c r="D68" s="4" t="s">
        <v>31</v>
      </c>
      <c r="E68" s="4" t="s">
        <v>42</v>
      </c>
      <c r="F68" s="4"/>
      <c r="G68" s="4" t="s">
        <v>46</v>
      </c>
      <c r="H68" s="4">
        <v>4</v>
      </c>
      <c r="I68" s="4">
        <v>4</v>
      </c>
      <c r="J68" s="4">
        <v>5</v>
      </c>
      <c r="K68" s="4">
        <v>4</v>
      </c>
      <c r="L68" s="4">
        <v>3</v>
      </c>
      <c r="M68" s="4">
        <v>4</v>
      </c>
      <c r="N68" s="4">
        <v>3</v>
      </c>
      <c r="O68" s="4">
        <v>3</v>
      </c>
      <c r="P68" s="4">
        <v>3</v>
      </c>
      <c r="Q68" s="4">
        <v>1</v>
      </c>
      <c r="R68" s="4">
        <v>5</v>
      </c>
      <c r="S68" s="4">
        <v>5</v>
      </c>
      <c r="T68" s="4" t="s">
        <v>41</v>
      </c>
      <c r="U68" s="4" t="s">
        <v>41</v>
      </c>
      <c r="V68" s="4" t="s">
        <v>41</v>
      </c>
      <c r="W68" s="4" t="s">
        <v>53</v>
      </c>
    </row>
    <row r="69" spans="1:23" x14ac:dyDescent="0.2">
      <c r="A69" s="14">
        <v>45891.974622754627</v>
      </c>
      <c r="B69" s="4" t="s">
        <v>24</v>
      </c>
      <c r="C69" s="4" t="s">
        <v>25</v>
      </c>
      <c r="D69" s="4" t="s">
        <v>37</v>
      </c>
      <c r="E69" s="4" t="s">
        <v>42</v>
      </c>
      <c r="F69" s="4"/>
      <c r="G69" s="4" t="s">
        <v>46</v>
      </c>
      <c r="H69" s="4">
        <v>4</v>
      </c>
      <c r="I69" s="4">
        <v>4</v>
      </c>
      <c r="J69" s="4">
        <v>5</v>
      </c>
      <c r="K69" s="4">
        <v>3</v>
      </c>
      <c r="L69" s="4">
        <v>3</v>
      </c>
      <c r="M69" s="4">
        <v>3</v>
      </c>
      <c r="N69" s="4">
        <v>1</v>
      </c>
      <c r="O69" s="4">
        <v>1</v>
      </c>
      <c r="P69" s="4">
        <v>4</v>
      </c>
      <c r="Q69" s="4">
        <v>5</v>
      </c>
      <c r="R69" s="4">
        <v>5</v>
      </c>
      <c r="S69" s="4">
        <v>2</v>
      </c>
      <c r="T69" s="4" t="s">
        <v>49</v>
      </c>
      <c r="U69" s="4" t="s">
        <v>42</v>
      </c>
      <c r="V69" s="4" t="s">
        <v>42</v>
      </c>
      <c r="W69" s="4" t="s">
        <v>52</v>
      </c>
    </row>
    <row r="70" spans="1:23" x14ac:dyDescent="0.2">
      <c r="A70" s="14">
        <v>45891.98212547454</v>
      </c>
      <c r="B70" s="4" t="s">
        <v>24</v>
      </c>
      <c r="C70" s="4" t="s">
        <v>26</v>
      </c>
      <c r="D70" s="4" t="s">
        <v>31</v>
      </c>
      <c r="E70" s="4" t="s">
        <v>42</v>
      </c>
      <c r="F70" s="4"/>
      <c r="G70" s="4" t="s">
        <v>46</v>
      </c>
      <c r="H70" s="4">
        <v>4</v>
      </c>
      <c r="I70" s="4">
        <v>4</v>
      </c>
      <c r="J70" s="4">
        <v>5</v>
      </c>
      <c r="K70" s="4">
        <v>3</v>
      </c>
      <c r="L70" s="4">
        <v>3</v>
      </c>
      <c r="M70" s="4">
        <v>5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4</v>
      </c>
      <c r="T70" s="4" t="s">
        <v>41</v>
      </c>
      <c r="U70" s="4" t="s">
        <v>42</v>
      </c>
      <c r="V70" s="4" t="s">
        <v>41</v>
      </c>
      <c r="W70" s="4" t="s">
        <v>51</v>
      </c>
    </row>
    <row r="71" spans="1:23" x14ac:dyDescent="0.2">
      <c r="A71" s="14">
        <v>45891.986594560192</v>
      </c>
      <c r="B71" s="4" t="s">
        <v>22</v>
      </c>
      <c r="C71" s="4" t="s">
        <v>25</v>
      </c>
      <c r="D71" s="4" t="s">
        <v>39</v>
      </c>
      <c r="E71" s="4" t="s">
        <v>42</v>
      </c>
      <c r="F71" s="4"/>
      <c r="G71" s="4" t="s">
        <v>47</v>
      </c>
      <c r="H71" s="4">
        <v>4</v>
      </c>
      <c r="I71" s="4">
        <v>4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4</v>
      </c>
      <c r="R71" s="4">
        <v>3</v>
      </c>
      <c r="S71" s="4">
        <v>2</v>
      </c>
      <c r="T71" s="4" t="s">
        <v>49</v>
      </c>
      <c r="U71" s="4" t="s">
        <v>42</v>
      </c>
      <c r="V71" s="4" t="s">
        <v>42</v>
      </c>
      <c r="W71" s="4" t="s">
        <v>51</v>
      </c>
    </row>
    <row r="72" spans="1:23" x14ac:dyDescent="0.2">
      <c r="A72" s="14">
        <v>45891.98951097222</v>
      </c>
      <c r="B72" s="4" t="s">
        <v>22</v>
      </c>
      <c r="C72" s="4" t="s">
        <v>26</v>
      </c>
      <c r="D72" s="4" t="s">
        <v>31</v>
      </c>
      <c r="E72" s="4" t="s">
        <v>41</v>
      </c>
      <c r="F72" s="4" t="s">
        <v>43</v>
      </c>
      <c r="G72" s="4" t="s">
        <v>46</v>
      </c>
      <c r="H72" s="4">
        <v>5</v>
      </c>
      <c r="I72" s="4">
        <v>5</v>
      </c>
      <c r="J72" s="4">
        <v>4</v>
      </c>
      <c r="K72" s="4">
        <v>4</v>
      </c>
      <c r="L72" s="4">
        <v>4</v>
      </c>
      <c r="M72" s="4">
        <v>3</v>
      </c>
      <c r="N72" s="4">
        <v>3</v>
      </c>
      <c r="O72" s="4">
        <v>2</v>
      </c>
      <c r="P72" s="4">
        <v>2</v>
      </c>
      <c r="Q72" s="4">
        <v>4</v>
      </c>
      <c r="R72" s="4">
        <v>4</v>
      </c>
      <c r="S72" s="4">
        <v>3</v>
      </c>
      <c r="T72" s="4" t="s">
        <v>49</v>
      </c>
      <c r="U72" s="4" t="s">
        <v>42</v>
      </c>
      <c r="V72" s="4" t="s">
        <v>41</v>
      </c>
      <c r="W72" s="4" t="s">
        <v>53</v>
      </c>
    </row>
    <row r="73" spans="1:23" x14ac:dyDescent="0.2">
      <c r="A73" s="14">
        <v>45892.003384942131</v>
      </c>
      <c r="B73" s="4" t="s">
        <v>24</v>
      </c>
      <c r="C73" s="4" t="s">
        <v>26</v>
      </c>
      <c r="D73" s="4" t="s">
        <v>31</v>
      </c>
      <c r="E73" s="4" t="s">
        <v>42</v>
      </c>
      <c r="F73" s="4"/>
      <c r="G73" s="4" t="s">
        <v>47</v>
      </c>
      <c r="H73" s="4">
        <v>4</v>
      </c>
      <c r="I73" s="4">
        <v>4</v>
      </c>
      <c r="J73" s="4">
        <v>3</v>
      </c>
      <c r="K73" s="4">
        <v>3</v>
      </c>
      <c r="L73" s="4">
        <v>3</v>
      </c>
      <c r="M73" s="4">
        <v>5</v>
      </c>
      <c r="N73" s="4">
        <v>5</v>
      </c>
      <c r="O73" s="4">
        <v>5</v>
      </c>
      <c r="P73" s="4">
        <v>4</v>
      </c>
      <c r="Q73" s="4">
        <v>3</v>
      </c>
      <c r="R73" s="4">
        <v>3</v>
      </c>
      <c r="S73" s="4">
        <v>4</v>
      </c>
      <c r="T73" s="4" t="s">
        <v>41</v>
      </c>
      <c r="U73" s="4" t="s">
        <v>41</v>
      </c>
      <c r="V73" s="4" t="s">
        <v>41</v>
      </c>
      <c r="W73" s="4" t="s">
        <v>50</v>
      </c>
    </row>
    <row r="74" spans="1:23" x14ac:dyDescent="0.2">
      <c r="A74" s="14">
        <v>45892.00743229167</v>
      </c>
      <c r="B74" s="4" t="s">
        <v>24</v>
      </c>
      <c r="C74" s="4" t="s">
        <v>25</v>
      </c>
      <c r="D74" s="4" t="s">
        <v>31</v>
      </c>
      <c r="E74" s="4" t="s">
        <v>42</v>
      </c>
      <c r="F74" s="4"/>
      <c r="G74" s="4" t="s">
        <v>47</v>
      </c>
      <c r="H74" s="4">
        <v>4</v>
      </c>
      <c r="I74" s="4">
        <v>4</v>
      </c>
      <c r="J74" s="4">
        <v>3</v>
      </c>
      <c r="K74" s="4">
        <v>3</v>
      </c>
      <c r="L74" s="4">
        <v>3</v>
      </c>
      <c r="M74" s="4">
        <v>4</v>
      </c>
      <c r="N74" s="4">
        <v>4</v>
      </c>
      <c r="O74" s="4">
        <v>3</v>
      </c>
      <c r="P74" s="4">
        <v>2</v>
      </c>
      <c r="Q74" s="4">
        <v>5</v>
      </c>
      <c r="R74" s="4">
        <v>4</v>
      </c>
      <c r="S74" s="4">
        <v>4</v>
      </c>
      <c r="T74" s="4" t="s">
        <v>41</v>
      </c>
      <c r="U74" s="4" t="s">
        <v>41</v>
      </c>
      <c r="V74" s="4" t="s">
        <v>41</v>
      </c>
      <c r="W74" s="4" t="s">
        <v>53</v>
      </c>
    </row>
    <row r="75" spans="1:23" x14ac:dyDescent="0.2">
      <c r="A75" s="14">
        <v>45892.008479247677</v>
      </c>
      <c r="B75" s="4" t="s">
        <v>24</v>
      </c>
      <c r="C75" s="4" t="s">
        <v>26</v>
      </c>
      <c r="D75" s="4" t="s">
        <v>31</v>
      </c>
      <c r="E75" s="4" t="s">
        <v>42</v>
      </c>
      <c r="F75" s="4"/>
      <c r="G75" s="4" t="s">
        <v>47</v>
      </c>
      <c r="H75" s="4">
        <v>4</v>
      </c>
      <c r="I75" s="4">
        <v>4</v>
      </c>
      <c r="J75" s="4">
        <v>3</v>
      </c>
      <c r="K75" s="4">
        <v>3</v>
      </c>
      <c r="L75" s="4">
        <v>3</v>
      </c>
      <c r="M75" s="4">
        <v>4</v>
      </c>
      <c r="N75" s="4">
        <v>3</v>
      </c>
      <c r="O75" s="4">
        <v>4</v>
      </c>
      <c r="P75" s="4">
        <v>3</v>
      </c>
      <c r="Q75" s="4">
        <v>3</v>
      </c>
      <c r="R75" s="4">
        <v>4</v>
      </c>
      <c r="S75" s="4">
        <v>5</v>
      </c>
      <c r="T75" s="4" t="s">
        <v>41</v>
      </c>
      <c r="U75" s="4" t="s">
        <v>41</v>
      </c>
      <c r="V75" s="4" t="s">
        <v>41</v>
      </c>
      <c r="W75" s="4" t="s">
        <v>50</v>
      </c>
    </row>
    <row r="76" spans="1:23" x14ac:dyDescent="0.2">
      <c r="A76" s="14">
        <v>45892.020810277783</v>
      </c>
      <c r="B76" s="4" t="s">
        <v>24</v>
      </c>
      <c r="C76" s="4" t="s">
        <v>26</v>
      </c>
      <c r="D76" s="4" t="s">
        <v>31</v>
      </c>
      <c r="E76" s="4" t="s">
        <v>42</v>
      </c>
      <c r="F76" s="4"/>
      <c r="G76" s="4" t="s">
        <v>47</v>
      </c>
      <c r="H76" s="4">
        <v>3</v>
      </c>
      <c r="I76" s="4">
        <v>4</v>
      </c>
      <c r="J76" s="4">
        <v>3</v>
      </c>
      <c r="K76" s="4">
        <v>3</v>
      </c>
      <c r="L76" s="4">
        <v>3</v>
      </c>
      <c r="M76" s="4">
        <v>5</v>
      </c>
      <c r="N76" s="4">
        <v>5</v>
      </c>
      <c r="O76" s="4">
        <v>5</v>
      </c>
      <c r="P76" s="4">
        <v>4</v>
      </c>
      <c r="Q76" s="4">
        <v>3</v>
      </c>
      <c r="R76" s="4">
        <v>3</v>
      </c>
      <c r="S76" s="4">
        <v>4</v>
      </c>
      <c r="T76" s="4" t="s">
        <v>41</v>
      </c>
      <c r="U76" s="4" t="s">
        <v>41</v>
      </c>
      <c r="V76" s="4" t="s">
        <v>41</v>
      </c>
      <c r="W76" s="4" t="s">
        <v>50</v>
      </c>
    </row>
    <row r="77" spans="1:23" x14ac:dyDescent="0.2">
      <c r="A77" s="14">
        <v>45892.035367511577</v>
      </c>
      <c r="B77" s="4" t="s">
        <v>24</v>
      </c>
      <c r="C77" s="4" t="s">
        <v>25</v>
      </c>
      <c r="D77" s="4" t="s">
        <v>31</v>
      </c>
      <c r="E77" s="4" t="s">
        <v>42</v>
      </c>
      <c r="F77" s="4"/>
      <c r="G77" s="4" t="s">
        <v>47</v>
      </c>
      <c r="H77" s="4">
        <v>3</v>
      </c>
      <c r="I77" s="4">
        <v>4</v>
      </c>
      <c r="J77" s="4">
        <v>3</v>
      </c>
      <c r="K77" s="4">
        <v>3</v>
      </c>
      <c r="L77" s="4">
        <v>3</v>
      </c>
      <c r="M77" s="4">
        <v>5</v>
      </c>
      <c r="N77" s="4">
        <v>5</v>
      </c>
      <c r="O77" s="4">
        <v>5</v>
      </c>
      <c r="P77" s="4">
        <v>1</v>
      </c>
      <c r="Q77" s="4">
        <v>2</v>
      </c>
      <c r="R77" s="4">
        <v>1</v>
      </c>
      <c r="S77" s="4">
        <v>5</v>
      </c>
      <c r="T77" s="4" t="s">
        <v>41</v>
      </c>
      <c r="U77" s="4" t="s">
        <v>41</v>
      </c>
      <c r="V77" s="4" t="s">
        <v>41</v>
      </c>
      <c r="W77" s="4" t="s">
        <v>53</v>
      </c>
    </row>
    <row r="78" spans="1:23" x14ac:dyDescent="0.2">
      <c r="A78" s="14">
        <v>45892.051687696759</v>
      </c>
      <c r="B78" s="4" t="s">
        <v>23</v>
      </c>
      <c r="C78" s="4" t="s">
        <v>26</v>
      </c>
      <c r="D78" s="4" t="s">
        <v>36</v>
      </c>
      <c r="E78" s="4" t="s">
        <v>42</v>
      </c>
      <c r="F78" s="4"/>
      <c r="G78" s="4" t="s">
        <v>48</v>
      </c>
      <c r="H78" s="4">
        <v>3</v>
      </c>
      <c r="I78" s="4">
        <v>4</v>
      </c>
      <c r="J78" s="4">
        <v>3</v>
      </c>
      <c r="K78" s="4">
        <v>3</v>
      </c>
      <c r="L78" s="4">
        <v>3</v>
      </c>
      <c r="M78" s="4">
        <v>1</v>
      </c>
      <c r="N78" s="4">
        <v>1</v>
      </c>
      <c r="O78" s="4">
        <v>1</v>
      </c>
      <c r="P78" s="4">
        <v>1</v>
      </c>
      <c r="Q78" s="4">
        <v>3</v>
      </c>
      <c r="R78" s="4">
        <v>5</v>
      </c>
      <c r="S78" s="4">
        <v>3</v>
      </c>
      <c r="T78" s="4" t="s">
        <v>49</v>
      </c>
      <c r="U78" s="4" t="s">
        <v>42</v>
      </c>
      <c r="V78" s="4" t="s">
        <v>42</v>
      </c>
      <c r="W78" s="4" t="s">
        <v>51</v>
      </c>
    </row>
    <row r="79" spans="1:23" x14ac:dyDescent="0.2">
      <c r="A79" s="14">
        <v>45892.11829395833</v>
      </c>
      <c r="B79" s="4" t="s">
        <v>22</v>
      </c>
      <c r="C79" s="4" t="s">
        <v>25</v>
      </c>
      <c r="D79" s="4" t="s">
        <v>31</v>
      </c>
      <c r="E79" s="4" t="s">
        <v>42</v>
      </c>
      <c r="F79" s="4"/>
      <c r="G79" s="4" t="s">
        <v>48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1</v>
      </c>
      <c r="P79" s="4">
        <v>1</v>
      </c>
      <c r="Q79" s="4">
        <v>1</v>
      </c>
      <c r="R79" s="4">
        <v>2</v>
      </c>
      <c r="S79" s="4">
        <v>4</v>
      </c>
      <c r="T79" s="4" t="s">
        <v>49</v>
      </c>
      <c r="U79" s="4" t="s">
        <v>42</v>
      </c>
      <c r="V79" s="4" t="s">
        <v>42</v>
      </c>
      <c r="W79" s="4" t="s">
        <v>53</v>
      </c>
    </row>
    <row r="80" spans="1:23" x14ac:dyDescent="0.2">
      <c r="A80" s="14">
        <v>45892.129553009261</v>
      </c>
      <c r="B80" s="4" t="s">
        <v>24</v>
      </c>
      <c r="C80" s="4" t="s">
        <v>26</v>
      </c>
      <c r="D80" s="4" t="s">
        <v>31</v>
      </c>
      <c r="E80" s="4" t="s">
        <v>42</v>
      </c>
      <c r="F80" s="4"/>
      <c r="G80" s="4" t="s">
        <v>48</v>
      </c>
      <c r="H80" s="4">
        <v>3</v>
      </c>
      <c r="I80" s="4">
        <v>3</v>
      </c>
      <c r="J80" s="4">
        <v>3</v>
      </c>
      <c r="K80" s="4">
        <v>3</v>
      </c>
      <c r="L80" s="4">
        <v>3</v>
      </c>
      <c r="M80" s="4">
        <v>5</v>
      </c>
      <c r="N80" s="4">
        <v>3</v>
      </c>
      <c r="O80" s="4">
        <v>1</v>
      </c>
      <c r="P80" s="4">
        <v>5</v>
      </c>
      <c r="Q80" s="4">
        <v>5</v>
      </c>
      <c r="R80" s="4">
        <v>5</v>
      </c>
      <c r="S80" s="4">
        <v>3</v>
      </c>
      <c r="T80" s="4" t="s">
        <v>49</v>
      </c>
      <c r="U80" s="4" t="s">
        <v>42</v>
      </c>
      <c r="V80" s="4" t="s">
        <v>42</v>
      </c>
      <c r="W80" s="4" t="s">
        <v>51</v>
      </c>
    </row>
    <row r="81" spans="1:23" x14ac:dyDescent="0.2">
      <c r="A81" s="14">
        <v>45892.14330427083</v>
      </c>
      <c r="B81" s="4" t="s">
        <v>24</v>
      </c>
      <c r="C81" s="4" t="s">
        <v>25</v>
      </c>
      <c r="D81" s="4" t="s">
        <v>31</v>
      </c>
      <c r="E81" s="4" t="s">
        <v>42</v>
      </c>
      <c r="F81" s="4"/>
      <c r="G81" s="4" t="s">
        <v>48</v>
      </c>
      <c r="H81" s="4">
        <v>3</v>
      </c>
      <c r="I81" s="4">
        <v>3</v>
      </c>
      <c r="J81" s="4">
        <v>3</v>
      </c>
      <c r="K81" s="4">
        <v>2</v>
      </c>
      <c r="L81" s="4">
        <v>3</v>
      </c>
      <c r="M81" s="4">
        <v>4</v>
      </c>
      <c r="N81" s="4">
        <v>3</v>
      </c>
      <c r="O81" s="4">
        <v>3</v>
      </c>
      <c r="P81" s="4">
        <v>2</v>
      </c>
      <c r="Q81" s="4">
        <v>5</v>
      </c>
      <c r="R81" s="4">
        <v>5</v>
      </c>
      <c r="S81" s="4">
        <v>4</v>
      </c>
      <c r="T81" s="4" t="s">
        <v>41</v>
      </c>
      <c r="U81" s="4" t="s">
        <v>41</v>
      </c>
      <c r="V81" s="4" t="s">
        <v>42</v>
      </c>
      <c r="W81" s="4" t="s">
        <v>51</v>
      </c>
    </row>
    <row r="82" spans="1:23" x14ac:dyDescent="0.2">
      <c r="A82" s="14">
        <v>45892.201200011572</v>
      </c>
      <c r="B82" s="4" t="s">
        <v>23</v>
      </c>
      <c r="C82" s="4" t="s">
        <v>25</v>
      </c>
      <c r="D82" s="4" t="s">
        <v>31</v>
      </c>
      <c r="E82" s="4" t="s">
        <v>41</v>
      </c>
      <c r="F82" s="4" t="s">
        <v>43</v>
      </c>
      <c r="G82" s="4" t="s">
        <v>46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2</v>
      </c>
      <c r="N82" s="4">
        <v>1</v>
      </c>
      <c r="O82" s="4">
        <v>2</v>
      </c>
      <c r="P82" s="4">
        <v>1</v>
      </c>
      <c r="Q82" s="4">
        <v>5</v>
      </c>
      <c r="R82" s="4">
        <v>5</v>
      </c>
      <c r="S82" s="4">
        <v>4</v>
      </c>
      <c r="T82" s="4" t="s">
        <v>41</v>
      </c>
      <c r="U82" s="4" t="s">
        <v>41</v>
      </c>
      <c r="V82" s="4" t="s">
        <v>41</v>
      </c>
      <c r="W82" s="4" t="s">
        <v>53</v>
      </c>
    </row>
    <row r="83" spans="1:23" x14ac:dyDescent="0.2">
      <c r="A83" s="14">
        <v>45892.209148402777</v>
      </c>
      <c r="B83" s="4" t="s">
        <v>24</v>
      </c>
      <c r="C83" s="4" t="s">
        <v>26</v>
      </c>
      <c r="D83" s="4" t="s">
        <v>31</v>
      </c>
      <c r="E83" s="4" t="s">
        <v>42</v>
      </c>
      <c r="F83" s="4"/>
      <c r="G83" s="4" t="s">
        <v>48</v>
      </c>
      <c r="H83" s="4">
        <v>3</v>
      </c>
      <c r="I83" s="4">
        <v>3</v>
      </c>
      <c r="J83" s="4">
        <v>3</v>
      </c>
      <c r="K83" s="4">
        <v>2</v>
      </c>
      <c r="L83" s="4">
        <v>3</v>
      </c>
      <c r="M83" s="4">
        <v>4</v>
      </c>
      <c r="N83" s="4">
        <v>4</v>
      </c>
      <c r="O83" s="4">
        <v>3</v>
      </c>
      <c r="P83" s="4">
        <v>3</v>
      </c>
      <c r="Q83" s="4">
        <v>3</v>
      </c>
      <c r="R83" s="4">
        <v>1</v>
      </c>
      <c r="S83" s="4">
        <v>4</v>
      </c>
      <c r="T83" s="4" t="s">
        <v>41</v>
      </c>
      <c r="U83" s="4" t="s">
        <v>41</v>
      </c>
      <c r="V83" s="4" t="s">
        <v>42</v>
      </c>
      <c r="W83" s="4" t="s">
        <v>53</v>
      </c>
    </row>
    <row r="84" spans="1:23" x14ac:dyDescent="0.2">
      <c r="A84" s="14">
        <v>45892.32358502315</v>
      </c>
      <c r="B84" s="4" t="s">
        <v>24</v>
      </c>
      <c r="C84" s="4" t="s">
        <v>25</v>
      </c>
      <c r="D84" s="4" t="s">
        <v>40</v>
      </c>
      <c r="E84" s="4" t="s">
        <v>41</v>
      </c>
      <c r="F84" s="4" t="s">
        <v>43</v>
      </c>
      <c r="G84" s="4" t="s">
        <v>47</v>
      </c>
      <c r="H84" s="4">
        <v>5</v>
      </c>
      <c r="I84" s="4">
        <v>5</v>
      </c>
      <c r="J84" s="4">
        <v>5</v>
      </c>
      <c r="K84" s="4">
        <v>5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1</v>
      </c>
      <c r="R84" s="4">
        <v>1</v>
      </c>
      <c r="S84" s="4">
        <v>3</v>
      </c>
      <c r="T84" s="4" t="s">
        <v>49</v>
      </c>
      <c r="U84" s="4" t="s">
        <v>42</v>
      </c>
      <c r="V84" s="4" t="s">
        <v>42</v>
      </c>
      <c r="W84" s="4" t="s">
        <v>51</v>
      </c>
    </row>
    <row r="85" spans="1:23" x14ac:dyDescent="0.2">
      <c r="A85" s="14">
        <v>45892.386087094907</v>
      </c>
      <c r="B85" s="4" t="s">
        <v>22</v>
      </c>
      <c r="C85" s="4" t="s">
        <v>26</v>
      </c>
      <c r="D85" s="4" t="s">
        <v>37</v>
      </c>
      <c r="E85" s="4" t="s">
        <v>42</v>
      </c>
      <c r="F85" s="4"/>
      <c r="G85" s="4" t="s">
        <v>48</v>
      </c>
      <c r="H85" s="4">
        <v>3</v>
      </c>
      <c r="I85" s="4">
        <v>3</v>
      </c>
      <c r="J85" s="4">
        <v>3</v>
      </c>
      <c r="K85" s="4">
        <v>2</v>
      </c>
      <c r="L85" s="4">
        <v>3</v>
      </c>
      <c r="M85" s="4">
        <v>1</v>
      </c>
      <c r="N85" s="4">
        <v>1</v>
      </c>
      <c r="O85" s="4">
        <v>1</v>
      </c>
      <c r="P85" s="4">
        <v>1</v>
      </c>
      <c r="Q85" s="4">
        <v>5</v>
      </c>
      <c r="R85" s="4">
        <v>5</v>
      </c>
      <c r="S85" s="4">
        <v>1</v>
      </c>
      <c r="T85" s="4" t="s">
        <v>49</v>
      </c>
      <c r="U85" s="4" t="s">
        <v>42</v>
      </c>
      <c r="V85" s="4" t="s">
        <v>42</v>
      </c>
      <c r="W85" s="4" t="s">
        <v>51</v>
      </c>
    </row>
    <row r="86" spans="1:23" x14ac:dyDescent="0.2">
      <c r="A86" s="14">
        <v>45892.390330833332</v>
      </c>
      <c r="B86" s="4" t="s">
        <v>23</v>
      </c>
      <c r="C86" s="4" t="s">
        <v>25</v>
      </c>
      <c r="D86" s="4" t="s">
        <v>38</v>
      </c>
      <c r="E86" s="4" t="s">
        <v>42</v>
      </c>
      <c r="F86" s="4"/>
      <c r="G86" s="4" t="s">
        <v>48</v>
      </c>
      <c r="H86" s="4">
        <v>3</v>
      </c>
      <c r="I86" s="4">
        <v>3</v>
      </c>
      <c r="J86" s="4">
        <v>3</v>
      </c>
      <c r="K86" s="4">
        <v>2</v>
      </c>
      <c r="L86" s="4">
        <v>3</v>
      </c>
      <c r="M86" s="4">
        <v>1</v>
      </c>
      <c r="N86" s="4">
        <v>1</v>
      </c>
      <c r="O86" s="4">
        <v>1</v>
      </c>
      <c r="P86" s="4">
        <v>3</v>
      </c>
      <c r="Q86" s="4">
        <v>2</v>
      </c>
      <c r="R86" s="4">
        <v>4</v>
      </c>
      <c r="S86" s="4">
        <v>1</v>
      </c>
      <c r="T86" s="4" t="s">
        <v>49</v>
      </c>
      <c r="U86" s="4" t="s">
        <v>42</v>
      </c>
      <c r="V86" s="4" t="s">
        <v>42</v>
      </c>
      <c r="W86" s="4" t="s">
        <v>51</v>
      </c>
    </row>
    <row r="87" spans="1:23" x14ac:dyDescent="0.2">
      <c r="A87" s="14">
        <v>45892.395204340282</v>
      </c>
      <c r="B87" s="4" t="s">
        <v>24</v>
      </c>
      <c r="C87" s="4" t="s">
        <v>25</v>
      </c>
      <c r="D87" s="4" t="s">
        <v>31</v>
      </c>
      <c r="E87" s="4" t="s">
        <v>42</v>
      </c>
      <c r="F87" s="4"/>
      <c r="G87" s="4" t="s">
        <v>48</v>
      </c>
      <c r="H87" s="4">
        <v>3</v>
      </c>
      <c r="I87" s="4">
        <v>3</v>
      </c>
      <c r="J87" s="4">
        <v>3</v>
      </c>
      <c r="K87" s="4">
        <v>2</v>
      </c>
      <c r="L87" s="4">
        <v>3</v>
      </c>
      <c r="M87" s="4">
        <v>4</v>
      </c>
      <c r="N87" s="4">
        <v>4</v>
      </c>
      <c r="O87" s="4">
        <v>4</v>
      </c>
      <c r="P87" s="4">
        <v>3</v>
      </c>
      <c r="Q87" s="4">
        <v>4</v>
      </c>
      <c r="R87" s="4">
        <v>3</v>
      </c>
      <c r="S87" s="4">
        <v>4</v>
      </c>
      <c r="T87" s="4" t="s">
        <v>49</v>
      </c>
      <c r="U87" s="4" t="s">
        <v>42</v>
      </c>
      <c r="V87" s="4" t="s">
        <v>42</v>
      </c>
      <c r="W87" s="4" t="s">
        <v>53</v>
      </c>
    </row>
    <row r="88" spans="1:23" x14ac:dyDescent="0.2">
      <c r="A88" s="14">
        <v>45892.47872983796</v>
      </c>
      <c r="B88" s="4" t="s">
        <v>23</v>
      </c>
      <c r="C88" s="4" t="s">
        <v>25</v>
      </c>
      <c r="D88" s="4" t="s">
        <v>38</v>
      </c>
      <c r="E88" s="4" t="s">
        <v>42</v>
      </c>
      <c r="F88" s="4"/>
      <c r="G88" s="4" t="s">
        <v>48</v>
      </c>
      <c r="H88" s="4">
        <v>2</v>
      </c>
      <c r="I88" s="4">
        <v>3</v>
      </c>
      <c r="J88" s="4">
        <v>3</v>
      </c>
      <c r="K88" s="4">
        <v>1</v>
      </c>
      <c r="L88" s="4">
        <v>3</v>
      </c>
      <c r="M88" s="4">
        <v>4</v>
      </c>
      <c r="N88" s="4">
        <v>4</v>
      </c>
      <c r="O88" s="4">
        <v>3</v>
      </c>
      <c r="P88" s="4">
        <v>3</v>
      </c>
      <c r="Q88" s="4">
        <v>2</v>
      </c>
      <c r="R88" s="4">
        <v>2</v>
      </c>
      <c r="S88" s="4">
        <v>3</v>
      </c>
      <c r="T88" s="4" t="s">
        <v>41</v>
      </c>
      <c r="U88" s="4" t="s">
        <v>41</v>
      </c>
      <c r="V88" s="4" t="s">
        <v>42</v>
      </c>
      <c r="W88" s="4" t="s">
        <v>50</v>
      </c>
    </row>
    <row r="89" spans="1:23" x14ac:dyDescent="0.2">
      <c r="A89" s="14">
        <v>45892.487979490739</v>
      </c>
      <c r="B89" s="4" t="s">
        <v>23</v>
      </c>
      <c r="C89" s="4" t="s">
        <v>26</v>
      </c>
      <c r="D89" s="4" t="s">
        <v>28</v>
      </c>
      <c r="E89" s="4" t="s">
        <v>42</v>
      </c>
      <c r="F89" s="4"/>
      <c r="G89" s="4" t="s">
        <v>48</v>
      </c>
      <c r="H89" s="4">
        <v>2</v>
      </c>
      <c r="I89" s="4">
        <v>1</v>
      </c>
      <c r="J89" s="4">
        <v>2</v>
      </c>
      <c r="K89" s="4">
        <v>1</v>
      </c>
      <c r="L89" s="4">
        <v>1</v>
      </c>
      <c r="M89" s="4">
        <v>3</v>
      </c>
      <c r="N89" s="4">
        <v>3</v>
      </c>
      <c r="O89" s="4">
        <v>3</v>
      </c>
      <c r="P89" s="4">
        <v>4</v>
      </c>
      <c r="Q89" s="4">
        <v>5</v>
      </c>
      <c r="R89" s="4">
        <v>5</v>
      </c>
      <c r="S89" s="4">
        <v>3</v>
      </c>
      <c r="T89" s="4" t="s">
        <v>41</v>
      </c>
      <c r="U89" s="4" t="s">
        <v>41</v>
      </c>
      <c r="V89" s="4" t="s">
        <v>41</v>
      </c>
      <c r="W89" s="4" t="s">
        <v>51</v>
      </c>
    </row>
    <row r="90" spans="1:23" x14ac:dyDescent="0.2">
      <c r="A90" s="14">
        <v>45892.498443472221</v>
      </c>
      <c r="B90" s="4" t="s">
        <v>23</v>
      </c>
      <c r="C90" s="4" t="s">
        <v>25</v>
      </c>
      <c r="D90" s="4" t="s">
        <v>38</v>
      </c>
      <c r="E90" s="4" t="s">
        <v>41</v>
      </c>
      <c r="F90" s="4" t="s">
        <v>43</v>
      </c>
      <c r="G90" s="4" t="s">
        <v>46</v>
      </c>
      <c r="H90" s="4">
        <v>5</v>
      </c>
      <c r="I90" s="4">
        <v>4</v>
      </c>
      <c r="J90" s="4">
        <v>4</v>
      </c>
      <c r="K90" s="4">
        <v>4</v>
      </c>
      <c r="L90" s="4">
        <v>4</v>
      </c>
      <c r="M90" s="4">
        <v>5</v>
      </c>
      <c r="N90" s="4">
        <v>4</v>
      </c>
      <c r="O90" s="4">
        <v>3</v>
      </c>
      <c r="P90" s="4">
        <v>4</v>
      </c>
      <c r="Q90" s="4">
        <v>5</v>
      </c>
      <c r="R90" s="4">
        <v>4</v>
      </c>
      <c r="S90" s="4">
        <v>4</v>
      </c>
      <c r="T90" s="4" t="s">
        <v>41</v>
      </c>
      <c r="U90" s="4" t="s">
        <v>42</v>
      </c>
      <c r="V90" s="4" t="s">
        <v>42</v>
      </c>
      <c r="W90" s="4" t="s">
        <v>52</v>
      </c>
    </row>
    <row r="91" spans="1:23" x14ac:dyDescent="0.2">
      <c r="A91" s="14">
        <v>45892.502715543982</v>
      </c>
      <c r="B91" s="4" t="s">
        <v>23</v>
      </c>
      <c r="C91" s="4" t="s">
        <v>25</v>
      </c>
      <c r="D91" s="4" t="s">
        <v>38</v>
      </c>
      <c r="E91" s="4" t="s">
        <v>42</v>
      </c>
      <c r="F91" s="4"/>
      <c r="G91" s="4" t="s">
        <v>48</v>
      </c>
      <c r="H91" s="4">
        <v>2</v>
      </c>
      <c r="I91" s="4">
        <v>1</v>
      </c>
      <c r="J91" s="4">
        <v>2</v>
      </c>
      <c r="K91" s="4">
        <v>1</v>
      </c>
      <c r="L91" s="4">
        <v>1</v>
      </c>
      <c r="M91" s="4">
        <v>2</v>
      </c>
      <c r="N91" s="4">
        <v>3</v>
      </c>
      <c r="O91" s="4">
        <v>2</v>
      </c>
      <c r="P91" s="4">
        <v>2</v>
      </c>
      <c r="Q91" s="4">
        <v>5</v>
      </c>
      <c r="R91" s="4">
        <v>4</v>
      </c>
      <c r="S91" s="4">
        <v>4</v>
      </c>
      <c r="T91" s="4" t="s">
        <v>41</v>
      </c>
      <c r="U91" s="4" t="s">
        <v>41</v>
      </c>
      <c r="V91" s="4" t="s">
        <v>42</v>
      </c>
      <c r="W91" s="4" t="s">
        <v>51</v>
      </c>
    </row>
    <row r="92" spans="1:23" x14ac:dyDescent="0.2">
      <c r="A92" s="14">
        <v>45892.512201168982</v>
      </c>
      <c r="B92" s="4" t="s">
        <v>23</v>
      </c>
      <c r="C92" s="4" t="s">
        <v>25</v>
      </c>
      <c r="D92" s="4" t="s">
        <v>38</v>
      </c>
      <c r="E92" s="4" t="s">
        <v>42</v>
      </c>
      <c r="F92" s="4"/>
      <c r="G92" s="4" t="s">
        <v>48</v>
      </c>
      <c r="H92" s="4">
        <v>1</v>
      </c>
      <c r="I92" s="4">
        <v>2</v>
      </c>
      <c r="J92" s="4">
        <v>2</v>
      </c>
      <c r="K92" s="4">
        <v>1</v>
      </c>
      <c r="L92" s="4">
        <v>2</v>
      </c>
      <c r="M92" s="4">
        <v>1</v>
      </c>
      <c r="N92" s="4">
        <v>1</v>
      </c>
      <c r="O92" s="4">
        <v>1</v>
      </c>
      <c r="P92" s="4">
        <v>1</v>
      </c>
      <c r="Q92" s="4">
        <v>5</v>
      </c>
      <c r="R92" s="4">
        <v>5</v>
      </c>
      <c r="S92" s="4">
        <v>1</v>
      </c>
      <c r="T92" s="4" t="s">
        <v>49</v>
      </c>
      <c r="U92" s="4" t="s">
        <v>42</v>
      </c>
      <c r="V92" s="4" t="s">
        <v>42</v>
      </c>
      <c r="W92" s="4" t="s">
        <v>51</v>
      </c>
    </row>
    <row r="93" spans="1:23" x14ac:dyDescent="0.2">
      <c r="A93" s="14">
        <v>45892.517056898148</v>
      </c>
      <c r="B93" s="4" t="s">
        <v>23</v>
      </c>
      <c r="C93" s="4" t="s">
        <v>26</v>
      </c>
      <c r="D93" s="4" t="s">
        <v>30</v>
      </c>
      <c r="E93" s="4" t="s">
        <v>42</v>
      </c>
      <c r="F93" s="4"/>
      <c r="G93" s="4" t="s">
        <v>48</v>
      </c>
      <c r="H93" s="4">
        <v>1</v>
      </c>
      <c r="I93" s="4">
        <v>2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5</v>
      </c>
      <c r="P93" s="4">
        <v>3</v>
      </c>
      <c r="Q93" s="4">
        <v>5</v>
      </c>
      <c r="R93" s="4">
        <v>4</v>
      </c>
      <c r="S93" s="4">
        <v>1</v>
      </c>
      <c r="T93" s="4" t="s">
        <v>49</v>
      </c>
      <c r="U93" s="4" t="s">
        <v>42</v>
      </c>
      <c r="V93" s="4" t="s">
        <v>42</v>
      </c>
      <c r="W93" s="4" t="s">
        <v>51</v>
      </c>
    </row>
    <row r="94" spans="1:23" x14ac:dyDescent="0.2">
      <c r="A94" s="14">
        <v>45892.542460671299</v>
      </c>
      <c r="B94" s="4" t="s">
        <v>24</v>
      </c>
      <c r="C94" s="4" t="s">
        <v>26</v>
      </c>
      <c r="D94" s="4" t="s">
        <v>31</v>
      </c>
      <c r="E94" s="4" t="s">
        <v>41</v>
      </c>
      <c r="F94" s="4" t="s">
        <v>44</v>
      </c>
      <c r="G94" s="4" t="s">
        <v>46</v>
      </c>
      <c r="H94" s="4">
        <v>4</v>
      </c>
      <c r="I94" s="4">
        <v>4</v>
      </c>
      <c r="J94" s="4">
        <v>4</v>
      </c>
      <c r="K94" s="4">
        <v>3</v>
      </c>
      <c r="L94" s="4">
        <v>4</v>
      </c>
      <c r="M94" s="4">
        <v>2</v>
      </c>
      <c r="N94" s="4">
        <v>1</v>
      </c>
      <c r="O94" s="4">
        <v>2</v>
      </c>
      <c r="P94" s="4">
        <v>4</v>
      </c>
      <c r="Q94" s="4">
        <v>2</v>
      </c>
      <c r="R94" s="4">
        <v>2</v>
      </c>
      <c r="S94" s="4">
        <v>4</v>
      </c>
      <c r="T94" s="4" t="s">
        <v>41</v>
      </c>
      <c r="U94" s="4" t="s">
        <v>41</v>
      </c>
      <c r="V94" s="4" t="s">
        <v>42</v>
      </c>
      <c r="W94" s="4" t="s">
        <v>53</v>
      </c>
    </row>
    <row r="95" spans="1:23" x14ac:dyDescent="0.2">
      <c r="A95" s="14">
        <v>45892.547655798611</v>
      </c>
      <c r="B95" s="4" t="s">
        <v>23</v>
      </c>
      <c r="C95" s="4" t="s">
        <v>25</v>
      </c>
      <c r="D95" s="4" t="s">
        <v>38</v>
      </c>
      <c r="E95" s="4" t="s">
        <v>42</v>
      </c>
      <c r="F95" s="4"/>
      <c r="G95" s="4" t="s">
        <v>46</v>
      </c>
      <c r="H95" s="4">
        <v>4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3</v>
      </c>
      <c r="Q95" s="4">
        <v>5</v>
      </c>
      <c r="R95" s="4">
        <v>5</v>
      </c>
      <c r="S95" s="4">
        <v>3</v>
      </c>
      <c r="T95" s="4" t="s">
        <v>42</v>
      </c>
      <c r="U95" s="4" t="s">
        <v>42</v>
      </c>
      <c r="V95" s="4" t="s">
        <v>42</v>
      </c>
      <c r="W95" s="4" t="s">
        <v>53</v>
      </c>
    </row>
    <row r="96" spans="1:23" x14ac:dyDescent="0.2">
      <c r="A96" s="14">
        <v>45892.578300312503</v>
      </c>
      <c r="B96" s="4" t="s">
        <v>24</v>
      </c>
      <c r="C96" s="4" t="s">
        <v>26</v>
      </c>
      <c r="D96" s="4" t="s">
        <v>35</v>
      </c>
      <c r="E96" s="4" t="s">
        <v>41</v>
      </c>
      <c r="F96" s="4" t="s">
        <v>44</v>
      </c>
      <c r="G96" s="4" t="s">
        <v>47</v>
      </c>
      <c r="H96" s="4">
        <v>1</v>
      </c>
      <c r="I96" s="4">
        <v>1</v>
      </c>
      <c r="J96" s="4">
        <v>3</v>
      </c>
      <c r="K96" s="4">
        <v>1</v>
      </c>
      <c r="L96" s="4">
        <v>1</v>
      </c>
      <c r="M96" s="4">
        <v>3</v>
      </c>
      <c r="N96" s="4">
        <v>3</v>
      </c>
      <c r="O96" s="4">
        <v>1</v>
      </c>
      <c r="P96" s="4">
        <v>1</v>
      </c>
      <c r="Q96" s="4">
        <v>5</v>
      </c>
      <c r="R96" s="4">
        <v>3</v>
      </c>
      <c r="S96" s="4">
        <v>1</v>
      </c>
      <c r="T96" s="4" t="s">
        <v>41</v>
      </c>
      <c r="U96" s="4" t="s">
        <v>41</v>
      </c>
      <c r="V96" s="4" t="s">
        <v>41</v>
      </c>
      <c r="W96" s="4" t="s">
        <v>53</v>
      </c>
    </row>
    <row r="97" spans="1:23" x14ac:dyDescent="0.2">
      <c r="A97" s="14">
        <v>45892.592065439807</v>
      </c>
      <c r="B97" s="4" t="s">
        <v>23</v>
      </c>
      <c r="C97" s="4" t="s">
        <v>26</v>
      </c>
      <c r="D97" s="4" t="s">
        <v>30</v>
      </c>
      <c r="E97" s="4" t="s">
        <v>42</v>
      </c>
      <c r="F97" s="4"/>
      <c r="G97" s="4" t="s">
        <v>48</v>
      </c>
      <c r="H97" s="4">
        <v>2</v>
      </c>
      <c r="I97" s="4">
        <v>3</v>
      </c>
      <c r="J97" s="4">
        <v>2</v>
      </c>
      <c r="K97" s="4">
        <v>1</v>
      </c>
      <c r="L97" s="4">
        <v>4</v>
      </c>
      <c r="M97" s="4">
        <v>1</v>
      </c>
      <c r="N97" s="4">
        <v>1</v>
      </c>
      <c r="O97" s="4">
        <v>5</v>
      </c>
      <c r="P97" s="4">
        <v>4</v>
      </c>
      <c r="Q97" s="4">
        <v>5</v>
      </c>
      <c r="R97" s="4">
        <v>5</v>
      </c>
      <c r="S97" s="4">
        <v>1</v>
      </c>
      <c r="T97" s="4" t="s">
        <v>42</v>
      </c>
      <c r="U97" s="4" t="s">
        <v>41</v>
      </c>
      <c r="V97" s="4" t="s">
        <v>41</v>
      </c>
      <c r="W97" s="4" t="s">
        <v>50</v>
      </c>
    </row>
    <row r="98" spans="1:23" x14ac:dyDescent="0.2">
      <c r="A98" s="14">
        <v>45892.599900474539</v>
      </c>
      <c r="B98" s="4" t="s">
        <v>22</v>
      </c>
      <c r="C98" s="4" t="s">
        <v>25</v>
      </c>
      <c r="D98" s="4" t="s">
        <v>38</v>
      </c>
      <c r="E98" s="4" t="s">
        <v>42</v>
      </c>
      <c r="F98" s="4"/>
      <c r="G98" s="4" t="s">
        <v>46</v>
      </c>
      <c r="H98" s="4">
        <v>5</v>
      </c>
      <c r="I98" s="4">
        <v>5</v>
      </c>
      <c r="J98" s="4">
        <v>4</v>
      </c>
      <c r="K98" s="4">
        <v>5</v>
      </c>
      <c r="L98" s="4">
        <v>4</v>
      </c>
      <c r="M98" s="4">
        <v>3</v>
      </c>
      <c r="N98" s="4">
        <v>3</v>
      </c>
      <c r="O98" s="4">
        <v>3</v>
      </c>
      <c r="P98" s="4">
        <v>2</v>
      </c>
      <c r="Q98" s="4">
        <v>4</v>
      </c>
      <c r="R98" s="4">
        <v>3</v>
      </c>
      <c r="S98" s="4">
        <v>3</v>
      </c>
      <c r="T98" s="4" t="s">
        <v>42</v>
      </c>
      <c r="U98" s="4" t="s">
        <v>42</v>
      </c>
      <c r="V98" s="4" t="s">
        <v>42</v>
      </c>
      <c r="W98" s="4" t="s">
        <v>51</v>
      </c>
    </row>
    <row r="99" spans="1:23" x14ac:dyDescent="0.2">
      <c r="A99" s="14">
        <v>45892.61293358796</v>
      </c>
      <c r="B99" s="4" t="s">
        <v>24</v>
      </c>
      <c r="C99" s="4" t="s">
        <v>26</v>
      </c>
      <c r="D99" s="4" t="s">
        <v>31</v>
      </c>
      <c r="E99" s="4" t="s">
        <v>41</v>
      </c>
      <c r="F99" s="4" t="s">
        <v>44</v>
      </c>
      <c r="G99" s="4" t="s">
        <v>46</v>
      </c>
      <c r="H99" s="4">
        <v>3</v>
      </c>
      <c r="I99" s="4">
        <v>3</v>
      </c>
      <c r="J99" s="4">
        <v>4</v>
      </c>
      <c r="K99" s="4">
        <v>5</v>
      </c>
      <c r="L99" s="4">
        <v>4</v>
      </c>
      <c r="M99" s="4">
        <v>5</v>
      </c>
      <c r="N99" s="4">
        <v>5</v>
      </c>
      <c r="O99" s="4">
        <v>3</v>
      </c>
      <c r="P99" s="4">
        <v>4</v>
      </c>
      <c r="Q99" s="4">
        <v>4</v>
      </c>
      <c r="R99" s="4">
        <v>5</v>
      </c>
      <c r="S99" s="4">
        <v>5</v>
      </c>
      <c r="T99" s="4" t="s">
        <v>41</v>
      </c>
      <c r="U99" s="4" t="s">
        <v>41</v>
      </c>
      <c r="V99" s="4" t="s">
        <v>41</v>
      </c>
      <c r="W99" s="4" t="s">
        <v>53</v>
      </c>
    </row>
    <row r="100" spans="1:23" x14ac:dyDescent="0.2">
      <c r="A100" s="14">
        <v>45892.637298321759</v>
      </c>
      <c r="B100" s="4" t="s">
        <v>24</v>
      </c>
      <c r="C100" s="4" t="s">
        <v>25</v>
      </c>
      <c r="D100" s="4" t="s">
        <v>31</v>
      </c>
      <c r="E100" s="4" t="s">
        <v>42</v>
      </c>
      <c r="F100" s="4"/>
      <c r="G100" s="4" t="s">
        <v>47</v>
      </c>
      <c r="H100" s="4">
        <v>5</v>
      </c>
      <c r="I100" s="4">
        <v>5</v>
      </c>
      <c r="J100" s="4">
        <v>4</v>
      </c>
      <c r="K100" s="4">
        <v>4</v>
      </c>
      <c r="L100" s="4">
        <v>4</v>
      </c>
      <c r="M100" s="4">
        <v>3</v>
      </c>
      <c r="N100" s="4">
        <v>3</v>
      </c>
      <c r="O100" s="4">
        <v>5</v>
      </c>
      <c r="P100" s="4">
        <v>3</v>
      </c>
      <c r="Q100" s="4">
        <v>3</v>
      </c>
      <c r="R100" s="4">
        <v>3</v>
      </c>
      <c r="S100" s="4">
        <v>3</v>
      </c>
      <c r="T100" s="4" t="s">
        <v>41</v>
      </c>
      <c r="U100" s="4" t="s">
        <v>42</v>
      </c>
      <c r="V100" s="4" t="s">
        <v>42</v>
      </c>
      <c r="W100" s="4" t="s">
        <v>51</v>
      </c>
    </row>
    <row r="101" spans="1:23" x14ac:dyDescent="0.2">
      <c r="A101" s="14">
        <v>45892.642975937502</v>
      </c>
      <c r="B101" s="4" t="s">
        <v>23</v>
      </c>
      <c r="C101" s="4" t="s">
        <v>26</v>
      </c>
      <c r="D101" s="4" t="s">
        <v>31</v>
      </c>
      <c r="E101" s="4" t="s">
        <v>42</v>
      </c>
      <c r="F101" s="4"/>
      <c r="G101" s="4" t="s">
        <v>46</v>
      </c>
      <c r="H101" s="4">
        <v>4</v>
      </c>
      <c r="I101" s="4">
        <v>4</v>
      </c>
      <c r="J101" s="4">
        <v>4</v>
      </c>
      <c r="K101" s="4">
        <v>4</v>
      </c>
      <c r="L101" s="4">
        <v>4</v>
      </c>
      <c r="M101" s="4">
        <v>3</v>
      </c>
      <c r="N101" s="4">
        <v>3</v>
      </c>
      <c r="O101" s="4">
        <v>3</v>
      </c>
      <c r="P101" s="4">
        <v>3</v>
      </c>
      <c r="Q101" s="4">
        <v>4</v>
      </c>
      <c r="R101" s="4">
        <v>4</v>
      </c>
      <c r="S101" s="4">
        <v>4</v>
      </c>
      <c r="T101" s="4" t="s">
        <v>41</v>
      </c>
      <c r="U101" s="4" t="s">
        <v>41</v>
      </c>
      <c r="V101" s="4" t="s">
        <v>41</v>
      </c>
      <c r="W101" s="4" t="s">
        <v>52</v>
      </c>
    </row>
    <row r="102" spans="1:23" x14ac:dyDescent="0.2">
      <c r="A102" s="14">
        <v>45892.650796284717</v>
      </c>
      <c r="B102" s="4" t="s">
        <v>23</v>
      </c>
      <c r="C102" s="4" t="s">
        <v>26</v>
      </c>
      <c r="D102" s="4" t="s">
        <v>38</v>
      </c>
      <c r="E102" s="4" t="s">
        <v>42</v>
      </c>
      <c r="F102" s="4"/>
      <c r="G102" s="4" t="s">
        <v>47</v>
      </c>
      <c r="H102" s="4">
        <v>2</v>
      </c>
      <c r="I102" s="4">
        <v>2</v>
      </c>
      <c r="J102" s="4">
        <v>2</v>
      </c>
      <c r="K102" s="4">
        <v>2</v>
      </c>
      <c r="L102" s="4">
        <v>2</v>
      </c>
      <c r="M102" s="4">
        <v>3</v>
      </c>
      <c r="N102" s="4">
        <v>3</v>
      </c>
      <c r="O102" s="4">
        <v>3</v>
      </c>
      <c r="P102" s="4">
        <v>3</v>
      </c>
      <c r="Q102" s="4">
        <v>3</v>
      </c>
      <c r="R102" s="4">
        <v>3</v>
      </c>
      <c r="S102" s="4">
        <v>3</v>
      </c>
      <c r="T102" s="4" t="s">
        <v>42</v>
      </c>
      <c r="U102" s="4" t="s">
        <v>42</v>
      </c>
      <c r="V102" s="4" t="s">
        <v>42</v>
      </c>
      <c r="W102" s="4" t="s">
        <v>51</v>
      </c>
    </row>
    <row r="103" spans="1:23" x14ac:dyDescent="0.2">
      <c r="A103" s="14">
        <v>45892.652284548611</v>
      </c>
      <c r="B103" s="4" t="s">
        <v>24</v>
      </c>
      <c r="C103" s="4" t="s">
        <v>25</v>
      </c>
      <c r="D103" s="4" t="s">
        <v>31</v>
      </c>
      <c r="E103" s="4" t="s">
        <v>42</v>
      </c>
      <c r="F103" s="4"/>
      <c r="G103" s="4" t="s">
        <v>46</v>
      </c>
      <c r="H103" s="4">
        <v>5</v>
      </c>
      <c r="I103" s="4">
        <v>5</v>
      </c>
      <c r="J103" s="4">
        <v>4</v>
      </c>
      <c r="K103" s="4">
        <v>4</v>
      </c>
      <c r="L103" s="4">
        <v>5</v>
      </c>
      <c r="M103" s="4">
        <v>5</v>
      </c>
      <c r="N103" s="4">
        <v>5</v>
      </c>
      <c r="O103" s="4">
        <v>5</v>
      </c>
      <c r="P103" s="4">
        <v>1</v>
      </c>
      <c r="Q103" s="4">
        <v>4</v>
      </c>
      <c r="R103" s="4">
        <v>1</v>
      </c>
      <c r="S103" s="4">
        <v>2</v>
      </c>
      <c r="T103" s="4" t="s">
        <v>42</v>
      </c>
      <c r="U103" s="4" t="s">
        <v>42</v>
      </c>
      <c r="V103" s="4" t="s">
        <v>42</v>
      </c>
      <c r="W103" s="4" t="s">
        <v>50</v>
      </c>
    </row>
    <row r="104" spans="1:23" x14ac:dyDescent="0.2">
      <c r="A104" s="14">
        <v>45892.678738750001</v>
      </c>
      <c r="B104" s="4" t="s">
        <v>24</v>
      </c>
      <c r="C104" s="4" t="s">
        <v>26</v>
      </c>
      <c r="D104" s="4" t="s">
        <v>31</v>
      </c>
      <c r="E104" s="4" t="s">
        <v>41</v>
      </c>
      <c r="F104" s="4" t="s">
        <v>43</v>
      </c>
      <c r="G104" s="4" t="s">
        <v>46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4</v>
      </c>
      <c r="N104" s="4">
        <v>2</v>
      </c>
      <c r="O104" s="4">
        <v>2</v>
      </c>
      <c r="P104" s="4">
        <v>4</v>
      </c>
      <c r="Q104" s="4">
        <v>2</v>
      </c>
      <c r="R104" s="4">
        <v>2</v>
      </c>
      <c r="S104" s="4">
        <v>2</v>
      </c>
      <c r="T104" s="4" t="s">
        <v>42</v>
      </c>
      <c r="U104" s="4" t="s">
        <v>42</v>
      </c>
      <c r="V104" s="4" t="s">
        <v>42</v>
      </c>
      <c r="W104" s="4" t="s">
        <v>53</v>
      </c>
    </row>
    <row r="105" spans="1:23" x14ac:dyDescent="0.2">
      <c r="A105" s="14">
        <v>45892.699243900461</v>
      </c>
      <c r="B105" s="4" t="s">
        <v>24</v>
      </c>
      <c r="C105" s="4" t="s">
        <v>26</v>
      </c>
      <c r="D105" s="4" t="s">
        <v>31</v>
      </c>
      <c r="E105" s="4" t="s">
        <v>42</v>
      </c>
      <c r="F105" s="4"/>
      <c r="G105" s="4" t="s">
        <v>48</v>
      </c>
      <c r="H105" s="4">
        <v>5</v>
      </c>
      <c r="I105" s="4">
        <v>5</v>
      </c>
      <c r="J105" s="4">
        <v>3</v>
      </c>
      <c r="K105" s="4">
        <v>3</v>
      </c>
      <c r="L105" s="4">
        <v>3</v>
      </c>
      <c r="M105" s="4">
        <v>3</v>
      </c>
      <c r="N105" s="4">
        <v>3</v>
      </c>
      <c r="O105" s="4">
        <v>5</v>
      </c>
      <c r="P105" s="4">
        <v>3</v>
      </c>
      <c r="Q105" s="4">
        <v>1</v>
      </c>
      <c r="R105" s="4">
        <v>1</v>
      </c>
      <c r="S105" s="4">
        <v>3</v>
      </c>
      <c r="T105" s="4" t="s">
        <v>42</v>
      </c>
      <c r="U105" s="4" t="s">
        <v>41</v>
      </c>
      <c r="V105" s="4" t="s">
        <v>41</v>
      </c>
      <c r="W105" s="4" t="s">
        <v>53</v>
      </c>
    </row>
    <row r="106" spans="1:23" x14ac:dyDescent="0.2">
      <c r="A106" s="14">
        <v>45892.711470127317</v>
      </c>
      <c r="B106" s="4" t="s">
        <v>24</v>
      </c>
      <c r="C106" s="4" t="s">
        <v>26</v>
      </c>
      <c r="D106" s="4" t="s">
        <v>31</v>
      </c>
      <c r="E106" s="4" t="s">
        <v>42</v>
      </c>
      <c r="F106" s="4"/>
      <c r="G106" s="4" t="s">
        <v>48</v>
      </c>
      <c r="H106" s="4">
        <v>3</v>
      </c>
      <c r="I106" s="4">
        <v>3</v>
      </c>
      <c r="J106" s="4">
        <v>4</v>
      </c>
      <c r="K106" s="4">
        <v>3</v>
      </c>
      <c r="L106" s="4">
        <v>4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4">
        <v>3</v>
      </c>
      <c r="S106" s="4">
        <v>3</v>
      </c>
      <c r="T106" s="4" t="s">
        <v>42</v>
      </c>
      <c r="U106" s="4" t="s">
        <v>42</v>
      </c>
      <c r="V106" s="4" t="s">
        <v>42</v>
      </c>
      <c r="W106" s="4" t="s">
        <v>51</v>
      </c>
    </row>
    <row r="107" spans="1:23" x14ac:dyDescent="0.2">
      <c r="A107" s="14">
        <v>45892.720454062503</v>
      </c>
      <c r="B107" s="4" t="s">
        <v>23</v>
      </c>
      <c r="C107" s="4" t="s">
        <v>25</v>
      </c>
      <c r="D107" s="4" t="s">
        <v>31</v>
      </c>
      <c r="E107" s="4" t="s">
        <v>41</v>
      </c>
      <c r="F107" s="4" t="s">
        <v>43</v>
      </c>
      <c r="G107" s="4" t="s">
        <v>46</v>
      </c>
      <c r="H107" s="4">
        <v>5</v>
      </c>
      <c r="I107" s="4">
        <v>5</v>
      </c>
      <c r="J107" s="4">
        <v>5</v>
      </c>
      <c r="K107" s="4">
        <v>5</v>
      </c>
      <c r="L107" s="4">
        <v>5</v>
      </c>
      <c r="M107" s="4">
        <v>3</v>
      </c>
      <c r="N107" s="4">
        <v>3</v>
      </c>
      <c r="O107" s="4">
        <v>3</v>
      </c>
      <c r="P107" s="4">
        <v>3</v>
      </c>
      <c r="Q107" s="4">
        <v>2</v>
      </c>
      <c r="R107" s="4">
        <v>1</v>
      </c>
      <c r="S107" s="4">
        <v>3</v>
      </c>
      <c r="T107" s="4" t="s">
        <v>42</v>
      </c>
      <c r="U107" s="4" t="s">
        <v>42</v>
      </c>
      <c r="V107" s="4" t="s">
        <v>42</v>
      </c>
      <c r="W107" s="4" t="s">
        <v>53</v>
      </c>
    </row>
    <row r="108" spans="1:23" x14ac:dyDescent="0.2">
      <c r="A108" s="14">
        <v>45892.733673784722</v>
      </c>
      <c r="B108" s="4" t="s">
        <v>22</v>
      </c>
      <c r="C108" s="4" t="s">
        <v>26</v>
      </c>
      <c r="D108" s="4" t="s">
        <v>31</v>
      </c>
      <c r="E108" s="4" t="s">
        <v>42</v>
      </c>
      <c r="F108" s="4"/>
      <c r="G108" s="4" t="s">
        <v>46</v>
      </c>
      <c r="H108" s="4">
        <v>5</v>
      </c>
      <c r="I108" s="4">
        <v>5</v>
      </c>
      <c r="J108" s="4">
        <v>5</v>
      </c>
      <c r="K108" s="4">
        <v>5</v>
      </c>
      <c r="L108" s="4">
        <v>5</v>
      </c>
      <c r="M108" s="4">
        <v>1</v>
      </c>
      <c r="N108" s="4">
        <v>1</v>
      </c>
      <c r="O108" s="4">
        <v>1</v>
      </c>
      <c r="P108" s="4">
        <v>3</v>
      </c>
      <c r="Q108" s="4">
        <v>2</v>
      </c>
      <c r="R108" s="4">
        <v>4</v>
      </c>
      <c r="S108" s="4">
        <v>3</v>
      </c>
      <c r="T108" s="4" t="s">
        <v>41</v>
      </c>
      <c r="U108" s="4" t="s">
        <v>41</v>
      </c>
      <c r="V108" s="4" t="s">
        <v>41</v>
      </c>
      <c r="W108" s="4" t="s">
        <v>53</v>
      </c>
    </row>
    <row r="109" spans="1:23" x14ac:dyDescent="0.2">
      <c r="A109" s="14">
        <v>45892.736231435178</v>
      </c>
      <c r="B109" s="4" t="s">
        <v>24</v>
      </c>
      <c r="C109" s="4" t="s">
        <v>25</v>
      </c>
      <c r="D109" s="4" t="s">
        <v>31</v>
      </c>
      <c r="E109" s="4" t="s">
        <v>42</v>
      </c>
      <c r="F109" s="4"/>
      <c r="G109" s="4" t="s">
        <v>46</v>
      </c>
      <c r="H109" s="4">
        <v>5</v>
      </c>
      <c r="I109" s="4">
        <v>5</v>
      </c>
      <c r="J109" s="4">
        <v>4</v>
      </c>
      <c r="K109" s="4">
        <v>5</v>
      </c>
      <c r="L109" s="4">
        <v>3</v>
      </c>
      <c r="M109" s="4">
        <v>5</v>
      </c>
      <c r="N109" s="4">
        <v>5</v>
      </c>
      <c r="O109" s="4">
        <v>2</v>
      </c>
      <c r="P109" s="4">
        <v>1</v>
      </c>
      <c r="Q109" s="4">
        <v>1</v>
      </c>
      <c r="R109" s="4">
        <v>1</v>
      </c>
      <c r="S109" s="4">
        <v>5</v>
      </c>
      <c r="T109" s="4" t="s">
        <v>41</v>
      </c>
      <c r="U109" s="4" t="s">
        <v>42</v>
      </c>
      <c r="V109" s="4" t="s">
        <v>42</v>
      </c>
      <c r="W109" s="4" t="s">
        <v>53</v>
      </c>
    </row>
    <row r="110" spans="1:23" x14ac:dyDescent="0.2">
      <c r="A110" s="14">
        <v>45892.749489340284</v>
      </c>
      <c r="B110" s="4" t="s">
        <v>22</v>
      </c>
      <c r="C110" s="4" t="s">
        <v>25</v>
      </c>
      <c r="D110" s="4" t="s">
        <v>31</v>
      </c>
      <c r="E110" s="4" t="s">
        <v>41</v>
      </c>
      <c r="F110" s="4" t="s">
        <v>43</v>
      </c>
      <c r="G110" s="4" t="s">
        <v>46</v>
      </c>
      <c r="H110" s="4">
        <v>5</v>
      </c>
      <c r="I110" s="4">
        <v>5</v>
      </c>
      <c r="J110" s="4">
        <v>3</v>
      </c>
      <c r="K110" s="4">
        <v>5</v>
      </c>
      <c r="L110" s="4">
        <v>3</v>
      </c>
      <c r="M110" s="4">
        <v>1</v>
      </c>
      <c r="N110" s="4">
        <v>1</v>
      </c>
      <c r="O110" s="4">
        <v>1</v>
      </c>
      <c r="P110" s="4">
        <v>1</v>
      </c>
      <c r="Q110" s="4">
        <v>3</v>
      </c>
      <c r="R110" s="4">
        <v>1</v>
      </c>
      <c r="S110" s="4">
        <v>3</v>
      </c>
      <c r="T110" s="4" t="s">
        <v>41</v>
      </c>
      <c r="U110" s="4" t="s">
        <v>41</v>
      </c>
      <c r="V110" s="4" t="s">
        <v>41</v>
      </c>
      <c r="W110" s="4" t="s">
        <v>53</v>
      </c>
    </row>
    <row r="111" spans="1:23" x14ac:dyDescent="0.2">
      <c r="A111" s="14">
        <v>45892.751050995372</v>
      </c>
      <c r="B111" s="4" t="s">
        <v>24</v>
      </c>
      <c r="C111" s="4" t="s">
        <v>26</v>
      </c>
      <c r="D111" s="4" t="s">
        <v>37</v>
      </c>
      <c r="E111" s="4" t="s">
        <v>42</v>
      </c>
      <c r="F111" s="4"/>
      <c r="G111" s="4" t="s">
        <v>48</v>
      </c>
      <c r="H111" s="4">
        <v>5</v>
      </c>
      <c r="I111" s="4">
        <v>5</v>
      </c>
      <c r="J111" s="4">
        <v>4</v>
      </c>
      <c r="K111" s="4">
        <v>5</v>
      </c>
      <c r="L111" s="4">
        <v>5</v>
      </c>
      <c r="M111" s="4">
        <v>4</v>
      </c>
      <c r="N111" s="4">
        <v>4</v>
      </c>
      <c r="O111" s="4">
        <v>5</v>
      </c>
      <c r="P111" s="4">
        <v>3</v>
      </c>
      <c r="Q111" s="4">
        <v>4</v>
      </c>
      <c r="R111" s="4">
        <v>4</v>
      </c>
      <c r="S111" s="4">
        <v>3</v>
      </c>
      <c r="T111" s="4" t="s">
        <v>41</v>
      </c>
      <c r="U111" s="4" t="s">
        <v>42</v>
      </c>
      <c r="V111" s="4" t="s">
        <v>42</v>
      </c>
      <c r="W111" s="4" t="s">
        <v>53</v>
      </c>
    </row>
    <row r="112" spans="1:23" x14ac:dyDescent="0.2">
      <c r="A112" s="14">
        <v>45892.764577835653</v>
      </c>
      <c r="B112" s="4" t="s">
        <v>22</v>
      </c>
      <c r="C112" s="4" t="s">
        <v>25</v>
      </c>
      <c r="D112" s="4" t="s">
        <v>31</v>
      </c>
      <c r="E112" s="4" t="s">
        <v>42</v>
      </c>
      <c r="F112" s="4"/>
      <c r="G112" s="4" t="s">
        <v>48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3</v>
      </c>
      <c r="N112" s="4">
        <v>3</v>
      </c>
      <c r="O112" s="4">
        <v>3</v>
      </c>
      <c r="P112" s="4">
        <v>3</v>
      </c>
      <c r="Q112" s="4">
        <v>3</v>
      </c>
      <c r="R112" s="4">
        <v>3</v>
      </c>
      <c r="S112" s="4">
        <v>3</v>
      </c>
      <c r="T112" s="4" t="s">
        <v>41</v>
      </c>
      <c r="U112" s="4" t="s">
        <v>41</v>
      </c>
      <c r="V112" s="4" t="s">
        <v>41</v>
      </c>
      <c r="W112" s="4" t="s">
        <v>51</v>
      </c>
    </row>
    <row r="113" spans="1:24" x14ac:dyDescent="0.2">
      <c r="A113" s="14">
        <v>45892.775005011572</v>
      </c>
      <c r="B113" s="4" t="s">
        <v>24</v>
      </c>
      <c r="C113" s="4" t="s">
        <v>26</v>
      </c>
      <c r="D113" s="4" t="s">
        <v>37</v>
      </c>
      <c r="E113" s="4" t="s">
        <v>41</v>
      </c>
      <c r="F113" s="4" t="s">
        <v>43</v>
      </c>
      <c r="G113" s="4" t="s">
        <v>46</v>
      </c>
      <c r="H113" s="4">
        <v>5</v>
      </c>
      <c r="I113" s="4">
        <v>5</v>
      </c>
      <c r="J113" s="4">
        <v>5</v>
      </c>
      <c r="K113" s="4">
        <v>3</v>
      </c>
      <c r="L113" s="4">
        <v>5</v>
      </c>
      <c r="M113" s="4">
        <v>5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 t="s">
        <v>42</v>
      </c>
      <c r="U113" s="4" t="s">
        <v>42</v>
      </c>
      <c r="V113" s="4" t="s">
        <v>42</v>
      </c>
      <c r="W113" s="4" t="s">
        <v>53</v>
      </c>
    </row>
    <row r="114" spans="1:24" x14ac:dyDescent="0.2">
      <c r="A114" s="14">
        <v>45892.86290763889</v>
      </c>
      <c r="B114" s="4" t="s">
        <v>23</v>
      </c>
      <c r="C114" s="4" t="s">
        <v>25</v>
      </c>
      <c r="D114" s="4" t="s">
        <v>38</v>
      </c>
      <c r="E114" s="4" t="s">
        <v>42</v>
      </c>
      <c r="F114" s="4"/>
      <c r="G114" s="4" t="s">
        <v>46</v>
      </c>
      <c r="H114" s="4">
        <v>3</v>
      </c>
      <c r="I114" s="4">
        <v>4</v>
      </c>
      <c r="J114" s="4">
        <v>5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3</v>
      </c>
      <c r="Q114" s="4">
        <v>3</v>
      </c>
      <c r="R114" s="4">
        <v>4</v>
      </c>
      <c r="S114" s="4">
        <v>5</v>
      </c>
      <c r="T114" s="4" t="s">
        <v>41</v>
      </c>
      <c r="U114" s="4" t="s">
        <v>41</v>
      </c>
      <c r="V114" s="4" t="s">
        <v>41</v>
      </c>
      <c r="W114" s="4" t="s">
        <v>53</v>
      </c>
    </row>
    <row r="115" spans="1:24" x14ac:dyDescent="0.2">
      <c r="A115" s="14">
        <v>45892.868776469913</v>
      </c>
      <c r="B115" s="4" t="s">
        <v>23</v>
      </c>
      <c r="C115" s="4" t="s">
        <v>25</v>
      </c>
      <c r="D115" s="4" t="s">
        <v>38</v>
      </c>
      <c r="E115" s="4" t="s">
        <v>41</v>
      </c>
      <c r="F115" s="4" t="s">
        <v>44</v>
      </c>
      <c r="G115" s="4" t="s">
        <v>48</v>
      </c>
      <c r="H115" s="4">
        <v>4</v>
      </c>
      <c r="I115" s="4">
        <v>4</v>
      </c>
      <c r="J115" s="4">
        <v>5</v>
      </c>
      <c r="K115" s="4">
        <v>2</v>
      </c>
      <c r="L115" s="4">
        <v>4</v>
      </c>
      <c r="M115" s="4">
        <v>3</v>
      </c>
      <c r="N115" s="4">
        <v>3</v>
      </c>
      <c r="O115" s="4">
        <v>2</v>
      </c>
      <c r="P115" s="4">
        <v>2</v>
      </c>
      <c r="Q115" s="4">
        <v>2</v>
      </c>
      <c r="R115" s="4">
        <v>4</v>
      </c>
      <c r="S115" s="4">
        <v>1</v>
      </c>
      <c r="T115" s="4" t="s">
        <v>42</v>
      </c>
      <c r="U115" s="4" t="s">
        <v>41</v>
      </c>
      <c r="V115" s="4" t="s">
        <v>42</v>
      </c>
      <c r="W115" s="4" t="s">
        <v>52</v>
      </c>
    </row>
    <row r="116" spans="1:24" x14ac:dyDescent="0.2">
      <c r="A116" s="16">
        <v>45892.95815972222</v>
      </c>
      <c r="B116" s="17" t="s">
        <v>23</v>
      </c>
      <c r="C116" s="17" t="s">
        <v>25</v>
      </c>
      <c r="D116" s="4" t="s">
        <v>37</v>
      </c>
      <c r="E116" s="17" t="s">
        <v>42</v>
      </c>
      <c r="F116" s="15"/>
      <c r="G116" s="17" t="s">
        <v>48</v>
      </c>
      <c r="H116" s="17">
        <v>5</v>
      </c>
      <c r="I116" s="17">
        <v>5</v>
      </c>
      <c r="J116" s="17">
        <v>4</v>
      </c>
      <c r="K116" s="17">
        <v>5</v>
      </c>
      <c r="L116" s="17">
        <v>4</v>
      </c>
      <c r="M116" s="17">
        <v>1</v>
      </c>
      <c r="N116" s="17">
        <v>1</v>
      </c>
      <c r="O116" s="17">
        <v>1</v>
      </c>
      <c r="P116" s="17">
        <v>5</v>
      </c>
      <c r="Q116" s="17">
        <v>5</v>
      </c>
      <c r="R116" s="17">
        <v>5</v>
      </c>
      <c r="S116" s="17">
        <v>1</v>
      </c>
      <c r="T116" s="17" t="s">
        <v>42</v>
      </c>
      <c r="U116" s="17" t="s">
        <v>42</v>
      </c>
      <c r="V116" s="17" t="s">
        <v>42</v>
      </c>
      <c r="W116" s="17" t="s">
        <v>51</v>
      </c>
      <c r="X116" s="13"/>
    </row>
    <row r="117" spans="1:24" x14ac:dyDescent="0.2">
      <c r="A117" s="16">
        <v>45893.743460648147</v>
      </c>
      <c r="B117" s="17" t="s">
        <v>24</v>
      </c>
      <c r="C117" s="17" t="s">
        <v>26</v>
      </c>
      <c r="D117" s="4" t="s">
        <v>31</v>
      </c>
      <c r="E117" s="17" t="s">
        <v>41</v>
      </c>
      <c r="F117" s="17" t="s">
        <v>43</v>
      </c>
      <c r="G117" s="17" t="s">
        <v>46</v>
      </c>
      <c r="H117" s="17">
        <v>5</v>
      </c>
      <c r="I117" s="17">
        <v>4</v>
      </c>
      <c r="J117" s="17">
        <v>4</v>
      </c>
      <c r="K117" s="17">
        <v>3</v>
      </c>
      <c r="L117" s="17">
        <v>3</v>
      </c>
      <c r="M117" s="17">
        <v>3</v>
      </c>
      <c r="N117" s="17">
        <v>2</v>
      </c>
      <c r="O117" s="17">
        <v>3</v>
      </c>
      <c r="P117" s="17">
        <v>3</v>
      </c>
      <c r="Q117" s="17">
        <v>4</v>
      </c>
      <c r="R117" s="17">
        <v>3</v>
      </c>
      <c r="S117" s="17">
        <v>3</v>
      </c>
      <c r="T117" s="17" t="s">
        <v>42</v>
      </c>
      <c r="U117" s="17" t="s">
        <v>42</v>
      </c>
      <c r="V117" s="17" t="s">
        <v>42</v>
      </c>
      <c r="W117" s="17" t="s">
        <v>53</v>
      </c>
      <c r="X117" s="13"/>
    </row>
    <row r="118" spans="1:24" x14ac:dyDescent="0.2">
      <c r="A118" s="16">
        <v>45893.841886574075</v>
      </c>
      <c r="B118" s="17" t="s">
        <v>23</v>
      </c>
      <c r="C118" s="17" t="s">
        <v>26</v>
      </c>
      <c r="D118" s="4" t="s">
        <v>29</v>
      </c>
      <c r="E118" s="17" t="s">
        <v>42</v>
      </c>
      <c r="F118" s="15"/>
      <c r="G118" s="17" t="s">
        <v>46</v>
      </c>
      <c r="H118" s="17">
        <v>3</v>
      </c>
      <c r="I118" s="17">
        <v>5</v>
      </c>
      <c r="J118" s="17">
        <v>5</v>
      </c>
      <c r="K118" s="17">
        <v>4</v>
      </c>
      <c r="L118" s="17">
        <v>4</v>
      </c>
      <c r="M118" s="17">
        <v>3</v>
      </c>
      <c r="N118" s="17">
        <v>3</v>
      </c>
      <c r="O118" s="17">
        <v>3</v>
      </c>
      <c r="P118" s="17">
        <v>3</v>
      </c>
      <c r="Q118" s="17">
        <v>1</v>
      </c>
      <c r="R118" s="17">
        <v>1</v>
      </c>
      <c r="S118" s="17">
        <v>4</v>
      </c>
      <c r="T118" s="17" t="s">
        <v>41</v>
      </c>
      <c r="U118" s="17" t="s">
        <v>42</v>
      </c>
      <c r="V118" s="17" t="s">
        <v>42</v>
      </c>
      <c r="W118" s="17" t="s">
        <v>51</v>
      </c>
      <c r="X118" s="13"/>
    </row>
    <row r="119" spans="1:24" x14ac:dyDescent="0.2">
      <c r="A119" s="28">
        <v>45894.399872685186</v>
      </c>
      <c r="B119" s="17" t="s">
        <v>23</v>
      </c>
      <c r="C119" s="17" t="s">
        <v>26</v>
      </c>
      <c r="D119" s="4" t="s">
        <v>38</v>
      </c>
      <c r="E119" s="17" t="s">
        <v>41</v>
      </c>
      <c r="F119" s="17" t="s">
        <v>43</v>
      </c>
      <c r="G119" s="17" t="s">
        <v>47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 t="s">
        <v>42</v>
      </c>
      <c r="U119" s="17" t="s">
        <v>42</v>
      </c>
      <c r="V119" s="17" t="s">
        <v>42</v>
      </c>
      <c r="W119" s="17" t="s">
        <v>50</v>
      </c>
    </row>
    <row r="120" spans="1:24" x14ac:dyDescent="0.2">
      <c r="A120" s="28">
        <v>45894.40042824074</v>
      </c>
      <c r="B120" s="17" t="s">
        <v>23</v>
      </c>
      <c r="C120" s="17" t="s">
        <v>26</v>
      </c>
      <c r="D120" s="4" t="s">
        <v>38</v>
      </c>
      <c r="E120" s="17" t="s">
        <v>41</v>
      </c>
      <c r="F120" s="17" t="s">
        <v>43</v>
      </c>
      <c r="G120" s="17" t="s">
        <v>46</v>
      </c>
      <c r="H120" s="17">
        <v>4</v>
      </c>
      <c r="I120" s="17">
        <v>4</v>
      </c>
      <c r="J120" s="17">
        <v>2</v>
      </c>
      <c r="K120" s="17">
        <v>4</v>
      </c>
      <c r="L120" s="17">
        <v>5</v>
      </c>
      <c r="M120" s="17">
        <v>5</v>
      </c>
      <c r="N120" s="17">
        <v>4</v>
      </c>
      <c r="O120" s="17">
        <v>4</v>
      </c>
      <c r="P120" s="17">
        <v>5</v>
      </c>
      <c r="Q120" s="17">
        <v>4</v>
      </c>
      <c r="R120" s="17">
        <v>4</v>
      </c>
      <c r="S120" s="17">
        <v>4</v>
      </c>
      <c r="T120" s="17" t="s">
        <v>41</v>
      </c>
      <c r="U120" s="17" t="s">
        <v>41</v>
      </c>
      <c r="V120" s="17" t="s">
        <v>42</v>
      </c>
      <c r="W120" s="17" t="s">
        <v>53</v>
      </c>
    </row>
    <row r="121" spans="1:24" x14ac:dyDescent="0.2">
      <c r="A121" s="28">
        <v>45894.403078703705</v>
      </c>
      <c r="B121" s="17" t="s">
        <v>23</v>
      </c>
      <c r="C121" s="17" t="s">
        <v>25</v>
      </c>
      <c r="D121" s="4" t="s">
        <v>38</v>
      </c>
      <c r="E121" s="17" t="s">
        <v>41</v>
      </c>
      <c r="F121" s="17" t="s">
        <v>44</v>
      </c>
      <c r="G121" s="17" t="s">
        <v>46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4</v>
      </c>
      <c r="O121" s="17">
        <v>2</v>
      </c>
      <c r="P121" s="17">
        <v>3</v>
      </c>
      <c r="Q121" s="17">
        <v>4</v>
      </c>
      <c r="R121" s="17">
        <v>3</v>
      </c>
      <c r="S121" s="17">
        <v>4</v>
      </c>
      <c r="T121" s="17" t="s">
        <v>42</v>
      </c>
      <c r="U121" s="17" t="s">
        <v>41</v>
      </c>
      <c r="V121" s="17" t="s">
        <v>42</v>
      </c>
      <c r="W121" s="17" t="s">
        <v>53</v>
      </c>
    </row>
    <row r="122" spans="1:24" x14ac:dyDescent="0.2">
      <c r="A122" s="28">
        <v>45894.406145833331</v>
      </c>
      <c r="B122" s="17" t="s">
        <v>23</v>
      </c>
      <c r="C122" s="17" t="s">
        <v>26</v>
      </c>
      <c r="D122" s="4" t="s">
        <v>38</v>
      </c>
      <c r="E122" s="17" t="s">
        <v>42</v>
      </c>
      <c r="F122" s="15"/>
      <c r="G122" s="17" t="s">
        <v>47</v>
      </c>
      <c r="H122" s="17">
        <v>2</v>
      </c>
      <c r="I122" s="17">
        <v>2</v>
      </c>
      <c r="J122" s="17">
        <v>4</v>
      </c>
      <c r="K122" s="17">
        <v>2</v>
      </c>
      <c r="L122" s="17">
        <v>2</v>
      </c>
      <c r="M122" s="17">
        <v>1</v>
      </c>
      <c r="N122" s="17">
        <v>3</v>
      </c>
      <c r="O122" s="17">
        <v>1</v>
      </c>
      <c r="P122" s="17">
        <v>5</v>
      </c>
      <c r="Q122" s="17">
        <v>1</v>
      </c>
      <c r="R122" s="17">
        <v>1</v>
      </c>
      <c r="S122" s="17">
        <v>1</v>
      </c>
      <c r="T122" s="17" t="s">
        <v>42</v>
      </c>
      <c r="U122" s="17" t="s">
        <v>42</v>
      </c>
      <c r="V122" s="17" t="s">
        <v>42</v>
      </c>
      <c r="W122" s="17" t="s">
        <v>51</v>
      </c>
    </row>
    <row r="123" spans="1:24" x14ac:dyDescent="0.2">
      <c r="A123" s="28">
        <v>45894.422083333331</v>
      </c>
      <c r="B123" s="17" t="s">
        <v>23</v>
      </c>
      <c r="C123" s="17" t="s">
        <v>26</v>
      </c>
      <c r="D123" s="4" t="s">
        <v>38</v>
      </c>
      <c r="E123" s="17" t="s">
        <v>42</v>
      </c>
      <c r="F123" s="15"/>
      <c r="G123" s="17" t="s">
        <v>48</v>
      </c>
      <c r="H123" s="17">
        <v>3</v>
      </c>
      <c r="I123" s="17">
        <v>3</v>
      </c>
      <c r="J123" s="17">
        <v>4</v>
      </c>
      <c r="K123" s="17">
        <v>5</v>
      </c>
      <c r="L123" s="17">
        <v>5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5</v>
      </c>
      <c r="S123" s="17">
        <v>1</v>
      </c>
      <c r="T123" s="17" t="s">
        <v>42</v>
      </c>
      <c r="U123" s="17" t="s">
        <v>42</v>
      </c>
      <c r="V123" s="17" t="s">
        <v>42</v>
      </c>
      <c r="W123" s="17" t="s">
        <v>51</v>
      </c>
    </row>
    <row r="124" spans="1:24" x14ac:dyDescent="0.2">
      <c r="A124" s="28">
        <v>45894.423761574071</v>
      </c>
      <c r="B124" s="17" t="s">
        <v>22</v>
      </c>
      <c r="C124" s="17" t="s">
        <v>26</v>
      </c>
      <c r="D124" s="4" t="s">
        <v>38</v>
      </c>
      <c r="E124" s="17" t="s">
        <v>41</v>
      </c>
      <c r="F124" s="17" t="s">
        <v>43</v>
      </c>
      <c r="G124" s="17" t="s">
        <v>46</v>
      </c>
      <c r="H124" s="17">
        <v>5</v>
      </c>
      <c r="I124" s="17">
        <v>5</v>
      </c>
      <c r="J124" s="17">
        <v>4</v>
      </c>
      <c r="K124" s="17">
        <v>2</v>
      </c>
      <c r="L124" s="17">
        <v>3</v>
      </c>
      <c r="M124" s="17">
        <v>4</v>
      </c>
      <c r="N124" s="17">
        <v>4</v>
      </c>
      <c r="O124" s="17">
        <v>3</v>
      </c>
      <c r="P124" s="17">
        <v>1</v>
      </c>
      <c r="Q124" s="17">
        <v>3</v>
      </c>
      <c r="R124" s="17">
        <v>1</v>
      </c>
      <c r="S124" s="17">
        <v>5</v>
      </c>
      <c r="T124" s="17" t="s">
        <v>41</v>
      </c>
      <c r="U124" s="17" t="s">
        <v>42</v>
      </c>
      <c r="V124" s="17" t="s">
        <v>42</v>
      </c>
      <c r="W124" s="17" t="s">
        <v>50</v>
      </c>
    </row>
    <row r="125" spans="1:24" x14ac:dyDescent="0.2">
      <c r="A125" s="28">
        <v>45894.426793981482</v>
      </c>
      <c r="B125" s="17" t="s">
        <v>23</v>
      </c>
      <c r="C125" s="17" t="s">
        <v>25</v>
      </c>
      <c r="D125" s="4" t="s">
        <v>38</v>
      </c>
      <c r="E125" s="17" t="s">
        <v>42</v>
      </c>
      <c r="F125" s="15"/>
      <c r="G125" s="17" t="s">
        <v>46</v>
      </c>
      <c r="H125" s="17">
        <v>5</v>
      </c>
      <c r="I125" s="17">
        <v>5</v>
      </c>
      <c r="J125" s="17">
        <v>3</v>
      </c>
      <c r="K125" s="17">
        <v>5</v>
      </c>
      <c r="L125" s="17">
        <v>5</v>
      </c>
      <c r="M125" s="17">
        <v>4</v>
      </c>
      <c r="N125" s="17">
        <v>4</v>
      </c>
      <c r="O125" s="17">
        <v>3</v>
      </c>
      <c r="P125" s="17">
        <v>3</v>
      </c>
      <c r="Q125" s="17">
        <v>5</v>
      </c>
      <c r="R125" s="17">
        <v>5</v>
      </c>
      <c r="S125" s="17">
        <v>1</v>
      </c>
      <c r="T125" s="17" t="s">
        <v>42</v>
      </c>
      <c r="U125" s="17" t="s">
        <v>42</v>
      </c>
      <c r="V125" s="17" t="s">
        <v>42</v>
      </c>
      <c r="W125" s="17" t="s">
        <v>51</v>
      </c>
    </row>
    <row r="126" spans="1:24" x14ac:dyDescent="0.2">
      <c r="A126" s="28">
        <v>45894.430162037039</v>
      </c>
      <c r="B126" s="17" t="s">
        <v>22</v>
      </c>
      <c r="C126" s="17" t="s">
        <v>26</v>
      </c>
      <c r="D126" s="4" t="s">
        <v>38</v>
      </c>
      <c r="E126" s="17" t="s">
        <v>41</v>
      </c>
      <c r="F126" s="17" t="s">
        <v>44</v>
      </c>
      <c r="G126" s="17" t="s">
        <v>47</v>
      </c>
      <c r="H126" s="17">
        <v>3</v>
      </c>
      <c r="I126" s="17">
        <v>4</v>
      </c>
      <c r="J126" s="17">
        <v>3</v>
      </c>
      <c r="K126" s="17">
        <v>4</v>
      </c>
      <c r="L126" s="17">
        <v>4</v>
      </c>
      <c r="M126" s="17">
        <v>2</v>
      </c>
      <c r="N126" s="17">
        <v>2</v>
      </c>
      <c r="O126" s="17">
        <v>2</v>
      </c>
      <c r="P126" s="17">
        <v>2</v>
      </c>
      <c r="Q126" s="17">
        <v>2</v>
      </c>
      <c r="R126" s="17">
        <v>2</v>
      </c>
      <c r="S126" s="17">
        <v>5</v>
      </c>
      <c r="T126" s="17" t="s">
        <v>41</v>
      </c>
      <c r="U126" s="17" t="s">
        <v>41</v>
      </c>
      <c r="V126" s="17" t="s">
        <v>42</v>
      </c>
      <c r="W126" s="17" t="s">
        <v>51</v>
      </c>
    </row>
    <row r="127" spans="1:24" x14ac:dyDescent="0.2">
      <c r="A127" s="28">
        <v>45894.437962962962</v>
      </c>
      <c r="B127" s="17" t="s">
        <v>22</v>
      </c>
      <c r="C127" s="17" t="s">
        <v>26</v>
      </c>
      <c r="D127" s="4" t="s">
        <v>38</v>
      </c>
      <c r="E127" s="17" t="s">
        <v>41</v>
      </c>
      <c r="F127" s="17" t="s">
        <v>43</v>
      </c>
      <c r="G127" s="17" t="s">
        <v>48</v>
      </c>
      <c r="H127" s="17">
        <v>5</v>
      </c>
      <c r="I127" s="17">
        <v>5</v>
      </c>
      <c r="J127" s="17">
        <v>3</v>
      </c>
      <c r="K127" s="17">
        <v>1</v>
      </c>
      <c r="L127" s="17">
        <v>2</v>
      </c>
      <c r="M127" s="17">
        <v>2</v>
      </c>
      <c r="N127" s="17">
        <v>2</v>
      </c>
      <c r="O127" s="17">
        <v>2</v>
      </c>
      <c r="P127" s="17">
        <v>2</v>
      </c>
      <c r="Q127" s="17">
        <v>4</v>
      </c>
      <c r="R127" s="17">
        <v>3</v>
      </c>
      <c r="S127" s="17">
        <v>4</v>
      </c>
      <c r="T127" s="17" t="s">
        <v>42</v>
      </c>
      <c r="U127" s="17" t="s">
        <v>41</v>
      </c>
      <c r="V127" s="17" t="s">
        <v>42</v>
      </c>
      <c r="W127" s="17" t="s">
        <v>52</v>
      </c>
    </row>
    <row r="128" spans="1:24" x14ac:dyDescent="0.2">
      <c r="A128" s="28">
        <v>45894.459583333337</v>
      </c>
      <c r="B128" s="17" t="s">
        <v>58</v>
      </c>
      <c r="C128" s="17" t="s">
        <v>26</v>
      </c>
      <c r="D128" s="4" t="s">
        <v>38</v>
      </c>
      <c r="E128" s="17" t="s">
        <v>41</v>
      </c>
      <c r="F128" s="17" t="s">
        <v>43</v>
      </c>
      <c r="G128" s="17" t="s">
        <v>47</v>
      </c>
      <c r="H128" s="17">
        <v>2</v>
      </c>
      <c r="I128" s="17">
        <v>1</v>
      </c>
      <c r="J128" s="17">
        <v>3</v>
      </c>
      <c r="K128" s="17">
        <v>4</v>
      </c>
      <c r="L128" s="17">
        <v>3</v>
      </c>
      <c r="M128" s="17">
        <v>4</v>
      </c>
      <c r="N128" s="17">
        <v>3</v>
      </c>
      <c r="O128" s="17">
        <v>4</v>
      </c>
      <c r="P128" s="17">
        <v>2</v>
      </c>
      <c r="Q128" s="17">
        <v>5</v>
      </c>
      <c r="R128" s="17">
        <v>5</v>
      </c>
      <c r="S128" s="17">
        <v>5</v>
      </c>
      <c r="T128" s="17" t="s">
        <v>41</v>
      </c>
      <c r="U128" s="17" t="s">
        <v>41</v>
      </c>
      <c r="V128" s="17" t="s">
        <v>42</v>
      </c>
      <c r="W128" s="17" t="s">
        <v>51</v>
      </c>
    </row>
    <row r="129" spans="1:23" x14ac:dyDescent="0.2">
      <c r="A129" s="28">
        <v>45894.459918981483</v>
      </c>
      <c r="B129" s="17" t="s">
        <v>23</v>
      </c>
      <c r="C129" s="17" t="s">
        <v>26</v>
      </c>
      <c r="D129" s="4" t="s">
        <v>38</v>
      </c>
      <c r="E129" s="17" t="s">
        <v>41</v>
      </c>
      <c r="F129" s="17" t="s">
        <v>43</v>
      </c>
      <c r="G129" s="17" t="s">
        <v>48</v>
      </c>
      <c r="H129" s="17">
        <v>3</v>
      </c>
      <c r="I129" s="17">
        <v>2</v>
      </c>
      <c r="J129" s="17">
        <v>3</v>
      </c>
      <c r="K129" s="17">
        <v>2</v>
      </c>
      <c r="L129" s="17">
        <v>2</v>
      </c>
      <c r="M129" s="17">
        <v>3</v>
      </c>
      <c r="N129" s="17">
        <v>2</v>
      </c>
      <c r="O129" s="17">
        <v>3</v>
      </c>
      <c r="P129" s="17">
        <v>4</v>
      </c>
      <c r="Q129" s="17">
        <v>1</v>
      </c>
      <c r="R129" s="17">
        <v>4</v>
      </c>
      <c r="S129" s="17">
        <v>3</v>
      </c>
      <c r="T129" s="17" t="s">
        <v>41</v>
      </c>
      <c r="U129" s="17" t="s">
        <v>42</v>
      </c>
      <c r="V129" s="17" t="s">
        <v>42</v>
      </c>
      <c r="W129" s="17" t="s">
        <v>52</v>
      </c>
    </row>
    <row r="130" spans="1:23" x14ac:dyDescent="0.2">
      <c r="A130" s="28">
        <v>45894.472500000003</v>
      </c>
      <c r="B130" s="17" t="s">
        <v>23</v>
      </c>
      <c r="C130" s="17" t="s">
        <v>26</v>
      </c>
      <c r="D130" s="17" t="s">
        <v>113</v>
      </c>
      <c r="E130" s="17" t="s">
        <v>42</v>
      </c>
      <c r="F130" s="15"/>
      <c r="G130" s="17" t="s">
        <v>48</v>
      </c>
      <c r="H130" s="17">
        <v>3</v>
      </c>
      <c r="I130" s="17">
        <v>4</v>
      </c>
      <c r="J130" s="17">
        <v>4</v>
      </c>
      <c r="K130" s="17">
        <v>5</v>
      </c>
      <c r="L130" s="17">
        <v>5</v>
      </c>
      <c r="M130" s="17">
        <v>3</v>
      </c>
      <c r="N130" s="17">
        <v>3</v>
      </c>
      <c r="O130" s="17">
        <v>4</v>
      </c>
      <c r="P130" s="17">
        <v>5</v>
      </c>
      <c r="Q130" s="17">
        <v>5</v>
      </c>
      <c r="R130" s="17">
        <v>5</v>
      </c>
      <c r="S130" s="17">
        <v>2</v>
      </c>
      <c r="T130" s="17" t="s">
        <v>41</v>
      </c>
      <c r="U130" s="17" t="s">
        <v>41</v>
      </c>
      <c r="V130" s="17" t="s">
        <v>41</v>
      </c>
      <c r="W130" s="17" t="s">
        <v>53</v>
      </c>
    </row>
    <row r="131" spans="1:23" x14ac:dyDescent="0.2">
      <c r="A131" s="28">
        <v>45894.480879629627</v>
      </c>
      <c r="B131" s="17" t="s">
        <v>23</v>
      </c>
      <c r="C131" s="17" t="s">
        <v>26</v>
      </c>
      <c r="D131" s="4" t="s">
        <v>38</v>
      </c>
      <c r="E131" s="17" t="s">
        <v>42</v>
      </c>
      <c r="F131" s="15"/>
      <c r="G131" s="17" t="s">
        <v>46</v>
      </c>
      <c r="H131" s="17">
        <v>5</v>
      </c>
      <c r="I131" s="17">
        <v>5</v>
      </c>
      <c r="J131" s="17">
        <v>3</v>
      </c>
      <c r="K131" s="17">
        <v>5</v>
      </c>
      <c r="L131" s="17">
        <v>3</v>
      </c>
      <c r="M131" s="17">
        <v>3</v>
      </c>
      <c r="N131" s="17">
        <v>3</v>
      </c>
      <c r="O131" s="17">
        <v>3</v>
      </c>
      <c r="P131" s="17">
        <v>4</v>
      </c>
      <c r="Q131" s="17">
        <v>4</v>
      </c>
      <c r="R131" s="17">
        <v>3</v>
      </c>
      <c r="S131" s="17">
        <v>5</v>
      </c>
      <c r="T131" s="17" t="s">
        <v>41</v>
      </c>
      <c r="U131" s="17" t="s">
        <v>42</v>
      </c>
      <c r="V131" s="17" t="s">
        <v>42</v>
      </c>
      <c r="W131" s="17" t="s">
        <v>51</v>
      </c>
    </row>
    <row r="132" spans="1:23" x14ac:dyDescent="0.2">
      <c r="A132" s="28">
        <v>45894.546180555553</v>
      </c>
      <c r="B132" s="17" t="s">
        <v>23</v>
      </c>
      <c r="C132" s="17" t="s">
        <v>26</v>
      </c>
      <c r="D132" s="4" t="s">
        <v>38</v>
      </c>
      <c r="E132" s="17" t="s">
        <v>42</v>
      </c>
      <c r="F132" s="15"/>
      <c r="G132" s="17" t="s">
        <v>48</v>
      </c>
      <c r="H132" s="17">
        <v>2</v>
      </c>
      <c r="I132" s="17">
        <v>3</v>
      </c>
      <c r="J132" s="17">
        <v>4</v>
      </c>
      <c r="K132" s="17">
        <v>4</v>
      </c>
      <c r="L132" s="17">
        <v>5</v>
      </c>
      <c r="M132" s="17">
        <v>3</v>
      </c>
      <c r="N132" s="17">
        <v>4</v>
      </c>
      <c r="O132" s="17">
        <v>3</v>
      </c>
      <c r="P132" s="17">
        <v>4</v>
      </c>
      <c r="Q132" s="17">
        <v>5</v>
      </c>
      <c r="R132" s="17">
        <v>5</v>
      </c>
      <c r="S132" s="17">
        <v>1</v>
      </c>
      <c r="T132" s="17" t="s">
        <v>42</v>
      </c>
      <c r="U132" s="17" t="s">
        <v>42</v>
      </c>
      <c r="V132" s="17" t="s">
        <v>42</v>
      </c>
      <c r="W132" s="17" t="s">
        <v>51</v>
      </c>
    </row>
    <row r="133" spans="1:23" x14ac:dyDescent="0.2">
      <c r="A133" s="28">
        <v>45894.552499999998</v>
      </c>
      <c r="B133" s="17" t="s">
        <v>23</v>
      </c>
      <c r="C133" s="17" t="s">
        <v>25</v>
      </c>
      <c r="D133" s="4" t="s">
        <v>38</v>
      </c>
      <c r="E133" s="17" t="s">
        <v>41</v>
      </c>
      <c r="F133" s="17" t="s">
        <v>45</v>
      </c>
      <c r="G133" s="17" t="s">
        <v>46</v>
      </c>
      <c r="H133" s="17">
        <v>4</v>
      </c>
      <c r="I133" s="17">
        <v>4</v>
      </c>
      <c r="J133" s="17">
        <v>3</v>
      </c>
      <c r="K133" s="17">
        <v>4</v>
      </c>
      <c r="L133" s="17">
        <v>4</v>
      </c>
      <c r="M133" s="17">
        <v>3</v>
      </c>
      <c r="N133" s="17">
        <v>3</v>
      </c>
      <c r="O133" s="17">
        <v>3</v>
      </c>
      <c r="P133" s="17">
        <v>3</v>
      </c>
      <c r="Q133" s="17">
        <v>2</v>
      </c>
      <c r="R133" s="17">
        <v>3</v>
      </c>
      <c r="S133" s="17">
        <v>4</v>
      </c>
      <c r="T133" s="17" t="s">
        <v>42</v>
      </c>
      <c r="U133" s="17" t="s">
        <v>42</v>
      </c>
      <c r="V133" s="17" t="s">
        <v>42</v>
      </c>
      <c r="W133" s="17" t="s">
        <v>53</v>
      </c>
    </row>
    <row r="134" spans="1:23" x14ac:dyDescent="0.2">
      <c r="A134" s="28">
        <v>45894.559490740743</v>
      </c>
      <c r="B134" s="17" t="s">
        <v>23</v>
      </c>
      <c r="C134" s="17" t="s">
        <v>26</v>
      </c>
      <c r="D134" s="4" t="s">
        <v>38</v>
      </c>
      <c r="E134" s="17" t="s">
        <v>41</v>
      </c>
      <c r="F134" s="17" t="s">
        <v>43</v>
      </c>
      <c r="G134" s="17" t="s">
        <v>47</v>
      </c>
      <c r="H134" s="17">
        <v>2</v>
      </c>
      <c r="I134" s="17">
        <v>2</v>
      </c>
      <c r="J134" s="17">
        <v>2</v>
      </c>
      <c r="K134" s="17">
        <v>2</v>
      </c>
      <c r="L134" s="17">
        <v>2</v>
      </c>
      <c r="M134" s="17">
        <v>4</v>
      </c>
      <c r="N134" s="17">
        <v>2</v>
      </c>
      <c r="O134" s="17">
        <v>2</v>
      </c>
      <c r="P134" s="17">
        <v>5</v>
      </c>
      <c r="Q134" s="17">
        <v>5</v>
      </c>
      <c r="R134" s="17">
        <v>3</v>
      </c>
      <c r="S134" s="17">
        <v>2</v>
      </c>
      <c r="T134" s="17" t="s">
        <v>42</v>
      </c>
      <c r="U134" s="17" t="s">
        <v>42</v>
      </c>
      <c r="V134" s="17" t="s">
        <v>42</v>
      </c>
      <c r="W134" s="17" t="s">
        <v>51</v>
      </c>
    </row>
    <row r="135" spans="1:23" x14ac:dyDescent="0.2">
      <c r="A135" s="28">
        <v>45894.600949074076</v>
      </c>
      <c r="B135" s="17" t="s">
        <v>23</v>
      </c>
      <c r="C135" s="17" t="s">
        <v>26</v>
      </c>
      <c r="D135" s="17" t="s">
        <v>113</v>
      </c>
      <c r="E135" s="17" t="s">
        <v>42</v>
      </c>
      <c r="F135" s="15"/>
      <c r="G135" s="17" t="s">
        <v>46</v>
      </c>
      <c r="H135" s="17">
        <v>4</v>
      </c>
      <c r="I135" s="17">
        <v>4</v>
      </c>
      <c r="J135" s="17">
        <v>4</v>
      </c>
      <c r="K135" s="17">
        <v>4</v>
      </c>
      <c r="L135" s="17">
        <v>4</v>
      </c>
      <c r="M135" s="17">
        <v>4</v>
      </c>
      <c r="N135" s="17">
        <v>4</v>
      </c>
      <c r="O135" s="17">
        <v>3</v>
      </c>
      <c r="P135" s="17">
        <v>5</v>
      </c>
      <c r="Q135" s="17">
        <v>5</v>
      </c>
      <c r="R135" s="17">
        <v>5</v>
      </c>
      <c r="S135" s="17">
        <v>4</v>
      </c>
      <c r="T135" s="17" t="s">
        <v>41</v>
      </c>
      <c r="U135" s="17" t="s">
        <v>41</v>
      </c>
      <c r="V135" s="17" t="s">
        <v>41</v>
      </c>
      <c r="W135" s="17" t="s">
        <v>50</v>
      </c>
    </row>
    <row r="136" spans="1:23" x14ac:dyDescent="0.2">
      <c r="A136" s="28">
        <v>45894.610092592593</v>
      </c>
      <c r="B136" s="17" t="s">
        <v>22</v>
      </c>
      <c r="C136" s="17" t="s">
        <v>25</v>
      </c>
      <c r="D136" s="4" t="s">
        <v>38</v>
      </c>
      <c r="E136" s="17" t="s">
        <v>42</v>
      </c>
      <c r="F136" s="15"/>
      <c r="G136" s="17" t="s">
        <v>46</v>
      </c>
      <c r="H136" s="17">
        <v>5</v>
      </c>
      <c r="I136" s="17">
        <v>5</v>
      </c>
      <c r="J136" s="17">
        <v>5</v>
      </c>
      <c r="K136" s="17">
        <v>5</v>
      </c>
      <c r="L136" s="17">
        <v>5</v>
      </c>
      <c r="M136" s="17">
        <v>4</v>
      </c>
      <c r="N136" s="17">
        <v>4</v>
      </c>
      <c r="O136" s="17">
        <v>2</v>
      </c>
      <c r="P136" s="17">
        <v>2</v>
      </c>
      <c r="Q136" s="17">
        <v>1</v>
      </c>
      <c r="R136" s="17">
        <v>1</v>
      </c>
      <c r="S136" s="17">
        <v>3</v>
      </c>
      <c r="T136" s="17" t="s">
        <v>42</v>
      </c>
      <c r="U136" s="17" t="s">
        <v>42</v>
      </c>
      <c r="V136" s="17" t="s">
        <v>42</v>
      </c>
      <c r="W136" s="17" t="s">
        <v>51</v>
      </c>
    </row>
    <row r="137" spans="1:23" x14ac:dyDescent="0.2">
      <c r="A137" s="28">
        <v>45894.687893518516</v>
      </c>
      <c r="B137" s="17" t="s">
        <v>23</v>
      </c>
      <c r="C137" s="17" t="s">
        <v>25</v>
      </c>
      <c r="D137" s="4" t="s">
        <v>38</v>
      </c>
      <c r="E137" s="17" t="s">
        <v>42</v>
      </c>
      <c r="F137" s="15"/>
      <c r="G137" s="17" t="s">
        <v>46</v>
      </c>
      <c r="H137" s="17">
        <v>4</v>
      </c>
      <c r="I137" s="17">
        <v>4</v>
      </c>
      <c r="J137" s="17">
        <v>4</v>
      </c>
      <c r="K137" s="17">
        <v>5</v>
      </c>
      <c r="L137" s="17">
        <v>4</v>
      </c>
      <c r="M137" s="17">
        <v>4</v>
      </c>
      <c r="N137" s="17">
        <v>4</v>
      </c>
      <c r="O137" s="17">
        <v>3</v>
      </c>
      <c r="P137" s="17">
        <v>3</v>
      </c>
      <c r="Q137" s="17">
        <v>4</v>
      </c>
      <c r="R137" s="17">
        <v>5</v>
      </c>
      <c r="S137" s="17">
        <v>3</v>
      </c>
      <c r="T137" s="17" t="s">
        <v>42</v>
      </c>
      <c r="U137" s="17" t="s">
        <v>42</v>
      </c>
      <c r="V137" s="17" t="s">
        <v>42</v>
      </c>
      <c r="W137" s="17" t="s">
        <v>51</v>
      </c>
    </row>
    <row r="138" spans="1:23" x14ac:dyDescent="0.2">
      <c r="A138" s="28">
        <v>45894.735520833332</v>
      </c>
      <c r="B138" s="17" t="s">
        <v>22</v>
      </c>
      <c r="C138" s="17" t="s">
        <v>25</v>
      </c>
      <c r="D138" s="4" t="s">
        <v>38</v>
      </c>
      <c r="E138" s="17" t="s">
        <v>42</v>
      </c>
      <c r="F138" s="15"/>
      <c r="G138" s="17" t="s">
        <v>46</v>
      </c>
      <c r="H138" s="17">
        <v>5</v>
      </c>
      <c r="I138" s="17">
        <v>5</v>
      </c>
      <c r="J138" s="17">
        <v>3</v>
      </c>
      <c r="K138" s="17">
        <v>5</v>
      </c>
      <c r="L138" s="17">
        <v>5</v>
      </c>
      <c r="M138" s="17">
        <v>1</v>
      </c>
      <c r="N138" s="17">
        <v>1</v>
      </c>
      <c r="O138" s="17">
        <v>3</v>
      </c>
      <c r="P138" s="17">
        <v>1</v>
      </c>
      <c r="Q138" s="17">
        <v>5</v>
      </c>
      <c r="R138" s="17">
        <v>4</v>
      </c>
      <c r="S138" s="17">
        <v>3</v>
      </c>
      <c r="T138" s="17" t="s">
        <v>42</v>
      </c>
      <c r="U138" s="17" t="s">
        <v>42</v>
      </c>
      <c r="V138" s="17" t="s">
        <v>42</v>
      </c>
      <c r="W138" s="17" t="s">
        <v>51</v>
      </c>
    </row>
    <row r="139" spans="1:23" x14ac:dyDescent="0.2">
      <c r="A139" s="28">
        <v>45894.743125000001</v>
      </c>
      <c r="B139" s="17" t="s">
        <v>23</v>
      </c>
      <c r="C139" s="17" t="s">
        <v>26</v>
      </c>
      <c r="D139" s="4" t="s">
        <v>38</v>
      </c>
      <c r="E139" s="17" t="s">
        <v>41</v>
      </c>
      <c r="F139" s="17" t="s">
        <v>43</v>
      </c>
      <c r="G139" s="17" t="s">
        <v>46</v>
      </c>
      <c r="H139" s="17">
        <v>5</v>
      </c>
      <c r="I139" s="17">
        <v>5</v>
      </c>
      <c r="J139" s="17">
        <v>5</v>
      </c>
      <c r="K139" s="17">
        <v>5</v>
      </c>
      <c r="L139" s="17">
        <v>5</v>
      </c>
      <c r="M139" s="17">
        <v>1</v>
      </c>
      <c r="N139" s="17">
        <v>1</v>
      </c>
      <c r="O139" s="17">
        <v>1</v>
      </c>
      <c r="P139" s="17">
        <v>5</v>
      </c>
      <c r="Q139" s="17">
        <v>5</v>
      </c>
      <c r="R139" s="17">
        <v>5</v>
      </c>
      <c r="S139" s="17">
        <v>4</v>
      </c>
      <c r="T139" s="17" t="s">
        <v>41</v>
      </c>
      <c r="U139" s="17" t="s">
        <v>41</v>
      </c>
      <c r="V139" s="17" t="s">
        <v>41</v>
      </c>
      <c r="W139" s="17" t="s">
        <v>52</v>
      </c>
    </row>
    <row r="140" spans="1:23" x14ac:dyDescent="0.2">
      <c r="A140" s="28">
        <v>45894.777592592596</v>
      </c>
      <c r="B140" s="17" t="s">
        <v>22</v>
      </c>
      <c r="C140" s="17" t="s">
        <v>26</v>
      </c>
      <c r="D140" s="17" t="s">
        <v>125</v>
      </c>
      <c r="E140" s="17" t="s">
        <v>42</v>
      </c>
      <c r="F140" s="15"/>
      <c r="G140" s="17" t="s">
        <v>46</v>
      </c>
      <c r="H140" s="17">
        <v>3</v>
      </c>
      <c r="I140" s="17">
        <v>3</v>
      </c>
      <c r="J140" s="17">
        <v>3</v>
      </c>
      <c r="K140" s="17">
        <v>2</v>
      </c>
      <c r="L140" s="17">
        <v>4</v>
      </c>
      <c r="M140" s="17">
        <v>3</v>
      </c>
      <c r="N140" s="17">
        <v>3</v>
      </c>
      <c r="O140" s="17">
        <v>3</v>
      </c>
      <c r="P140" s="17">
        <v>2</v>
      </c>
      <c r="Q140" s="17">
        <v>3</v>
      </c>
      <c r="R140" s="17">
        <v>3</v>
      </c>
      <c r="S140" s="17">
        <v>3</v>
      </c>
      <c r="T140" s="17" t="s">
        <v>41</v>
      </c>
      <c r="U140" s="17" t="s">
        <v>42</v>
      </c>
      <c r="V140" s="17" t="s">
        <v>42</v>
      </c>
      <c r="W140" s="17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B596-190A-C548-AE8C-3E23FFE93865}">
  <dimension ref="A1:G126"/>
  <sheetViews>
    <sheetView topLeftCell="A28" zoomScale="125" workbookViewId="0">
      <selection activeCell="F41" sqref="F41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5" width="10.83203125" style="4"/>
    <col min="6" max="6" width="19.5" style="4" customWidth="1"/>
  </cols>
  <sheetData>
    <row r="1" spans="1:5" ht="30" customHeight="1" x14ac:dyDescent="0.2">
      <c r="B1" s="29" t="s">
        <v>60</v>
      </c>
      <c r="C1" s="29"/>
      <c r="D1" s="29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1">
        <f>COUNTA(Total!C2:C140)</f>
        <v>139</v>
      </c>
      <c r="E3"/>
    </row>
    <row r="4" spans="1:5" x14ac:dyDescent="0.2">
      <c r="A4" s="12" t="s">
        <v>71</v>
      </c>
      <c r="B4" s="10"/>
      <c r="E4"/>
    </row>
    <row r="5" spans="1:5" x14ac:dyDescent="0.2">
      <c r="A5" s="12" t="s">
        <v>72</v>
      </c>
      <c r="B5" s="2" t="s">
        <v>57</v>
      </c>
      <c r="C5" s="9" t="s">
        <v>58</v>
      </c>
      <c r="D5" s="9">
        <f>COUNTIF(Table1[[Age ]],'Total analysis'!C5)</f>
        <v>1</v>
      </c>
      <c r="E5"/>
    </row>
    <row r="6" spans="1:5" x14ac:dyDescent="0.2">
      <c r="B6" s="10"/>
      <c r="C6" s="9" t="s">
        <v>59</v>
      </c>
      <c r="D6" s="9">
        <f>COUNTIF(Table1[[Age ]], "18 -28")</f>
        <v>72</v>
      </c>
      <c r="E6"/>
    </row>
    <row r="7" spans="1:5" x14ac:dyDescent="0.2">
      <c r="B7" s="10"/>
      <c r="C7" s="9" t="s">
        <v>22</v>
      </c>
      <c r="D7" s="9">
        <f>COUNTIF(Table1[[Age ]],'Total analysis'!C7)</f>
        <v>23</v>
      </c>
      <c r="E7"/>
    </row>
    <row r="8" spans="1:5" x14ac:dyDescent="0.2">
      <c r="B8" s="10"/>
      <c r="C8" s="9" t="s">
        <v>24</v>
      </c>
      <c r="D8" s="9">
        <f>COUNTIF(Table1[[Age ]],'Total analysis'!C8)</f>
        <v>43</v>
      </c>
      <c r="E8"/>
    </row>
    <row r="9" spans="1:5" x14ac:dyDescent="0.2">
      <c r="B9" s="10"/>
      <c r="C9" s="4"/>
      <c r="E9"/>
    </row>
    <row r="10" spans="1:5" x14ac:dyDescent="0.2">
      <c r="A10" s="12" t="s">
        <v>73</v>
      </c>
      <c r="B10" s="2" t="s">
        <v>2</v>
      </c>
      <c r="C10" s="9" t="s">
        <v>26</v>
      </c>
      <c r="D10" s="9">
        <f>COUNTIF(Table1[Gender],'Total analysis'!C10)</f>
        <v>80</v>
      </c>
      <c r="E10"/>
    </row>
    <row r="11" spans="1:5" x14ac:dyDescent="0.2">
      <c r="B11" s="10"/>
      <c r="C11" s="9" t="s">
        <v>25</v>
      </c>
      <c r="D11" s="9">
        <f>COUNTIF(Table1[Gender],'Total analysis'!C11)</f>
        <v>59</v>
      </c>
      <c r="E11"/>
    </row>
    <row r="12" spans="1:5" x14ac:dyDescent="0.2">
      <c r="B12" s="10"/>
      <c r="E12"/>
    </row>
    <row r="13" spans="1:5" x14ac:dyDescent="0.2">
      <c r="B13" s="10"/>
      <c r="E13"/>
    </row>
    <row r="14" spans="1:5" x14ac:dyDescent="0.2">
      <c r="A14" s="12" t="s">
        <v>74</v>
      </c>
      <c r="B14" s="2" t="s">
        <v>61</v>
      </c>
      <c r="C14" s="9" t="s">
        <v>32</v>
      </c>
      <c r="D14" s="9">
        <f>COUNTIF(Table1[Country where you currently live, please answer with first letter capitalized ex: Germany],'Total analysis'!C14)</f>
        <v>1</v>
      </c>
      <c r="E14"/>
    </row>
    <row r="15" spans="1:5" x14ac:dyDescent="0.2">
      <c r="B15" s="10"/>
      <c r="C15" s="9" t="s">
        <v>39</v>
      </c>
      <c r="D15" s="9">
        <f>COUNTIF(Table1[Country where you currently live, please answer with first letter capitalized ex: Germany],'Total analysis'!C15)</f>
        <v>1</v>
      </c>
      <c r="E15"/>
    </row>
    <row r="16" spans="1:5" x14ac:dyDescent="0.2">
      <c r="B16" s="10"/>
      <c r="C16" s="9" t="s">
        <v>33</v>
      </c>
      <c r="D16" s="9">
        <f>COUNTIF(Table1[Country where you currently live, please answer with first letter capitalized ex: Germany],'Total analysis'!C16)</f>
        <v>1</v>
      </c>
      <c r="E16"/>
    </row>
    <row r="17" spans="1:7" x14ac:dyDescent="0.2">
      <c r="B17" s="10"/>
      <c r="C17" s="9" t="s">
        <v>30</v>
      </c>
      <c r="D17" s="9">
        <f>COUNTIF(Table1[Country where you currently live, please answer with first letter capitalized ex: Germany],'Total analysis'!C17)</f>
        <v>5</v>
      </c>
      <c r="E17"/>
    </row>
    <row r="18" spans="1:7" x14ac:dyDescent="0.2">
      <c r="B18" s="10"/>
      <c r="C18" s="9" t="s">
        <v>38</v>
      </c>
      <c r="D18" s="9">
        <f>COUNTIF(Table1[Country where you currently live, please answer with first letter capitalized ex: Germany],'Total analysis'!C18)</f>
        <v>43</v>
      </c>
      <c r="E18"/>
    </row>
    <row r="19" spans="1:7" x14ac:dyDescent="0.2">
      <c r="B19" s="10"/>
      <c r="C19" s="9" t="s">
        <v>34</v>
      </c>
      <c r="D19" s="9">
        <f>COUNTIF(Table1[Country where you currently live, please answer with first letter capitalized ex: Germany],'Total analysis'!C19)</f>
        <v>1</v>
      </c>
      <c r="E19"/>
    </row>
    <row r="20" spans="1:7" x14ac:dyDescent="0.2">
      <c r="B20" s="10"/>
      <c r="C20" s="9" t="s">
        <v>113</v>
      </c>
      <c r="D20" s="9">
        <f>COUNTIF(Table1[Country where you currently live, please answer with first letter capitalized ex: Germany],'Total analysis'!C20)</f>
        <v>2</v>
      </c>
      <c r="E20"/>
    </row>
    <row r="21" spans="1:7" x14ac:dyDescent="0.2">
      <c r="B21" s="10"/>
      <c r="C21" s="9" t="s">
        <v>28</v>
      </c>
      <c r="D21" s="9">
        <f>COUNTIF(Table1[Country where you currently live, please answer with first letter capitalized ex: Germany],'Total analysis'!C21)</f>
        <v>2</v>
      </c>
      <c r="E21"/>
    </row>
    <row r="22" spans="1:7" x14ac:dyDescent="0.2">
      <c r="B22" s="10"/>
      <c r="C22" s="9" t="s">
        <v>27</v>
      </c>
      <c r="D22" s="9">
        <f>COUNTIF(Table1[Country where you currently live, please answer with first letter capitalized ex: Germany],'Total analysis'!C22)</f>
        <v>1</v>
      </c>
      <c r="E22"/>
    </row>
    <row r="23" spans="1:7" x14ac:dyDescent="0.2">
      <c r="B23" s="10"/>
      <c r="C23" s="9" t="s">
        <v>35</v>
      </c>
      <c r="D23" s="9">
        <f>COUNTIF(Table1[Country where you currently live, please answer with first letter capitalized ex: Germany],'Total analysis'!C23)</f>
        <v>3</v>
      </c>
      <c r="E23"/>
    </row>
    <row r="24" spans="1:7" x14ac:dyDescent="0.2">
      <c r="B24" s="10"/>
      <c r="C24" s="9" t="s">
        <v>36</v>
      </c>
      <c r="D24" s="9">
        <f>COUNTIF(Table1[Country where you currently live, please answer with first letter capitalized ex: Germany],'Total analysis'!C24)</f>
        <v>2</v>
      </c>
      <c r="E24"/>
    </row>
    <row r="25" spans="1:7" x14ac:dyDescent="0.2">
      <c r="B25" s="10"/>
      <c r="C25" s="9" t="s">
        <v>29</v>
      </c>
      <c r="D25" s="9">
        <f>COUNTIF(Table1[Country where you currently live, please answer with first letter capitalized ex: Germany],'Total analysis'!C25)</f>
        <v>8</v>
      </c>
      <c r="E25"/>
    </row>
    <row r="26" spans="1:7" x14ac:dyDescent="0.2">
      <c r="B26" s="10"/>
      <c r="C26" s="9" t="s">
        <v>40</v>
      </c>
      <c r="D26" s="9">
        <f>COUNTIF(Table1[Country where you currently live, please answer with first letter capitalized ex: Germany],'Total analysis'!C26)</f>
        <v>1</v>
      </c>
      <c r="E26"/>
    </row>
    <row r="27" spans="1:7" x14ac:dyDescent="0.2">
      <c r="B27" s="10"/>
      <c r="C27" s="9" t="s">
        <v>37</v>
      </c>
      <c r="D27" s="9">
        <f>COUNTIF(Table1[Country where you currently live, please answer with first letter capitalized ex: Germany],'Total analysis'!C27)</f>
        <v>13</v>
      </c>
      <c r="E27"/>
    </row>
    <row r="28" spans="1:7" x14ac:dyDescent="0.2">
      <c r="B28" s="10"/>
      <c r="C28" s="9" t="s">
        <v>31</v>
      </c>
      <c r="D28" s="9">
        <f>COUNTIF(Table1[Country where you currently live, please answer with first letter capitalized ex: Germany],'Total analysis'!C28)</f>
        <v>54</v>
      </c>
      <c r="E28"/>
    </row>
    <row r="29" spans="1:7" x14ac:dyDescent="0.2">
      <c r="B29" s="10"/>
      <c r="E29"/>
    </row>
    <row r="30" spans="1:7" ht="32" x14ac:dyDescent="0.2">
      <c r="A30" s="12" t="s">
        <v>75</v>
      </c>
      <c r="B30" s="2" t="s">
        <v>62</v>
      </c>
      <c r="C30" s="9" t="s">
        <v>41</v>
      </c>
      <c r="D30" s="9">
        <f>COUNTIF(Table1[Have you used a BNPL service in the past 12 months?],'Total analysis'!C30)</f>
        <v>41</v>
      </c>
      <c r="E30"/>
      <c r="F30" s="30" t="s">
        <v>118</v>
      </c>
      <c r="G30" cm="1">
        <f t="array" ref="G30:G31">COUNTIFS(Table1[[Age ]],'Total analysis'!C6:C7,Table1[Have you used a BNPL service in the past 12 months?],'Total analysis'!C30)</f>
        <v>0</v>
      </c>
    </row>
    <row r="31" spans="1:7" x14ac:dyDescent="0.2">
      <c r="B31" s="11" t="s">
        <v>63</v>
      </c>
      <c r="C31" s="9" t="s">
        <v>42</v>
      </c>
      <c r="D31" s="9">
        <f>COUNTIF(Table1[Have you used a BNPL service in the past 12 months?],'Total analysis'!C31)</f>
        <v>98</v>
      </c>
      <c r="E31"/>
      <c r="G31">
        <v>7</v>
      </c>
    </row>
    <row r="32" spans="1:7" x14ac:dyDescent="0.2">
      <c r="B32" s="10"/>
      <c r="E32"/>
    </row>
    <row r="33" spans="1:6" ht="32" x14ac:dyDescent="0.2">
      <c r="A33" s="12" t="s">
        <v>70</v>
      </c>
      <c r="B33" s="3" t="s">
        <v>117</v>
      </c>
      <c r="C33" s="9" t="s">
        <v>64</v>
      </c>
      <c r="D33" s="9">
        <f>COUNTIF(Table1[Which best describes your most recent BNPL experience?” ],Total!F2)</f>
        <v>28</v>
      </c>
      <c r="E33"/>
    </row>
    <row r="34" spans="1:6" x14ac:dyDescent="0.2">
      <c r="B34" s="10"/>
      <c r="C34" s="9" t="s">
        <v>65</v>
      </c>
      <c r="D34" s="9">
        <f>COUNTIF(Table1[Which best describes your most recent BNPL experience?” ],Total!F16)</f>
        <v>10</v>
      </c>
      <c r="E34"/>
    </row>
    <row r="35" spans="1:6" x14ac:dyDescent="0.2">
      <c r="B35" s="10"/>
      <c r="C35" s="9" t="s">
        <v>66</v>
      </c>
      <c r="D35" s="9">
        <f>COUNTIF(Table1[Which best describes your most recent BNPL experience?” ],Total!F67)</f>
        <v>3</v>
      </c>
      <c r="E35"/>
    </row>
    <row r="36" spans="1:6" x14ac:dyDescent="0.2">
      <c r="B36" s="10"/>
      <c r="C36" s="4"/>
      <c r="E36"/>
    </row>
    <row r="37" spans="1:6" ht="32" x14ac:dyDescent="0.2">
      <c r="A37" s="12" t="s">
        <v>76</v>
      </c>
      <c r="B37" s="3" t="s">
        <v>105</v>
      </c>
      <c r="C37" s="9" t="s">
        <v>41</v>
      </c>
      <c r="D37" s="9">
        <f>COUNTIF(Table1[I believe a payment handled by the store (internal payment service) is more secure, than using an external BNPL brand. 
Imagine Amazon had an internal payment BNPL option called "AmazonPay" instead ],Total!G2)</f>
        <v>82</v>
      </c>
      <c r="E37"/>
    </row>
    <row r="38" spans="1:6" x14ac:dyDescent="0.2">
      <c r="B38" s="10"/>
      <c r="C38" s="9" t="s">
        <v>42</v>
      </c>
      <c r="D38" s="9">
        <f>COUNTIF(Table1[I believe a payment handled by the store (internal payment service) is more secure, than using an external BNPL brand. 
Imagine Amazon had an internal payment BNPL option called "AmazonPay" instead ],Total!G84)</f>
        <v>29</v>
      </c>
      <c r="E38"/>
    </row>
    <row r="39" spans="1:6" x14ac:dyDescent="0.2">
      <c r="B39" s="10"/>
      <c r="C39" s="9" t="s">
        <v>69</v>
      </c>
      <c r="D39" s="9">
        <f>COUNTIF(Table1[I believe a payment handled by the store (internal payment service) is more secure, than using an external BNPL brand. 
Imagine Amazon had an internal payment BNPL option called "AmazonPay" instead ],Total!G81)</f>
        <v>28</v>
      </c>
      <c r="E39"/>
    </row>
    <row r="40" spans="1:6" x14ac:dyDescent="0.2">
      <c r="B40" s="10"/>
      <c r="E40"/>
    </row>
    <row r="41" spans="1:6" ht="32" x14ac:dyDescent="0.2">
      <c r="A41" s="12" t="s">
        <v>77</v>
      </c>
      <c r="B41" s="3" t="s">
        <v>104</v>
      </c>
      <c r="C41" s="9">
        <v>5</v>
      </c>
      <c r="D41" s="9">
        <f>COUNTIF(Table1[I''d feel safe paying through AmazonPay’s checkout.],'Total analysis'!C41)</f>
        <v>78</v>
      </c>
      <c r="E41" s="18" t="s">
        <v>81</v>
      </c>
      <c r="F41" s="22">
        <f>AVERAGE(Table1[I''d feel safe paying through AmazonPay’s checkout.])</f>
        <v>4.1870503597122299</v>
      </c>
    </row>
    <row r="42" spans="1:6" x14ac:dyDescent="0.2">
      <c r="B42" s="11" t="s">
        <v>97</v>
      </c>
      <c r="C42" s="9">
        <v>4</v>
      </c>
      <c r="D42" s="9">
        <f>COUNTIF(Table1[I''d feel safe paying through AmazonPay’s checkout.],'Total analysis'!C42)</f>
        <v>26</v>
      </c>
      <c r="E42"/>
    </row>
    <row r="43" spans="1:6" x14ac:dyDescent="0.2">
      <c r="B43" s="11" t="s">
        <v>98</v>
      </c>
      <c r="C43" s="9">
        <v>3</v>
      </c>
      <c r="D43" s="9">
        <f>COUNTIF(Table1[I''d feel safe paying through AmazonPay’s checkout.],'Total analysis'!C43)</f>
        <v>22</v>
      </c>
      <c r="E43"/>
    </row>
    <row r="44" spans="1:6" x14ac:dyDescent="0.2">
      <c r="B44" s="10"/>
      <c r="C44" s="9">
        <v>2</v>
      </c>
      <c r="D44" s="9">
        <f>COUNTIF(Table1[I''d feel safe paying through AmazonPay’s checkout.],'Total analysis'!C44)</f>
        <v>9</v>
      </c>
      <c r="E44"/>
    </row>
    <row r="45" spans="1:6" x14ac:dyDescent="0.2">
      <c r="B45" s="10"/>
      <c r="C45" s="9">
        <v>1</v>
      </c>
      <c r="D45" s="9">
        <f>COUNTIF(Table1[I''d feel safe paying through AmazonPay’s checkout.],'Total analysis'!C45)</f>
        <v>4</v>
      </c>
      <c r="E45"/>
    </row>
    <row r="46" spans="1:6" x14ac:dyDescent="0.2">
      <c r="B46" s="10"/>
      <c r="E46"/>
    </row>
    <row r="47" spans="1:6" x14ac:dyDescent="0.2">
      <c r="A47" s="12" t="s">
        <v>78</v>
      </c>
      <c r="B47" s="3" t="s">
        <v>7</v>
      </c>
      <c r="C47" s="9">
        <v>5</v>
      </c>
      <c r="D47" s="9">
        <f>COUNTIF(Table1[AmazonPay seems trustworthy.],'Total analysis'!C47)</f>
        <v>75</v>
      </c>
      <c r="E47" s="18" t="s">
        <v>81</v>
      </c>
      <c r="F47" s="22">
        <f>AVERAGE(Table1[AmazonPay seems trustworthy.])</f>
        <v>4.2302158273381298</v>
      </c>
    </row>
    <row r="48" spans="1:6" x14ac:dyDescent="0.2">
      <c r="B48" s="11" t="s">
        <v>97</v>
      </c>
      <c r="C48" s="9">
        <v>4</v>
      </c>
      <c r="D48" s="9">
        <f>COUNTIF(Table1[AmazonPay seems trustworthy.],'Total analysis'!C48)</f>
        <v>37</v>
      </c>
      <c r="E48"/>
    </row>
    <row r="49" spans="1:6" x14ac:dyDescent="0.2">
      <c r="B49" s="11" t="s">
        <v>98</v>
      </c>
      <c r="C49" s="9">
        <v>3</v>
      </c>
      <c r="D49" s="9">
        <f>COUNTIF(Table1[AmazonPay seems trustworthy.],'Total analysis'!C49)</f>
        <v>16</v>
      </c>
      <c r="E49"/>
    </row>
    <row r="50" spans="1:6" x14ac:dyDescent="0.2">
      <c r="B50" s="10"/>
      <c r="C50" s="9">
        <v>2</v>
      </c>
      <c r="D50" s="9">
        <f>COUNTIF(Table1[AmazonPay seems trustworthy.],'Total analysis'!C50)</f>
        <v>6</v>
      </c>
      <c r="E50"/>
    </row>
    <row r="51" spans="1:6" x14ac:dyDescent="0.2">
      <c r="B51" s="10"/>
      <c r="C51" s="9">
        <v>1</v>
      </c>
      <c r="D51" s="9">
        <f>COUNTIF(Table1[AmazonPay seems trustworthy.],'Total analysis'!C51)</f>
        <v>5</v>
      </c>
      <c r="E51"/>
    </row>
    <row r="52" spans="1:6" x14ac:dyDescent="0.2">
      <c r="B52" s="10"/>
      <c r="E52"/>
    </row>
    <row r="53" spans="1:6" x14ac:dyDescent="0.2">
      <c r="A53" s="12" t="s">
        <v>79</v>
      </c>
      <c r="B53" s="3" t="s">
        <v>103</v>
      </c>
      <c r="C53" s="9">
        <v>5</v>
      </c>
      <c r="D53" s="9">
        <f>COUNTIF(Table1[Products from Amazon''s partner stores seem to be good quality.],'Total analysis'!C53)</f>
        <v>42</v>
      </c>
      <c r="E53" s="18" t="s">
        <v>81</v>
      </c>
      <c r="F53" s="22">
        <f>AVERAGE(Table1[Products from Amazon''s partner stores seem to be good quality.])</f>
        <v>3.9280575539568345</v>
      </c>
    </row>
    <row r="54" spans="1:6" x14ac:dyDescent="0.2">
      <c r="B54" s="11" t="s">
        <v>97</v>
      </c>
      <c r="C54" s="9">
        <v>4</v>
      </c>
      <c r="D54" s="9">
        <f>COUNTIF(Table1[Products from Amazon''s partner stores seem to be good quality.],'Total analysis'!C54)</f>
        <v>55</v>
      </c>
      <c r="E54"/>
    </row>
    <row r="55" spans="1:6" x14ac:dyDescent="0.2">
      <c r="B55" s="11" t="s">
        <v>98</v>
      </c>
      <c r="C55" s="9">
        <v>3</v>
      </c>
      <c r="D55" s="9">
        <f>COUNTIF(Table1[Products from Amazon''s partner stores seem to be good quality.],'Total analysis'!C55)</f>
        <v>33</v>
      </c>
      <c r="E55"/>
    </row>
    <row r="56" spans="1:6" x14ac:dyDescent="0.2">
      <c r="B56" s="10"/>
      <c r="C56" s="9">
        <v>2</v>
      </c>
      <c r="D56" s="9">
        <f>COUNTIF(Table1[Products from Amazon''s partner stores seem to be good quality.],'Total analysis'!C56)</f>
        <v>8</v>
      </c>
      <c r="E56"/>
    </row>
    <row r="57" spans="1:6" x14ac:dyDescent="0.2">
      <c r="B57" s="10"/>
      <c r="C57" s="9">
        <v>1</v>
      </c>
      <c r="D57" s="9">
        <f>COUNTIF(Table1[Products from Amazon''s partner stores seem to be good quality.],'Total analysis'!C57)</f>
        <v>1</v>
      </c>
      <c r="E57"/>
    </row>
    <row r="58" spans="1:6" x14ac:dyDescent="0.2">
      <c r="B58" s="10"/>
      <c r="E58"/>
    </row>
    <row r="59" spans="1:6" ht="48" x14ac:dyDescent="0.2">
      <c r="A59" s="12" t="s">
        <v>80</v>
      </c>
      <c r="B59" s="23" t="s">
        <v>102</v>
      </c>
      <c r="C59" s="9">
        <v>5</v>
      </c>
      <c r="D59" s="9">
        <f>COUNTIF(Table1[If something went wrong with my order, I would feel more supported if the BNPL payment was handled directly by the store.],'Total analysis'!C59)</f>
        <v>58</v>
      </c>
      <c r="E59" s="25" t="s">
        <v>81</v>
      </c>
      <c r="F59" s="22">
        <f>AVERAGE(Table1[If something went wrong with my order, I would feel more supported if the BNPL payment was handled directly by the store.])</f>
        <v>3.8776978417266186</v>
      </c>
    </row>
    <row r="60" spans="1:6" x14ac:dyDescent="0.2">
      <c r="B60" s="11" t="s">
        <v>97</v>
      </c>
      <c r="C60" s="9">
        <v>4</v>
      </c>
      <c r="D60" s="9">
        <f>COUNTIF(Table1[If something went wrong with my order, I would feel more supported if the BNPL payment was handled directly by the store.],'Total analysis'!C60)</f>
        <v>39</v>
      </c>
    </row>
    <row r="61" spans="1:6" x14ac:dyDescent="0.2">
      <c r="B61" s="11" t="s">
        <v>98</v>
      </c>
      <c r="C61" s="9">
        <v>3</v>
      </c>
      <c r="D61" s="9">
        <f>COUNTIF(Table1[If something went wrong with my order, I would feel more supported if the BNPL payment was handled directly by the store.],'Total analysis'!C61)</f>
        <v>19</v>
      </c>
    </row>
    <row r="62" spans="1:6" x14ac:dyDescent="0.2">
      <c r="B62" s="10"/>
      <c r="C62" s="9">
        <v>2</v>
      </c>
      <c r="D62" s="9">
        <f>COUNTIF(Table1[If something went wrong with my order, I would feel more supported if the BNPL payment was handled directly by the store.],'Total analysis'!C62)</f>
        <v>13</v>
      </c>
    </row>
    <row r="63" spans="1:6" x14ac:dyDescent="0.2">
      <c r="B63" s="10"/>
      <c r="C63" s="9">
        <v>1</v>
      </c>
      <c r="D63" s="9">
        <f>COUNTIF(Table1[If something went wrong with my order, I would feel more supported if the BNPL payment was handled directly by the store.],'Total analysis'!C63)</f>
        <v>10</v>
      </c>
    </row>
    <row r="64" spans="1:6" x14ac:dyDescent="0.2">
      <c r="B64" s="10"/>
    </row>
    <row r="65" spans="1:6" ht="32" x14ac:dyDescent="0.2">
      <c r="A65" s="12" t="s">
        <v>83</v>
      </c>
      <c r="B65" s="21" t="s">
        <v>101</v>
      </c>
      <c r="C65" s="9">
        <v>5</v>
      </c>
      <c r="D65" s="9">
        <f>COUNTIF(Table1[AmazonPay would take care of issues quickly.],'Total analysis'!C65)</f>
        <v>44</v>
      </c>
      <c r="E65" s="25" t="s">
        <v>81</v>
      </c>
      <c r="F65" s="22">
        <f>AVERAGE(Table1[AmazonPay would take care of issues quickly.])</f>
        <v>3.8705035971223021</v>
      </c>
    </row>
    <row r="66" spans="1:6" x14ac:dyDescent="0.2">
      <c r="B66" s="11" t="s">
        <v>97</v>
      </c>
      <c r="C66" s="9">
        <v>4</v>
      </c>
      <c r="D66" s="9">
        <f>COUNTIF(Table1[AmazonPay would take care of issues quickly.],'Total analysis'!C66)</f>
        <v>48</v>
      </c>
    </row>
    <row r="67" spans="1:6" x14ac:dyDescent="0.2">
      <c r="B67" s="11" t="s">
        <v>98</v>
      </c>
      <c r="C67" s="9">
        <v>3</v>
      </c>
      <c r="D67" s="9">
        <f>COUNTIF(Table1[AmazonPay would take care of issues quickly.],'Total analysis'!C67)</f>
        <v>36</v>
      </c>
    </row>
    <row r="68" spans="1:6" x14ac:dyDescent="0.2">
      <c r="B68" s="10"/>
      <c r="C68" s="9">
        <v>2</v>
      </c>
      <c r="D68" s="9">
        <f>COUNTIF(Table1[AmazonPay would take care of issues quickly.],'Total analysis'!C68)</f>
        <v>7</v>
      </c>
    </row>
    <row r="69" spans="1:6" x14ac:dyDescent="0.2">
      <c r="B69" s="10"/>
      <c r="C69" s="9">
        <v>1</v>
      </c>
      <c r="D69" s="9">
        <f>COUNTIF(Table1[AmazonPay would take care of issues quickly.],'Total analysis'!C69)</f>
        <v>4</v>
      </c>
    </row>
    <row r="70" spans="1:6" x14ac:dyDescent="0.2">
      <c r="B70" s="10"/>
    </row>
    <row r="71" spans="1:6" ht="48" x14ac:dyDescent="0.2">
      <c r="A71" s="12" t="s">
        <v>84</v>
      </c>
      <c r="B71" s="3" t="s">
        <v>89</v>
      </c>
      <c r="C71" s="9">
        <v>5</v>
      </c>
      <c r="D71" s="9">
        <f>COUNTIF(Table1[If AmazonPay were available, I would see Amazon as a more premium brand.],'Total analysis'!C71)</f>
        <v>26</v>
      </c>
      <c r="E71" s="25" t="s">
        <v>81</v>
      </c>
      <c r="F71" s="22">
        <f>AVERAGE(Table1[If AmazonPay were available, I would see Amazon as a more premium brand.])</f>
        <v>3.0215827338129495</v>
      </c>
    </row>
    <row r="72" spans="1:6" x14ac:dyDescent="0.2">
      <c r="B72" s="11" t="s">
        <v>97</v>
      </c>
      <c r="C72" s="9">
        <v>4</v>
      </c>
      <c r="D72" s="9">
        <f>COUNTIF(Table1[If AmazonPay were available, I would see Amazon as a more premium brand.],'Total analysis'!C72)</f>
        <v>23</v>
      </c>
      <c r="F72" s="22"/>
    </row>
    <row r="73" spans="1:6" x14ac:dyDescent="0.2">
      <c r="B73" s="11" t="s">
        <v>98</v>
      </c>
      <c r="C73" s="9">
        <v>3</v>
      </c>
      <c r="D73" s="9">
        <f>COUNTIF(Table1[If AmazonPay were available, I would see Amazon as a more premium brand.],'Total analysis'!C73)</f>
        <v>48</v>
      </c>
      <c r="F73" s="22"/>
    </row>
    <row r="74" spans="1:6" x14ac:dyDescent="0.2">
      <c r="B74"/>
      <c r="C74" s="9">
        <v>2</v>
      </c>
      <c r="D74" s="9">
        <f>COUNTIF(Table1[If AmazonPay were available, I would see Amazon as a more premium brand.],'Total analysis'!C74)</f>
        <v>12</v>
      </c>
      <c r="F74" s="22"/>
    </row>
    <row r="75" spans="1:6" x14ac:dyDescent="0.2">
      <c r="B75"/>
      <c r="C75" s="9">
        <v>1</v>
      </c>
      <c r="D75" s="9">
        <f>COUNTIF(Table1[If AmazonPay were available, I would see Amazon as a more premium brand.],'Total analysis'!C75)</f>
        <v>30</v>
      </c>
      <c r="F75" s="22"/>
    </row>
    <row r="76" spans="1:6" x14ac:dyDescent="0.2">
      <c r="B76"/>
      <c r="F76" s="22"/>
    </row>
    <row r="77" spans="1:6" ht="48" x14ac:dyDescent="0.2">
      <c r="A77" s="12" t="s">
        <v>85</v>
      </c>
      <c r="B77" s="3" t="s">
        <v>88</v>
      </c>
      <c r="C77" s="9">
        <v>5</v>
      </c>
      <c r="D77" s="9">
        <f>COUNTIF(Table1[If AmazonPay were available, I would see Amazon as a more exclusive brand.],'Total analysis'!C77)</f>
        <v>18</v>
      </c>
      <c r="E77" s="25" t="s">
        <v>81</v>
      </c>
      <c r="F77" s="22">
        <f>AVERAGE(Table1[If AmazonPay were available, I would see Amazon as a more exclusive brand.])</f>
        <v>2.7985611510791366</v>
      </c>
    </row>
    <row r="78" spans="1:6" x14ac:dyDescent="0.2">
      <c r="B78" s="11" t="s">
        <v>97</v>
      </c>
      <c r="C78" s="9">
        <v>4</v>
      </c>
      <c r="D78" s="9">
        <f>COUNTIF(Table1[If AmazonPay were available, I would see Amazon as a more exclusive brand.],'Total analysis'!C78)</f>
        <v>22</v>
      </c>
      <c r="F78" s="22"/>
    </row>
    <row r="79" spans="1:6" x14ac:dyDescent="0.2">
      <c r="B79" s="11" t="s">
        <v>98</v>
      </c>
      <c r="C79" s="9">
        <v>3</v>
      </c>
      <c r="D79" s="9">
        <f>COUNTIF(Table1[If AmazonPay were available, I would see Amazon as a more exclusive brand.],'Total analysis'!C79)</f>
        <v>48</v>
      </c>
      <c r="F79" s="22"/>
    </row>
    <row r="80" spans="1:6" x14ac:dyDescent="0.2">
      <c r="C80" s="9">
        <v>2</v>
      </c>
      <c r="D80" s="9">
        <f>COUNTIF(Table1[If AmazonPay were available, I would see Amazon as a more exclusive brand.],'Total analysis'!C80)</f>
        <v>16</v>
      </c>
      <c r="F80" s="22"/>
    </row>
    <row r="81" spans="1:6" x14ac:dyDescent="0.2">
      <c r="C81" s="9">
        <v>1</v>
      </c>
      <c r="D81" s="9">
        <f>COUNTIF(Table1[If AmazonPay were available, I would see Amazon as a more exclusive brand.],'Total analysis'!C81)</f>
        <v>35</v>
      </c>
      <c r="F81" s="22"/>
    </row>
    <row r="82" spans="1:6" x14ac:dyDescent="0.2">
      <c r="F82" s="22"/>
    </row>
    <row r="83" spans="1:6" ht="32" x14ac:dyDescent="0.2">
      <c r="A83" s="12" t="s">
        <v>86</v>
      </c>
      <c r="B83" s="3" t="s">
        <v>100</v>
      </c>
      <c r="C83" s="9">
        <v>5</v>
      </c>
      <c r="D83" s="9">
        <f>COUNTIF(Table1[Amazon would attract high status shoppers, if they added AmazonPay. ],'Total analysis'!C83)</f>
        <v>21</v>
      </c>
      <c r="E83" s="25" t="s">
        <v>81</v>
      </c>
      <c r="F83" s="22">
        <f>AVERAGE(Table1[Amazon would attract high status shoppers, if they added AmazonPay. ])</f>
        <v>2.7482014388489207</v>
      </c>
    </row>
    <row r="84" spans="1:6" x14ac:dyDescent="0.2">
      <c r="B84" s="11" t="s">
        <v>97</v>
      </c>
      <c r="C84" s="9">
        <v>4</v>
      </c>
      <c r="D84" s="9">
        <f>COUNTIF(Table1[Amazon would attract high status shoppers, if they added AmazonPay. ],'Total analysis'!C84)</f>
        <v>14</v>
      </c>
      <c r="F84" s="22"/>
    </row>
    <row r="85" spans="1:6" x14ac:dyDescent="0.2">
      <c r="B85" s="11" t="s">
        <v>98</v>
      </c>
      <c r="C85" s="9">
        <v>3</v>
      </c>
      <c r="D85" s="9">
        <f>COUNTIF(Table1[Amazon would attract high status shoppers, if they added AmazonPay. ],'Total analysis'!C85)</f>
        <v>45</v>
      </c>
      <c r="F85" s="22"/>
    </row>
    <row r="86" spans="1:6" x14ac:dyDescent="0.2">
      <c r="C86" s="9">
        <v>2</v>
      </c>
      <c r="D86" s="9">
        <f>COUNTIF(Table1[Amazon would attract high status shoppers, if they added AmazonPay. ],'Total analysis'!C86)</f>
        <v>27</v>
      </c>
      <c r="F86" s="22"/>
    </row>
    <row r="87" spans="1:6" x14ac:dyDescent="0.2">
      <c r="C87" s="9">
        <v>1</v>
      </c>
      <c r="D87" s="9">
        <f>COUNTIF(Table1[Amazon would attract high status shoppers, if they added AmazonPay. ],'Total analysis'!C87)</f>
        <v>32</v>
      </c>
    </row>
    <row r="89" spans="1:6" ht="32" x14ac:dyDescent="0.2">
      <c r="A89" s="12" t="s">
        <v>87</v>
      </c>
      <c r="B89" s="3" t="s">
        <v>90</v>
      </c>
      <c r="C89" s="9">
        <v>5</v>
      </c>
      <c r="D89" s="9">
        <f>COUNTIF(Table1[Not offering BNPL makes me think the brand is targeting customers who value exclusivity and personal service.],'Total analysis'!C89)</f>
        <v>22</v>
      </c>
      <c r="E89" s="25" t="s">
        <v>81</v>
      </c>
      <c r="F89" s="22">
        <f>AVERAGE(Table1[Not offering BNPL makes me think the brand is targeting customers who value exclusivity and personal service.])</f>
        <v>2.8992805755395685</v>
      </c>
    </row>
    <row r="90" spans="1:6" x14ac:dyDescent="0.2">
      <c r="B90" s="11" t="s">
        <v>97</v>
      </c>
      <c r="C90" s="9">
        <v>4</v>
      </c>
      <c r="D90" s="9">
        <f>COUNTIF(Table1[Not offering BNPL makes me think the brand is targeting customers who value exclusivity and personal service.],'Total analysis'!C90)</f>
        <v>18</v>
      </c>
    </row>
    <row r="91" spans="1:6" x14ac:dyDescent="0.2">
      <c r="B91" s="11" t="s">
        <v>98</v>
      </c>
      <c r="C91" s="9">
        <v>3</v>
      </c>
      <c r="D91" s="9">
        <f>COUNTIF(Table1[Not offering BNPL makes me think the brand is targeting customers who value exclusivity and personal service.],'Total analysis'!C91)</f>
        <v>49</v>
      </c>
    </row>
    <row r="92" spans="1:6" x14ac:dyDescent="0.2">
      <c r="C92" s="9">
        <v>2</v>
      </c>
      <c r="D92" s="9">
        <f>COUNTIF(Table1[Not offering BNPL makes me think the brand is targeting customers who value exclusivity and personal service.],'Total analysis'!C92)</f>
        <v>24</v>
      </c>
    </row>
    <row r="93" spans="1:6" x14ac:dyDescent="0.2">
      <c r="C93" s="9">
        <v>1</v>
      </c>
      <c r="D93" s="9">
        <f>COUNTIF(Table1[Not offering BNPL makes me think the brand is targeting customers who value exclusivity and personal service.],'Total analysis'!C93)</f>
        <v>26</v>
      </c>
    </row>
    <row r="95" spans="1:6" ht="32" x14ac:dyDescent="0.2">
      <c r="A95" s="12" t="s">
        <v>92</v>
      </c>
      <c r="B95" s="3" t="s">
        <v>91</v>
      </c>
      <c r="C95" s="9">
        <v>5</v>
      </c>
      <c r="D95" s="9">
        <f>COUNTIF(Table1[I would expect luxury products (e.g., Lamborghini, high-end Rolex, mansion) to be sold without BNPL options.],'Total analysis'!C95)</f>
        <v>57</v>
      </c>
      <c r="E95" s="25" t="s">
        <v>81</v>
      </c>
      <c r="F95" s="22">
        <f>AVERAGE(Table1[I would expect luxury products (e.g., Lamborghini, high-end Rolex, mansion) to be sold without BNPL options.])</f>
        <v>3.5539568345323742</v>
      </c>
    </row>
    <row r="96" spans="1:6" x14ac:dyDescent="0.2">
      <c r="B96" s="11" t="s">
        <v>97</v>
      </c>
      <c r="C96" s="9">
        <v>4</v>
      </c>
      <c r="D96" s="9">
        <f>COUNTIF(Table1[I would expect luxury products (e.g., Lamborghini, high-end Rolex, mansion) to be sold without BNPL options.],'Total analysis'!C96)</f>
        <v>23</v>
      </c>
    </row>
    <row r="97" spans="1:6" x14ac:dyDescent="0.2">
      <c r="B97" s="11" t="s">
        <v>98</v>
      </c>
      <c r="C97" s="9">
        <v>3</v>
      </c>
      <c r="D97" s="9">
        <f>COUNTIF(Table1[I would expect luxury products (e.g., Lamborghini, high-end Rolex, mansion) to be sold without BNPL options.],'Total analysis'!C97)</f>
        <v>21</v>
      </c>
    </row>
    <row r="98" spans="1:6" x14ac:dyDescent="0.2">
      <c r="C98" s="9">
        <v>2</v>
      </c>
      <c r="D98" s="9">
        <f>COUNTIF(Table1[I would expect luxury products (e.g., Lamborghini, high-end Rolex, mansion) to be sold without BNPL options.],'Total analysis'!C98)</f>
        <v>16</v>
      </c>
    </row>
    <row r="99" spans="1:6" x14ac:dyDescent="0.2">
      <c r="C99" s="9">
        <v>1</v>
      </c>
      <c r="D99" s="9">
        <f>COUNTIF(Table1[I would expect luxury products (e.g., Lamborghini, high-end Rolex, mansion) to be sold without BNPL options.],'Total analysis'!C99)</f>
        <v>22</v>
      </c>
    </row>
    <row r="101" spans="1:6" ht="48" x14ac:dyDescent="0.2">
      <c r="A101" s="12" t="s">
        <v>93</v>
      </c>
      <c r="B101" s="3" t="s">
        <v>16</v>
      </c>
      <c r="C101" s="9">
        <v>5</v>
      </c>
      <c r="D101" s="9">
        <f>COUNTIF(Table1[Offering BNPL for luxury products would make them feel less exclusive.],'Total analysis'!C101)</f>
        <v>45</v>
      </c>
      <c r="E101" s="25" t="s">
        <v>81</v>
      </c>
      <c r="F101" s="22">
        <f>AVERAGE(Table1[Offering BNPL for luxury products would make them feel less exclusive.])</f>
        <v>3.3453237410071943</v>
      </c>
    </row>
    <row r="102" spans="1:6" x14ac:dyDescent="0.2">
      <c r="B102" s="11" t="s">
        <v>97</v>
      </c>
      <c r="C102" s="9">
        <v>4</v>
      </c>
      <c r="D102" s="9">
        <f>COUNTIF(Table1[Offering BNPL for luxury products would make them feel less exclusive.],'Total analysis'!C102)</f>
        <v>26</v>
      </c>
    </row>
    <row r="103" spans="1:6" x14ac:dyDescent="0.2">
      <c r="B103" s="11" t="s">
        <v>98</v>
      </c>
      <c r="C103" s="9">
        <v>3</v>
      </c>
      <c r="D103" s="9">
        <f>COUNTIF(Table1[Offering BNPL for luxury products would make them feel less exclusive.],'Total analysis'!C103)</f>
        <v>26</v>
      </c>
    </row>
    <row r="104" spans="1:6" x14ac:dyDescent="0.2">
      <c r="C104" s="9">
        <v>2</v>
      </c>
      <c r="D104" s="9">
        <f>COUNTIF(Table1[Offering BNPL for luxury products would make them feel less exclusive.],'Total analysis'!C104)</f>
        <v>16</v>
      </c>
    </row>
    <row r="105" spans="1:6" x14ac:dyDescent="0.2">
      <c r="C105" s="9">
        <v>1</v>
      </c>
      <c r="D105" s="9">
        <f>COUNTIF(Table1[Offering BNPL for luxury products would make them feel less exclusive.],'Total analysis'!C105)</f>
        <v>26</v>
      </c>
    </row>
    <row r="107" spans="1:6" ht="48" x14ac:dyDescent="0.2">
      <c r="A107" s="12" t="s">
        <v>94</v>
      </c>
      <c r="B107" s="3" t="s">
        <v>99</v>
      </c>
      <c r="C107" s="9">
        <v>5</v>
      </c>
      <c r="D107" s="9">
        <f>COUNTIF(Table1[Having this loan option, AmazonPay, would make me more likely to buy now.],'Total analysis'!C107)</f>
        <v>22</v>
      </c>
      <c r="E107" s="25" t="s">
        <v>81</v>
      </c>
      <c r="F107" s="22">
        <f>AVERAGE(Table1[Having this loan option, AmazonPay, would make me more likely to buy now.])</f>
        <v>3.1726618705035969</v>
      </c>
    </row>
    <row r="108" spans="1:6" x14ac:dyDescent="0.2">
      <c r="C108" s="9">
        <v>4</v>
      </c>
      <c r="D108" s="9">
        <f>COUNTIF(Table1[Having this loan option, AmazonPay, would make me more likely to buy now.],'Total analysis'!C108)</f>
        <v>40</v>
      </c>
    </row>
    <row r="109" spans="1:6" x14ac:dyDescent="0.2">
      <c r="C109" s="9">
        <v>3</v>
      </c>
      <c r="D109" s="9">
        <f>COUNTIF(Table1[Having this loan option, AmazonPay, would make me more likely to buy now.],'Total analysis'!C109)</f>
        <v>42</v>
      </c>
    </row>
    <row r="110" spans="1:6" x14ac:dyDescent="0.2">
      <c r="C110" s="9">
        <v>2</v>
      </c>
      <c r="D110" s="9">
        <f>COUNTIF(Table1[Having this loan option, AmazonPay, would make me more likely to buy now.],'Total analysis'!C110)</f>
        <v>10</v>
      </c>
    </row>
    <row r="111" spans="1:6" x14ac:dyDescent="0.2">
      <c r="C111" s="9">
        <v>1</v>
      </c>
      <c r="D111" s="9">
        <f>COUNTIF(Table1[Having this loan option, AmazonPay, would make me more likely to buy now.],'Total analysis'!C111)</f>
        <v>25</v>
      </c>
    </row>
    <row r="113" spans="1:6" ht="32" x14ac:dyDescent="0.2">
      <c r="A113" s="12" t="s">
        <v>95</v>
      </c>
      <c r="B113" s="3" t="s">
        <v>18</v>
      </c>
      <c r="C113" s="9" t="s">
        <v>41</v>
      </c>
      <c r="D113" s="9">
        <f>COUNTIF(Table1[I would buy unplanned items, if AmazonPay were available.],'Total analysis'!C113)</f>
        <v>72</v>
      </c>
      <c r="E113" s="25" t="s">
        <v>96</v>
      </c>
      <c r="F113" s="24">
        <f>(D113*100%)/D115</f>
        <v>0.51798561151079137</v>
      </c>
    </row>
    <row r="114" spans="1:6" x14ac:dyDescent="0.2">
      <c r="C114" s="9" t="s">
        <v>49</v>
      </c>
      <c r="D114" s="9">
        <f>COUNTIF(Table1[I would buy unplanned items, if AmazonPay were available.],'Total analysis'!C114)</f>
        <v>67</v>
      </c>
      <c r="F114" s="24">
        <f>(D114*100%)/D115</f>
        <v>0.48201438848920863</v>
      </c>
    </row>
    <row r="115" spans="1:6" x14ac:dyDescent="0.2">
      <c r="C115" t="s">
        <v>54</v>
      </c>
      <c r="D115" s="4">
        <f>SUM(D113:D114)</f>
        <v>139</v>
      </c>
    </row>
    <row r="117" spans="1:6" ht="48" x14ac:dyDescent="0.2">
      <c r="A117" s="12" t="s">
        <v>106</v>
      </c>
      <c r="B117" s="3" t="s">
        <v>19</v>
      </c>
      <c r="C117" s="4" t="s">
        <v>41</v>
      </c>
      <c r="D117" s="4">
        <f>COUNTIF(Table1[If AmazonPay were available, I would spend more money than planned.],'Total analysis'!C117)</f>
        <v>71</v>
      </c>
      <c r="E117" s="25" t="s">
        <v>96</v>
      </c>
      <c r="F117" s="24">
        <f>(D117*100%)/D115</f>
        <v>0.51079136690647486</v>
      </c>
    </row>
    <row r="118" spans="1:6" x14ac:dyDescent="0.2">
      <c r="C118" s="8" t="s">
        <v>42</v>
      </c>
      <c r="D118" s="4">
        <f>COUNTIF(Table1[If AmazonPay were available, I would spend more money than planned.],'Total analysis'!C118)</f>
        <v>68</v>
      </c>
      <c r="F118" s="24">
        <f>(D118*100%)/D115</f>
        <v>0.48920863309352519</v>
      </c>
    </row>
    <row r="120" spans="1:6" ht="32" x14ac:dyDescent="0.2">
      <c r="A120" s="12" t="s">
        <v>107</v>
      </c>
      <c r="B120" s="3" t="s">
        <v>20</v>
      </c>
      <c r="C120" s="4" t="s">
        <v>41</v>
      </c>
      <c r="D120" s="4">
        <f>COUNTIF(Table1[If AmazonPay were available, I would choose higher priced items.],'Total analysis'!C120)</f>
        <v>52</v>
      </c>
      <c r="E120" s="25" t="s">
        <v>96</v>
      </c>
      <c r="F120" s="24">
        <f>(D120*100%)/D115</f>
        <v>0.37410071942446044</v>
      </c>
    </row>
    <row r="121" spans="1:6" x14ac:dyDescent="0.2">
      <c r="C121" s="8" t="s">
        <v>42</v>
      </c>
      <c r="D121" s="4">
        <f>COUNTIF(Table1[If AmazonPay were available, I would choose higher priced items.],'Total analysis'!C121)</f>
        <v>87</v>
      </c>
      <c r="F121" s="24">
        <f>(D121*100%)/D115</f>
        <v>0.62589928057553956</v>
      </c>
    </row>
    <row r="123" spans="1:6" ht="64" x14ac:dyDescent="0.2">
      <c r="A123" s="12" t="s">
        <v>108</v>
      </c>
      <c r="B123" s="3" t="s">
        <v>21</v>
      </c>
      <c r="C123" s="26" t="s">
        <v>109</v>
      </c>
      <c r="D123" s="4">
        <f>COUNTIF(Table1[If you were making an online purchase of $200 today, which payment option would you be most likely to choose?],Total!W2)</f>
        <v>59</v>
      </c>
      <c r="E123" s="25" t="s">
        <v>96</v>
      </c>
      <c r="F123" s="24">
        <f>(D123*100%)/$D$115</f>
        <v>0.42446043165467628</v>
      </c>
    </row>
    <row r="124" spans="1:6" ht="80" x14ac:dyDescent="0.2">
      <c r="C124" s="26" t="s">
        <v>110</v>
      </c>
      <c r="D124" s="4">
        <f>COUNTIF(Table1[If you were making an online purchase of $200 today, which payment option would you be most likely to choose?],Total!W5)</f>
        <v>10</v>
      </c>
      <c r="F124" s="24">
        <f>(D124*100%)/$D$115</f>
        <v>7.1942446043165464E-2</v>
      </c>
    </row>
    <row r="125" spans="1:6" ht="50" customHeight="1" x14ac:dyDescent="0.2">
      <c r="C125" s="27" t="s">
        <v>112</v>
      </c>
      <c r="D125" s="4">
        <f>COUNTIF(Table1[If you were making an online purchase of $200 today, which payment option would you be most likely to choose?],Total!W10)</f>
        <v>19</v>
      </c>
      <c r="F125" s="24">
        <f>(D125*100%)/$D$115</f>
        <v>0.1366906474820144</v>
      </c>
    </row>
    <row r="126" spans="1:6" ht="30" x14ac:dyDescent="0.2">
      <c r="C126" s="27" t="s">
        <v>111</v>
      </c>
      <c r="D126" s="4">
        <f>COUNTIF(Table1[If you were making an online purchase of $200 today, which payment option would you be most likely to choose?],Total!W96)</f>
        <v>51</v>
      </c>
      <c r="F126" s="24">
        <f>(D126*100%)/$D$115</f>
        <v>0.36690647482014388</v>
      </c>
    </row>
  </sheetData>
  <mergeCells count="1">
    <mergeCell ref="B1:D1"/>
  </mergeCells>
  <conditionalFormatting sqref="D14:D2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{8186664D-A7C2-BE4C-8CE2-FAB14005D7EB}</x14:id>
        </ext>
      </extLst>
    </cfRule>
  </conditionalFormatting>
  <conditionalFormatting sqref="D30:D31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{FF3A374F-A082-6C4D-A369-014C4FA95CD4}</x14:id>
        </ext>
      </extLst>
    </cfRule>
  </conditionalFormatting>
  <conditionalFormatting sqref="D33:D3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{38B09452-41EC-5045-BD8F-1ECD8D124211}</x14:id>
        </ext>
      </extLst>
    </cfRule>
  </conditionalFormatting>
  <conditionalFormatting sqref="D123:D1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{5E4521DE-071F-B448-B4F6-015BEF709107}</x14:id>
        </ext>
      </extLst>
    </cfRule>
  </conditionalFormatting>
  <conditionalFormatting sqref="F113:F1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:F1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:F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3:F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86664D-A7C2-BE4C-8CE2-FAB14005D7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D14:D28</xm:sqref>
        </x14:conditionalFormatting>
        <x14:conditionalFormatting xmlns:xm="http://schemas.microsoft.com/office/excel/2006/main">
          <x14:cfRule type="dataBar" id="{FF3A374F-A082-6C4D-A369-014C4FA95C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38B09452-41EC-5045-BD8F-1ECD8D1242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D33:D35</xm:sqref>
        </x14:conditionalFormatting>
        <x14:conditionalFormatting xmlns:xm="http://schemas.microsoft.com/office/excel/2006/main">
          <x14:cfRule type="dataBar" id="{5E4521DE-071F-B448-B4F6-015BEF7091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D123:D126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A1A8-E5FF-AD4E-9BB7-715AA34F4EDB}">
  <dimension ref="A1:A5"/>
  <sheetViews>
    <sheetView zoomScale="150" workbookViewId="0">
      <selection activeCell="C14" sqref="C14"/>
    </sheetView>
  </sheetViews>
  <sheetFormatPr baseColWidth="10" defaultRowHeight="15" x14ac:dyDescent="0.2"/>
  <cols>
    <col min="1" max="1" width="72.33203125" bestFit="1" customWidth="1"/>
  </cols>
  <sheetData>
    <row r="1" spans="1:1" ht="21" x14ac:dyDescent="0.25">
      <c r="A1" s="19" t="s">
        <v>68</v>
      </c>
    </row>
    <row r="2" spans="1:1" ht="21" x14ac:dyDescent="0.25">
      <c r="A2" s="19" t="s">
        <v>67</v>
      </c>
    </row>
    <row r="3" spans="1:1" ht="21" x14ac:dyDescent="0.25">
      <c r="A3" s="19" t="s">
        <v>82</v>
      </c>
    </row>
    <row r="4" spans="1:1" ht="21" x14ac:dyDescent="0.25">
      <c r="A4" s="19" t="s">
        <v>121</v>
      </c>
    </row>
    <row r="5" spans="1:1" ht="21" x14ac:dyDescent="0.25">
      <c r="A5" s="1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FA04-25AD-AB45-AF5D-DF6FB4A3AEEF}">
  <sheetPr>
    <tabColor theme="8" tint="0.79998168889431442"/>
  </sheetPr>
  <dimension ref="A1:X105"/>
  <sheetViews>
    <sheetView zoomScale="94" workbookViewId="0">
      <selection activeCell="G1" sqref="G1"/>
    </sheetView>
  </sheetViews>
  <sheetFormatPr baseColWidth="10" defaultRowHeight="15" x14ac:dyDescent="0.2"/>
  <cols>
    <col min="1" max="1" width="17.83203125" bestFit="1" customWidth="1"/>
    <col min="4" max="4" width="34" customWidth="1"/>
    <col min="5" max="5" width="29.83203125" customWidth="1"/>
    <col min="6" max="6" width="26.83203125" customWidth="1"/>
    <col min="7" max="7" width="43.1640625" customWidth="1"/>
    <col min="8" max="8" width="27.6640625" customWidth="1"/>
    <col min="9" max="9" width="17.83203125" customWidth="1"/>
    <col min="10" max="10" width="20" customWidth="1"/>
    <col min="11" max="11" width="38.33203125" customWidth="1"/>
    <col min="12" max="12" width="21.5" customWidth="1"/>
    <col min="13" max="13" width="31.1640625" customWidth="1"/>
    <col min="14" max="14" width="35.5" customWidth="1"/>
    <col min="15" max="15" width="31" customWidth="1"/>
    <col min="16" max="16" width="36" customWidth="1"/>
    <col min="17" max="17" width="24.5" customWidth="1"/>
    <col min="18" max="18" width="21.33203125" customWidth="1"/>
    <col min="19" max="19" width="21" customWidth="1"/>
    <col min="20" max="20" width="22" customWidth="1"/>
    <col min="21" max="21" width="27" customWidth="1"/>
    <col min="22" max="22" width="22.6640625" customWidth="1"/>
    <col min="23" max="23" width="72.1640625" bestFit="1" customWidth="1"/>
    <col min="24" max="24" width="17.5" bestFit="1" customWidth="1"/>
  </cols>
  <sheetData>
    <row r="1" spans="1:24" s="31" customFormat="1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119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44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136</v>
      </c>
    </row>
    <row r="2" spans="1:24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  <c r="X2" s="38">
        <f t="shared" ref="X2:X33" si="0">IF(EXACT(TRIM(CLEAN(W2)),"Pay the full $200 at once."),1,0)</f>
        <v>1</v>
      </c>
    </row>
    <row r="3" spans="1:24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  <c r="X3" s="38">
        <f t="shared" si="0"/>
        <v>1</v>
      </c>
    </row>
    <row r="4" spans="1:24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  <c r="X4" s="38">
        <f t="shared" si="0"/>
        <v>1</v>
      </c>
    </row>
    <row r="5" spans="1:24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  <c r="X5" s="38">
        <f t="shared" si="0"/>
        <v>0</v>
      </c>
    </row>
    <row r="6" spans="1:24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  <c r="X6" s="38">
        <f t="shared" si="0"/>
        <v>0</v>
      </c>
    </row>
    <row r="7" spans="1:24" x14ac:dyDescent="0.2">
      <c r="A7" s="14">
        <v>45891.743665543981</v>
      </c>
      <c r="B7" s="4" t="s">
        <v>23</v>
      </c>
      <c r="C7" s="4" t="s">
        <v>25</v>
      </c>
      <c r="D7" s="4" t="s">
        <v>29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 t="s">
        <v>49</v>
      </c>
      <c r="U7" s="4" t="s">
        <v>41</v>
      </c>
      <c r="V7" s="4" t="s">
        <v>42</v>
      </c>
      <c r="W7" s="4" t="s">
        <v>50</v>
      </c>
      <c r="X7" s="38">
        <f t="shared" si="0"/>
        <v>0</v>
      </c>
    </row>
    <row r="8" spans="1:24" x14ac:dyDescent="0.2">
      <c r="A8" s="14">
        <v>45891.743674907397</v>
      </c>
      <c r="B8" s="4" t="s">
        <v>23</v>
      </c>
      <c r="C8" s="4" t="s">
        <v>26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2</v>
      </c>
      <c r="N8" s="4">
        <v>2</v>
      </c>
      <c r="O8" s="4">
        <v>2</v>
      </c>
      <c r="P8" s="4">
        <v>2</v>
      </c>
      <c r="Q8" s="4">
        <v>4</v>
      </c>
      <c r="R8" s="4">
        <v>3</v>
      </c>
      <c r="S8" s="4">
        <v>4</v>
      </c>
      <c r="T8" s="4" t="s">
        <v>49</v>
      </c>
      <c r="U8" s="4" t="s">
        <v>41</v>
      </c>
      <c r="V8" s="4" t="s">
        <v>41</v>
      </c>
      <c r="W8" s="4" t="s">
        <v>51</v>
      </c>
      <c r="X8" s="38">
        <f t="shared" si="0"/>
        <v>1</v>
      </c>
    </row>
    <row r="9" spans="1:24" x14ac:dyDescent="0.2">
      <c r="A9" s="14">
        <v>45891.743862094911</v>
      </c>
      <c r="B9" s="4" t="s">
        <v>23</v>
      </c>
      <c r="C9" s="4" t="s">
        <v>26</v>
      </c>
      <c r="D9" s="4" t="s">
        <v>27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3</v>
      </c>
      <c r="N9" s="4">
        <v>3</v>
      </c>
      <c r="O9" s="4">
        <v>5</v>
      </c>
      <c r="P9" s="4">
        <v>1</v>
      </c>
      <c r="Q9" s="4">
        <v>5</v>
      </c>
      <c r="R9" s="4">
        <v>1</v>
      </c>
      <c r="S9" s="4">
        <v>3</v>
      </c>
      <c r="T9" s="4" t="s">
        <v>41</v>
      </c>
      <c r="U9" s="4" t="s">
        <v>42</v>
      </c>
      <c r="V9" s="4" t="s">
        <v>41</v>
      </c>
      <c r="W9" s="4" t="s">
        <v>50</v>
      </c>
      <c r="X9" s="38">
        <f t="shared" si="0"/>
        <v>0</v>
      </c>
    </row>
    <row r="10" spans="1:24" x14ac:dyDescent="0.2">
      <c r="A10" s="14">
        <v>45891.744547453702</v>
      </c>
      <c r="B10" s="4" t="s">
        <v>23</v>
      </c>
      <c r="C10" s="4" t="s">
        <v>25</v>
      </c>
      <c r="D10" s="4" t="s">
        <v>28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2</v>
      </c>
      <c r="P10" s="4">
        <v>2</v>
      </c>
      <c r="Q10" s="4">
        <v>5</v>
      </c>
      <c r="R10" s="4">
        <v>5</v>
      </c>
      <c r="S10" s="4">
        <v>4</v>
      </c>
      <c r="T10" s="4" t="s">
        <v>49</v>
      </c>
      <c r="U10" s="4" t="s">
        <v>42</v>
      </c>
      <c r="V10" s="4" t="s">
        <v>42</v>
      </c>
      <c r="W10" s="4" t="s">
        <v>51</v>
      </c>
      <c r="X10" s="38">
        <f t="shared" si="0"/>
        <v>1</v>
      </c>
    </row>
    <row r="11" spans="1:24" x14ac:dyDescent="0.2">
      <c r="A11" s="14">
        <v>45891.744780277782</v>
      </c>
      <c r="B11" s="4" t="s">
        <v>23</v>
      </c>
      <c r="C11" s="4" t="s">
        <v>25</v>
      </c>
      <c r="D11" s="4" t="s">
        <v>31</v>
      </c>
      <c r="E11" s="4" t="s">
        <v>41</v>
      </c>
      <c r="F11" s="4" t="s">
        <v>43</v>
      </c>
      <c r="G11" s="4" t="s">
        <v>46</v>
      </c>
      <c r="H11" s="4">
        <v>5</v>
      </c>
      <c r="I11" s="4">
        <v>5</v>
      </c>
      <c r="J11" s="4">
        <v>5</v>
      </c>
      <c r="K11" s="4">
        <v>3</v>
      </c>
      <c r="L11" s="4">
        <v>5</v>
      </c>
      <c r="M11" s="4">
        <v>5</v>
      </c>
      <c r="N11" s="4">
        <v>5</v>
      </c>
      <c r="O11" s="4">
        <v>5</v>
      </c>
      <c r="P11" s="4">
        <v>3</v>
      </c>
      <c r="Q11" s="4">
        <v>3</v>
      </c>
      <c r="R11" s="4">
        <v>4</v>
      </c>
      <c r="S11" s="4">
        <v>3</v>
      </c>
      <c r="T11" s="4" t="s">
        <v>41</v>
      </c>
      <c r="U11" s="4" t="s">
        <v>41</v>
      </c>
      <c r="V11" s="4" t="s">
        <v>41</v>
      </c>
      <c r="W11" s="4" t="s">
        <v>53</v>
      </c>
      <c r="X11" s="38">
        <f t="shared" si="0"/>
        <v>0</v>
      </c>
    </row>
    <row r="12" spans="1:24" x14ac:dyDescent="0.2">
      <c r="A12" s="14">
        <v>45891.745288506943</v>
      </c>
      <c r="B12" s="4" t="s">
        <v>23</v>
      </c>
      <c r="C12" s="4" t="s">
        <v>26</v>
      </c>
      <c r="D12" s="4" t="s">
        <v>31</v>
      </c>
      <c r="E12" s="4" t="s">
        <v>42</v>
      </c>
      <c r="F12" s="4"/>
      <c r="G12" s="4" t="s">
        <v>46</v>
      </c>
      <c r="H12" s="4">
        <v>5</v>
      </c>
      <c r="I12" s="4">
        <v>5</v>
      </c>
      <c r="J12" s="4">
        <v>4</v>
      </c>
      <c r="K12" s="4">
        <v>5</v>
      </c>
      <c r="L12" s="4">
        <v>4</v>
      </c>
      <c r="M12" s="4">
        <v>1</v>
      </c>
      <c r="N12" s="4">
        <v>1</v>
      </c>
      <c r="O12" s="4">
        <v>3</v>
      </c>
      <c r="P12" s="4">
        <v>1</v>
      </c>
      <c r="Q12" s="4">
        <v>4</v>
      </c>
      <c r="R12" s="4">
        <v>5</v>
      </c>
      <c r="S12" s="4">
        <v>4</v>
      </c>
      <c r="T12" s="4" t="s">
        <v>41</v>
      </c>
      <c r="U12" s="4" t="s">
        <v>41</v>
      </c>
      <c r="V12" s="4" t="s">
        <v>42</v>
      </c>
      <c r="W12" s="4" t="s">
        <v>53</v>
      </c>
      <c r="X12" s="38">
        <f t="shared" si="0"/>
        <v>0</v>
      </c>
    </row>
    <row r="13" spans="1:24" x14ac:dyDescent="0.2">
      <c r="A13" s="14">
        <v>45891.745688981478</v>
      </c>
      <c r="B13" s="4" t="s">
        <v>23</v>
      </c>
      <c r="C13" s="4" t="s">
        <v>25</v>
      </c>
      <c r="D13" s="4" t="s">
        <v>31</v>
      </c>
      <c r="E13" s="4" t="s">
        <v>41</v>
      </c>
      <c r="F13" s="4" t="s">
        <v>43</v>
      </c>
      <c r="G13" s="4" t="s">
        <v>47</v>
      </c>
      <c r="H13" s="4">
        <v>4</v>
      </c>
      <c r="I13" s="4">
        <v>4</v>
      </c>
      <c r="J13" s="4">
        <v>4</v>
      </c>
      <c r="K13" s="4">
        <v>5</v>
      </c>
      <c r="L13" s="4">
        <v>3</v>
      </c>
      <c r="M13" s="4">
        <v>5</v>
      </c>
      <c r="N13" s="4">
        <v>5</v>
      </c>
      <c r="O13" s="4">
        <v>1</v>
      </c>
      <c r="P13" s="4">
        <v>4</v>
      </c>
      <c r="Q13" s="4">
        <v>2</v>
      </c>
      <c r="R13" s="4">
        <v>2</v>
      </c>
      <c r="S13" s="4">
        <v>5</v>
      </c>
      <c r="T13" s="4" t="s">
        <v>41</v>
      </c>
      <c r="U13" s="4" t="s">
        <v>42</v>
      </c>
      <c r="V13" s="4" t="s">
        <v>41</v>
      </c>
      <c r="W13" s="4" t="s">
        <v>50</v>
      </c>
      <c r="X13" s="38">
        <f t="shared" si="0"/>
        <v>0</v>
      </c>
    </row>
    <row r="14" spans="1:24" x14ac:dyDescent="0.2">
      <c r="A14" s="14">
        <v>45891.746321238417</v>
      </c>
      <c r="B14" s="4" t="s">
        <v>23</v>
      </c>
      <c r="C14" s="4" t="s">
        <v>26</v>
      </c>
      <c r="D14" s="4" t="s">
        <v>29</v>
      </c>
      <c r="E14" s="4" t="s">
        <v>42</v>
      </c>
      <c r="F14" s="4"/>
      <c r="G14" s="4" t="s">
        <v>46</v>
      </c>
      <c r="H14" s="4">
        <v>5</v>
      </c>
      <c r="I14" s="4">
        <v>5</v>
      </c>
      <c r="J14" s="4">
        <v>4</v>
      </c>
      <c r="K14" s="4">
        <v>5</v>
      </c>
      <c r="L14" s="4">
        <v>4</v>
      </c>
      <c r="M14" s="4">
        <v>2</v>
      </c>
      <c r="N14" s="4">
        <v>2</v>
      </c>
      <c r="O14" s="4">
        <v>4</v>
      </c>
      <c r="P14" s="4">
        <v>1</v>
      </c>
      <c r="Q14" s="4">
        <v>2</v>
      </c>
      <c r="R14" s="4">
        <v>4</v>
      </c>
      <c r="S14" s="4">
        <v>4</v>
      </c>
      <c r="T14" s="4" t="s">
        <v>41</v>
      </c>
      <c r="U14" s="4" t="s">
        <v>41</v>
      </c>
      <c r="V14" s="4" t="s">
        <v>41</v>
      </c>
      <c r="W14" s="4" t="s">
        <v>53</v>
      </c>
      <c r="X14" s="38">
        <f t="shared" si="0"/>
        <v>0</v>
      </c>
    </row>
    <row r="15" spans="1:24" x14ac:dyDescent="0.2">
      <c r="A15" s="14">
        <v>45891.747338043977</v>
      </c>
      <c r="B15" s="4" t="s">
        <v>23</v>
      </c>
      <c r="C15" s="4" t="s">
        <v>26</v>
      </c>
      <c r="D15" s="4" t="s">
        <v>30</v>
      </c>
      <c r="E15" s="4" t="s">
        <v>41</v>
      </c>
      <c r="F15" s="4" t="s">
        <v>44</v>
      </c>
      <c r="G15" s="4" t="s">
        <v>47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4</v>
      </c>
      <c r="Q15" s="4">
        <v>5</v>
      </c>
      <c r="R15" s="4">
        <v>5</v>
      </c>
      <c r="S15" s="4">
        <v>3</v>
      </c>
      <c r="T15" s="4" t="s">
        <v>49</v>
      </c>
      <c r="U15" s="4" t="s">
        <v>42</v>
      </c>
      <c r="V15" s="4" t="s">
        <v>42</v>
      </c>
      <c r="W15" s="4" t="s">
        <v>50</v>
      </c>
      <c r="X15" s="38">
        <f t="shared" si="0"/>
        <v>0</v>
      </c>
    </row>
    <row r="16" spans="1:24" x14ac:dyDescent="0.2">
      <c r="A16" s="14">
        <v>45891.752668761583</v>
      </c>
      <c r="B16" s="4" t="s">
        <v>23</v>
      </c>
      <c r="C16" s="4" t="s">
        <v>25</v>
      </c>
      <c r="D16" s="4" t="s">
        <v>31</v>
      </c>
      <c r="E16" s="4" t="s">
        <v>42</v>
      </c>
      <c r="F16" s="4"/>
      <c r="G16" s="4" t="s">
        <v>46</v>
      </c>
      <c r="H16" s="4">
        <v>5</v>
      </c>
      <c r="I16" s="4">
        <v>5</v>
      </c>
      <c r="J16" s="4">
        <v>4</v>
      </c>
      <c r="K16" s="4">
        <v>5</v>
      </c>
      <c r="L16" s="4">
        <v>4</v>
      </c>
      <c r="M16" s="4">
        <v>3</v>
      </c>
      <c r="N16" s="4">
        <v>3</v>
      </c>
      <c r="O16" s="4">
        <v>4</v>
      </c>
      <c r="P16" s="4">
        <v>2</v>
      </c>
      <c r="Q16" s="4">
        <v>2</v>
      </c>
      <c r="R16" s="4">
        <v>2</v>
      </c>
      <c r="S16" s="4">
        <v>3</v>
      </c>
      <c r="T16" s="4" t="s">
        <v>41</v>
      </c>
      <c r="U16" s="4" t="s">
        <v>41</v>
      </c>
      <c r="V16" s="4" t="s">
        <v>41</v>
      </c>
      <c r="W16" s="4" t="s">
        <v>51</v>
      </c>
      <c r="X16" s="38">
        <f t="shared" si="0"/>
        <v>1</v>
      </c>
    </row>
    <row r="17" spans="1:24" x14ac:dyDescent="0.2">
      <c r="A17" s="14">
        <v>45891.752966643522</v>
      </c>
      <c r="B17" s="4" t="s">
        <v>23</v>
      </c>
      <c r="C17" s="4" t="s">
        <v>26</v>
      </c>
      <c r="D17" s="4" t="s">
        <v>31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4</v>
      </c>
      <c r="N17" s="4">
        <v>4</v>
      </c>
      <c r="O17" s="4">
        <v>4</v>
      </c>
      <c r="P17" s="4">
        <v>3</v>
      </c>
      <c r="Q17" s="4">
        <v>2</v>
      </c>
      <c r="R17" s="4">
        <v>2</v>
      </c>
      <c r="S17" s="4">
        <v>3</v>
      </c>
      <c r="T17" s="4" t="s">
        <v>41</v>
      </c>
      <c r="U17" s="4" t="s">
        <v>41</v>
      </c>
      <c r="V17" s="4" t="s">
        <v>41</v>
      </c>
      <c r="W17" s="4" t="s">
        <v>53</v>
      </c>
      <c r="X17" s="38">
        <f t="shared" si="0"/>
        <v>0</v>
      </c>
    </row>
    <row r="18" spans="1:24" x14ac:dyDescent="0.2">
      <c r="A18" s="14">
        <v>45891.754713414353</v>
      </c>
      <c r="B18" s="4" t="s">
        <v>23</v>
      </c>
      <c r="C18" s="4" t="s">
        <v>25</v>
      </c>
      <c r="D18" s="4" t="s">
        <v>31</v>
      </c>
      <c r="E18" s="4" t="s">
        <v>41</v>
      </c>
      <c r="F18" s="4" t="s">
        <v>43</v>
      </c>
      <c r="G18" s="4" t="s">
        <v>46</v>
      </c>
      <c r="H18" s="4">
        <v>5</v>
      </c>
      <c r="I18" s="4">
        <v>5</v>
      </c>
      <c r="J18" s="4">
        <v>5</v>
      </c>
      <c r="K18" s="4">
        <v>5</v>
      </c>
      <c r="L18" s="4">
        <v>3</v>
      </c>
      <c r="M18" s="4">
        <v>1</v>
      </c>
      <c r="N18" s="4">
        <v>1</v>
      </c>
      <c r="O18" s="4">
        <v>1</v>
      </c>
      <c r="P18" s="4">
        <v>5</v>
      </c>
      <c r="Q18" s="4">
        <v>5</v>
      </c>
      <c r="R18" s="4">
        <v>5</v>
      </c>
      <c r="S18" s="4">
        <v>4</v>
      </c>
      <c r="T18" s="4" t="s">
        <v>41</v>
      </c>
      <c r="U18" s="4" t="s">
        <v>41</v>
      </c>
      <c r="V18" s="4" t="s">
        <v>41</v>
      </c>
      <c r="W18" s="4" t="s">
        <v>53</v>
      </c>
      <c r="X18" s="38">
        <f t="shared" si="0"/>
        <v>0</v>
      </c>
    </row>
    <row r="19" spans="1:24" x14ac:dyDescent="0.2">
      <c r="A19" s="14">
        <v>45891.754978425917</v>
      </c>
      <c r="B19" s="4" t="s">
        <v>23</v>
      </c>
      <c r="C19" s="4" t="s">
        <v>26</v>
      </c>
      <c r="D19" s="4" t="s">
        <v>38</v>
      </c>
      <c r="E19" s="4" t="s">
        <v>41</v>
      </c>
      <c r="F19" s="4" t="s">
        <v>43</v>
      </c>
      <c r="G19" s="4" t="s">
        <v>46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4</v>
      </c>
      <c r="P19" s="4">
        <v>3</v>
      </c>
      <c r="Q19" s="4">
        <v>5</v>
      </c>
      <c r="R19" s="4">
        <v>3</v>
      </c>
      <c r="S19" s="4">
        <v>5</v>
      </c>
      <c r="T19" s="4" t="s">
        <v>41</v>
      </c>
      <c r="U19" s="4" t="s">
        <v>41</v>
      </c>
      <c r="V19" s="4" t="s">
        <v>41</v>
      </c>
      <c r="W19" s="4" t="s">
        <v>51</v>
      </c>
      <c r="X19" s="38">
        <f t="shared" si="0"/>
        <v>1</v>
      </c>
    </row>
    <row r="20" spans="1:24" x14ac:dyDescent="0.2">
      <c r="A20" s="14">
        <v>45891.758453136572</v>
      </c>
      <c r="B20" s="4" t="s">
        <v>22</v>
      </c>
      <c r="C20" s="4" t="s">
        <v>26</v>
      </c>
      <c r="D20" s="4" t="s">
        <v>38</v>
      </c>
      <c r="E20" s="4" t="s">
        <v>42</v>
      </c>
      <c r="F20" s="4"/>
      <c r="G20" s="4" t="s">
        <v>46</v>
      </c>
      <c r="H20" s="4">
        <v>5</v>
      </c>
      <c r="I20" s="4">
        <v>5</v>
      </c>
      <c r="J20" s="4">
        <v>4</v>
      </c>
      <c r="K20" s="4">
        <v>5</v>
      </c>
      <c r="L20" s="4">
        <v>4</v>
      </c>
      <c r="M20" s="4">
        <v>4</v>
      </c>
      <c r="N20" s="4">
        <v>3</v>
      </c>
      <c r="O20" s="4">
        <v>5</v>
      </c>
      <c r="P20" s="4">
        <v>1</v>
      </c>
      <c r="Q20" s="4">
        <v>5</v>
      </c>
      <c r="R20" s="4">
        <v>1</v>
      </c>
      <c r="S20" s="4">
        <v>5</v>
      </c>
      <c r="T20" s="4" t="s">
        <v>41</v>
      </c>
      <c r="U20" s="4" t="s">
        <v>41</v>
      </c>
      <c r="V20" s="4" t="s">
        <v>42</v>
      </c>
      <c r="W20" s="4" t="s">
        <v>50</v>
      </c>
      <c r="X20" s="38">
        <f t="shared" si="0"/>
        <v>0</v>
      </c>
    </row>
    <row r="21" spans="1:24" x14ac:dyDescent="0.2">
      <c r="A21" s="14">
        <v>45891.759408506943</v>
      </c>
      <c r="B21" s="4" t="s">
        <v>23</v>
      </c>
      <c r="C21" s="4" t="s">
        <v>26</v>
      </c>
      <c r="D21" s="4" t="s">
        <v>29</v>
      </c>
      <c r="E21" s="4" t="s">
        <v>42</v>
      </c>
      <c r="F21" s="4"/>
      <c r="G21" s="4" t="s">
        <v>46</v>
      </c>
      <c r="H21" s="4">
        <v>5</v>
      </c>
      <c r="I21" s="4">
        <v>5</v>
      </c>
      <c r="J21" s="4">
        <v>4</v>
      </c>
      <c r="K21" s="4">
        <v>5</v>
      </c>
      <c r="L21" s="4">
        <v>4</v>
      </c>
      <c r="M21" s="4">
        <v>3</v>
      </c>
      <c r="N21" s="4">
        <v>3</v>
      </c>
      <c r="O21" s="4">
        <v>3</v>
      </c>
      <c r="P21" s="4">
        <v>5</v>
      </c>
      <c r="Q21" s="4">
        <v>5</v>
      </c>
      <c r="R21" s="4">
        <v>5</v>
      </c>
      <c r="S21" s="4">
        <v>3</v>
      </c>
      <c r="T21" s="4" t="s">
        <v>49</v>
      </c>
      <c r="U21" s="4" t="s">
        <v>41</v>
      </c>
      <c r="V21" s="4" t="s">
        <v>41</v>
      </c>
      <c r="W21" s="4" t="s">
        <v>53</v>
      </c>
      <c r="X21" s="38">
        <f t="shared" si="0"/>
        <v>0</v>
      </c>
    </row>
    <row r="22" spans="1:24" x14ac:dyDescent="0.2">
      <c r="A22" s="14">
        <v>45891.760414398152</v>
      </c>
      <c r="B22" s="4" t="s">
        <v>23</v>
      </c>
      <c r="C22" s="4" t="s">
        <v>25</v>
      </c>
      <c r="D22" s="4" t="s">
        <v>31</v>
      </c>
      <c r="E22" s="4" t="s">
        <v>42</v>
      </c>
      <c r="F22" s="4"/>
      <c r="G22" s="4" t="s">
        <v>46</v>
      </c>
      <c r="H22" s="4">
        <v>5</v>
      </c>
      <c r="I22" s="4">
        <v>5</v>
      </c>
      <c r="J22" s="4">
        <v>4</v>
      </c>
      <c r="K22" s="4">
        <v>5</v>
      </c>
      <c r="L22" s="4">
        <v>4</v>
      </c>
      <c r="M22" s="4">
        <v>1</v>
      </c>
      <c r="N22" s="4">
        <v>1</v>
      </c>
      <c r="O22" s="4">
        <v>2</v>
      </c>
      <c r="P22" s="4">
        <v>5</v>
      </c>
      <c r="Q22" s="4">
        <v>1</v>
      </c>
      <c r="R22" s="4">
        <v>1</v>
      </c>
      <c r="S22" s="4">
        <v>5</v>
      </c>
      <c r="T22" s="4" t="s">
        <v>41</v>
      </c>
      <c r="U22" s="4" t="s">
        <v>42</v>
      </c>
      <c r="V22" s="4" t="s">
        <v>42</v>
      </c>
      <c r="W22" s="4" t="s">
        <v>53</v>
      </c>
      <c r="X22" s="38">
        <f t="shared" si="0"/>
        <v>0</v>
      </c>
    </row>
    <row r="23" spans="1:24" x14ac:dyDescent="0.2">
      <c r="A23" s="14">
        <v>45891.761227951392</v>
      </c>
      <c r="B23" s="4" t="s">
        <v>23</v>
      </c>
      <c r="C23" s="4" t="s">
        <v>26</v>
      </c>
      <c r="D23" s="4" t="s">
        <v>30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1</v>
      </c>
      <c r="N23" s="4">
        <v>1</v>
      </c>
      <c r="O23" s="4">
        <v>1</v>
      </c>
      <c r="P23" s="4">
        <v>2</v>
      </c>
      <c r="Q23" s="4">
        <v>3</v>
      </c>
      <c r="R23" s="4">
        <v>2</v>
      </c>
      <c r="S23" s="4">
        <v>4</v>
      </c>
      <c r="T23" s="4" t="s">
        <v>41</v>
      </c>
      <c r="U23" s="4" t="s">
        <v>42</v>
      </c>
      <c r="V23" s="4" t="s">
        <v>42</v>
      </c>
      <c r="W23" s="4" t="s">
        <v>51</v>
      </c>
      <c r="X23" s="38">
        <f t="shared" si="0"/>
        <v>1</v>
      </c>
    </row>
    <row r="24" spans="1:24" x14ac:dyDescent="0.2">
      <c r="A24" s="14">
        <v>45891.762674375001</v>
      </c>
      <c r="B24" s="4" t="s">
        <v>23</v>
      </c>
      <c r="C24" s="4" t="s">
        <v>25</v>
      </c>
      <c r="D24" s="4" t="s">
        <v>38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1</v>
      </c>
      <c r="N24" s="4">
        <v>2</v>
      </c>
      <c r="O24" s="4">
        <v>3</v>
      </c>
      <c r="P24" s="4">
        <v>3</v>
      </c>
      <c r="Q24" s="4">
        <v>5</v>
      </c>
      <c r="R24" s="4">
        <v>5</v>
      </c>
      <c r="S24" s="4">
        <v>4</v>
      </c>
      <c r="T24" s="4" t="s">
        <v>41</v>
      </c>
      <c r="U24" s="4" t="s">
        <v>41</v>
      </c>
      <c r="V24" s="4" t="s">
        <v>41</v>
      </c>
      <c r="W24" s="4" t="s">
        <v>51</v>
      </c>
      <c r="X24" s="38">
        <f t="shared" si="0"/>
        <v>1</v>
      </c>
    </row>
    <row r="25" spans="1:24" x14ac:dyDescent="0.2">
      <c r="A25" s="14">
        <v>45891.767746018522</v>
      </c>
      <c r="B25" s="4" t="s">
        <v>23</v>
      </c>
      <c r="C25" s="4" t="s">
        <v>25</v>
      </c>
      <c r="D25" s="4" t="s">
        <v>37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2</v>
      </c>
      <c r="N25" s="4">
        <v>2</v>
      </c>
      <c r="O25" s="4">
        <v>2</v>
      </c>
      <c r="P25" s="4">
        <v>2</v>
      </c>
      <c r="Q25" s="4">
        <v>5</v>
      </c>
      <c r="R25" s="4">
        <v>4</v>
      </c>
      <c r="S25" s="4">
        <v>4</v>
      </c>
      <c r="T25" s="4" t="s">
        <v>41</v>
      </c>
      <c r="U25" s="4" t="s">
        <v>41</v>
      </c>
      <c r="V25" s="4" t="s">
        <v>42</v>
      </c>
      <c r="W25" s="4" t="s">
        <v>53</v>
      </c>
      <c r="X25" s="38">
        <f t="shared" si="0"/>
        <v>0</v>
      </c>
    </row>
    <row r="26" spans="1:24" x14ac:dyDescent="0.2">
      <c r="A26" s="14">
        <v>45891.767885520843</v>
      </c>
      <c r="B26" s="4" t="s">
        <v>23</v>
      </c>
      <c r="C26" s="4" t="s">
        <v>26</v>
      </c>
      <c r="D26" s="4" t="s">
        <v>37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1</v>
      </c>
      <c r="P26" s="4">
        <v>2</v>
      </c>
      <c r="Q26" s="4">
        <v>5</v>
      </c>
      <c r="R26" s="4">
        <v>5</v>
      </c>
      <c r="S26" s="4">
        <v>2</v>
      </c>
      <c r="T26" s="4" t="s">
        <v>49</v>
      </c>
      <c r="U26" s="4" t="s">
        <v>42</v>
      </c>
      <c r="V26" s="4" t="s">
        <v>42</v>
      </c>
      <c r="W26" s="4" t="s">
        <v>51</v>
      </c>
      <c r="X26" s="38">
        <f t="shared" si="0"/>
        <v>1</v>
      </c>
    </row>
    <row r="27" spans="1:24" x14ac:dyDescent="0.2">
      <c r="A27" s="14">
        <v>45891.770363750002</v>
      </c>
      <c r="B27" s="4" t="s">
        <v>22</v>
      </c>
      <c r="C27" s="4" t="s">
        <v>25</v>
      </c>
      <c r="D27" s="4" t="s">
        <v>38</v>
      </c>
      <c r="E27" s="4" t="s">
        <v>41</v>
      </c>
      <c r="F27" s="4" t="s">
        <v>45</v>
      </c>
      <c r="G27" s="4" t="s">
        <v>47</v>
      </c>
      <c r="H27" s="4">
        <v>5</v>
      </c>
      <c r="I27" s="4">
        <v>5</v>
      </c>
      <c r="J27" s="4">
        <v>3</v>
      </c>
      <c r="K27" s="4">
        <v>4</v>
      </c>
      <c r="L27" s="4">
        <v>3</v>
      </c>
      <c r="M27" s="4">
        <v>1</v>
      </c>
      <c r="N27" s="4">
        <v>1</v>
      </c>
      <c r="O27" s="4">
        <v>1</v>
      </c>
      <c r="P27" s="4">
        <v>1</v>
      </c>
      <c r="Q27" s="4">
        <v>4</v>
      </c>
      <c r="R27" s="4">
        <v>2</v>
      </c>
      <c r="S27" s="4">
        <v>2</v>
      </c>
      <c r="T27" s="4" t="s">
        <v>49</v>
      </c>
      <c r="U27" s="4" t="s">
        <v>42</v>
      </c>
      <c r="V27" s="4" t="s">
        <v>42</v>
      </c>
      <c r="W27" s="4" t="s">
        <v>53</v>
      </c>
      <c r="X27" s="38">
        <f t="shared" si="0"/>
        <v>0</v>
      </c>
    </row>
    <row r="28" spans="1:24" x14ac:dyDescent="0.2">
      <c r="A28" s="14">
        <v>45891.772955451393</v>
      </c>
      <c r="B28" s="4" t="s">
        <v>23</v>
      </c>
      <c r="C28" s="4" t="s">
        <v>26</v>
      </c>
      <c r="D28" s="4" t="s">
        <v>33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1</v>
      </c>
      <c r="N28" s="4">
        <v>1</v>
      </c>
      <c r="O28" s="4">
        <v>2</v>
      </c>
      <c r="P28" s="4">
        <v>1</v>
      </c>
      <c r="Q28" s="4">
        <v>5</v>
      </c>
      <c r="R28" s="4">
        <v>5</v>
      </c>
      <c r="S28" s="4">
        <v>1</v>
      </c>
      <c r="T28" s="4" t="s">
        <v>49</v>
      </c>
      <c r="U28" s="4" t="s">
        <v>42</v>
      </c>
      <c r="V28" s="4" t="s">
        <v>42</v>
      </c>
      <c r="W28" s="4" t="s">
        <v>51</v>
      </c>
      <c r="X28" s="38">
        <f t="shared" si="0"/>
        <v>1</v>
      </c>
    </row>
    <row r="29" spans="1:24" x14ac:dyDescent="0.2">
      <c r="A29" s="14">
        <v>45891.776503981477</v>
      </c>
      <c r="B29" s="4" t="s">
        <v>22</v>
      </c>
      <c r="C29" s="4" t="s">
        <v>26</v>
      </c>
      <c r="D29" s="4" t="s">
        <v>31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5</v>
      </c>
      <c r="N29" s="4">
        <v>5</v>
      </c>
      <c r="O29" s="4">
        <v>5</v>
      </c>
      <c r="P29" s="4">
        <v>1</v>
      </c>
      <c r="Q29" s="4">
        <v>1</v>
      </c>
      <c r="R29" s="4">
        <v>1</v>
      </c>
      <c r="S29" s="4">
        <v>1</v>
      </c>
      <c r="T29" s="4" t="s">
        <v>49</v>
      </c>
      <c r="U29" s="4" t="s">
        <v>42</v>
      </c>
      <c r="V29" s="4" t="s">
        <v>42</v>
      </c>
      <c r="W29" s="4" t="s">
        <v>51</v>
      </c>
      <c r="X29" s="38">
        <f t="shared" si="0"/>
        <v>1</v>
      </c>
    </row>
    <row r="30" spans="1:24" x14ac:dyDescent="0.2">
      <c r="A30" s="14">
        <v>45891.786581307868</v>
      </c>
      <c r="B30" s="4" t="s">
        <v>23</v>
      </c>
      <c r="C30" s="4" t="s">
        <v>26</v>
      </c>
      <c r="D30" s="4" t="s">
        <v>31</v>
      </c>
      <c r="E30" s="4" t="s">
        <v>42</v>
      </c>
      <c r="F30" s="4"/>
      <c r="G30" s="4" t="s">
        <v>46</v>
      </c>
      <c r="H30" s="4">
        <v>5</v>
      </c>
      <c r="I30" s="4">
        <v>5</v>
      </c>
      <c r="J30" s="4">
        <v>4</v>
      </c>
      <c r="K30" s="4">
        <v>5</v>
      </c>
      <c r="L30" s="4">
        <v>4</v>
      </c>
      <c r="M30" s="4">
        <v>3</v>
      </c>
      <c r="N30" s="4">
        <v>3</v>
      </c>
      <c r="O30" s="4">
        <v>4</v>
      </c>
      <c r="P30" s="4">
        <v>5</v>
      </c>
      <c r="Q30" s="4">
        <v>4</v>
      </c>
      <c r="R30" s="4">
        <v>5</v>
      </c>
      <c r="S30" s="4">
        <v>3</v>
      </c>
      <c r="T30" s="4" t="s">
        <v>41</v>
      </c>
      <c r="U30" s="4" t="s">
        <v>41</v>
      </c>
      <c r="V30" s="4" t="s">
        <v>41</v>
      </c>
      <c r="W30" s="4" t="s">
        <v>53</v>
      </c>
      <c r="X30" s="38">
        <f t="shared" si="0"/>
        <v>0</v>
      </c>
    </row>
    <row r="31" spans="1:24" x14ac:dyDescent="0.2">
      <c r="A31" s="14">
        <v>45891.78701122685</v>
      </c>
      <c r="B31" s="4" t="s">
        <v>23</v>
      </c>
      <c r="C31" s="4" t="s">
        <v>26</v>
      </c>
      <c r="D31" s="4" t="s">
        <v>29</v>
      </c>
      <c r="E31" s="4" t="s">
        <v>42</v>
      </c>
      <c r="F31" s="4"/>
      <c r="G31" s="4" t="s">
        <v>46</v>
      </c>
      <c r="H31" s="4">
        <v>5</v>
      </c>
      <c r="I31" s="4">
        <v>5</v>
      </c>
      <c r="J31" s="4">
        <v>4</v>
      </c>
      <c r="K31" s="4">
        <v>5</v>
      </c>
      <c r="L31" s="4">
        <v>4</v>
      </c>
      <c r="M31" s="4">
        <v>5</v>
      </c>
      <c r="N31" s="4">
        <v>5</v>
      </c>
      <c r="O31" s="4">
        <v>3</v>
      </c>
      <c r="P31" s="4">
        <v>5</v>
      </c>
      <c r="Q31" s="4">
        <v>5</v>
      </c>
      <c r="R31" s="4">
        <v>5</v>
      </c>
      <c r="S31" s="4">
        <v>3</v>
      </c>
      <c r="T31" s="4" t="s">
        <v>41</v>
      </c>
      <c r="U31" s="4" t="s">
        <v>41</v>
      </c>
      <c r="V31" s="4" t="s">
        <v>42</v>
      </c>
      <c r="W31" s="4" t="s">
        <v>50</v>
      </c>
      <c r="X31" s="38">
        <f t="shared" si="0"/>
        <v>0</v>
      </c>
    </row>
    <row r="32" spans="1:24" x14ac:dyDescent="0.2">
      <c r="A32" s="14">
        <v>45891.789896342591</v>
      </c>
      <c r="B32" s="4" t="s">
        <v>23</v>
      </c>
      <c r="C32" s="4" t="s">
        <v>25</v>
      </c>
      <c r="D32" s="4" t="s">
        <v>29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3</v>
      </c>
      <c r="N32" s="4">
        <v>3</v>
      </c>
      <c r="O32" s="4">
        <v>3</v>
      </c>
      <c r="P32" s="4">
        <v>4</v>
      </c>
      <c r="Q32" s="4">
        <v>5</v>
      </c>
      <c r="R32" s="4">
        <v>4</v>
      </c>
      <c r="S32" s="4">
        <v>4</v>
      </c>
      <c r="T32" s="4" t="s">
        <v>49</v>
      </c>
      <c r="U32" s="4" t="s">
        <v>41</v>
      </c>
      <c r="V32" s="4" t="s">
        <v>42</v>
      </c>
      <c r="W32" s="4" t="s">
        <v>53</v>
      </c>
      <c r="X32" s="38">
        <f t="shared" si="0"/>
        <v>0</v>
      </c>
    </row>
    <row r="33" spans="1:24" x14ac:dyDescent="0.2">
      <c r="A33" s="14">
        <v>45891.798525902777</v>
      </c>
      <c r="B33" s="4" t="s">
        <v>23</v>
      </c>
      <c r="C33" s="4" t="s">
        <v>25</v>
      </c>
      <c r="D33" s="4" t="s">
        <v>38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5</v>
      </c>
      <c r="M33" s="4">
        <v>3</v>
      </c>
      <c r="N33" s="4">
        <v>3</v>
      </c>
      <c r="O33" s="4">
        <v>2</v>
      </c>
      <c r="P33" s="4">
        <v>2</v>
      </c>
      <c r="Q33" s="4">
        <v>5</v>
      </c>
      <c r="R33" s="4">
        <v>2</v>
      </c>
      <c r="S33" s="4">
        <v>3</v>
      </c>
      <c r="T33" s="4" t="s">
        <v>49</v>
      </c>
      <c r="U33" s="4" t="s">
        <v>41</v>
      </c>
      <c r="V33" s="4" t="s">
        <v>42</v>
      </c>
      <c r="W33" s="4" t="s">
        <v>51</v>
      </c>
      <c r="X33" s="38">
        <f t="shared" si="0"/>
        <v>1</v>
      </c>
    </row>
    <row r="34" spans="1:24" x14ac:dyDescent="0.2">
      <c r="A34" s="14">
        <v>45891.803155960653</v>
      </c>
      <c r="B34" s="4" t="s">
        <v>23</v>
      </c>
      <c r="C34" s="4" t="s">
        <v>26</v>
      </c>
      <c r="D34" s="4" t="s">
        <v>31</v>
      </c>
      <c r="E34" s="4" t="s">
        <v>41</v>
      </c>
      <c r="F34" s="4" t="s">
        <v>43</v>
      </c>
      <c r="G34" s="4" t="s">
        <v>46</v>
      </c>
      <c r="H34" s="4">
        <v>5</v>
      </c>
      <c r="I34" s="4">
        <v>5</v>
      </c>
      <c r="J34" s="4">
        <v>4</v>
      </c>
      <c r="K34" s="4">
        <v>4</v>
      </c>
      <c r="L34" s="4">
        <v>3</v>
      </c>
      <c r="M34" s="4">
        <v>3</v>
      </c>
      <c r="N34" s="4">
        <v>3</v>
      </c>
      <c r="O34" s="4">
        <v>3</v>
      </c>
      <c r="P34" s="4">
        <v>5</v>
      </c>
      <c r="Q34" s="4">
        <v>5</v>
      </c>
      <c r="R34" s="4">
        <v>5</v>
      </c>
      <c r="S34" s="4">
        <v>3</v>
      </c>
      <c r="T34" s="4" t="s">
        <v>41</v>
      </c>
      <c r="U34" s="4" t="s">
        <v>41</v>
      </c>
      <c r="V34" s="4" t="s">
        <v>42</v>
      </c>
      <c r="W34" s="4" t="s">
        <v>53</v>
      </c>
      <c r="X34" s="38">
        <f t="shared" ref="X34:X65" si="1">IF(EXACT(TRIM(CLEAN(W34)),"Pay the full $200 at once."),1,0)</f>
        <v>0</v>
      </c>
    </row>
    <row r="35" spans="1:24" x14ac:dyDescent="0.2">
      <c r="A35" s="14">
        <v>45891.80515803241</v>
      </c>
      <c r="B35" s="4" t="s">
        <v>23</v>
      </c>
      <c r="C35" s="4" t="s">
        <v>26</v>
      </c>
      <c r="D35" s="4" t="s">
        <v>37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5</v>
      </c>
      <c r="M35" s="4">
        <v>3</v>
      </c>
      <c r="N35" s="4">
        <v>2</v>
      </c>
      <c r="O35" s="4">
        <v>1</v>
      </c>
      <c r="P35" s="4">
        <v>1</v>
      </c>
      <c r="Q35" s="4">
        <v>1</v>
      </c>
      <c r="R35" s="4">
        <v>3</v>
      </c>
      <c r="S35" s="4">
        <v>1</v>
      </c>
      <c r="T35" s="4" t="s">
        <v>49</v>
      </c>
      <c r="U35" s="4" t="s">
        <v>42</v>
      </c>
      <c r="V35" s="4" t="s">
        <v>42</v>
      </c>
      <c r="W35" s="4" t="s">
        <v>51</v>
      </c>
      <c r="X35" s="38">
        <f t="shared" si="1"/>
        <v>1</v>
      </c>
    </row>
    <row r="36" spans="1:24" x14ac:dyDescent="0.2">
      <c r="A36" s="14">
        <v>45891.812765567127</v>
      </c>
      <c r="B36" s="4" t="s">
        <v>23</v>
      </c>
      <c r="C36" s="4" t="s">
        <v>25</v>
      </c>
      <c r="D36" s="4" t="s">
        <v>38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5</v>
      </c>
      <c r="M36" s="4">
        <v>5</v>
      </c>
      <c r="N36" s="4">
        <v>4</v>
      </c>
      <c r="O36" s="4">
        <v>5</v>
      </c>
      <c r="P36" s="4">
        <v>3</v>
      </c>
      <c r="Q36" s="4">
        <v>4</v>
      </c>
      <c r="R36" s="4">
        <v>2</v>
      </c>
      <c r="S36" s="4">
        <v>4</v>
      </c>
      <c r="T36" s="4" t="s">
        <v>41</v>
      </c>
      <c r="U36" s="4" t="s">
        <v>42</v>
      </c>
      <c r="V36" s="4" t="s">
        <v>42</v>
      </c>
      <c r="W36" s="4" t="s">
        <v>53</v>
      </c>
      <c r="X36" s="38">
        <f t="shared" si="1"/>
        <v>0</v>
      </c>
    </row>
    <row r="37" spans="1:24" x14ac:dyDescent="0.2">
      <c r="A37" s="14">
        <v>45891.814591793976</v>
      </c>
      <c r="B37" s="4" t="s">
        <v>23</v>
      </c>
      <c r="C37" s="4" t="s">
        <v>25</v>
      </c>
      <c r="D37" s="4" t="s">
        <v>34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2</v>
      </c>
      <c r="O37" s="4">
        <v>1</v>
      </c>
      <c r="P37" s="4">
        <v>3</v>
      </c>
      <c r="Q37" s="4">
        <v>5</v>
      </c>
      <c r="R37" s="4">
        <v>5</v>
      </c>
      <c r="S37" s="4">
        <v>5</v>
      </c>
      <c r="T37" s="4" t="s">
        <v>49</v>
      </c>
      <c r="U37" s="4" t="s">
        <v>42</v>
      </c>
      <c r="V37" s="4" t="s">
        <v>41</v>
      </c>
      <c r="W37" s="4" t="s">
        <v>52</v>
      </c>
      <c r="X37" s="38">
        <f t="shared" si="1"/>
        <v>0</v>
      </c>
    </row>
    <row r="38" spans="1:24" x14ac:dyDescent="0.2">
      <c r="A38" s="14">
        <v>45891.823933796302</v>
      </c>
      <c r="B38" s="4" t="s">
        <v>23</v>
      </c>
      <c r="C38" s="4" t="s">
        <v>25</v>
      </c>
      <c r="D38" s="4" t="s">
        <v>31</v>
      </c>
      <c r="E38" s="4" t="s">
        <v>42</v>
      </c>
      <c r="F38" s="4"/>
      <c r="G38" s="4" t="s">
        <v>47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3</v>
      </c>
      <c r="N38" s="4">
        <v>3</v>
      </c>
      <c r="O38" s="4">
        <v>3</v>
      </c>
      <c r="P38" s="4">
        <v>2</v>
      </c>
      <c r="Q38" s="4">
        <v>4</v>
      </c>
      <c r="R38" s="4">
        <v>5</v>
      </c>
      <c r="S38" s="4">
        <v>3</v>
      </c>
      <c r="T38" s="4" t="s">
        <v>41</v>
      </c>
      <c r="U38" s="4" t="s">
        <v>41</v>
      </c>
      <c r="V38" s="4" t="s">
        <v>41</v>
      </c>
      <c r="W38" s="4" t="s">
        <v>53</v>
      </c>
      <c r="X38" s="38">
        <f t="shared" si="1"/>
        <v>0</v>
      </c>
    </row>
    <row r="39" spans="1:24" x14ac:dyDescent="0.2">
      <c r="A39" s="14">
        <v>45891.829873622693</v>
      </c>
      <c r="B39" s="4" t="s">
        <v>23</v>
      </c>
      <c r="C39" s="4" t="s">
        <v>25</v>
      </c>
      <c r="D39" s="4" t="s">
        <v>35</v>
      </c>
      <c r="E39" s="4" t="s">
        <v>42</v>
      </c>
      <c r="F39" s="4"/>
      <c r="G39" s="4" t="s">
        <v>47</v>
      </c>
      <c r="H39" s="4">
        <v>5</v>
      </c>
      <c r="I39" s="4">
        <v>5</v>
      </c>
      <c r="J39" s="4">
        <v>5</v>
      </c>
      <c r="K39" s="4">
        <v>4</v>
      </c>
      <c r="L39" s="4">
        <v>5</v>
      </c>
      <c r="M39" s="4">
        <v>2</v>
      </c>
      <c r="N39" s="4">
        <v>3</v>
      </c>
      <c r="O39" s="4">
        <v>2</v>
      </c>
      <c r="P39" s="4">
        <v>2</v>
      </c>
      <c r="Q39" s="4">
        <v>1</v>
      </c>
      <c r="R39" s="4">
        <v>1</v>
      </c>
      <c r="S39" s="4">
        <v>3</v>
      </c>
      <c r="T39" s="4" t="s">
        <v>49</v>
      </c>
      <c r="U39" s="4" t="s">
        <v>42</v>
      </c>
      <c r="V39" s="4" t="s">
        <v>42</v>
      </c>
      <c r="W39" s="4" t="s">
        <v>51</v>
      </c>
      <c r="X39" s="38">
        <f t="shared" si="1"/>
        <v>1</v>
      </c>
    </row>
    <row r="40" spans="1:24" x14ac:dyDescent="0.2">
      <c r="A40" s="14">
        <v>45891.833718043978</v>
      </c>
      <c r="B40" s="4" t="s">
        <v>23</v>
      </c>
      <c r="C40" s="4" t="s">
        <v>25</v>
      </c>
      <c r="D40" s="4" t="s">
        <v>35</v>
      </c>
      <c r="E40" s="4" t="s">
        <v>42</v>
      </c>
      <c r="F40" s="4"/>
      <c r="G40" s="4" t="s">
        <v>47</v>
      </c>
      <c r="H40" s="4">
        <v>5</v>
      </c>
      <c r="I40" s="4">
        <v>5</v>
      </c>
      <c r="J40" s="4">
        <v>5</v>
      </c>
      <c r="K40" s="4">
        <v>4</v>
      </c>
      <c r="L40" s="4">
        <v>5</v>
      </c>
      <c r="M40" s="4">
        <v>1</v>
      </c>
      <c r="N40" s="4">
        <v>1</v>
      </c>
      <c r="O40" s="4">
        <v>2</v>
      </c>
      <c r="P40" s="4">
        <v>5</v>
      </c>
      <c r="Q40" s="4">
        <v>5</v>
      </c>
      <c r="R40" s="4">
        <v>5</v>
      </c>
      <c r="S40" s="4">
        <v>1</v>
      </c>
      <c r="T40" s="4" t="s">
        <v>49</v>
      </c>
      <c r="U40" s="4" t="s">
        <v>42</v>
      </c>
      <c r="V40" s="4" t="s">
        <v>42</v>
      </c>
      <c r="W40" s="4" t="s">
        <v>51</v>
      </c>
      <c r="X40" s="38">
        <f t="shared" si="1"/>
        <v>1</v>
      </c>
    </row>
    <row r="41" spans="1:24" x14ac:dyDescent="0.2">
      <c r="A41" s="14">
        <v>45891.845107048612</v>
      </c>
      <c r="B41" s="4" t="s">
        <v>23</v>
      </c>
      <c r="C41" s="4" t="s">
        <v>26</v>
      </c>
      <c r="D41" s="4" t="s">
        <v>31</v>
      </c>
      <c r="E41" s="4" t="s">
        <v>42</v>
      </c>
      <c r="F41" s="4"/>
      <c r="G41" s="4" t="s">
        <v>47</v>
      </c>
      <c r="H41" s="4">
        <v>5</v>
      </c>
      <c r="I41" s="4">
        <v>5</v>
      </c>
      <c r="J41" s="4">
        <v>5</v>
      </c>
      <c r="K41" s="4">
        <v>4</v>
      </c>
      <c r="L41" s="4">
        <v>5</v>
      </c>
      <c r="M41" s="4">
        <v>3</v>
      </c>
      <c r="N41" s="4">
        <v>3</v>
      </c>
      <c r="O41" s="4">
        <v>5</v>
      </c>
      <c r="P41" s="4">
        <v>5</v>
      </c>
      <c r="Q41" s="4">
        <v>5</v>
      </c>
      <c r="R41" s="4">
        <v>5</v>
      </c>
      <c r="S41" s="4">
        <v>4</v>
      </c>
      <c r="T41" s="4" t="s">
        <v>41</v>
      </c>
      <c r="U41" s="4" t="s">
        <v>41</v>
      </c>
      <c r="V41" s="4" t="s">
        <v>41</v>
      </c>
      <c r="W41" s="4" t="s">
        <v>51</v>
      </c>
      <c r="X41" s="38">
        <f t="shared" si="1"/>
        <v>1</v>
      </c>
    </row>
    <row r="42" spans="1:24" x14ac:dyDescent="0.2">
      <c r="A42" s="14">
        <v>45891.857246782412</v>
      </c>
      <c r="B42" s="4" t="s">
        <v>23</v>
      </c>
      <c r="C42" s="4" t="s">
        <v>25</v>
      </c>
      <c r="D42" s="4" t="s">
        <v>36</v>
      </c>
      <c r="E42" s="4" t="s">
        <v>42</v>
      </c>
      <c r="F42" s="4"/>
      <c r="G42" s="4" t="s">
        <v>47</v>
      </c>
      <c r="H42" s="4">
        <v>5</v>
      </c>
      <c r="I42" s="4">
        <v>5</v>
      </c>
      <c r="J42" s="4">
        <v>5</v>
      </c>
      <c r="K42" s="4">
        <v>4</v>
      </c>
      <c r="L42" s="4">
        <v>5</v>
      </c>
      <c r="M42" s="4">
        <v>2</v>
      </c>
      <c r="N42" s="4">
        <v>1</v>
      </c>
      <c r="O42" s="4">
        <v>2</v>
      </c>
      <c r="P42" s="4">
        <v>3</v>
      </c>
      <c r="Q42" s="4">
        <v>5</v>
      </c>
      <c r="R42" s="4">
        <v>5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  <c r="X42" s="38">
        <f t="shared" si="1"/>
        <v>1</v>
      </c>
    </row>
    <row r="43" spans="1:24" x14ac:dyDescent="0.2">
      <c r="A43" s="14">
        <v>45891.896045520843</v>
      </c>
      <c r="B43" s="4" t="s">
        <v>23</v>
      </c>
      <c r="C43" s="4" t="s">
        <v>26</v>
      </c>
      <c r="D43" s="4" t="s">
        <v>38</v>
      </c>
      <c r="E43" s="4" t="s">
        <v>42</v>
      </c>
      <c r="F43" s="4"/>
      <c r="G43" s="4" t="s">
        <v>47</v>
      </c>
      <c r="H43" s="4">
        <v>5</v>
      </c>
      <c r="I43" s="4">
        <v>5</v>
      </c>
      <c r="J43" s="4">
        <v>5</v>
      </c>
      <c r="K43" s="4">
        <v>4</v>
      </c>
      <c r="L43" s="4">
        <v>5</v>
      </c>
      <c r="M43" s="4">
        <v>3</v>
      </c>
      <c r="N43" s="4">
        <v>4</v>
      </c>
      <c r="O43" s="4">
        <v>2</v>
      </c>
      <c r="P43" s="4">
        <v>4</v>
      </c>
      <c r="Q43" s="4">
        <v>5</v>
      </c>
      <c r="R43" s="4">
        <v>2</v>
      </c>
      <c r="S43" s="4">
        <v>3</v>
      </c>
      <c r="T43" s="4" t="s">
        <v>41</v>
      </c>
      <c r="U43" s="4" t="s">
        <v>41</v>
      </c>
      <c r="V43" s="4" t="s">
        <v>41</v>
      </c>
      <c r="W43" s="4" t="s">
        <v>50</v>
      </c>
      <c r="X43" s="38">
        <f t="shared" si="1"/>
        <v>0</v>
      </c>
    </row>
    <row r="44" spans="1:24" x14ac:dyDescent="0.2">
      <c r="A44" s="14">
        <v>45891.908314074077</v>
      </c>
      <c r="B44" s="4" t="s">
        <v>23</v>
      </c>
      <c r="C44" s="4" t="s">
        <v>25</v>
      </c>
      <c r="D44" s="4" t="s">
        <v>38</v>
      </c>
      <c r="E44" s="4" t="s">
        <v>42</v>
      </c>
      <c r="F44" s="4"/>
      <c r="G44" s="4" t="s">
        <v>47</v>
      </c>
      <c r="H44" s="4">
        <v>5</v>
      </c>
      <c r="I44" s="4">
        <v>5</v>
      </c>
      <c r="J44" s="4">
        <v>5</v>
      </c>
      <c r="K44" s="4">
        <v>4</v>
      </c>
      <c r="L44" s="4">
        <v>5</v>
      </c>
      <c r="M44" s="4">
        <v>1</v>
      </c>
      <c r="N44" s="4">
        <v>1</v>
      </c>
      <c r="O44" s="4">
        <v>1</v>
      </c>
      <c r="P44" s="4">
        <v>3</v>
      </c>
      <c r="Q44" s="4">
        <v>5</v>
      </c>
      <c r="R44" s="4">
        <v>1</v>
      </c>
      <c r="S44" s="4">
        <v>1</v>
      </c>
      <c r="T44" s="4" t="s">
        <v>49</v>
      </c>
      <c r="U44" s="4" t="s">
        <v>41</v>
      </c>
      <c r="V44" s="4" t="s">
        <v>42</v>
      </c>
      <c r="W44" s="4" t="s">
        <v>51</v>
      </c>
      <c r="X44" s="38">
        <f t="shared" si="1"/>
        <v>1</v>
      </c>
    </row>
    <row r="45" spans="1:24" x14ac:dyDescent="0.2">
      <c r="A45" s="14">
        <v>45891.90954453704</v>
      </c>
      <c r="B45" s="4" t="s">
        <v>23</v>
      </c>
      <c r="C45" s="4" t="s">
        <v>25</v>
      </c>
      <c r="D45" s="4" t="s">
        <v>30</v>
      </c>
      <c r="E45" s="4" t="s">
        <v>42</v>
      </c>
      <c r="F45" s="4"/>
      <c r="G45" s="4" t="s">
        <v>48</v>
      </c>
      <c r="H45" s="4">
        <v>5</v>
      </c>
      <c r="I45" s="4">
        <v>5</v>
      </c>
      <c r="J45" s="4">
        <v>5</v>
      </c>
      <c r="K45" s="4">
        <v>4</v>
      </c>
      <c r="L45" s="4">
        <v>5</v>
      </c>
      <c r="M45" s="4">
        <v>3</v>
      </c>
      <c r="N45" s="4">
        <v>1</v>
      </c>
      <c r="O45" s="4">
        <v>3</v>
      </c>
      <c r="P45" s="4">
        <v>3</v>
      </c>
      <c r="Q45" s="4">
        <v>5</v>
      </c>
      <c r="R45" s="4">
        <v>4</v>
      </c>
      <c r="S45" s="4">
        <v>1</v>
      </c>
      <c r="T45" s="4" t="s">
        <v>49</v>
      </c>
      <c r="U45" s="4" t="s">
        <v>42</v>
      </c>
      <c r="V45" s="4" t="s">
        <v>42</v>
      </c>
      <c r="W45" s="4" t="s">
        <v>51</v>
      </c>
      <c r="X45" s="38">
        <f t="shared" si="1"/>
        <v>1</v>
      </c>
    </row>
    <row r="46" spans="1:24" x14ac:dyDescent="0.2">
      <c r="A46" s="14">
        <v>45891.947571550932</v>
      </c>
      <c r="B46" s="4" t="s">
        <v>22</v>
      </c>
      <c r="C46" s="4" t="s">
        <v>26</v>
      </c>
      <c r="D46" s="4" t="s">
        <v>31</v>
      </c>
      <c r="E46" s="4" t="s">
        <v>42</v>
      </c>
      <c r="F46" s="4"/>
      <c r="G46" s="4" t="s">
        <v>46</v>
      </c>
      <c r="H46" s="4">
        <v>5</v>
      </c>
      <c r="I46" s="4">
        <v>5</v>
      </c>
      <c r="J46" s="4">
        <v>5</v>
      </c>
      <c r="K46" s="4">
        <v>4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5</v>
      </c>
      <c r="R46" s="4">
        <v>2</v>
      </c>
      <c r="S46" s="4">
        <v>2</v>
      </c>
      <c r="T46" s="4" t="s">
        <v>41</v>
      </c>
      <c r="U46" s="4" t="s">
        <v>41</v>
      </c>
      <c r="V46" s="4" t="s">
        <v>41</v>
      </c>
      <c r="W46" s="4" t="s">
        <v>53</v>
      </c>
      <c r="X46" s="38">
        <f t="shared" si="1"/>
        <v>0</v>
      </c>
    </row>
    <row r="47" spans="1:24" x14ac:dyDescent="0.2">
      <c r="A47" s="14">
        <v>45891.958157060188</v>
      </c>
      <c r="B47" s="4" t="s">
        <v>23</v>
      </c>
      <c r="C47" s="4" t="s">
        <v>25</v>
      </c>
      <c r="D47" s="4" t="s">
        <v>38</v>
      </c>
      <c r="E47" s="4" t="s">
        <v>42</v>
      </c>
      <c r="F47" s="4"/>
      <c r="G47" s="4" t="s">
        <v>48</v>
      </c>
      <c r="H47" s="4">
        <v>4</v>
      </c>
      <c r="I47" s="4">
        <v>4</v>
      </c>
      <c r="J47" s="4">
        <v>5</v>
      </c>
      <c r="K47" s="4">
        <v>4</v>
      </c>
      <c r="L47" s="4">
        <v>5</v>
      </c>
      <c r="M47" s="4">
        <v>1</v>
      </c>
      <c r="N47" s="4">
        <v>1</v>
      </c>
      <c r="O47" s="4">
        <v>1</v>
      </c>
      <c r="P47" s="4">
        <v>1</v>
      </c>
      <c r="Q47" s="4">
        <v>5</v>
      </c>
      <c r="R47" s="4">
        <v>1</v>
      </c>
      <c r="S47" s="4">
        <v>1</v>
      </c>
      <c r="T47" s="4" t="s">
        <v>41</v>
      </c>
      <c r="U47" s="4" t="s">
        <v>41</v>
      </c>
      <c r="V47" s="4" t="s">
        <v>41</v>
      </c>
      <c r="W47" s="4" t="s">
        <v>51</v>
      </c>
      <c r="X47" s="38">
        <f t="shared" si="1"/>
        <v>1</v>
      </c>
    </row>
    <row r="48" spans="1:24" x14ac:dyDescent="0.2">
      <c r="A48" s="14">
        <v>45891.96002633102</v>
      </c>
      <c r="B48" s="4" t="s">
        <v>22</v>
      </c>
      <c r="C48" s="4" t="s">
        <v>25</v>
      </c>
      <c r="D48" s="4" t="s">
        <v>31</v>
      </c>
      <c r="E48" s="4" t="s">
        <v>42</v>
      </c>
      <c r="F48" s="4"/>
      <c r="G48" s="4" t="s">
        <v>47</v>
      </c>
      <c r="H48" s="4">
        <v>4</v>
      </c>
      <c r="I48" s="4">
        <v>4</v>
      </c>
      <c r="J48" s="4">
        <v>5</v>
      </c>
      <c r="K48" s="4">
        <v>4</v>
      </c>
      <c r="L48" s="4">
        <v>5</v>
      </c>
      <c r="M48" s="4">
        <v>3</v>
      </c>
      <c r="N48" s="4">
        <v>4</v>
      </c>
      <c r="O48" s="4">
        <v>2</v>
      </c>
      <c r="P48" s="4">
        <v>3</v>
      </c>
      <c r="Q48" s="4">
        <v>2</v>
      </c>
      <c r="R48" s="4">
        <v>4</v>
      </c>
      <c r="S48" s="4">
        <v>4</v>
      </c>
      <c r="T48" s="4" t="s">
        <v>49</v>
      </c>
      <c r="U48" s="4" t="s">
        <v>42</v>
      </c>
      <c r="V48" s="4" t="s">
        <v>42</v>
      </c>
      <c r="W48" s="4" t="s">
        <v>53</v>
      </c>
      <c r="X48" s="38">
        <f t="shared" si="1"/>
        <v>0</v>
      </c>
    </row>
    <row r="49" spans="1:24" x14ac:dyDescent="0.2">
      <c r="A49" s="14">
        <v>45891.963381331021</v>
      </c>
      <c r="B49" s="4" t="s">
        <v>22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4</v>
      </c>
      <c r="I49" s="4">
        <v>4</v>
      </c>
      <c r="J49" s="4">
        <v>5</v>
      </c>
      <c r="K49" s="4">
        <v>4</v>
      </c>
      <c r="L49" s="4">
        <v>3</v>
      </c>
      <c r="M49" s="4">
        <v>5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 t="s">
        <v>41</v>
      </c>
      <c r="U49" s="4" t="s">
        <v>41</v>
      </c>
      <c r="V49" s="4" t="s">
        <v>42</v>
      </c>
      <c r="W49" s="4" t="s">
        <v>53</v>
      </c>
      <c r="X49" s="38">
        <f t="shared" si="1"/>
        <v>0</v>
      </c>
    </row>
    <row r="50" spans="1:24" x14ac:dyDescent="0.2">
      <c r="A50" s="14">
        <v>45891.986594560192</v>
      </c>
      <c r="B50" s="4" t="s">
        <v>22</v>
      </c>
      <c r="C50" s="4" t="s">
        <v>25</v>
      </c>
      <c r="D50" s="4" t="s">
        <v>39</v>
      </c>
      <c r="E50" s="4" t="s">
        <v>42</v>
      </c>
      <c r="F50" s="4"/>
      <c r="G50" s="4" t="s">
        <v>47</v>
      </c>
      <c r="H50" s="4">
        <v>4</v>
      </c>
      <c r="I50" s="4">
        <v>4</v>
      </c>
      <c r="J50" s="4">
        <v>3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3</v>
      </c>
      <c r="Q50" s="4">
        <v>4</v>
      </c>
      <c r="R50" s="4">
        <v>3</v>
      </c>
      <c r="S50" s="4">
        <v>2</v>
      </c>
      <c r="T50" s="4" t="s">
        <v>49</v>
      </c>
      <c r="U50" s="4" t="s">
        <v>42</v>
      </c>
      <c r="V50" s="4" t="s">
        <v>42</v>
      </c>
      <c r="W50" s="4" t="s">
        <v>51</v>
      </c>
      <c r="X50" s="38">
        <f t="shared" si="1"/>
        <v>1</v>
      </c>
    </row>
    <row r="51" spans="1:24" x14ac:dyDescent="0.2">
      <c r="A51" s="14">
        <v>45891.98951097222</v>
      </c>
      <c r="B51" s="4" t="s">
        <v>22</v>
      </c>
      <c r="C51" s="4" t="s">
        <v>26</v>
      </c>
      <c r="D51" s="4" t="s">
        <v>31</v>
      </c>
      <c r="E51" s="4" t="s">
        <v>41</v>
      </c>
      <c r="F51" s="4" t="s">
        <v>43</v>
      </c>
      <c r="G51" s="4" t="s">
        <v>46</v>
      </c>
      <c r="H51" s="4">
        <v>5</v>
      </c>
      <c r="I51" s="4">
        <v>5</v>
      </c>
      <c r="J51" s="4">
        <v>4</v>
      </c>
      <c r="K51" s="4">
        <v>4</v>
      </c>
      <c r="L51" s="4">
        <v>4</v>
      </c>
      <c r="M51" s="4">
        <v>3</v>
      </c>
      <c r="N51" s="4">
        <v>3</v>
      </c>
      <c r="O51" s="4">
        <v>2</v>
      </c>
      <c r="P51" s="4">
        <v>2</v>
      </c>
      <c r="Q51" s="4">
        <v>4</v>
      </c>
      <c r="R51" s="4">
        <v>4</v>
      </c>
      <c r="S51" s="4">
        <v>3</v>
      </c>
      <c r="T51" s="4" t="s">
        <v>49</v>
      </c>
      <c r="U51" s="4" t="s">
        <v>42</v>
      </c>
      <c r="V51" s="4" t="s">
        <v>41</v>
      </c>
      <c r="W51" s="4" t="s">
        <v>53</v>
      </c>
      <c r="X51" s="38">
        <f t="shared" si="1"/>
        <v>0</v>
      </c>
    </row>
    <row r="52" spans="1:24" x14ac:dyDescent="0.2">
      <c r="A52" s="14">
        <v>45892.051687696759</v>
      </c>
      <c r="B52" s="4" t="s">
        <v>23</v>
      </c>
      <c r="C52" s="4" t="s">
        <v>26</v>
      </c>
      <c r="D52" s="4" t="s">
        <v>36</v>
      </c>
      <c r="E52" s="4" t="s">
        <v>42</v>
      </c>
      <c r="F52" s="4"/>
      <c r="G52" s="4" t="s">
        <v>48</v>
      </c>
      <c r="H52" s="4">
        <v>3</v>
      </c>
      <c r="I52" s="4">
        <v>4</v>
      </c>
      <c r="J52" s="4">
        <v>3</v>
      </c>
      <c r="K52" s="4">
        <v>3</v>
      </c>
      <c r="L52" s="4">
        <v>3</v>
      </c>
      <c r="M52" s="4">
        <v>1</v>
      </c>
      <c r="N52" s="4">
        <v>1</v>
      </c>
      <c r="O52" s="4">
        <v>1</v>
      </c>
      <c r="P52" s="4">
        <v>1</v>
      </c>
      <c r="Q52" s="4">
        <v>3</v>
      </c>
      <c r="R52" s="4">
        <v>5</v>
      </c>
      <c r="S52" s="4">
        <v>3</v>
      </c>
      <c r="T52" s="4" t="s">
        <v>49</v>
      </c>
      <c r="U52" s="4" t="s">
        <v>42</v>
      </c>
      <c r="V52" s="4" t="s">
        <v>42</v>
      </c>
      <c r="W52" s="4" t="s">
        <v>51</v>
      </c>
      <c r="X52" s="38">
        <f t="shared" si="1"/>
        <v>1</v>
      </c>
    </row>
    <row r="53" spans="1:24" x14ac:dyDescent="0.2">
      <c r="A53" s="14">
        <v>45892.11829395833</v>
      </c>
      <c r="B53" s="4" t="s">
        <v>22</v>
      </c>
      <c r="C53" s="4" t="s">
        <v>25</v>
      </c>
      <c r="D53" s="4" t="s">
        <v>31</v>
      </c>
      <c r="E53" s="4" t="s">
        <v>42</v>
      </c>
      <c r="F53" s="4"/>
      <c r="G53" s="4" t="s">
        <v>48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1</v>
      </c>
      <c r="P53" s="4">
        <v>1</v>
      </c>
      <c r="Q53" s="4">
        <v>1</v>
      </c>
      <c r="R53" s="4">
        <v>2</v>
      </c>
      <c r="S53" s="4">
        <v>4</v>
      </c>
      <c r="T53" s="4" t="s">
        <v>49</v>
      </c>
      <c r="U53" s="4" t="s">
        <v>42</v>
      </c>
      <c r="V53" s="4" t="s">
        <v>42</v>
      </c>
      <c r="W53" s="4" t="s">
        <v>53</v>
      </c>
      <c r="X53" s="38">
        <f t="shared" si="1"/>
        <v>0</v>
      </c>
    </row>
    <row r="54" spans="1:24" x14ac:dyDescent="0.2">
      <c r="A54" s="14">
        <v>45892.201200011572</v>
      </c>
      <c r="B54" s="4" t="s">
        <v>23</v>
      </c>
      <c r="C54" s="4" t="s">
        <v>25</v>
      </c>
      <c r="D54" s="4" t="s">
        <v>31</v>
      </c>
      <c r="E54" s="4" t="s">
        <v>41</v>
      </c>
      <c r="F54" s="4" t="s">
        <v>43</v>
      </c>
      <c r="G54" s="4" t="s">
        <v>46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2</v>
      </c>
      <c r="N54" s="4">
        <v>1</v>
      </c>
      <c r="O54" s="4">
        <v>2</v>
      </c>
      <c r="P54" s="4">
        <v>1</v>
      </c>
      <c r="Q54" s="4">
        <v>5</v>
      </c>
      <c r="R54" s="4">
        <v>5</v>
      </c>
      <c r="S54" s="4">
        <v>4</v>
      </c>
      <c r="T54" s="4" t="s">
        <v>41</v>
      </c>
      <c r="U54" s="4" t="s">
        <v>41</v>
      </c>
      <c r="V54" s="4" t="s">
        <v>41</v>
      </c>
      <c r="W54" s="4" t="s">
        <v>53</v>
      </c>
      <c r="X54" s="38">
        <f t="shared" si="1"/>
        <v>0</v>
      </c>
    </row>
    <row r="55" spans="1:24" x14ac:dyDescent="0.2">
      <c r="A55" s="14">
        <v>45892.386087094907</v>
      </c>
      <c r="B55" s="4" t="s">
        <v>22</v>
      </c>
      <c r="C55" s="4" t="s">
        <v>26</v>
      </c>
      <c r="D55" s="4" t="s">
        <v>37</v>
      </c>
      <c r="E55" s="4" t="s">
        <v>42</v>
      </c>
      <c r="F55" s="4"/>
      <c r="G55" s="4" t="s">
        <v>48</v>
      </c>
      <c r="H55" s="4">
        <v>3</v>
      </c>
      <c r="I55" s="4">
        <v>3</v>
      </c>
      <c r="J55" s="4">
        <v>3</v>
      </c>
      <c r="K55" s="4">
        <v>2</v>
      </c>
      <c r="L55" s="4">
        <v>3</v>
      </c>
      <c r="M55" s="4">
        <v>1</v>
      </c>
      <c r="N55" s="4">
        <v>1</v>
      </c>
      <c r="O55" s="4">
        <v>1</v>
      </c>
      <c r="P55" s="4">
        <v>1</v>
      </c>
      <c r="Q55" s="4">
        <v>5</v>
      </c>
      <c r="R55" s="4">
        <v>5</v>
      </c>
      <c r="S55" s="4">
        <v>1</v>
      </c>
      <c r="T55" s="4" t="s">
        <v>49</v>
      </c>
      <c r="U55" s="4" t="s">
        <v>42</v>
      </c>
      <c r="V55" s="4" t="s">
        <v>42</v>
      </c>
      <c r="W55" s="4" t="s">
        <v>51</v>
      </c>
      <c r="X55" s="38">
        <f t="shared" si="1"/>
        <v>1</v>
      </c>
    </row>
    <row r="56" spans="1:24" x14ac:dyDescent="0.2">
      <c r="A56" s="14">
        <v>45892.390330833332</v>
      </c>
      <c r="B56" s="4" t="s">
        <v>23</v>
      </c>
      <c r="C56" s="4" t="s">
        <v>25</v>
      </c>
      <c r="D56" s="4" t="s">
        <v>38</v>
      </c>
      <c r="E56" s="4" t="s">
        <v>42</v>
      </c>
      <c r="F56" s="4"/>
      <c r="G56" s="4" t="s">
        <v>48</v>
      </c>
      <c r="H56" s="4">
        <v>3</v>
      </c>
      <c r="I56" s="4">
        <v>3</v>
      </c>
      <c r="J56" s="4">
        <v>3</v>
      </c>
      <c r="K56" s="4">
        <v>2</v>
      </c>
      <c r="L56" s="4">
        <v>3</v>
      </c>
      <c r="M56" s="4">
        <v>1</v>
      </c>
      <c r="N56" s="4">
        <v>1</v>
      </c>
      <c r="O56" s="4">
        <v>1</v>
      </c>
      <c r="P56" s="4">
        <v>3</v>
      </c>
      <c r="Q56" s="4">
        <v>2</v>
      </c>
      <c r="R56" s="4">
        <v>4</v>
      </c>
      <c r="S56" s="4">
        <v>1</v>
      </c>
      <c r="T56" s="4" t="s">
        <v>49</v>
      </c>
      <c r="U56" s="4" t="s">
        <v>42</v>
      </c>
      <c r="V56" s="4" t="s">
        <v>42</v>
      </c>
      <c r="W56" s="4" t="s">
        <v>51</v>
      </c>
      <c r="X56" s="38">
        <f t="shared" si="1"/>
        <v>1</v>
      </c>
    </row>
    <row r="57" spans="1:24" x14ac:dyDescent="0.2">
      <c r="A57" s="14">
        <v>45892.47872983796</v>
      </c>
      <c r="B57" s="4" t="s">
        <v>23</v>
      </c>
      <c r="C57" s="4" t="s">
        <v>25</v>
      </c>
      <c r="D57" s="4" t="s">
        <v>38</v>
      </c>
      <c r="E57" s="4" t="s">
        <v>42</v>
      </c>
      <c r="F57" s="4"/>
      <c r="G57" s="4" t="s">
        <v>48</v>
      </c>
      <c r="H57" s="4">
        <v>2</v>
      </c>
      <c r="I57" s="4">
        <v>3</v>
      </c>
      <c r="J57" s="4">
        <v>3</v>
      </c>
      <c r="K57" s="4">
        <v>1</v>
      </c>
      <c r="L57" s="4">
        <v>3</v>
      </c>
      <c r="M57" s="4">
        <v>4</v>
      </c>
      <c r="N57" s="4">
        <v>4</v>
      </c>
      <c r="O57" s="4">
        <v>3</v>
      </c>
      <c r="P57" s="4">
        <v>3</v>
      </c>
      <c r="Q57" s="4">
        <v>2</v>
      </c>
      <c r="R57" s="4">
        <v>2</v>
      </c>
      <c r="S57" s="4">
        <v>3</v>
      </c>
      <c r="T57" s="4" t="s">
        <v>41</v>
      </c>
      <c r="U57" s="4" t="s">
        <v>41</v>
      </c>
      <c r="V57" s="4" t="s">
        <v>42</v>
      </c>
      <c r="W57" s="4" t="s">
        <v>50</v>
      </c>
      <c r="X57" s="38">
        <f t="shared" si="1"/>
        <v>0</v>
      </c>
    </row>
    <row r="58" spans="1:24" x14ac:dyDescent="0.2">
      <c r="A58" s="14">
        <v>45892.487979490739</v>
      </c>
      <c r="B58" s="4" t="s">
        <v>23</v>
      </c>
      <c r="C58" s="4" t="s">
        <v>26</v>
      </c>
      <c r="D58" s="4" t="s">
        <v>28</v>
      </c>
      <c r="E58" s="4" t="s">
        <v>42</v>
      </c>
      <c r="F58" s="4"/>
      <c r="G58" s="4" t="s">
        <v>48</v>
      </c>
      <c r="H58" s="4">
        <v>2</v>
      </c>
      <c r="I58" s="4">
        <v>1</v>
      </c>
      <c r="J58" s="4">
        <v>2</v>
      </c>
      <c r="K58" s="4">
        <v>1</v>
      </c>
      <c r="L58" s="4">
        <v>1</v>
      </c>
      <c r="M58" s="4">
        <v>3</v>
      </c>
      <c r="N58" s="4">
        <v>3</v>
      </c>
      <c r="O58" s="4">
        <v>3</v>
      </c>
      <c r="P58" s="4">
        <v>4</v>
      </c>
      <c r="Q58" s="4">
        <v>5</v>
      </c>
      <c r="R58" s="4">
        <v>5</v>
      </c>
      <c r="S58" s="4">
        <v>3</v>
      </c>
      <c r="T58" s="4" t="s">
        <v>41</v>
      </c>
      <c r="U58" s="4" t="s">
        <v>41</v>
      </c>
      <c r="V58" s="4" t="s">
        <v>41</v>
      </c>
      <c r="W58" s="4" t="s">
        <v>51</v>
      </c>
      <c r="X58" s="38">
        <f t="shared" si="1"/>
        <v>1</v>
      </c>
    </row>
    <row r="59" spans="1:24" x14ac:dyDescent="0.2">
      <c r="A59" s="14">
        <v>45892.498443472221</v>
      </c>
      <c r="B59" s="4" t="s">
        <v>23</v>
      </c>
      <c r="C59" s="4" t="s">
        <v>25</v>
      </c>
      <c r="D59" s="4" t="s">
        <v>38</v>
      </c>
      <c r="E59" s="4" t="s">
        <v>41</v>
      </c>
      <c r="F59" s="4" t="s">
        <v>43</v>
      </c>
      <c r="G59" s="4" t="s">
        <v>46</v>
      </c>
      <c r="H59" s="4">
        <v>5</v>
      </c>
      <c r="I59" s="4">
        <v>4</v>
      </c>
      <c r="J59" s="4">
        <v>4</v>
      </c>
      <c r="K59" s="4">
        <v>4</v>
      </c>
      <c r="L59" s="4">
        <v>4</v>
      </c>
      <c r="M59" s="4">
        <v>5</v>
      </c>
      <c r="N59" s="4">
        <v>4</v>
      </c>
      <c r="O59" s="4">
        <v>3</v>
      </c>
      <c r="P59" s="4">
        <v>4</v>
      </c>
      <c r="Q59" s="4">
        <v>5</v>
      </c>
      <c r="R59" s="4">
        <v>4</v>
      </c>
      <c r="S59" s="4">
        <v>4</v>
      </c>
      <c r="T59" s="4" t="s">
        <v>41</v>
      </c>
      <c r="U59" s="4" t="s">
        <v>42</v>
      </c>
      <c r="V59" s="4" t="s">
        <v>42</v>
      </c>
      <c r="W59" s="4" t="s">
        <v>52</v>
      </c>
      <c r="X59" s="38">
        <f t="shared" si="1"/>
        <v>0</v>
      </c>
    </row>
    <row r="60" spans="1:24" x14ac:dyDescent="0.2">
      <c r="A60" s="14">
        <v>45892.502715543982</v>
      </c>
      <c r="B60" s="4" t="s">
        <v>23</v>
      </c>
      <c r="C60" s="4" t="s">
        <v>25</v>
      </c>
      <c r="D60" s="4" t="s">
        <v>38</v>
      </c>
      <c r="E60" s="4" t="s">
        <v>42</v>
      </c>
      <c r="F60" s="4"/>
      <c r="G60" s="4" t="s">
        <v>48</v>
      </c>
      <c r="H60" s="4">
        <v>2</v>
      </c>
      <c r="I60" s="4">
        <v>1</v>
      </c>
      <c r="J60" s="4">
        <v>2</v>
      </c>
      <c r="K60" s="4">
        <v>1</v>
      </c>
      <c r="L60" s="4">
        <v>1</v>
      </c>
      <c r="M60" s="4">
        <v>2</v>
      </c>
      <c r="N60" s="4">
        <v>3</v>
      </c>
      <c r="O60" s="4">
        <v>2</v>
      </c>
      <c r="P60" s="4">
        <v>2</v>
      </c>
      <c r="Q60" s="4">
        <v>5</v>
      </c>
      <c r="R60" s="4">
        <v>4</v>
      </c>
      <c r="S60" s="4">
        <v>4</v>
      </c>
      <c r="T60" s="4" t="s">
        <v>41</v>
      </c>
      <c r="U60" s="4" t="s">
        <v>41</v>
      </c>
      <c r="V60" s="4" t="s">
        <v>42</v>
      </c>
      <c r="W60" s="4" t="s">
        <v>51</v>
      </c>
      <c r="X60" s="38">
        <f t="shared" si="1"/>
        <v>1</v>
      </c>
    </row>
    <row r="61" spans="1:24" x14ac:dyDescent="0.2">
      <c r="A61" s="14">
        <v>45892.512201168982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1</v>
      </c>
      <c r="I61" s="4">
        <v>2</v>
      </c>
      <c r="J61" s="4">
        <v>2</v>
      </c>
      <c r="K61" s="4">
        <v>1</v>
      </c>
      <c r="L61" s="4">
        <v>2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5</v>
      </c>
      <c r="S61" s="4">
        <v>1</v>
      </c>
      <c r="T61" s="4" t="s">
        <v>49</v>
      </c>
      <c r="U61" s="4" t="s">
        <v>42</v>
      </c>
      <c r="V61" s="4" t="s">
        <v>42</v>
      </c>
      <c r="W61" s="4" t="s">
        <v>51</v>
      </c>
      <c r="X61" s="38">
        <f t="shared" si="1"/>
        <v>1</v>
      </c>
    </row>
    <row r="62" spans="1:24" x14ac:dyDescent="0.2">
      <c r="A62" s="14">
        <v>45892.517056898148</v>
      </c>
      <c r="B62" s="4" t="s">
        <v>23</v>
      </c>
      <c r="C62" s="4" t="s">
        <v>26</v>
      </c>
      <c r="D62" s="4" t="s">
        <v>30</v>
      </c>
      <c r="E62" s="4" t="s">
        <v>42</v>
      </c>
      <c r="F62" s="4"/>
      <c r="G62" s="4" t="s">
        <v>48</v>
      </c>
      <c r="H62" s="4">
        <v>1</v>
      </c>
      <c r="I62" s="4">
        <v>2</v>
      </c>
      <c r="J62" s="4">
        <v>2</v>
      </c>
      <c r="K62" s="4">
        <v>1</v>
      </c>
      <c r="L62" s="4">
        <v>2</v>
      </c>
      <c r="M62" s="4">
        <v>1</v>
      </c>
      <c r="N62" s="4">
        <v>1</v>
      </c>
      <c r="O62" s="4">
        <v>5</v>
      </c>
      <c r="P62" s="4">
        <v>3</v>
      </c>
      <c r="Q62" s="4">
        <v>5</v>
      </c>
      <c r="R62" s="4">
        <v>4</v>
      </c>
      <c r="S62" s="4">
        <v>1</v>
      </c>
      <c r="T62" s="4" t="s">
        <v>49</v>
      </c>
      <c r="U62" s="4" t="s">
        <v>42</v>
      </c>
      <c r="V62" s="4" t="s">
        <v>42</v>
      </c>
      <c r="W62" s="4" t="s">
        <v>51</v>
      </c>
      <c r="X62" s="38">
        <f t="shared" si="1"/>
        <v>1</v>
      </c>
    </row>
    <row r="63" spans="1:24" x14ac:dyDescent="0.2">
      <c r="A63" s="14">
        <v>45892.547655798611</v>
      </c>
      <c r="B63" s="4" t="s">
        <v>23</v>
      </c>
      <c r="C63" s="4" t="s">
        <v>25</v>
      </c>
      <c r="D63" s="4" t="s">
        <v>38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4</v>
      </c>
      <c r="N63" s="4">
        <v>4</v>
      </c>
      <c r="O63" s="4">
        <v>4</v>
      </c>
      <c r="P63" s="4">
        <v>3</v>
      </c>
      <c r="Q63" s="4">
        <v>5</v>
      </c>
      <c r="R63" s="4">
        <v>5</v>
      </c>
      <c r="S63" s="4">
        <v>3</v>
      </c>
      <c r="T63" s="4" t="s">
        <v>42</v>
      </c>
      <c r="U63" s="4" t="s">
        <v>42</v>
      </c>
      <c r="V63" s="4" t="s">
        <v>42</v>
      </c>
      <c r="W63" s="4" t="s">
        <v>53</v>
      </c>
      <c r="X63" s="38">
        <f t="shared" si="1"/>
        <v>0</v>
      </c>
    </row>
    <row r="64" spans="1:24" x14ac:dyDescent="0.2">
      <c r="A64" s="14">
        <v>45892.592065439807</v>
      </c>
      <c r="B64" s="4" t="s">
        <v>23</v>
      </c>
      <c r="C64" s="4" t="s">
        <v>26</v>
      </c>
      <c r="D64" s="4" t="s">
        <v>30</v>
      </c>
      <c r="E64" s="4" t="s">
        <v>42</v>
      </c>
      <c r="F64" s="4"/>
      <c r="G64" s="4" t="s">
        <v>48</v>
      </c>
      <c r="H64" s="4">
        <v>2</v>
      </c>
      <c r="I64" s="4">
        <v>3</v>
      </c>
      <c r="J64" s="4">
        <v>2</v>
      </c>
      <c r="K64" s="4">
        <v>1</v>
      </c>
      <c r="L64" s="4">
        <v>4</v>
      </c>
      <c r="M64" s="4">
        <v>1</v>
      </c>
      <c r="N64" s="4">
        <v>1</v>
      </c>
      <c r="O64" s="4">
        <v>5</v>
      </c>
      <c r="P64" s="4">
        <v>4</v>
      </c>
      <c r="Q64" s="4">
        <v>5</v>
      </c>
      <c r="R64" s="4">
        <v>5</v>
      </c>
      <c r="S64" s="4">
        <v>1</v>
      </c>
      <c r="T64" s="4" t="s">
        <v>42</v>
      </c>
      <c r="U64" s="4" t="s">
        <v>41</v>
      </c>
      <c r="V64" s="4" t="s">
        <v>41</v>
      </c>
      <c r="W64" s="4" t="s">
        <v>50</v>
      </c>
      <c r="X64" s="38">
        <f t="shared" si="1"/>
        <v>0</v>
      </c>
    </row>
    <row r="65" spans="1:24" x14ac:dyDescent="0.2">
      <c r="A65" s="14">
        <v>45892.599900474539</v>
      </c>
      <c r="B65" s="4" t="s">
        <v>22</v>
      </c>
      <c r="C65" s="4" t="s">
        <v>25</v>
      </c>
      <c r="D65" s="4" t="s">
        <v>38</v>
      </c>
      <c r="E65" s="4" t="s">
        <v>42</v>
      </c>
      <c r="F65" s="4"/>
      <c r="G65" s="4" t="s">
        <v>46</v>
      </c>
      <c r="H65" s="4">
        <v>5</v>
      </c>
      <c r="I65" s="4">
        <v>5</v>
      </c>
      <c r="J65" s="4">
        <v>4</v>
      </c>
      <c r="K65" s="4">
        <v>5</v>
      </c>
      <c r="L65" s="4">
        <v>4</v>
      </c>
      <c r="M65" s="4">
        <v>3</v>
      </c>
      <c r="N65" s="4">
        <v>3</v>
      </c>
      <c r="O65" s="4">
        <v>3</v>
      </c>
      <c r="P65" s="4">
        <v>2</v>
      </c>
      <c r="Q65" s="4">
        <v>4</v>
      </c>
      <c r="R65" s="4">
        <v>3</v>
      </c>
      <c r="S65" s="4">
        <v>3</v>
      </c>
      <c r="T65" s="4" t="s">
        <v>42</v>
      </c>
      <c r="U65" s="4" t="s">
        <v>42</v>
      </c>
      <c r="V65" s="4" t="s">
        <v>42</v>
      </c>
      <c r="W65" s="4" t="s">
        <v>51</v>
      </c>
      <c r="X65" s="38">
        <f t="shared" si="1"/>
        <v>1</v>
      </c>
    </row>
    <row r="66" spans="1:24" x14ac:dyDescent="0.2">
      <c r="A66" s="14">
        <v>45892.642975937502</v>
      </c>
      <c r="B66" s="4" t="s">
        <v>23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3</v>
      </c>
      <c r="N66" s="4">
        <v>3</v>
      </c>
      <c r="O66" s="4">
        <v>3</v>
      </c>
      <c r="P66" s="4">
        <v>3</v>
      </c>
      <c r="Q66" s="4">
        <v>4</v>
      </c>
      <c r="R66" s="4">
        <v>4</v>
      </c>
      <c r="S66" s="4">
        <v>4</v>
      </c>
      <c r="T66" s="4" t="s">
        <v>41</v>
      </c>
      <c r="U66" s="4" t="s">
        <v>41</v>
      </c>
      <c r="V66" s="4" t="s">
        <v>41</v>
      </c>
      <c r="W66" s="4" t="s">
        <v>52</v>
      </c>
      <c r="X66" s="38">
        <f t="shared" ref="X66:X97" si="2">IF(EXACT(TRIM(CLEAN(W66)),"Pay the full $200 at once."),1,0)</f>
        <v>0</v>
      </c>
    </row>
    <row r="67" spans="1:24" x14ac:dyDescent="0.2">
      <c r="A67" s="14">
        <v>45892.650796284717</v>
      </c>
      <c r="B67" s="4" t="s">
        <v>23</v>
      </c>
      <c r="C67" s="4" t="s">
        <v>26</v>
      </c>
      <c r="D67" s="4" t="s">
        <v>38</v>
      </c>
      <c r="E67" s="4" t="s">
        <v>42</v>
      </c>
      <c r="F67" s="4"/>
      <c r="G67" s="4" t="s">
        <v>47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 t="s">
        <v>42</v>
      </c>
      <c r="U67" s="4" t="s">
        <v>42</v>
      </c>
      <c r="V67" s="4" t="s">
        <v>42</v>
      </c>
      <c r="W67" s="4" t="s">
        <v>51</v>
      </c>
      <c r="X67" s="38">
        <f t="shared" si="2"/>
        <v>1</v>
      </c>
    </row>
    <row r="68" spans="1:24" x14ac:dyDescent="0.2">
      <c r="A68" s="14">
        <v>45892.720454062503</v>
      </c>
      <c r="B68" s="4" t="s">
        <v>23</v>
      </c>
      <c r="C68" s="4" t="s">
        <v>25</v>
      </c>
      <c r="D68" s="4" t="s">
        <v>31</v>
      </c>
      <c r="E68" s="4" t="s">
        <v>41</v>
      </c>
      <c r="F68" s="4" t="s">
        <v>43</v>
      </c>
      <c r="G68" s="4" t="s">
        <v>46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3</v>
      </c>
      <c r="N68" s="4">
        <v>3</v>
      </c>
      <c r="O68" s="4">
        <v>3</v>
      </c>
      <c r="P68" s="4">
        <v>3</v>
      </c>
      <c r="Q68" s="4">
        <v>2</v>
      </c>
      <c r="R68" s="4">
        <v>1</v>
      </c>
      <c r="S68" s="4">
        <v>3</v>
      </c>
      <c r="T68" s="4" t="s">
        <v>42</v>
      </c>
      <c r="U68" s="4" t="s">
        <v>42</v>
      </c>
      <c r="V68" s="4" t="s">
        <v>42</v>
      </c>
      <c r="W68" s="4" t="s">
        <v>53</v>
      </c>
      <c r="X68" s="38">
        <f t="shared" si="2"/>
        <v>0</v>
      </c>
    </row>
    <row r="69" spans="1:24" x14ac:dyDescent="0.2">
      <c r="A69" s="14">
        <v>45892.733673784722</v>
      </c>
      <c r="B69" s="4" t="s">
        <v>22</v>
      </c>
      <c r="C69" s="4" t="s">
        <v>26</v>
      </c>
      <c r="D69" s="4" t="s">
        <v>31</v>
      </c>
      <c r="E69" s="4" t="s">
        <v>42</v>
      </c>
      <c r="F69" s="4"/>
      <c r="G69" s="4" t="s">
        <v>46</v>
      </c>
      <c r="H69" s="4">
        <v>5</v>
      </c>
      <c r="I69" s="4">
        <v>5</v>
      </c>
      <c r="J69" s="4">
        <v>5</v>
      </c>
      <c r="K69" s="4">
        <v>5</v>
      </c>
      <c r="L69" s="4">
        <v>5</v>
      </c>
      <c r="M69" s="4">
        <v>1</v>
      </c>
      <c r="N69" s="4">
        <v>1</v>
      </c>
      <c r="O69" s="4">
        <v>1</v>
      </c>
      <c r="P69" s="4">
        <v>3</v>
      </c>
      <c r="Q69" s="4">
        <v>2</v>
      </c>
      <c r="R69" s="4">
        <v>4</v>
      </c>
      <c r="S69" s="4">
        <v>3</v>
      </c>
      <c r="T69" s="4" t="s">
        <v>41</v>
      </c>
      <c r="U69" s="4" t="s">
        <v>41</v>
      </c>
      <c r="V69" s="4" t="s">
        <v>41</v>
      </c>
      <c r="W69" s="4" t="s">
        <v>53</v>
      </c>
      <c r="X69" s="38">
        <f t="shared" si="2"/>
        <v>0</v>
      </c>
    </row>
    <row r="70" spans="1:24" x14ac:dyDescent="0.2">
      <c r="A70" s="14">
        <v>45892.749489340284</v>
      </c>
      <c r="B70" s="4" t="s">
        <v>22</v>
      </c>
      <c r="C70" s="4" t="s">
        <v>25</v>
      </c>
      <c r="D70" s="4" t="s">
        <v>31</v>
      </c>
      <c r="E70" s="4" t="s">
        <v>41</v>
      </c>
      <c r="F70" s="4" t="s">
        <v>43</v>
      </c>
      <c r="G70" s="4" t="s">
        <v>46</v>
      </c>
      <c r="H70" s="4">
        <v>5</v>
      </c>
      <c r="I70" s="4">
        <v>5</v>
      </c>
      <c r="J70" s="4">
        <v>3</v>
      </c>
      <c r="K70" s="4">
        <v>5</v>
      </c>
      <c r="L70" s="4">
        <v>3</v>
      </c>
      <c r="M70" s="4">
        <v>1</v>
      </c>
      <c r="N70" s="4">
        <v>1</v>
      </c>
      <c r="O70" s="4">
        <v>1</v>
      </c>
      <c r="P70" s="4">
        <v>1</v>
      </c>
      <c r="Q70" s="4">
        <v>3</v>
      </c>
      <c r="R70" s="4">
        <v>1</v>
      </c>
      <c r="S70" s="4">
        <v>3</v>
      </c>
      <c r="T70" s="4" t="s">
        <v>41</v>
      </c>
      <c r="U70" s="4" t="s">
        <v>41</v>
      </c>
      <c r="V70" s="4" t="s">
        <v>41</v>
      </c>
      <c r="W70" s="4" t="s">
        <v>53</v>
      </c>
      <c r="X70" s="38">
        <f t="shared" si="2"/>
        <v>0</v>
      </c>
    </row>
    <row r="71" spans="1:24" x14ac:dyDescent="0.2">
      <c r="A71" s="14">
        <v>45892.764577835653</v>
      </c>
      <c r="B71" s="4" t="s">
        <v>22</v>
      </c>
      <c r="C71" s="4" t="s">
        <v>25</v>
      </c>
      <c r="D71" s="4" t="s">
        <v>31</v>
      </c>
      <c r="E71" s="4" t="s">
        <v>42</v>
      </c>
      <c r="F71" s="4"/>
      <c r="G71" s="4" t="s">
        <v>48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 t="s">
        <v>41</v>
      </c>
      <c r="U71" s="4" t="s">
        <v>41</v>
      </c>
      <c r="V71" s="4" t="s">
        <v>41</v>
      </c>
      <c r="W71" s="4" t="s">
        <v>51</v>
      </c>
      <c r="X71" s="38">
        <f t="shared" si="2"/>
        <v>1</v>
      </c>
    </row>
    <row r="72" spans="1:24" x14ac:dyDescent="0.2">
      <c r="A72" s="14">
        <v>45892.86290763889</v>
      </c>
      <c r="B72" s="4" t="s">
        <v>23</v>
      </c>
      <c r="C72" s="4" t="s">
        <v>25</v>
      </c>
      <c r="D72" s="4" t="s">
        <v>38</v>
      </c>
      <c r="E72" s="4" t="s">
        <v>42</v>
      </c>
      <c r="F72" s="4"/>
      <c r="G72" s="4" t="s">
        <v>46</v>
      </c>
      <c r="H72" s="4">
        <v>3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3</v>
      </c>
      <c r="Q72" s="4">
        <v>3</v>
      </c>
      <c r="R72" s="4">
        <v>4</v>
      </c>
      <c r="S72" s="4">
        <v>5</v>
      </c>
      <c r="T72" s="4" t="s">
        <v>41</v>
      </c>
      <c r="U72" s="4" t="s">
        <v>41</v>
      </c>
      <c r="V72" s="4" t="s">
        <v>41</v>
      </c>
      <c r="W72" s="4" t="s">
        <v>53</v>
      </c>
      <c r="X72" s="38">
        <f t="shared" si="2"/>
        <v>0</v>
      </c>
    </row>
    <row r="73" spans="1:24" x14ac:dyDescent="0.2">
      <c r="A73" s="14">
        <v>45892.868776469913</v>
      </c>
      <c r="B73" s="4" t="s">
        <v>23</v>
      </c>
      <c r="C73" s="4" t="s">
        <v>25</v>
      </c>
      <c r="D73" s="4" t="s">
        <v>38</v>
      </c>
      <c r="E73" s="4" t="s">
        <v>41</v>
      </c>
      <c r="F73" s="4" t="s">
        <v>44</v>
      </c>
      <c r="G73" s="4" t="s">
        <v>48</v>
      </c>
      <c r="H73" s="4">
        <v>4</v>
      </c>
      <c r="I73" s="4">
        <v>4</v>
      </c>
      <c r="J73" s="4">
        <v>5</v>
      </c>
      <c r="K73" s="4">
        <v>2</v>
      </c>
      <c r="L73" s="4">
        <v>4</v>
      </c>
      <c r="M73" s="4">
        <v>3</v>
      </c>
      <c r="N73" s="4">
        <v>3</v>
      </c>
      <c r="O73" s="4">
        <v>2</v>
      </c>
      <c r="P73" s="4">
        <v>2</v>
      </c>
      <c r="Q73" s="4">
        <v>2</v>
      </c>
      <c r="R73" s="4">
        <v>4</v>
      </c>
      <c r="S73" s="4">
        <v>1</v>
      </c>
      <c r="T73" s="4" t="s">
        <v>42</v>
      </c>
      <c r="U73" s="4" t="s">
        <v>41</v>
      </c>
      <c r="V73" s="4" t="s">
        <v>42</v>
      </c>
      <c r="W73" s="4" t="s">
        <v>52</v>
      </c>
      <c r="X73" s="38">
        <f t="shared" si="2"/>
        <v>0</v>
      </c>
    </row>
    <row r="74" spans="1:24" x14ac:dyDescent="0.2">
      <c r="A74" s="16">
        <v>45892.95815972222</v>
      </c>
      <c r="B74" s="17" t="s">
        <v>23</v>
      </c>
      <c r="C74" s="17" t="s">
        <v>25</v>
      </c>
      <c r="D74" s="4" t="s">
        <v>37</v>
      </c>
      <c r="E74" s="17" t="s">
        <v>42</v>
      </c>
      <c r="F74" s="15"/>
      <c r="G74" s="17" t="s">
        <v>48</v>
      </c>
      <c r="H74" s="17">
        <v>5</v>
      </c>
      <c r="I74" s="17">
        <v>5</v>
      </c>
      <c r="J74" s="17">
        <v>4</v>
      </c>
      <c r="K74" s="17">
        <v>5</v>
      </c>
      <c r="L74" s="17">
        <v>4</v>
      </c>
      <c r="M74" s="17">
        <v>1</v>
      </c>
      <c r="N74" s="17">
        <v>1</v>
      </c>
      <c r="O74" s="17">
        <v>1</v>
      </c>
      <c r="P74" s="17">
        <v>5</v>
      </c>
      <c r="Q74" s="17">
        <v>5</v>
      </c>
      <c r="R74" s="17">
        <v>5</v>
      </c>
      <c r="S74" s="17">
        <v>1</v>
      </c>
      <c r="T74" s="17" t="s">
        <v>42</v>
      </c>
      <c r="U74" s="17" t="s">
        <v>42</v>
      </c>
      <c r="V74" s="17" t="s">
        <v>42</v>
      </c>
      <c r="W74" s="17" t="s">
        <v>51</v>
      </c>
      <c r="X74" s="38">
        <f t="shared" si="2"/>
        <v>1</v>
      </c>
    </row>
    <row r="75" spans="1:24" x14ac:dyDescent="0.2">
      <c r="A75" s="16">
        <v>45893.841886574075</v>
      </c>
      <c r="B75" s="17" t="s">
        <v>23</v>
      </c>
      <c r="C75" s="17" t="s">
        <v>26</v>
      </c>
      <c r="D75" s="4" t="s">
        <v>29</v>
      </c>
      <c r="E75" s="17" t="s">
        <v>42</v>
      </c>
      <c r="F75" s="15"/>
      <c r="G75" s="17" t="s">
        <v>46</v>
      </c>
      <c r="H75" s="17">
        <v>3</v>
      </c>
      <c r="I75" s="17">
        <v>5</v>
      </c>
      <c r="J75" s="17">
        <v>5</v>
      </c>
      <c r="K75" s="17">
        <v>4</v>
      </c>
      <c r="L75" s="17">
        <v>4</v>
      </c>
      <c r="M75" s="17">
        <v>3</v>
      </c>
      <c r="N75" s="17">
        <v>3</v>
      </c>
      <c r="O75" s="17">
        <v>3</v>
      </c>
      <c r="P75" s="17">
        <v>3</v>
      </c>
      <c r="Q75" s="17">
        <v>1</v>
      </c>
      <c r="R75" s="17">
        <v>1</v>
      </c>
      <c r="S75" s="17">
        <v>4</v>
      </c>
      <c r="T75" s="17" t="s">
        <v>41</v>
      </c>
      <c r="U75" s="17" t="s">
        <v>42</v>
      </c>
      <c r="V75" s="17" t="s">
        <v>42</v>
      </c>
      <c r="W75" s="17" t="s">
        <v>51</v>
      </c>
      <c r="X75" s="38">
        <f t="shared" si="2"/>
        <v>1</v>
      </c>
    </row>
    <row r="76" spans="1:24" x14ac:dyDescent="0.2">
      <c r="A76" s="28">
        <v>45894.399872685186</v>
      </c>
      <c r="B76" s="17" t="s">
        <v>23</v>
      </c>
      <c r="C76" s="17" t="s">
        <v>26</v>
      </c>
      <c r="D76" s="4" t="s">
        <v>38</v>
      </c>
      <c r="E76" s="17" t="s">
        <v>41</v>
      </c>
      <c r="F76" s="17" t="s">
        <v>43</v>
      </c>
      <c r="G76" s="17" t="s">
        <v>47</v>
      </c>
      <c r="H76" s="17">
        <v>1</v>
      </c>
      <c r="I76" s="17">
        <v>1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1</v>
      </c>
      <c r="Q76" s="17">
        <v>1</v>
      </c>
      <c r="R76" s="17">
        <v>1</v>
      </c>
      <c r="S76" s="17">
        <v>1</v>
      </c>
      <c r="T76" s="17" t="s">
        <v>42</v>
      </c>
      <c r="U76" s="17" t="s">
        <v>42</v>
      </c>
      <c r="V76" s="17" t="s">
        <v>42</v>
      </c>
      <c r="W76" s="17" t="s">
        <v>50</v>
      </c>
      <c r="X76" s="38">
        <f t="shared" si="2"/>
        <v>0</v>
      </c>
    </row>
    <row r="77" spans="1:24" x14ac:dyDescent="0.2">
      <c r="A77" s="28">
        <v>45894.40042824074</v>
      </c>
      <c r="B77" s="17" t="s">
        <v>23</v>
      </c>
      <c r="C77" s="17" t="s">
        <v>26</v>
      </c>
      <c r="D77" s="4" t="s">
        <v>38</v>
      </c>
      <c r="E77" s="17" t="s">
        <v>41</v>
      </c>
      <c r="F77" s="17" t="s">
        <v>43</v>
      </c>
      <c r="G77" s="17" t="s">
        <v>46</v>
      </c>
      <c r="H77" s="17">
        <v>4</v>
      </c>
      <c r="I77" s="17">
        <v>4</v>
      </c>
      <c r="J77" s="17">
        <v>2</v>
      </c>
      <c r="K77" s="17">
        <v>4</v>
      </c>
      <c r="L77" s="17">
        <v>5</v>
      </c>
      <c r="M77" s="17">
        <v>5</v>
      </c>
      <c r="N77" s="17">
        <v>4</v>
      </c>
      <c r="O77" s="17">
        <v>4</v>
      </c>
      <c r="P77" s="17">
        <v>5</v>
      </c>
      <c r="Q77" s="17">
        <v>4</v>
      </c>
      <c r="R77" s="17">
        <v>4</v>
      </c>
      <c r="S77" s="17">
        <v>4</v>
      </c>
      <c r="T77" s="17" t="s">
        <v>41</v>
      </c>
      <c r="U77" s="17" t="s">
        <v>41</v>
      </c>
      <c r="V77" s="17" t="s">
        <v>42</v>
      </c>
      <c r="W77" s="17" t="s">
        <v>53</v>
      </c>
      <c r="X77" s="38">
        <f t="shared" si="2"/>
        <v>0</v>
      </c>
    </row>
    <row r="78" spans="1:24" x14ac:dyDescent="0.2">
      <c r="A78" s="28">
        <v>45894.403078703705</v>
      </c>
      <c r="B78" s="17" t="s">
        <v>23</v>
      </c>
      <c r="C78" s="17" t="s">
        <v>25</v>
      </c>
      <c r="D78" s="4" t="s">
        <v>38</v>
      </c>
      <c r="E78" s="17" t="s">
        <v>41</v>
      </c>
      <c r="F78" s="17" t="s">
        <v>44</v>
      </c>
      <c r="G78" s="17" t="s">
        <v>46</v>
      </c>
      <c r="H78" s="17">
        <v>5</v>
      </c>
      <c r="I78" s="17">
        <v>5</v>
      </c>
      <c r="J78" s="17">
        <v>5</v>
      </c>
      <c r="K78" s="17">
        <v>5</v>
      </c>
      <c r="L78" s="17">
        <v>5</v>
      </c>
      <c r="M78" s="17">
        <v>5</v>
      </c>
      <c r="N78" s="17">
        <v>4</v>
      </c>
      <c r="O78" s="17">
        <v>2</v>
      </c>
      <c r="P78" s="17">
        <v>3</v>
      </c>
      <c r="Q78" s="17">
        <v>4</v>
      </c>
      <c r="R78" s="17">
        <v>3</v>
      </c>
      <c r="S78" s="17">
        <v>4</v>
      </c>
      <c r="T78" s="17" t="s">
        <v>42</v>
      </c>
      <c r="U78" s="17" t="s">
        <v>41</v>
      </c>
      <c r="V78" s="17" t="s">
        <v>42</v>
      </c>
      <c r="W78" s="17" t="s">
        <v>53</v>
      </c>
      <c r="X78" s="38">
        <f t="shared" si="2"/>
        <v>0</v>
      </c>
    </row>
    <row r="79" spans="1:24" x14ac:dyDescent="0.2">
      <c r="A79" s="28">
        <v>45894.406145833331</v>
      </c>
      <c r="B79" s="17" t="s">
        <v>23</v>
      </c>
      <c r="C79" s="17" t="s">
        <v>26</v>
      </c>
      <c r="D79" s="4" t="s">
        <v>38</v>
      </c>
      <c r="E79" s="17" t="s">
        <v>42</v>
      </c>
      <c r="F79" s="15"/>
      <c r="G79" s="17" t="s">
        <v>47</v>
      </c>
      <c r="H79" s="17">
        <v>2</v>
      </c>
      <c r="I79" s="17">
        <v>2</v>
      </c>
      <c r="J79" s="17">
        <v>4</v>
      </c>
      <c r="K79" s="17">
        <v>2</v>
      </c>
      <c r="L79" s="17">
        <v>2</v>
      </c>
      <c r="M79" s="17">
        <v>1</v>
      </c>
      <c r="N79" s="17">
        <v>3</v>
      </c>
      <c r="O79" s="17">
        <v>1</v>
      </c>
      <c r="P79" s="17">
        <v>5</v>
      </c>
      <c r="Q79" s="17">
        <v>1</v>
      </c>
      <c r="R79" s="17">
        <v>1</v>
      </c>
      <c r="S79" s="17">
        <v>1</v>
      </c>
      <c r="T79" s="17" t="s">
        <v>42</v>
      </c>
      <c r="U79" s="17" t="s">
        <v>42</v>
      </c>
      <c r="V79" s="17" t="s">
        <v>42</v>
      </c>
      <c r="W79" s="17" t="s">
        <v>51</v>
      </c>
      <c r="X79" s="38">
        <f t="shared" si="2"/>
        <v>1</v>
      </c>
    </row>
    <row r="80" spans="1:24" x14ac:dyDescent="0.2">
      <c r="A80" s="28">
        <v>45894.422083333331</v>
      </c>
      <c r="B80" s="17" t="s">
        <v>23</v>
      </c>
      <c r="C80" s="17" t="s">
        <v>26</v>
      </c>
      <c r="D80" s="4" t="s">
        <v>38</v>
      </c>
      <c r="E80" s="17" t="s">
        <v>42</v>
      </c>
      <c r="F80" s="15"/>
      <c r="G80" s="17" t="s">
        <v>48</v>
      </c>
      <c r="H80" s="17">
        <v>3</v>
      </c>
      <c r="I80" s="17">
        <v>3</v>
      </c>
      <c r="J80" s="17">
        <v>4</v>
      </c>
      <c r="K80" s="17">
        <v>5</v>
      </c>
      <c r="L80" s="17">
        <v>5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5</v>
      </c>
      <c r="S80" s="17">
        <v>1</v>
      </c>
      <c r="T80" s="17" t="s">
        <v>42</v>
      </c>
      <c r="U80" s="17" t="s">
        <v>42</v>
      </c>
      <c r="V80" s="17" t="s">
        <v>42</v>
      </c>
      <c r="W80" s="17" t="s">
        <v>51</v>
      </c>
      <c r="X80" s="38">
        <f t="shared" si="2"/>
        <v>1</v>
      </c>
    </row>
    <row r="81" spans="1:24" x14ac:dyDescent="0.2">
      <c r="A81" s="28">
        <v>45894.423761574071</v>
      </c>
      <c r="B81" s="17" t="s">
        <v>22</v>
      </c>
      <c r="C81" s="17" t="s">
        <v>26</v>
      </c>
      <c r="D81" s="4" t="s">
        <v>38</v>
      </c>
      <c r="E81" s="17" t="s">
        <v>41</v>
      </c>
      <c r="F81" s="17" t="s">
        <v>43</v>
      </c>
      <c r="G81" s="17" t="s">
        <v>46</v>
      </c>
      <c r="H81" s="17">
        <v>5</v>
      </c>
      <c r="I81" s="17">
        <v>5</v>
      </c>
      <c r="J81" s="17">
        <v>4</v>
      </c>
      <c r="K81" s="17">
        <v>2</v>
      </c>
      <c r="L81" s="17">
        <v>3</v>
      </c>
      <c r="M81" s="17">
        <v>4</v>
      </c>
      <c r="N81" s="17">
        <v>4</v>
      </c>
      <c r="O81" s="17">
        <v>3</v>
      </c>
      <c r="P81" s="17">
        <v>1</v>
      </c>
      <c r="Q81" s="17">
        <v>3</v>
      </c>
      <c r="R81" s="17">
        <v>1</v>
      </c>
      <c r="S81" s="17">
        <v>5</v>
      </c>
      <c r="T81" s="17" t="s">
        <v>41</v>
      </c>
      <c r="U81" s="17" t="s">
        <v>42</v>
      </c>
      <c r="V81" s="17" t="s">
        <v>42</v>
      </c>
      <c r="W81" s="17" t="s">
        <v>50</v>
      </c>
      <c r="X81" s="38">
        <f t="shared" si="2"/>
        <v>0</v>
      </c>
    </row>
    <row r="82" spans="1:24" x14ac:dyDescent="0.2">
      <c r="A82" s="28">
        <v>45894.426793981482</v>
      </c>
      <c r="B82" s="17" t="s">
        <v>23</v>
      </c>
      <c r="C82" s="17" t="s">
        <v>25</v>
      </c>
      <c r="D82" s="4" t="s">
        <v>38</v>
      </c>
      <c r="E82" s="17" t="s">
        <v>42</v>
      </c>
      <c r="F82" s="15"/>
      <c r="G82" s="17" t="s">
        <v>46</v>
      </c>
      <c r="H82" s="17">
        <v>5</v>
      </c>
      <c r="I82" s="17">
        <v>5</v>
      </c>
      <c r="J82" s="17">
        <v>3</v>
      </c>
      <c r="K82" s="17">
        <v>5</v>
      </c>
      <c r="L82" s="17">
        <v>5</v>
      </c>
      <c r="M82" s="17">
        <v>4</v>
      </c>
      <c r="N82" s="17">
        <v>4</v>
      </c>
      <c r="O82" s="17">
        <v>3</v>
      </c>
      <c r="P82" s="17">
        <v>3</v>
      </c>
      <c r="Q82" s="17">
        <v>5</v>
      </c>
      <c r="R82" s="17">
        <v>5</v>
      </c>
      <c r="S82" s="17">
        <v>1</v>
      </c>
      <c r="T82" s="17" t="s">
        <v>42</v>
      </c>
      <c r="U82" s="17" t="s">
        <v>42</v>
      </c>
      <c r="V82" s="17" t="s">
        <v>42</v>
      </c>
      <c r="W82" s="17" t="s">
        <v>51</v>
      </c>
      <c r="X82" s="38">
        <f t="shared" si="2"/>
        <v>1</v>
      </c>
    </row>
    <row r="83" spans="1:24" x14ac:dyDescent="0.2">
      <c r="A83" s="28">
        <v>45894.430162037039</v>
      </c>
      <c r="B83" s="17" t="s">
        <v>22</v>
      </c>
      <c r="C83" s="17" t="s">
        <v>26</v>
      </c>
      <c r="D83" s="4" t="s">
        <v>38</v>
      </c>
      <c r="E83" s="17" t="s">
        <v>41</v>
      </c>
      <c r="F83" s="17" t="s">
        <v>44</v>
      </c>
      <c r="G83" s="17" t="s">
        <v>47</v>
      </c>
      <c r="H83" s="17">
        <v>3</v>
      </c>
      <c r="I83" s="17">
        <v>4</v>
      </c>
      <c r="J83" s="17">
        <v>3</v>
      </c>
      <c r="K83" s="17">
        <v>4</v>
      </c>
      <c r="L83" s="17">
        <v>4</v>
      </c>
      <c r="M83" s="17">
        <v>2</v>
      </c>
      <c r="N83" s="17">
        <v>2</v>
      </c>
      <c r="O83" s="17">
        <v>2</v>
      </c>
      <c r="P83" s="17">
        <v>2</v>
      </c>
      <c r="Q83" s="17">
        <v>2</v>
      </c>
      <c r="R83" s="17">
        <v>2</v>
      </c>
      <c r="S83" s="17">
        <v>5</v>
      </c>
      <c r="T83" s="17" t="s">
        <v>41</v>
      </c>
      <c r="U83" s="17" t="s">
        <v>41</v>
      </c>
      <c r="V83" s="17" t="s">
        <v>42</v>
      </c>
      <c r="W83" s="17" t="s">
        <v>51</v>
      </c>
      <c r="X83" s="38">
        <f t="shared" si="2"/>
        <v>1</v>
      </c>
    </row>
    <row r="84" spans="1:24" x14ac:dyDescent="0.2">
      <c r="A84" s="28">
        <v>45894.437962962962</v>
      </c>
      <c r="B84" s="17" t="s">
        <v>22</v>
      </c>
      <c r="C84" s="17" t="s">
        <v>26</v>
      </c>
      <c r="D84" s="4" t="s">
        <v>38</v>
      </c>
      <c r="E84" s="17" t="s">
        <v>41</v>
      </c>
      <c r="F84" s="17" t="s">
        <v>43</v>
      </c>
      <c r="G84" s="17" t="s">
        <v>48</v>
      </c>
      <c r="H84" s="17">
        <v>5</v>
      </c>
      <c r="I84" s="17">
        <v>5</v>
      </c>
      <c r="J84" s="17">
        <v>3</v>
      </c>
      <c r="K84" s="17">
        <v>1</v>
      </c>
      <c r="L84" s="17">
        <v>2</v>
      </c>
      <c r="M84" s="17">
        <v>2</v>
      </c>
      <c r="N84" s="17">
        <v>2</v>
      </c>
      <c r="O84" s="17">
        <v>2</v>
      </c>
      <c r="P84" s="17">
        <v>2</v>
      </c>
      <c r="Q84" s="17">
        <v>4</v>
      </c>
      <c r="R84" s="17">
        <v>3</v>
      </c>
      <c r="S84" s="17">
        <v>4</v>
      </c>
      <c r="T84" s="17" t="s">
        <v>42</v>
      </c>
      <c r="U84" s="17" t="s">
        <v>41</v>
      </c>
      <c r="V84" s="17" t="s">
        <v>42</v>
      </c>
      <c r="W84" s="17" t="s">
        <v>52</v>
      </c>
      <c r="X84" s="38">
        <f t="shared" si="2"/>
        <v>0</v>
      </c>
    </row>
    <row r="85" spans="1:24" x14ac:dyDescent="0.2">
      <c r="A85" s="28">
        <v>45894.459918981483</v>
      </c>
      <c r="B85" s="17" t="s">
        <v>23</v>
      </c>
      <c r="C85" s="17" t="s">
        <v>26</v>
      </c>
      <c r="D85" s="4" t="s">
        <v>38</v>
      </c>
      <c r="E85" s="17" t="s">
        <v>41</v>
      </c>
      <c r="F85" s="17" t="s">
        <v>43</v>
      </c>
      <c r="G85" s="17" t="s">
        <v>48</v>
      </c>
      <c r="H85" s="17">
        <v>3</v>
      </c>
      <c r="I85" s="17">
        <v>2</v>
      </c>
      <c r="J85" s="17">
        <v>3</v>
      </c>
      <c r="K85" s="17">
        <v>2</v>
      </c>
      <c r="L85" s="17">
        <v>2</v>
      </c>
      <c r="M85" s="17">
        <v>3</v>
      </c>
      <c r="N85" s="17">
        <v>2</v>
      </c>
      <c r="O85" s="17">
        <v>3</v>
      </c>
      <c r="P85" s="17">
        <v>4</v>
      </c>
      <c r="Q85" s="17">
        <v>1</v>
      </c>
      <c r="R85" s="17">
        <v>4</v>
      </c>
      <c r="S85" s="17">
        <v>3</v>
      </c>
      <c r="T85" s="17" t="s">
        <v>41</v>
      </c>
      <c r="U85" s="17" t="s">
        <v>42</v>
      </c>
      <c r="V85" s="17" t="s">
        <v>42</v>
      </c>
      <c r="W85" s="17" t="s">
        <v>52</v>
      </c>
      <c r="X85" s="38">
        <f t="shared" si="2"/>
        <v>0</v>
      </c>
    </row>
    <row r="86" spans="1:24" x14ac:dyDescent="0.2">
      <c r="A86" s="28">
        <v>45894.472500000003</v>
      </c>
      <c r="B86" s="17" t="s">
        <v>23</v>
      </c>
      <c r="C86" s="17" t="s">
        <v>26</v>
      </c>
      <c r="D86" s="17" t="s">
        <v>113</v>
      </c>
      <c r="E86" s="17" t="s">
        <v>42</v>
      </c>
      <c r="F86" s="15"/>
      <c r="G86" s="17" t="s">
        <v>48</v>
      </c>
      <c r="H86" s="17">
        <v>3</v>
      </c>
      <c r="I86" s="17">
        <v>4</v>
      </c>
      <c r="J86" s="17">
        <v>4</v>
      </c>
      <c r="K86" s="17">
        <v>5</v>
      </c>
      <c r="L86" s="17">
        <v>5</v>
      </c>
      <c r="M86" s="17">
        <v>3</v>
      </c>
      <c r="N86" s="17">
        <v>3</v>
      </c>
      <c r="O86" s="17">
        <v>4</v>
      </c>
      <c r="P86" s="17">
        <v>5</v>
      </c>
      <c r="Q86" s="17">
        <v>5</v>
      </c>
      <c r="R86" s="17">
        <v>5</v>
      </c>
      <c r="S86" s="17">
        <v>2</v>
      </c>
      <c r="T86" s="17" t="s">
        <v>41</v>
      </c>
      <c r="U86" s="17" t="s">
        <v>41</v>
      </c>
      <c r="V86" s="17" t="s">
        <v>41</v>
      </c>
      <c r="W86" s="17" t="s">
        <v>53</v>
      </c>
      <c r="X86" s="38">
        <f t="shared" si="2"/>
        <v>0</v>
      </c>
    </row>
    <row r="87" spans="1:24" x14ac:dyDescent="0.2">
      <c r="A87" s="28">
        <v>45894.480879629627</v>
      </c>
      <c r="B87" s="17" t="s">
        <v>23</v>
      </c>
      <c r="C87" s="17" t="s">
        <v>26</v>
      </c>
      <c r="D87" s="4" t="s">
        <v>38</v>
      </c>
      <c r="E87" s="17" t="s">
        <v>42</v>
      </c>
      <c r="F87" s="15"/>
      <c r="G87" s="17" t="s">
        <v>46</v>
      </c>
      <c r="H87" s="17">
        <v>5</v>
      </c>
      <c r="I87" s="17">
        <v>5</v>
      </c>
      <c r="J87" s="17">
        <v>3</v>
      </c>
      <c r="K87" s="17">
        <v>5</v>
      </c>
      <c r="L87" s="17">
        <v>3</v>
      </c>
      <c r="M87" s="17">
        <v>3</v>
      </c>
      <c r="N87" s="17">
        <v>3</v>
      </c>
      <c r="O87" s="17">
        <v>3</v>
      </c>
      <c r="P87" s="17">
        <v>4</v>
      </c>
      <c r="Q87" s="17">
        <v>4</v>
      </c>
      <c r="R87" s="17">
        <v>3</v>
      </c>
      <c r="S87" s="17">
        <v>5</v>
      </c>
      <c r="T87" s="17" t="s">
        <v>41</v>
      </c>
      <c r="U87" s="17" t="s">
        <v>42</v>
      </c>
      <c r="V87" s="17" t="s">
        <v>42</v>
      </c>
      <c r="W87" s="17" t="s">
        <v>51</v>
      </c>
      <c r="X87" s="38">
        <f t="shared" si="2"/>
        <v>1</v>
      </c>
    </row>
    <row r="88" spans="1:24" x14ac:dyDescent="0.2">
      <c r="A88" s="28">
        <v>45894.546180555553</v>
      </c>
      <c r="B88" s="17" t="s">
        <v>23</v>
      </c>
      <c r="C88" s="17" t="s">
        <v>26</v>
      </c>
      <c r="D88" s="4" t="s">
        <v>38</v>
      </c>
      <c r="E88" s="17" t="s">
        <v>42</v>
      </c>
      <c r="F88" s="15"/>
      <c r="G88" s="17" t="s">
        <v>48</v>
      </c>
      <c r="H88" s="17">
        <v>2</v>
      </c>
      <c r="I88" s="17">
        <v>3</v>
      </c>
      <c r="J88" s="17">
        <v>4</v>
      </c>
      <c r="K88" s="17">
        <v>4</v>
      </c>
      <c r="L88" s="17">
        <v>5</v>
      </c>
      <c r="M88" s="17">
        <v>3</v>
      </c>
      <c r="N88" s="17">
        <v>4</v>
      </c>
      <c r="O88" s="17">
        <v>3</v>
      </c>
      <c r="P88" s="17">
        <v>4</v>
      </c>
      <c r="Q88" s="17">
        <v>5</v>
      </c>
      <c r="R88" s="17">
        <v>5</v>
      </c>
      <c r="S88" s="17">
        <v>1</v>
      </c>
      <c r="T88" s="17" t="s">
        <v>42</v>
      </c>
      <c r="U88" s="17" t="s">
        <v>42</v>
      </c>
      <c r="V88" s="17" t="s">
        <v>42</v>
      </c>
      <c r="W88" s="17" t="s">
        <v>51</v>
      </c>
      <c r="X88" s="38">
        <f t="shared" si="2"/>
        <v>1</v>
      </c>
    </row>
    <row r="89" spans="1:24" x14ac:dyDescent="0.2">
      <c r="A89" s="28">
        <v>45894.552499999998</v>
      </c>
      <c r="B89" s="17" t="s">
        <v>23</v>
      </c>
      <c r="C89" s="17" t="s">
        <v>25</v>
      </c>
      <c r="D89" s="4" t="s">
        <v>38</v>
      </c>
      <c r="E89" s="17" t="s">
        <v>41</v>
      </c>
      <c r="F89" s="17" t="s">
        <v>45</v>
      </c>
      <c r="G89" s="17" t="s">
        <v>46</v>
      </c>
      <c r="H89" s="17">
        <v>4</v>
      </c>
      <c r="I89" s="17">
        <v>4</v>
      </c>
      <c r="J89" s="17">
        <v>3</v>
      </c>
      <c r="K89" s="17">
        <v>4</v>
      </c>
      <c r="L89" s="17">
        <v>4</v>
      </c>
      <c r="M89" s="17">
        <v>3</v>
      </c>
      <c r="N89" s="17">
        <v>3</v>
      </c>
      <c r="O89" s="17">
        <v>3</v>
      </c>
      <c r="P89" s="17">
        <v>3</v>
      </c>
      <c r="Q89" s="17">
        <v>2</v>
      </c>
      <c r="R89" s="17">
        <v>3</v>
      </c>
      <c r="S89" s="17">
        <v>4</v>
      </c>
      <c r="T89" s="17" t="s">
        <v>42</v>
      </c>
      <c r="U89" s="17" t="s">
        <v>42</v>
      </c>
      <c r="V89" s="17" t="s">
        <v>42</v>
      </c>
      <c r="W89" s="17" t="s">
        <v>53</v>
      </c>
      <c r="X89" s="38">
        <f t="shared" si="2"/>
        <v>0</v>
      </c>
    </row>
    <row r="90" spans="1:24" x14ac:dyDescent="0.2">
      <c r="A90" s="28">
        <v>45894.559490740743</v>
      </c>
      <c r="B90" s="17" t="s">
        <v>23</v>
      </c>
      <c r="C90" s="17" t="s">
        <v>26</v>
      </c>
      <c r="D90" s="4" t="s">
        <v>38</v>
      </c>
      <c r="E90" s="17" t="s">
        <v>41</v>
      </c>
      <c r="F90" s="17" t="s">
        <v>43</v>
      </c>
      <c r="G90" s="17" t="s">
        <v>47</v>
      </c>
      <c r="H90" s="17">
        <v>2</v>
      </c>
      <c r="I90" s="17">
        <v>2</v>
      </c>
      <c r="J90" s="17">
        <v>2</v>
      </c>
      <c r="K90" s="17">
        <v>2</v>
      </c>
      <c r="L90" s="17">
        <v>2</v>
      </c>
      <c r="M90" s="17">
        <v>4</v>
      </c>
      <c r="N90" s="17">
        <v>2</v>
      </c>
      <c r="O90" s="17">
        <v>2</v>
      </c>
      <c r="P90" s="17">
        <v>5</v>
      </c>
      <c r="Q90" s="17">
        <v>5</v>
      </c>
      <c r="R90" s="17">
        <v>3</v>
      </c>
      <c r="S90" s="17">
        <v>2</v>
      </c>
      <c r="T90" s="17" t="s">
        <v>42</v>
      </c>
      <c r="U90" s="17" t="s">
        <v>42</v>
      </c>
      <c r="V90" s="17" t="s">
        <v>42</v>
      </c>
      <c r="W90" s="17" t="s">
        <v>51</v>
      </c>
      <c r="X90" s="38">
        <f t="shared" si="2"/>
        <v>1</v>
      </c>
    </row>
    <row r="91" spans="1:24" x14ac:dyDescent="0.2">
      <c r="A91" s="28">
        <v>45894.600949074076</v>
      </c>
      <c r="B91" s="17" t="s">
        <v>23</v>
      </c>
      <c r="C91" s="17" t="s">
        <v>26</v>
      </c>
      <c r="D91" s="17" t="s">
        <v>113</v>
      </c>
      <c r="E91" s="17" t="s">
        <v>42</v>
      </c>
      <c r="F91" s="15"/>
      <c r="G91" s="17" t="s">
        <v>46</v>
      </c>
      <c r="H91" s="17">
        <v>4</v>
      </c>
      <c r="I91" s="17">
        <v>4</v>
      </c>
      <c r="J91" s="17">
        <v>4</v>
      </c>
      <c r="K91" s="17">
        <v>4</v>
      </c>
      <c r="L91" s="17">
        <v>4</v>
      </c>
      <c r="M91" s="17">
        <v>4</v>
      </c>
      <c r="N91" s="17">
        <v>4</v>
      </c>
      <c r="O91" s="17">
        <v>3</v>
      </c>
      <c r="P91" s="17">
        <v>5</v>
      </c>
      <c r="Q91" s="17">
        <v>5</v>
      </c>
      <c r="R91" s="17">
        <v>5</v>
      </c>
      <c r="S91" s="17">
        <v>4</v>
      </c>
      <c r="T91" s="17" t="s">
        <v>41</v>
      </c>
      <c r="U91" s="17" t="s">
        <v>41</v>
      </c>
      <c r="V91" s="17" t="s">
        <v>41</v>
      </c>
      <c r="W91" s="17" t="s">
        <v>50</v>
      </c>
      <c r="X91" s="38">
        <f t="shared" si="2"/>
        <v>0</v>
      </c>
    </row>
    <row r="92" spans="1:24" x14ac:dyDescent="0.2">
      <c r="A92" s="28">
        <v>45894.610092592593</v>
      </c>
      <c r="B92" s="17" t="s">
        <v>22</v>
      </c>
      <c r="C92" s="17" t="s">
        <v>25</v>
      </c>
      <c r="D92" s="4" t="s">
        <v>38</v>
      </c>
      <c r="E92" s="17" t="s">
        <v>42</v>
      </c>
      <c r="F92" s="15"/>
      <c r="G92" s="17" t="s">
        <v>46</v>
      </c>
      <c r="H92" s="17">
        <v>5</v>
      </c>
      <c r="I92" s="17">
        <v>5</v>
      </c>
      <c r="J92" s="17">
        <v>5</v>
      </c>
      <c r="K92" s="17">
        <v>5</v>
      </c>
      <c r="L92" s="17">
        <v>5</v>
      </c>
      <c r="M92" s="17">
        <v>4</v>
      </c>
      <c r="N92" s="17">
        <v>4</v>
      </c>
      <c r="O92" s="17">
        <v>2</v>
      </c>
      <c r="P92" s="17">
        <v>2</v>
      </c>
      <c r="Q92" s="17">
        <v>1</v>
      </c>
      <c r="R92" s="17">
        <v>1</v>
      </c>
      <c r="S92" s="17">
        <v>3</v>
      </c>
      <c r="T92" s="17" t="s">
        <v>42</v>
      </c>
      <c r="U92" s="17" t="s">
        <v>42</v>
      </c>
      <c r="V92" s="17" t="s">
        <v>42</v>
      </c>
      <c r="W92" s="17" t="s">
        <v>51</v>
      </c>
      <c r="X92" s="38">
        <f t="shared" si="2"/>
        <v>1</v>
      </c>
    </row>
    <row r="93" spans="1:24" x14ac:dyDescent="0.2">
      <c r="A93" s="28">
        <v>45894.687893518516</v>
      </c>
      <c r="B93" s="17" t="s">
        <v>23</v>
      </c>
      <c r="C93" s="17" t="s">
        <v>25</v>
      </c>
      <c r="D93" s="4" t="s">
        <v>38</v>
      </c>
      <c r="E93" s="17" t="s">
        <v>42</v>
      </c>
      <c r="F93" s="15"/>
      <c r="G93" s="17" t="s">
        <v>46</v>
      </c>
      <c r="H93" s="17">
        <v>4</v>
      </c>
      <c r="I93" s="17">
        <v>4</v>
      </c>
      <c r="J93" s="17">
        <v>4</v>
      </c>
      <c r="K93" s="17">
        <v>5</v>
      </c>
      <c r="L93" s="17">
        <v>4</v>
      </c>
      <c r="M93" s="17">
        <v>4</v>
      </c>
      <c r="N93" s="17">
        <v>4</v>
      </c>
      <c r="O93" s="17">
        <v>3</v>
      </c>
      <c r="P93" s="17">
        <v>3</v>
      </c>
      <c r="Q93" s="17">
        <v>4</v>
      </c>
      <c r="R93" s="17">
        <v>5</v>
      </c>
      <c r="S93" s="17">
        <v>3</v>
      </c>
      <c r="T93" s="17" t="s">
        <v>42</v>
      </c>
      <c r="U93" s="17" t="s">
        <v>42</v>
      </c>
      <c r="V93" s="17" t="s">
        <v>42</v>
      </c>
      <c r="W93" s="17" t="s">
        <v>51</v>
      </c>
      <c r="X93" s="38">
        <f t="shared" si="2"/>
        <v>1</v>
      </c>
    </row>
    <row r="94" spans="1:24" x14ac:dyDescent="0.2">
      <c r="A94" s="28">
        <v>45894.735520833332</v>
      </c>
      <c r="B94" s="17" t="s">
        <v>22</v>
      </c>
      <c r="C94" s="17" t="s">
        <v>25</v>
      </c>
      <c r="D94" s="4" t="s">
        <v>38</v>
      </c>
      <c r="E94" s="17" t="s">
        <v>42</v>
      </c>
      <c r="F94" s="15"/>
      <c r="G94" s="17" t="s">
        <v>46</v>
      </c>
      <c r="H94" s="17">
        <v>5</v>
      </c>
      <c r="I94" s="17">
        <v>5</v>
      </c>
      <c r="J94" s="17">
        <v>3</v>
      </c>
      <c r="K94" s="17">
        <v>5</v>
      </c>
      <c r="L94" s="17">
        <v>5</v>
      </c>
      <c r="M94" s="17">
        <v>1</v>
      </c>
      <c r="N94" s="17">
        <v>1</v>
      </c>
      <c r="O94" s="17">
        <v>3</v>
      </c>
      <c r="P94" s="17">
        <v>1</v>
      </c>
      <c r="Q94" s="17">
        <v>5</v>
      </c>
      <c r="R94" s="17">
        <v>4</v>
      </c>
      <c r="S94" s="17">
        <v>3</v>
      </c>
      <c r="T94" s="17" t="s">
        <v>42</v>
      </c>
      <c r="U94" s="17" t="s">
        <v>42</v>
      </c>
      <c r="V94" s="17" t="s">
        <v>42</v>
      </c>
      <c r="W94" s="17" t="s">
        <v>51</v>
      </c>
      <c r="X94" s="38">
        <f t="shared" si="2"/>
        <v>1</v>
      </c>
    </row>
    <row r="95" spans="1:24" x14ac:dyDescent="0.2">
      <c r="A95" s="28">
        <v>45894.743125000001</v>
      </c>
      <c r="B95" s="17" t="s">
        <v>23</v>
      </c>
      <c r="C95" s="17" t="s">
        <v>26</v>
      </c>
      <c r="D95" s="4" t="s">
        <v>38</v>
      </c>
      <c r="E95" s="17" t="s">
        <v>41</v>
      </c>
      <c r="F95" s="17" t="s">
        <v>43</v>
      </c>
      <c r="G95" s="17" t="s">
        <v>46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1</v>
      </c>
      <c r="N95" s="17">
        <v>1</v>
      </c>
      <c r="O95" s="17">
        <v>1</v>
      </c>
      <c r="P95" s="17">
        <v>5</v>
      </c>
      <c r="Q95" s="17">
        <v>5</v>
      </c>
      <c r="R95" s="17">
        <v>5</v>
      </c>
      <c r="S95" s="17">
        <v>4</v>
      </c>
      <c r="T95" s="17" t="s">
        <v>41</v>
      </c>
      <c r="U95" s="17" t="s">
        <v>41</v>
      </c>
      <c r="V95" s="17" t="s">
        <v>41</v>
      </c>
      <c r="W95" s="17" t="s">
        <v>52</v>
      </c>
      <c r="X95" s="38">
        <f t="shared" si="2"/>
        <v>0</v>
      </c>
    </row>
    <row r="96" spans="1:24" x14ac:dyDescent="0.2">
      <c r="A96" s="28">
        <v>45894.777592592596</v>
      </c>
      <c r="B96" s="17" t="s">
        <v>22</v>
      </c>
      <c r="C96" s="17" t="s">
        <v>26</v>
      </c>
      <c r="D96" s="4" t="s">
        <v>31</v>
      </c>
      <c r="E96" s="17" t="s">
        <v>42</v>
      </c>
      <c r="F96" s="15"/>
      <c r="G96" s="17" t="s">
        <v>46</v>
      </c>
      <c r="H96" s="17">
        <v>3</v>
      </c>
      <c r="I96" s="17">
        <v>3</v>
      </c>
      <c r="J96" s="17">
        <v>3</v>
      </c>
      <c r="K96" s="17">
        <v>2</v>
      </c>
      <c r="L96" s="17">
        <v>4</v>
      </c>
      <c r="M96" s="17">
        <v>3</v>
      </c>
      <c r="N96" s="17">
        <v>3</v>
      </c>
      <c r="O96" s="17">
        <v>3</v>
      </c>
      <c r="P96" s="17">
        <v>2</v>
      </c>
      <c r="Q96" s="17">
        <v>3</v>
      </c>
      <c r="R96" s="17">
        <v>3</v>
      </c>
      <c r="S96" s="17">
        <v>3</v>
      </c>
      <c r="T96" s="17" t="s">
        <v>41</v>
      </c>
      <c r="U96" s="17" t="s">
        <v>42</v>
      </c>
      <c r="V96" s="17" t="s">
        <v>42</v>
      </c>
      <c r="W96" s="17" t="s">
        <v>51</v>
      </c>
      <c r="X96" s="38">
        <f t="shared" si="2"/>
        <v>1</v>
      </c>
    </row>
    <row r="100" spans="15:16" x14ac:dyDescent="0.2">
      <c r="O100" s="9">
        <v>1</v>
      </c>
      <c r="P100" s="9">
        <f>COUNTIF(Table_thesis[Not offering BNPL makes me think the brand is targeting customers who value exclusivity and personal service.],O100)</f>
        <v>19</v>
      </c>
    </row>
    <row r="101" spans="15:16" x14ac:dyDescent="0.2">
      <c r="O101" s="9">
        <v>2</v>
      </c>
      <c r="P101" s="9">
        <f>COUNTIF(Table_thesis[Not offering BNPL makes me think the brand is targeting customers who value exclusivity and personal service.],O101)</f>
        <v>19</v>
      </c>
    </row>
    <row r="102" spans="15:16" x14ac:dyDescent="0.2">
      <c r="O102" s="9">
        <v>3</v>
      </c>
      <c r="P102" s="9">
        <f>COUNTIF(Table_thesis[Not offering BNPL makes me think the brand is targeting customers who value exclusivity and personal service.],O102)</f>
        <v>29</v>
      </c>
    </row>
    <row r="103" spans="15:16" x14ac:dyDescent="0.2">
      <c r="O103" s="9">
        <v>4</v>
      </c>
      <c r="P103" s="9">
        <f>COUNTIF(Table_thesis[Not offering BNPL makes me think the brand is targeting customers who value exclusivity and personal service.],O103)</f>
        <v>11</v>
      </c>
    </row>
    <row r="104" spans="15:16" x14ac:dyDescent="0.2">
      <c r="O104" s="9">
        <v>5</v>
      </c>
      <c r="P104" s="9">
        <f>COUNTIF(Table_thesis[Not offering BNPL makes me think the brand is targeting customers who value exclusivity and personal service.],O104)</f>
        <v>17</v>
      </c>
    </row>
    <row r="105" spans="15:16" x14ac:dyDescent="0.2">
      <c r="O105" s="2" t="s">
        <v>152</v>
      </c>
      <c r="P105" s="2">
        <f>SUM(P100:P104)</f>
        <v>95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E4C-7C2E-B747-8917-4740726F671A}">
  <sheetPr>
    <tabColor theme="8" tint="0.79998168889431442"/>
  </sheetPr>
  <dimension ref="A1:F124"/>
  <sheetViews>
    <sheetView workbookViewId="0">
      <selection activeCell="B35" sqref="B35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6" width="10.83203125" style="4"/>
  </cols>
  <sheetData>
    <row r="1" spans="1:5" ht="30" customHeight="1" x14ac:dyDescent="0.2">
      <c r="B1" s="29" t="s">
        <v>60</v>
      </c>
      <c r="C1" s="29"/>
      <c r="D1" s="29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2">
        <f>SUM(D5:D6)</f>
        <v>95</v>
      </c>
      <c r="E3"/>
    </row>
    <row r="4" spans="1:5" x14ac:dyDescent="0.2">
      <c r="A4" s="12" t="s">
        <v>71</v>
      </c>
      <c r="B4" s="10"/>
      <c r="E4"/>
    </row>
    <row r="5" spans="1:5" x14ac:dyDescent="0.2">
      <c r="A5" s="12" t="s">
        <v>72</v>
      </c>
      <c r="B5" s="2" t="s">
        <v>57</v>
      </c>
      <c r="C5" s="9" t="s">
        <v>59</v>
      </c>
      <c r="D5" s="9">
        <f>COUNTIF(Table_thesis[[Age ]], "18 -28")</f>
        <v>72</v>
      </c>
      <c r="E5"/>
    </row>
    <row r="6" spans="1:5" x14ac:dyDescent="0.2">
      <c r="B6" s="10"/>
      <c r="C6" s="9" t="s">
        <v>22</v>
      </c>
      <c r="D6" s="9">
        <f>COUNTIF(Table_thesis[[Age ]],'Total analysis'!C7)</f>
        <v>23</v>
      </c>
      <c r="E6"/>
    </row>
    <row r="7" spans="1:5" x14ac:dyDescent="0.2">
      <c r="B7" s="10"/>
      <c r="C7" s="4"/>
      <c r="E7"/>
    </row>
    <row r="8" spans="1:5" x14ac:dyDescent="0.2">
      <c r="A8" s="12" t="s">
        <v>73</v>
      </c>
      <c r="B8" s="2" t="s">
        <v>2</v>
      </c>
      <c r="C8" s="9" t="s">
        <v>26</v>
      </c>
      <c r="D8" s="9">
        <f>COUNTIF(Table_thesis[Gender],'Total analysis'!C10)</f>
        <v>48</v>
      </c>
      <c r="E8"/>
    </row>
    <row r="9" spans="1:5" x14ac:dyDescent="0.2">
      <c r="B9" s="10"/>
      <c r="C9" s="9" t="s">
        <v>25</v>
      </c>
      <c r="D9" s="9">
        <f>COUNTIF(Table_thesis[Gender],'Total analysis'!C11)</f>
        <v>47</v>
      </c>
      <c r="E9"/>
    </row>
    <row r="10" spans="1:5" x14ac:dyDescent="0.2">
      <c r="B10" s="10"/>
      <c r="E10"/>
    </row>
    <row r="11" spans="1:5" x14ac:dyDescent="0.2">
      <c r="B11" s="10"/>
      <c r="E11"/>
    </row>
    <row r="12" spans="1:5" x14ac:dyDescent="0.2">
      <c r="A12" s="12" t="s">
        <v>74</v>
      </c>
      <c r="B12" s="2" t="s">
        <v>61</v>
      </c>
      <c r="C12" s="9" t="s">
        <v>32</v>
      </c>
      <c r="D12" s="9">
        <f>COUNTIF(Table_thesis[Country where you currently live, please answer with first letter capitalized ex: Germany],'Total analysis'!C14)</f>
        <v>0</v>
      </c>
      <c r="E12"/>
    </row>
    <row r="13" spans="1:5" x14ac:dyDescent="0.2">
      <c r="B13" s="10"/>
      <c r="C13" s="9" t="s">
        <v>39</v>
      </c>
      <c r="D13" s="9">
        <f>COUNTIF(Table_thesis[Country where you currently live, please answer with first letter capitalized ex: Germany],'Total analysis'!C15)</f>
        <v>1</v>
      </c>
      <c r="E13"/>
    </row>
    <row r="14" spans="1:5" x14ac:dyDescent="0.2">
      <c r="B14" s="10"/>
      <c r="C14" s="9" t="s">
        <v>33</v>
      </c>
      <c r="D14" s="9">
        <f>COUNTIF(Table_thesis[Country where you currently live, please answer with first letter capitalized ex: Germany],'Total analysis'!C16)</f>
        <v>1</v>
      </c>
      <c r="E14"/>
    </row>
    <row r="15" spans="1:5" x14ac:dyDescent="0.2">
      <c r="B15" s="10"/>
      <c r="C15" s="9" t="s">
        <v>30</v>
      </c>
      <c r="D15" s="9">
        <f>COUNTIF(Table_thesis[Country where you currently live, please answer with first letter capitalized ex: Germany],'Total analysis'!C17)</f>
        <v>5</v>
      </c>
      <c r="E15"/>
    </row>
    <row r="16" spans="1:5" x14ac:dyDescent="0.2">
      <c r="B16" s="10"/>
      <c r="C16" s="9" t="s">
        <v>38</v>
      </c>
      <c r="D16" s="9">
        <f>COUNTIF(Table_thesis[Country where you currently live, please answer with first letter capitalized ex: Germany],'Total analysis'!C18)</f>
        <v>41</v>
      </c>
      <c r="E16"/>
    </row>
    <row r="17" spans="1:5" x14ac:dyDescent="0.2">
      <c r="B17" s="10"/>
      <c r="C17" s="9" t="s">
        <v>34</v>
      </c>
      <c r="D17" s="9">
        <f>COUNTIF(Table_thesis[Country where you currently live, please answer with first letter capitalized ex: Germany],'Total analysis'!C19)</f>
        <v>1</v>
      </c>
      <c r="E17"/>
    </row>
    <row r="18" spans="1:5" x14ac:dyDescent="0.2">
      <c r="B18" s="10"/>
      <c r="C18" s="9" t="s">
        <v>113</v>
      </c>
      <c r="D18" s="9">
        <f>COUNTIF(Table_thesis[Country where you currently live, please answer with first letter capitalized ex: Germany],'Total analysis'!C20)</f>
        <v>2</v>
      </c>
      <c r="E18"/>
    </row>
    <row r="19" spans="1:5" x14ac:dyDescent="0.2">
      <c r="B19" s="10"/>
      <c r="C19" s="9" t="s">
        <v>28</v>
      </c>
      <c r="D19" s="9">
        <f>COUNTIF(Table_thesis[Country where you currently live, please answer with first letter capitalized ex: Germany],'Total analysis'!C21)</f>
        <v>2</v>
      </c>
      <c r="E19"/>
    </row>
    <row r="20" spans="1:5" x14ac:dyDescent="0.2">
      <c r="B20" s="10"/>
      <c r="C20" s="9" t="s">
        <v>27</v>
      </c>
      <c r="D20" s="9">
        <f>COUNTIF(Table_thesis[Country where you currently live, please answer with first letter capitalized ex: Germany],'Total analysis'!C22)</f>
        <v>1</v>
      </c>
      <c r="E20"/>
    </row>
    <row r="21" spans="1:5" x14ac:dyDescent="0.2">
      <c r="B21" s="10"/>
      <c r="C21" s="9" t="s">
        <v>35</v>
      </c>
      <c r="D21" s="9">
        <f>COUNTIF(Table_thesis[Country where you currently live, please answer with first letter capitalized ex: Germany],'Total analysis'!C23)</f>
        <v>2</v>
      </c>
      <c r="E21"/>
    </row>
    <row r="22" spans="1:5" x14ac:dyDescent="0.2">
      <c r="B22" s="10"/>
      <c r="C22" s="9" t="s">
        <v>36</v>
      </c>
      <c r="D22" s="9">
        <f>COUNTIF(Table_thesis[Country where you currently live, please answer with first letter capitalized ex: Germany],'Total analysis'!C24)</f>
        <v>2</v>
      </c>
      <c r="E22"/>
    </row>
    <row r="23" spans="1:5" x14ac:dyDescent="0.2">
      <c r="B23" s="10"/>
      <c r="C23" s="9" t="s">
        <v>29</v>
      </c>
      <c r="D23" s="9">
        <f>COUNTIF(Table_thesis[Country where you currently live, please answer with first letter capitalized ex: Germany],'Total analysis'!C25)</f>
        <v>7</v>
      </c>
      <c r="E23"/>
    </row>
    <row r="24" spans="1:5" x14ac:dyDescent="0.2">
      <c r="B24" s="10"/>
      <c r="C24" s="9" t="s">
        <v>40</v>
      </c>
      <c r="D24" s="9">
        <f>COUNTIF(Table_thesis[Country where you currently live, please answer with first letter capitalized ex: Germany],'Total analysis'!C26)</f>
        <v>0</v>
      </c>
      <c r="E24"/>
    </row>
    <row r="25" spans="1:5" x14ac:dyDescent="0.2">
      <c r="B25" s="10"/>
      <c r="C25" s="9" t="s">
        <v>37</v>
      </c>
      <c r="D25" s="9">
        <f>COUNTIF(Table_thesis[Country where you currently live, please answer with first letter capitalized ex: Germany],'Total analysis'!C27)</f>
        <v>5</v>
      </c>
      <c r="E25"/>
    </row>
    <row r="26" spans="1:5" x14ac:dyDescent="0.2">
      <c r="B26" s="10"/>
      <c r="C26" s="9" t="s">
        <v>31</v>
      </c>
      <c r="D26" s="9">
        <f>COUNTIF(Table_thesis[Country where you currently live, please answer with first letter capitalized ex: Germany],'Total analysis'!C28)</f>
        <v>25</v>
      </c>
      <c r="E26"/>
    </row>
    <row r="27" spans="1:5" x14ac:dyDescent="0.2">
      <c r="B27" s="10"/>
      <c r="E27"/>
    </row>
    <row r="28" spans="1:5" x14ac:dyDescent="0.2">
      <c r="A28" s="12" t="s">
        <v>75</v>
      </c>
      <c r="B28" s="2" t="s">
        <v>62</v>
      </c>
      <c r="C28" s="9" t="s">
        <v>41</v>
      </c>
      <c r="D28" s="9">
        <f>COUNTIF(Table_thesis[Have you used a BNPL service in the past 12 months?],'Total analysis'!C30)</f>
        <v>26</v>
      </c>
      <c r="E28"/>
    </row>
    <row r="29" spans="1:5" x14ac:dyDescent="0.2">
      <c r="B29" s="11" t="s">
        <v>63</v>
      </c>
      <c r="C29" s="9" t="s">
        <v>42</v>
      </c>
      <c r="D29" s="9">
        <f>COUNTIF(Table_thesis[Have you used a BNPL service in the past 12 months?],'Total analysis'!C31)</f>
        <v>69</v>
      </c>
      <c r="E29"/>
    </row>
    <row r="30" spans="1:5" x14ac:dyDescent="0.2">
      <c r="B30" s="10"/>
      <c r="E30"/>
    </row>
    <row r="31" spans="1:5" ht="32" x14ac:dyDescent="0.2">
      <c r="A31" s="12" t="s">
        <v>70</v>
      </c>
      <c r="B31" s="32" t="s">
        <v>120</v>
      </c>
      <c r="C31" s="33" t="s">
        <v>64</v>
      </c>
      <c r="D31" s="33">
        <f>COUNTIF(Table_thesis[Which best describes your most recent BNPL experience?” ],Total!F2)</f>
        <v>20</v>
      </c>
      <c r="E31"/>
    </row>
    <row r="32" spans="1:5" x14ac:dyDescent="0.2">
      <c r="B32" s="34"/>
      <c r="C32" s="33" t="s">
        <v>65</v>
      </c>
      <c r="D32" s="33">
        <f>COUNTIF(Table_thesis[Which best describes your most recent BNPL experience?” ],Total!F16)</f>
        <v>4</v>
      </c>
      <c r="E32"/>
    </row>
    <row r="33" spans="1:6" x14ac:dyDescent="0.2">
      <c r="B33" s="34"/>
      <c r="C33" s="33" t="s">
        <v>66</v>
      </c>
      <c r="D33" s="33">
        <f>COUNTIF(Table_thesis[Which best describes your most recent BNPL experience?” ],Total!F67)</f>
        <v>2</v>
      </c>
      <c r="E33"/>
    </row>
    <row r="34" spans="1:6" x14ac:dyDescent="0.2">
      <c r="B34" s="10"/>
      <c r="C34" s="4"/>
      <c r="E34"/>
    </row>
    <row r="35" spans="1:6" ht="32" x14ac:dyDescent="0.2">
      <c r="A35" s="12" t="s">
        <v>76</v>
      </c>
      <c r="B35" s="3" t="s">
        <v>105</v>
      </c>
      <c r="C35" s="9" t="s">
        <v>41</v>
      </c>
      <c r="D35" s="9">
        <f>COUNTIF(Table_thesis[I believe a payment handled by the store (internal payment service) is more secure, than using an external BNPL brand. 
Imagine "AmazonPay" instead ],'Gen Z and Millenials'!G2)</f>
        <v>56</v>
      </c>
      <c r="E35"/>
    </row>
    <row r="36" spans="1:6" x14ac:dyDescent="0.2">
      <c r="B36" s="10"/>
      <c r="C36" s="9" t="s">
        <v>42</v>
      </c>
      <c r="D36" s="9">
        <f>COUNTIF(Table_thesis[I believe a payment handled by the store (internal payment service) is more secure, than using an external BNPL brand. 
Imagine "AmazonPay" instead ],'Gen Z and Millenials'!G27)</f>
        <v>19</v>
      </c>
      <c r="E36"/>
    </row>
    <row r="37" spans="1:6" x14ac:dyDescent="0.2">
      <c r="B37" s="10"/>
      <c r="C37" s="9" t="s">
        <v>69</v>
      </c>
      <c r="D37" s="9">
        <f>COUNTIF(Table_thesis[I believe a payment handled by the store (internal payment service) is more secure, than using an external BNPL brand. 
Imagine "AmazonPay" instead ],'Gen Z and Millenials'!G86)</f>
        <v>20</v>
      </c>
      <c r="E37"/>
    </row>
    <row r="38" spans="1:6" x14ac:dyDescent="0.2">
      <c r="B38" s="10"/>
      <c r="E38"/>
    </row>
    <row r="39" spans="1:6" ht="32" x14ac:dyDescent="0.2">
      <c r="A39" s="12" t="s">
        <v>77</v>
      </c>
      <c r="B39" s="3" t="s">
        <v>104</v>
      </c>
      <c r="C39" s="9">
        <v>5</v>
      </c>
      <c r="D39" s="9">
        <f>COUNTIF(Table_thesis[I''d feel safe paying through AmazonPay’s checkout.],'Total analysis'!C41)</f>
        <v>58</v>
      </c>
      <c r="E39" s="18" t="s">
        <v>81</v>
      </c>
      <c r="F39" s="22">
        <f>AVERAGE('Gen Z and Millenials'!H:I)</f>
        <v>4.242105263157895</v>
      </c>
    </row>
    <row r="40" spans="1:6" x14ac:dyDescent="0.2">
      <c r="B40" s="11" t="s">
        <v>97</v>
      </c>
      <c r="C40" s="9">
        <v>4</v>
      </c>
      <c r="D40" s="9">
        <f>COUNTIF(Table_thesis[I''d feel safe paying through AmazonPay’s checkout.],'Total analysis'!C42)</f>
        <v>12</v>
      </c>
      <c r="E40"/>
    </row>
    <row r="41" spans="1:6" x14ac:dyDescent="0.2">
      <c r="B41" s="11" t="s">
        <v>98</v>
      </c>
      <c r="C41" s="9">
        <v>3</v>
      </c>
      <c r="D41" s="9">
        <f>COUNTIF(Table_thesis[I''d feel safe paying through AmazonPay’s checkout.],'Total analysis'!C43)</f>
        <v>14</v>
      </c>
      <c r="E41"/>
    </row>
    <row r="42" spans="1:6" x14ac:dyDescent="0.2">
      <c r="B42" s="10"/>
      <c r="C42" s="9">
        <v>2</v>
      </c>
      <c r="D42" s="9">
        <f>COUNTIF(Table_thesis[I''d feel safe paying through AmazonPay’s checkout.],'Total analysis'!C44)</f>
        <v>8</v>
      </c>
      <c r="E42"/>
    </row>
    <row r="43" spans="1:6" x14ac:dyDescent="0.2">
      <c r="B43" s="10"/>
      <c r="C43" s="9">
        <v>1</v>
      </c>
      <c r="D43" s="9">
        <f>COUNTIF(Table_thesis[I''d feel safe paying through AmazonPay’s checkout.],'Total analysis'!C45)</f>
        <v>3</v>
      </c>
      <c r="E43"/>
    </row>
    <row r="44" spans="1:6" x14ac:dyDescent="0.2">
      <c r="B44" s="10"/>
      <c r="E44"/>
    </row>
    <row r="45" spans="1:6" x14ac:dyDescent="0.2">
      <c r="A45" s="12" t="s">
        <v>78</v>
      </c>
      <c r="B45" s="3" t="s">
        <v>7</v>
      </c>
      <c r="C45" s="9">
        <v>5</v>
      </c>
      <c r="D45" s="9">
        <f>COUNTIF(Table_thesis[AmazonPay seems trustworthy.],'Total analysis'!C47)</f>
        <v>58</v>
      </c>
      <c r="E45" s="18" t="s">
        <v>81</v>
      </c>
      <c r="F45" s="22">
        <f>AVERAGE('Gen Z and Millenials'!I:I)</f>
        <v>4.2842105263157899</v>
      </c>
    </row>
    <row r="46" spans="1:6" x14ac:dyDescent="0.2">
      <c r="B46" s="11" t="s">
        <v>97</v>
      </c>
      <c r="C46" s="9">
        <v>4</v>
      </c>
      <c r="D46" s="9">
        <f>COUNTIF(Table_thesis[AmazonPay seems trustworthy.],'Total analysis'!C48)</f>
        <v>18</v>
      </c>
      <c r="E46"/>
    </row>
    <row r="47" spans="1:6" x14ac:dyDescent="0.2">
      <c r="B47" s="11" t="s">
        <v>98</v>
      </c>
      <c r="C47" s="9">
        <v>3</v>
      </c>
      <c r="D47" s="9">
        <f>COUNTIF(Table_thesis[AmazonPay seems trustworthy.],'Total analysis'!C49)</f>
        <v>10</v>
      </c>
      <c r="E47"/>
    </row>
    <row r="48" spans="1:6" x14ac:dyDescent="0.2">
      <c r="B48" s="10"/>
      <c r="C48" s="9">
        <v>2</v>
      </c>
      <c r="D48" s="9">
        <f>COUNTIF(Table_thesis[AmazonPay seems trustworthy.],'Total analysis'!C50)</f>
        <v>6</v>
      </c>
      <c r="E48"/>
    </row>
    <row r="49" spans="1:6" x14ac:dyDescent="0.2">
      <c r="B49" s="10"/>
      <c r="C49" s="9">
        <v>1</v>
      </c>
      <c r="D49" s="9">
        <f>COUNTIF(Table_thesis[AmazonPay seems trustworthy.],'Total analysis'!C51)</f>
        <v>3</v>
      </c>
      <c r="E49"/>
    </row>
    <row r="50" spans="1:6" x14ac:dyDescent="0.2">
      <c r="B50" s="10"/>
      <c r="E50"/>
    </row>
    <row r="51" spans="1:6" x14ac:dyDescent="0.2">
      <c r="A51" s="12" t="s">
        <v>79</v>
      </c>
      <c r="B51" s="3" t="s">
        <v>103</v>
      </c>
      <c r="C51" s="9">
        <v>5</v>
      </c>
      <c r="D51" s="9">
        <f>COUNTIF(Table_thesis[Products from Amazon''s partner stores seem to be good quality.],'Total analysis'!C53)</f>
        <v>26</v>
      </c>
      <c r="E51" s="18" t="s">
        <v>81</v>
      </c>
      <c r="F51" s="22">
        <f>AVERAGE('Gen Z and Millenials'!I:J)</f>
        <v>4.0789473684210522</v>
      </c>
    </row>
    <row r="52" spans="1:6" x14ac:dyDescent="0.2">
      <c r="B52" s="11" t="s">
        <v>97</v>
      </c>
      <c r="C52" s="9">
        <v>4</v>
      </c>
      <c r="D52" s="9">
        <f>COUNTIF(Table_thesis[Products from Amazon''s partner stores seem to be good quality.],'Total analysis'!C54)</f>
        <v>41</v>
      </c>
      <c r="E52"/>
    </row>
    <row r="53" spans="1:6" x14ac:dyDescent="0.2">
      <c r="B53" s="11" t="s">
        <v>98</v>
      </c>
      <c r="C53" s="9">
        <v>3</v>
      </c>
      <c r="D53" s="9">
        <f>COUNTIF(Table_thesis[Products from Amazon''s partner stores seem to be good quality.],'Total analysis'!C55)</f>
        <v>19</v>
      </c>
      <c r="E53"/>
    </row>
    <row r="54" spans="1:6" x14ac:dyDescent="0.2">
      <c r="B54" s="10"/>
      <c r="C54" s="9">
        <v>2</v>
      </c>
      <c r="D54" s="9">
        <f>COUNTIF(Table_thesis[Products from Amazon''s partner stores seem to be good quality.],'Total analysis'!C56)</f>
        <v>8</v>
      </c>
      <c r="E54"/>
    </row>
    <row r="55" spans="1:6" x14ac:dyDescent="0.2">
      <c r="B55" s="10"/>
      <c r="C55" s="9">
        <v>1</v>
      </c>
      <c r="D55" s="9">
        <f>COUNTIF(Table_thesis[Products from Amazon''s partner stores seem to be good quality.],'Total analysis'!C57)</f>
        <v>1</v>
      </c>
      <c r="E55"/>
    </row>
    <row r="56" spans="1:6" x14ac:dyDescent="0.2">
      <c r="B56" s="10"/>
      <c r="E56"/>
    </row>
    <row r="57" spans="1:6" ht="48" x14ac:dyDescent="0.2">
      <c r="A57" s="12" t="s">
        <v>80</v>
      </c>
      <c r="B57" s="23" t="s">
        <v>102</v>
      </c>
      <c r="C57" s="9">
        <v>5</v>
      </c>
      <c r="D57" s="9">
        <f>COUNTIF(Table_thesis[If something went wrong with my order, I would feel more supported if the BNPL payment was handled directly by the store.],'Total analysis'!C59)</f>
        <v>47</v>
      </c>
      <c r="E57" s="25" t="s">
        <v>81</v>
      </c>
      <c r="F57" s="22">
        <f>AVERAGE('Gen Z and Millenials'!I:K)</f>
        <v>4.0421052631578949</v>
      </c>
    </row>
    <row r="58" spans="1:6" x14ac:dyDescent="0.2">
      <c r="B58" s="11" t="s">
        <v>97</v>
      </c>
      <c r="C58" s="9">
        <v>4</v>
      </c>
      <c r="D58" s="9">
        <f>COUNTIF(Table_thesis[If something went wrong with my order, I would feel more supported if the BNPL payment was handled directly by the store.],'Total analysis'!C60)</f>
        <v>24</v>
      </c>
    </row>
    <row r="59" spans="1:6" x14ac:dyDescent="0.2">
      <c r="B59" s="11" t="s">
        <v>98</v>
      </c>
      <c r="C59" s="9">
        <v>3</v>
      </c>
      <c r="D59" s="9">
        <f>COUNTIF(Table_thesis[If something went wrong with my order, I would feel more supported if the BNPL payment was handled directly by the store.],'Total analysis'!C61)</f>
        <v>6</v>
      </c>
    </row>
    <row r="60" spans="1:6" x14ac:dyDescent="0.2">
      <c r="B60" s="10"/>
      <c r="C60" s="9">
        <v>2</v>
      </c>
      <c r="D60" s="9">
        <f>COUNTIF(Table_thesis[If something went wrong with my order, I would feel more supported if the BNPL payment was handled directly by the store.],'Total analysis'!C62)</f>
        <v>10</v>
      </c>
    </row>
    <row r="61" spans="1:6" x14ac:dyDescent="0.2">
      <c r="B61" s="10"/>
      <c r="C61" s="9">
        <v>1</v>
      </c>
      <c r="D61" s="9">
        <f>COUNTIF(Table_thesis[If something went wrong with my order, I would feel more supported if the BNPL payment was handled directly by the store.],'Total analysis'!C63)</f>
        <v>8</v>
      </c>
    </row>
    <row r="62" spans="1:6" x14ac:dyDescent="0.2">
      <c r="B62" s="10"/>
    </row>
    <row r="63" spans="1:6" ht="32" x14ac:dyDescent="0.2">
      <c r="A63" s="12" t="s">
        <v>83</v>
      </c>
      <c r="B63" s="21" t="s">
        <v>101</v>
      </c>
      <c r="C63" s="9">
        <v>5</v>
      </c>
      <c r="D63" s="9">
        <f>COUNTIF(Table_thesis[AmazonPay would take care of issues quickly.],'Total analysis'!C65)</f>
        <v>30</v>
      </c>
      <c r="E63" s="25" t="s">
        <v>81</v>
      </c>
      <c r="F63" s="22">
        <f>AVERAGE('Gen Z and Millenials'!I:L)</f>
        <v>4.0052631578947366</v>
      </c>
    </row>
    <row r="64" spans="1:6" x14ac:dyDescent="0.2">
      <c r="B64" s="11" t="s">
        <v>97</v>
      </c>
      <c r="C64" s="9">
        <v>4</v>
      </c>
      <c r="D64" s="9">
        <f>COUNTIF(Table_thesis[AmazonPay would take care of issues quickly.],'Total analysis'!C66)</f>
        <v>38</v>
      </c>
    </row>
    <row r="65" spans="1:6" x14ac:dyDescent="0.2">
      <c r="B65" s="11" t="s">
        <v>98</v>
      </c>
      <c r="C65" s="9">
        <v>3</v>
      </c>
      <c r="D65" s="9">
        <f>COUNTIF(Table_thesis[AmazonPay would take care of issues quickly.],'Total analysis'!C67)</f>
        <v>17</v>
      </c>
    </row>
    <row r="66" spans="1:6" x14ac:dyDescent="0.2">
      <c r="B66" s="10"/>
      <c r="C66" s="9">
        <v>2</v>
      </c>
      <c r="D66" s="9">
        <f>COUNTIF(Table_thesis[AmazonPay would take care of issues quickly.],'Total analysis'!C68)</f>
        <v>7</v>
      </c>
    </row>
    <row r="67" spans="1:6" x14ac:dyDescent="0.2">
      <c r="B67" s="10"/>
      <c r="C67" s="9">
        <v>1</v>
      </c>
      <c r="D67" s="9">
        <f>COUNTIF(Table_thesis[AmazonPay would take care of issues quickly.],'Total analysis'!C69)</f>
        <v>3</v>
      </c>
    </row>
    <row r="68" spans="1:6" x14ac:dyDescent="0.2">
      <c r="B68" s="10"/>
    </row>
    <row r="69" spans="1:6" ht="48" x14ac:dyDescent="0.2">
      <c r="A69" s="12" t="s">
        <v>84</v>
      </c>
      <c r="B69" s="3" t="s">
        <v>89</v>
      </c>
      <c r="C69" s="9">
        <v>5</v>
      </c>
      <c r="D69" s="9">
        <f>COUNTIF(Table_thesis[If AmazonPay were available, I would see Amazon as a more premium brand.],'Total analysis'!C71)</f>
        <v>12</v>
      </c>
      <c r="E69" s="25" t="s">
        <v>81</v>
      </c>
      <c r="F69" s="22">
        <f>AVERAGE('Gen Z and Millenials'!I:M)</f>
        <v>3.7515789473684209</v>
      </c>
    </row>
    <row r="70" spans="1:6" x14ac:dyDescent="0.2">
      <c r="B70" s="11" t="s">
        <v>97</v>
      </c>
      <c r="C70" s="9">
        <v>4</v>
      </c>
      <c r="D70" s="9">
        <f>COUNTIF(Table_thesis[If AmazonPay were available, I would see Amazon as a more premium brand.],'Total analysis'!C72)</f>
        <v>12</v>
      </c>
    </row>
    <row r="71" spans="1:6" x14ac:dyDescent="0.2">
      <c r="B71" s="11" t="s">
        <v>98</v>
      </c>
      <c r="C71" s="9">
        <v>3</v>
      </c>
      <c r="D71" s="9">
        <f>COUNTIF(Table_thesis[If AmazonPay were available, I would see Amazon as a more premium brand.],'Total analysis'!C73)</f>
        <v>36</v>
      </c>
    </row>
    <row r="72" spans="1:6" x14ac:dyDescent="0.2">
      <c r="B72"/>
      <c r="C72" s="9">
        <v>2</v>
      </c>
      <c r="D72" s="9">
        <f>COUNTIF(Table_thesis[If AmazonPay were available, I would see Amazon as a more premium brand.],'Total analysis'!C74)</f>
        <v>9</v>
      </c>
    </row>
    <row r="73" spans="1:6" x14ac:dyDescent="0.2">
      <c r="B73"/>
      <c r="C73" s="9">
        <v>1</v>
      </c>
      <c r="D73" s="9">
        <f>COUNTIF(Table_thesis[If AmazonPay were available, I would see Amazon as a more premium brand.],'Total analysis'!C75)</f>
        <v>26</v>
      </c>
    </row>
    <row r="74" spans="1:6" x14ac:dyDescent="0.2">
      <c r="B74"/>
    </row>
    <row r="75" spans="1:6" ht="48" x14ac:dyDescent="0.2">
      <c r="A75" s="12" t="s">
        <v>85</v>
      </c>
      <c r="B75" s="3" t="s">
        <v>88</v>
      </c>
      <c r="C75" s="9">
        <v>5</v>
      </c>
      <c r="D75" s="9">
        <f>COUNTIF(Table_thesis[If AmazonPay were available, I would see Amazon as a more exclusive brand.],'Total analysis'!C77)</f>
        <v>7</v>
      </c>
      <c r="E75" s="25" t="s">
        <v>81</v>
      </c>
      <c r="F75" s="22">
        <f>AVERAGE('Gen Z and Millenials'!I:N)</f>
        <v>3.5684210526315789</v>
      </c>
    </row>
    <row r="76" spans="1:6" x14ac:dyDescent="0.2">
      <c r="B76" s="11" t="s">
        <v>97</v>
      </c>
      <c r="C76" s="9">
        <v>4</v>
      </c>
      <c r="D76" s="9">
        <f>COUNTIF(Table_thesis[If AmazonPay were available, I would see Amazon as a more exclusive brand.],'Total analysis'!C78)</f>
        <v>18</v>
      </c>
    </row>
    <row r="77" spans="1:6" x14ac:dyDescent="0.2">
      <c r="B77" s="11" t="s">
        <v>98</v>
      </c>
      <c r="C77" s="9">
        <v>3</v>
      </c>
      <c r="D77" s="9">
        <f>COUNTIF(Table_thesis[If AmazonPay were available, I would see Amazon as a more exclusive brand.],'Total analysis'!C79)</f>
        <v>32</v>
      </c>
    </row>
    <row r="78" spans="1:6" x14ac:dyDescent="0.2">
      <c r="C78" s="9">
        <v>2</v>
      </c>
      <c r="D78" s="9">
        <f>COUNTIF(Table_thesis[If AmazonPay were available, I would see Amazon as a more exclusive brand.],'Total analysis'!C80)</f>
        <v>11</v>
      </c>
    </row>
    <row r="79" spans="1:6" x14ac:dyDescent="0.2">
      <c r="C79" s="9">
        <v>1</v>
      </c>
      <c r="D79" s="9">
        <f>COUNTIF(Table_thesis[If AmazonPay were available, I would see Amazon as a more exclusive brand.],'Total analysis'!C81)</f>
        <v>27</v>
      </c>
    </row>
    <row r="81" spans="1:6" ht="32" x14ac:dyDescent="0.2">
      <c r="A81" s="12" t="s">
        <v>86</v>
      </c>
      <c r="B81" s="3" t="s">
        <v>100</v>
      </c>
      <c r="C81" s="9">
        <v>5</v>
      </c>
      <c r="D81" s="9">
        <f>COUNTIF(Table_thesis[Amazon would attract high status shoppers, if they added AmazonPay. ],'Total analysis'!C83)</f>
        <v>9</v>
      </c>
      <c r="E81" s="25" t="s">
        <v>81</v>
      </c>
      <c r="F81" s="22">
        <f>AVERAGE('Gen Z and Millenials'!I:O)</f>
        <v>3.4223880597014924</v>
      </c>
    </row>
    <row r="82" spans="1:6" x14ac:dyDescent="0.2">
      <c r="B82" s="11" t="s">
        <v>97</v>
      </c>
      <c r="C82" s="9">
        <v>4</v>
      </c>
      <c r="D82" s="9">
        <f>COUNTIF(Table_thesis[Amazon would attract high status shoppers, if they added AmazonPay. ],'Total analysis'!C84)</f>
        <v>9</v>
      </c>
    </row>
    <row r="83" spans="1:6" x14ac:dyDescent="0.2">
      <c r="B83" s="11" t="s">
        <v>98</v>
      </c>
      <c r="C83" s="9">
        <v>3</v>
      </c>
      <c r="D83" s="9">
        <f>COUNTIF(Table_thesis[Amazon would attract high status shoppers, if they added AmazonPay. ],'Total analysis'!C85)</f>
        <v>33</v>
      </c>
    </row>
    <row r="84" spans="1:6" x14ac:dyDescent="0.2">
      <c r="C84" s="9">
        <v>2</v>
      </c>
      <c r="D84" s="9">
        <f>COUNTIF(Table_thesis[Amazon would attract high status shoppers, if they added AmazonPay. ],'Total analysis'!C86)</f>
        <v>20</v>
      </c>
    </row>
    <row r="85" spans="1:6" x14ac:dyDescent="0.2">
      <c r="C85" s="9">
        <v>1</v>
      </c>
      <c r="D85" s="9">
        <f>COUNTIF(Table_thesis[Amazon would attract high status shoppers, if they added AmazonPay. ],'Total analysis'!C87)</f>
        <v>24</v>
      </c>
    </row>
    <row r="87" spans="1:6" ht="48" x14ac:dyDescent="0.2">
      <c r="A87" s="12" t="s">
        <v>87</v>
      </c>
      <c r="B87" s="3" t="s">
        <v>140</v>
      </c>
      <c r="C87" s="9">
        <v>5</v>
      </c>
      <c r="D87" s="9">
        <f>COUNTIF(Table_thesis[Not offering BNPL makes me think the brand is targeting customers who value exclusivity and personal service.],'Total analysis'!C89)</f>
        <v>17</v>
      </c>
      <c r="E87" s="25" t="s">
        <v>81</v>
      </c>
      <c r="F87" s="22">
        <f>AVERAGE('Gen Z and Millenials'!I:P)</f>
        <v>3.5745784695201039</v>
      </c>
    </row>
    <row r="88" spans="1:6" x14ac:dyDescent="0.2">
      <c r="B88" s="11" t="s">
        <v>97</v>
      </c>
      <c r="C88" s="9">
        <v>4</v>
      </c>
      <c r="D88" s="9">
        <f>COUNTIF(Table_thesis[Not offering BNPL makes me think the brand is targeting customers who value exclusivity and personal service.],'Total analysis'!C90)</f>
        <v>11</v>
      </c>
    </row>
    <row r="89" spans="1:6" x14ac:dyDescent="0.2">
      <c r="B89" s="11" t="s">
        <v>98</v>
      </c>
      <c r="C89" s="9">
        <v>3</v>
      </c>
      <c r="D89" s="9">
        <f>COUNTIF(Table_thesis[Not offering BNPL makes me think the brand is targeting customers who value exclusivity and personal service.],'Total analysis'!C91)</f>
        <v>29</v>
      </c>
    </row>
    <row r="90" spans="1:6" x14ac:dyDescent="0.2">
      <c r="C90" s="9">
        <v>2</v>
      </c>
      <c r="D90" s="9">
        <f>COUNTIF(Table_thesis[Not offering BNPL makes me think the brand is targeting customers who value exclusivity and personal service.],'Total analysis'!C92)</f>
        <v>19</v>
      </c>
    </row>
    <row r="91" spans="1:6" x14ac:dyDescent="0.2">
      <c r="C91" s="9">
        <v>1</v>
      </c>
      <c r="D91" s="9">
        <f>COUNTIF(Table_thesis[Not offering BNPL makes me think the brand is targeting customers who value exclusivity and personal service.],'Total analysis'!C93)</f>
        <v>19</v>
      </c>
    </row>
    <row r="93" spans="1:6" ht="32" x14ac:dyDescent="0.2">
      <c r="A93" s="12" t="s">
        <v>92</v>
      </c>
      <c r="B93" s="3" t="s">
        <v>141</v>
      </c>
      <c r="C93" s="9">
        <v>5</v>
      </c>
      <c r="D93" s="9">
        <f>COUNTIF(Table_thesis[I would expect luxury products (e.g., Lamborghini, high-end Rolex, mansion) to be sold without BNPL options.],'Total analysis'!C95)</f>
        <v>45</v>
      </c>
      <c r="E93" s="25" t="s">
        <v>81</v>
      </c>
      <c r="F93" s="22">
        <f>AVERAGE('Gen Z and Millenials'!I:Q)</f>
        <v>3.5935334872979214</v>
      </c>
    </row>
    <row r="94" spans="1:6" x14ac:dyDescent="0.2">
      <c r="B94" s="11" t="s">
        <v>97</v>
      </c>
      <c r="C94" s="9">
        <v>4</v>
      </c>
      <c r="D94" s="9">
        <f>COUNTIF(Table_thesis[I would expect luxury products (e.g., Lamborghini, high-end Rolex, mansion) to be sold without BNPL options.],'Total analysis'!C96)</f>
        <v>15</v>
      </c>
    </row>
    <row r="95" spans="1:6" x14ac:dyDescent="0.2">
      <c r="B95" s="11" t="s">
        <v>98</v>
      </c>
      <c r="C95" s="9">
        <v>3</v>
      </c>
      <c r="D95" s="9">
        <f>COUNTIF(Table_thesis[I would expect luxury products (e.g., Lamborghini, high-end Rolex, mansion) to be sold without BNPL options.],'Total analysis'!C97)</f>
        <v>12</v>
      </c>
    </row>
    <row r="96" spans="1:6" x14ac:dyDescent="0.2">
      <c r="C96" s="9">
        <v>2</v>
      </c>
      <c r="D96" s="9">
        <f>COUNTIF(Table_thesis[I would expect luxury products (e.g., Lamborghini, high-end Rolex, mansion) to be sold without BNPL options.],'Total analysis'!C98)</f>
        <v>12</v>
      </c>
    </row>
    <row r="97" spans="1:6" x14ac:dyDescent="0.2">
      <c r="C97" s="9">
        <v>1</v>
      </c>
      <c r="D97" s="9">
        <f>COUNTIF(Table_thesis[I would expect luxury products (e.g., Lamborghini, high-end Rolex, mansion) to be sold without BNPL options.],'Total analysis'!C99)</f>
        <v>11</v>
      </c>
    </row>
    <row r="99" spans="1:6" ht="48" x14ac:dyDescent="0.2">
      <c r="A99" s="12" t="s">
        <v>93</v>
      </c>
      <c r="B99" s="3" t="s">
        <v>16</v>
      </c>
      <c r="C99" s="9">
        <v>5</v>
      </c>
      <c r="D99" s="9">
        <f>COUNTIF(Table_thesis[Offering BNPL for luxury products would make them feel less exclusive.],'Total analysis'!C101)</f>
        <v>33</v>
      </c>
      <c r="E99" s="25" t="s">
        <v>81</v>
      </c>
      <c r="F99" s="22">
        <f>AVERAGE('Gen Z and Millenials'!I:R)</f>
        <v>3.5806451612903225</v>
      </c>
    </row>
    <row r="100" spans="1:6" x14ac:dyDescent="0.2">
      <c r="B100" s="11" t="s">
        <v>97</v>
      </c>
      <c r="C100" s="9">
        <v>4</v>
      </c>
      <c r="D100" s="9">
        <f>COUNTIF(Table_thesis[Offering BNPL for luxury products would make them feel less exclusive.],'Total analysis'!C102)</f>
        <v>19</v>
      </c>
    </row>
    <row r="101" spans="1:6" x14ac:dyDescent="0.2">
      <c r="B101" s="11" t="s">
        <v>98</v>
      </c>
      <c r="C101" s="9">
        <v>3</v>
      </c>
      <c r="D101" s="9">
        <f>COUNTIF(Table_thesis[Offering BNPL for luxury products would make them feel less exclusive.],'Total analysis'!C103)</f>
        <v>16</v>
      </c>
    </row>
    <row r="102" spans="1:6" x14ac:dyDescent="0.2">
      <c r="C102" s="9">
        <v>2</v>
      </c>
      <c r="D102" s="9">
        <f>COUNTIF(Table_thesis[Offering BNPL for luxury products would make them feel less exclusive.],'Total analysis'!C104)</f>
        <v>13</v>
      </c>
    </row>
    <row r="103" spans="1:6" x14ac:dyDescent="0.2">
      <c r="C103" s="9">
        <v>1</v>
      </c>
      <c r="D103" s="9">
        <f>COUNTIF(Table_thesis[Offering BNPL for luxury products would make them feel less exclusive.],'Total analysis'!C105)</f>
        <v>14</v>
      </c>
    </row>
    <row r="105" spans="1:6" ht="48" x14ac:dyDescent="0.2">
      <c r="A105" s="12" t="s">
        <v>94</v>
      </c>
      <c r="B105" s="3" t="s">
        <v>99</v>
      </c>
      <c r="C105" s="9">
        <v>5</v>
      </c>
      <c r="D105" s="9">
        <f>COUNTIF(Table_thesis[Having this loan option, AmazonPay, would make me more likely to buy now.],'Total analysis'!C107)</f>
        <v>11</v>
      </c>
      <c r="E105" s="25" t="s">
        <v>81</v>
      </c>
      <c r="F105" s="22">
        <f>AVERAGE('Gen Z and Millenials'!I:S)</f>
        <v>3.5284090909090908</v>
      </c>
    </row>
    <row r="106" spans="1:6" x14ac:dyDescent="0.2">
      <c r="C106" s="9">
        <v>4</v>
      </c>
      <c r="D106" s="9">
        <f>COUNTIF(Table_thesis[Having this loan option, AmazonPay, would make me more likely to buy now.],'Total analysis'!C108)</f>
        <v>25</v>
      </c>
    </row>
    <row r="107" spans="1:6" x14ac:dyDescent="0.2">
      <c r="C107" s="9">
        <v>3</v>
      </c>
      <c r="D107" s="9">
        <f>COUNTIF(Table_thesis[Having this loan option, AmazonPay, would make me more likely to buy now.],'Total analysis'!C109)</f>
        <v>32</v>
      </c>
    </row>
    <row r="108" spans="1:6" x14ac:dyDescent="0.2">
      <c r="C108" s="9">
        <v>2</v>
      </c>
      <c r="D108" s="9">
        <f>COUNTIF(Table_thesis[Having this loan option, AmazonPay, would make me more likely to buy now.],'Total analysis'!C110)</f>
        <v>7</v>
      </c>
    </row>
    <row r="109" spans="1:6" x14ac:dyDescent="0.2">
      <c r="C109" s="9">
        <v>1</v>
      </c>
      <c r="D109" s="9">
        <f>COUNTIF(Table_thesis[Having this loan option, AmazonPay, would make me more likely to buy now.],'Total analysis'!C111)</f>
        <v>20</v>
      </c>
    </row>
    <row r="111" spans="1:6" ht="32" x14ac:dyDescent="0.2">
      <c r="A111" s="12" t="s">
        <v>95</v>
      </c>
      <c r="B111" s="3" t="s">
        <v>18</v>
      </c>
      <c r="C111" s="9" t="s">
        <v>41</v>
      </c>
      <c r="D111" s="9">
        <f>COUNTIF(Table_thesis[I would buy unplanned items, if AmazonPay were available.],'Total analysis'!C113)</f>
        <v>48</v>
      </c>
      <c r="E111" s="25" t="s">
        <v>96</v>
      </c>
      <c r="F111" s="22">
        <f>AVERAGE('Gen Z and Millenials'!I:T)</f>
        <v>3.5284090909090908</v>
      </c>
    </row>
    <row r="112" spans="1:6" x14ac:dyDescent="0.2">
      <c r="C112" s="9" t="s">
        <v>49</v>
      </c>
      <c r="D112" s="9">
        <f>COUNTIF(Table_thesis[I would buy unplanned items, if AmazonPay were available.],'Total analysis'!C114)</f>
        <v>47</v>
      </c>
    </row>
    <row r="115" spans="1:6" ht="48" x14ac:dyDescent="0.2">
      <c r="A115" s="12" t="s">
        <v>106</v>
      </c>
      <c r="B115" s="3" t="s">
        <v>19</v>
      </c>
      <c r="C115" s="4" t="s">
        <v>41</v>
      </c>
      <c r="D115" s="4">
        <f>COUNTIF(Table_thesis[If AmazonPay were available, I would spend more money than planned.],'Gen Z &amp; Millenials analysis'!C115)</f>
        <v>46</v>
      </c>
      <c r="E115" s="25" t="s">
        <v>96</v>
      </c>
      <c r="F115" s="22">
        <f>AVERAGE('Gen Z and Millenials'!I:U)</f>
        <v>3.5284090909090908</v>
      </c>
    </row>
    <row r="116" spans="1:6" x14ac:dyDescent="0.2">
      <c r="C116" s="8" t="s">
        <v>42</v>
      </c>
      <c r="D116" s="4">
        <f>COUNTIF(Table_thesis[If AmazonPay were available, I would spend more money than planned.],'Gen Z &amp; Millenials analysis'!C116)</f>
        <v>49</v>
      </c>
    </row>
    <row r="118" spans="1:6" ht="32" x14ac:dyDescent="0.2">
      <c r="A118" s="12" t="s">
        <v>107</v>
      </c>
      <c r="B118" s="3" t="s">
        <v>20</v>
      </c>
      <c r="C118" s="4" t="s">
        <v>41</v>
      </c>
      <c r="D118" s="4">
        <f>COUNTIF(Table_thesis[If AmazonPay were available, I would choose higher priced items.],'Total analysis'!C120)</f>
        <v>32</v>
      </c>
      <c r="E118" s="25" t="s">
        <v>96</v>
      </c>
      <c r="F118" s="22">
        <f>AVERAGE('Gen Z and Millenials'!I:V)</f>
        <v>3.5284090909090908</v>
      </c>
    </row>
    <row r="119" spans="1:6" x14ac:dyDescent="0.2">
      <c r="C119" s="8" t="s">
        <v>42</v>
      </c>
      <c r="D119" s="4">
        <f>COUNTIF(Table_thesis[If AmazonPay were available, I would choose higher priced items.],'Total analysis'!C121)</f>
        <v>63</v>
      </c>
    </row>
    <row r="121" spans="1:6" ht="64" x14ac:dyDescent="0.2">
      <c r="A121" s="12" t="s">
        <v>108</v>
      </c>
      <c r="B121" s="3" t="s">
        <v>21</v>
      </c>
      <c r="C121" s="26" t="s">
        <v>109</v>
      </c>
      <c r="D121" s="4">
        <f>COUNTIF(Table_thesis[If you were making an online purchase of $200 today, which payment option would you be most likely to choose?],'Gen Z and Millenials'!W2)</f>
        <v>45</v>
      </c>
      <c r="E121" s="25" t="s">
        <v>96</v>
      </c>
      <c r="F121" s="22"/>
    </row>
    <row r="122" spans="1:6" ht="80" x14ac:dyDescent="0.2">
      <c r="C122" s="26" t="s">
        <v>110</v>
      </c>
      <c r="D122" s="4">
        <f>COUNTIF(Table_thesis[If you were making an online purchase of $200 today, which payment option would you be most likely to choose?],'Gen Z and Millenials'!W84)</f>
        <v>8</v>
      </c>
    </row>
    <row r="123" spans="1:6" ht="50" customHeight="1" x14ac:dyDescent="0.2">
      <c r="C123" s="27" t="s">
        <v>112</v>
      </c>
      <c r="D123" s="4">
        <f>COUNTIF(Table_thesis[If you were making an online purchase of $200 today, which payment option would you be most likely to choose?],'Gen Z and Millenials'!W81)</f>
        <v>13</v>
      </c>
    </row>
    <row r="124" spans="1:6" ht="30" x14ac:dyDescent="0.2">
      <c r="C124" s="27" t="s">
        <v>111</v>
      </c>
      <c r="D124" s="4">
        <f>COUNTIF(Table_thesis[If you were making an online purchase of $200 today, which payment option would you be most likely to choose?],'Gen Z and Millenials'!W89)</f>
        <v>29</v>
      </c>
    </row>
  </sheetData>
  <mergeCells count="1">
    <mergeCell ref="B1:D1"/>
  </mergeCells>
  <conditionalFormatting sqref="D12:D2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{C338F3CB-19BC-A34E-8EC6-B88DD71B4972}</x14:id>
        </ext>
      </extLst>
    </cfRule>
  </conditionalFormatting>
  <conditionalFormatting sqref="D28:D2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{AA552ACB-428A-FA47-943D-0C96D38F5B84}</x14:id>
        </ext>
      </extLst>
    </cfRule>
  </conditionalFormatting>
  <conditionalFormatting sqref="D31:D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{EEF82252-E756-EE49-A4C9-1677D9DB9190}</x14:id>
        </ext>
      </extLst>
    </cfRule>
  </conditionalFormatting>
  <conditionalFormatting sqref="D121:D1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{617B629B-D1B7-C74A-A68C-FD7A7DBBE9A6}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38F3CB-19BC-A34E-8EC6-B88DD71B49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D12:D26</xm:sqref>
        </x14:conditionalFormatting>
        <x14:conditionalFormatting xmlns:xm="http://schemas.microsoft.com/office/excel/2006/main">
          <x14:cfRule type="dataBar" id="{AA552ACB-428A-FA47-943D-0C96D38F5B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D28:D29</xm:sqref>
        </x14:conditionalFormatting>
        <x14:conditionalFormatting xmlns:xm="http://schemas.microsoft.com/office/excel/2006/main">
          <x14:cfRule type="dataBar" id="{EEF82252-E756-EE49-A4C9-1677D9DB91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D31:D33</xm:sqref>
        </x14:conditionalFormatting>
        <x14:conditionalFormatting xmlns:xm="http://schemas.microsoft.com/office/excel/2006/main">
          <x14:cfRule type="dataBar" id="{617B629B-D1B7-C74A-A68C-FD7A7DBBE9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D121:D124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79FA-40D3-5A48-B507-23084C1C8521}">
  <sheetPr>
    <tabColor theme="9" tint="0.79998168889431442"/>
  </sheetPr>
  <dimension ref="A3:D14"/>
  <sheetViews>
    <sheetView tabSelected="1" zoomScale="139" workbookViewId="0">
      <selection activeCell="C21" sqref="C21"/>
    </sheetView>
  </sheetViews>
  <sheetFormatPr baseColWidth="10" defaultRowHeight="16" x14ac:dyDescent="0.2"/>
  <cols>
    <col min="1" max="1" width="10.83203125" style="39"/>
    <col min="2" max="2" width="38.83203125" customWidth="1"/>
    <col min="3" max="3" width="17.1640625" customWidth="1"/>
    <col min="4" max="4" width="5.5" customWidth="1"/>
  </cols>
  <sheetData>
    <row r="3" spans="1:4" ht="19" x14ac:dyDescent="0.25">
      <c r="B3" s="37" t="s">
        <v>114</v>
      </c>
      <c r="C3" s="37"/>
    </row>
    <row r="5" spans="1:4" x14ac:dyDescent="0.2">
      <c r="A5" s="39" t="s">
        <v>76</v>
      </c>
      <c r="B5" s="3" t="s">
        <v>105</v>
      </c>
      <c r="C5" s="9" t="s">
        <v>41</v>
      </c>
      <c r="D5" s="9">
        <v>55</v>
      </c>
    </row>
    <row r="6" spans="1:4" x14ac:dyDescent="0.2">
      <c r="B6" s="10"/>
      <c r="C6" s="9" t="s">
        <v>42</v>
      </c>
      <c r="D6" s="9">
        <v>19</v>
      </c>
    </row>
    <row r="7" spans="1:4" ht="32" x14ac:dyDescent="0.2">
      <c r="B7" s="10"/>
      <c r="C7" s="20" t="s">
        <v>69</v>
      </c>
      <c r="D7" s="9">
        <v>20</v>
      </c>
    </row>
    <row r="8" spans="1:4" x14ac:dyDescent="0.2">
      <c r="B8" s="43" t="s">
        <v>128</v>
      </c>
      <c r="C8" s="43"/>
    </row>
    <row r="9" spans="1:4" x14ac:dyDescent="0.2">
      <c r="A9" s="39" t="s">
        <v>131</v>
      </c>
      <c r="B9" s="2" t="s">
        <v>132</v>
      </c>
      <c r="C9" s="42">
        <f>AVERAGE('Gen Z &amp; Millenials analysis'!F39,'Gen Z &amp; Millenials analysis'!F45,'Gen Z &amp; Millenials analysis'!F57,'Gen Z &amp; Millenials analysis'!F63)</f>
        <v>4.1434210526315791</v>
      </c>
    </row>
    <row r="10" spans="1:4" x14ac:dyDescent="0.2">
      <c r="C10" s="4"/>
    </row>
    <row r="11" spans="1:4" x14ac:dyDescent="0.2">
      <c r="A11" s="39" t="s">
        <v>79</v>
      </c>
      <c r="B11" s="23" t="s">
        <v>115</v>
      </c>
      <c r="C11" s="42">
        <f>'Gen Z &amp; Millenials analysis'!F51</f>
        <v>4.0789473684210522</v>
      </c>
    </row>
    <row r="12" spans="1:4" x14ac:dyDescent="0.2">
      <c r="B12" s="35"/>
      <c r="C12" s="4"/>
    </row>
    <row r="13" spans="1:4" x14ac:dyDescent="0.2">
      <c r="A13" s="39" t="s">
        <v>124</v>
      </c>
      <c r="B13" s="23" t="s">
        <v>116</v>
      </c>
      <c r="C13" s="42">
        <f>AVERAGE('Gen Z &amp; Millenials analysis'!F57,'Gen Z &amp; Millenials analysis'!F63)</f>
        <v>4.0236842105263158</v>
      </c>
    </row>
    <row r="14" spans="1:4" x14ac:dyDescent="0.2">
      <c r="B14" s="35"/>
    </row>
  </sheetData>
  <mergeCells count="2">
    <mergeCell ref="B3:C3"/>
    <mergeCell ref="B8:C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BBDC-B466-904F-A39B-16583B134349}">
  <sheetPr>
    <tabColor theme="9" tint="0.79998168889431442"/>
  </sheetPr>
  <dimension ref="A2:I27"/>
  <sheetViews>
    <sheetView topLeftCell="A3" workbookViewId="0">
      <selection activeCell="G8" sqref="G8"/>
    </sheetView>
  </sheetViews>
  <sheetFormatPr baseColWidth="10" defaultRowHeight="19" x14ac:dyDescent="0.2"/>
  <cols>
    <col min="1" max="1" width="10.83203125" style="12"/>
    <col min="2" max="2" width="19.6640625" customWidth="1"/>
    <col min="5" max="5" width="10.83203125" style="4"/>
    <col min="7" max="7" width="18.33203125" customWidth="1"/>
  </cols>
  <sheetData>
    <row r="2" spans="1:6" ht="21" x14ac:dyDescent="0.25">
      <c r="B2" s="41" t="s">
        <v>123</v>
      </c>
      <c r="C2" s="40"/>
      <c r="D2" s="40"/>
      <c r="E2" s="40"/>
      <c r="F2" s="40"/>
    </row>
    <row r="3" spans="1:6" x14ac:dyDescent="0.2">
      <c r="B3" t="s">
        <v>127</v>
      </c>
    </row>
    <row r="6" spans="1:6" x14ac:dyDescent="0.2">
      <c r="B6" s="43" t="s">
        <v>128</v>
      </c>
      <c r="C6" s="43"/>
    </row>
    <row r="7" spans="1:6" ht="48" x14ac:dyDescent="0.2">
      <c r="A7" s="12" t="s">
        <v>126</v>
      </c>
      <c r="B7" s="3" t="s">
        <v>130</v>
      </c>
      <c r="C7" s="42">
        <f>AVERAGE('Gen Z &amp; Millenials analysis'!F87,'Gen Z &amp; Millenials analysis'!F93,'Gen Z &amp; Millenials analysis'!F99)</f>
        <v>3.582919039369449</v>
      </c>
    </row>
    <row r="9" spans="1:6" ht="50" customHeight="1" x14ac:dyDescent="0.2">
      <c r="A9" s="12" t="s">
        <v>84</v>
      </c>
      <c r="B9" s="3" t="s">
        <v>129</v>
      </c>
      <c r="C9" s="42">
        <f>'Gen Z &amp; Millenials analysis'!F69</f>
        <v>3.7515789473684209</v>
      </c>
    </row>
    <row r="10" spans="1:6" x14ac:dyDescent="0.2">
      <c r="F10" s="9" t="s">
        <v>137</v>
      </c>
    </row>
    <row r="11" spans="1:6" ht="19" customHeight="1" x14ac:dyDescent="0.2">
      <c r="A11" s="56" t="s">
        <v>139</v>
      </c>
      <c r="B11" s="49" t="s">
        <v>133</v>
      </c>
      <c r="C11" s="50"/>
      <c r="D11" s="51"/>
      <c r="E11" s="45" t="s">
        <v>134</v>
      </c>
      <c r="F11" s="55">
        <f>COUNTIF(Table_thesis[Financial_Stability], 1)</f>
        <v>45</v>
      </c>
    </row>
    <row r="12" spans="1:6" ht="19" customHeight="1" x14ac:dyDescent="0.2">
      <c r="A12" s="56"/>
      <c r="B12" s="52"/>
      <c r="C12" s="53"/>
      <c r="D12" s="54"/>
      <c r="E12" s="45"/>
      <c r="F12" s="55"/>
    </row>
    <row r="13" spans="1:6" ht="19" customHeight="1" x14ac:dyDescent="0.2">
      <c r="A13" s="56"/>
      <c r="B13" s="46" t="s">
        <v>138</v>
      </c>
      <c r="C13" s="47"/>
      <c r="D13" s="48"/>
      <c r="E13" s="2" t="s">
        <v>135</v>
      </c>
      <c r="F13" s="9">
        <f>COUNTIF(Table_thesis[Financial_Stability], 0)</f>
        <v>50</v>
      </c>
    </row>
    <row r="15" spans="1:6" x14ac:dyDescent="0.2">
      <c r="E15" s="2" t="s">
        <v>144</v>
      </c>
    </row>
    <row r="16" spans="1:6" ht="52" x14ac:dyDescent="0.2">
      <c r="A16" s="12" t="s">
        <v>87</v>
      </c>
      <c r="B16" s="57" t="s">
        <v>140</v>
      </c>
      <c r="C16" s="58" t="s">
        <v>142</v>
      </c>
      <c r="D16" s="58"/>
      <c r="E16" s="9">
        <f>AVERAGEIF(Table_thesis[Financial_Stability],1,Table_thesis[Not offering BNPL makes me think the brand is targeting customers who value exclusivity and personal service.])</f>
        <v>2.6</v>
      </c>
    </row>
    <row r="17" spans="1:9" x14ac:dyDescent="0.2">
      <c r="C17" s="58" t="s">
        <v>143</v>
      </c>
      <c r="D17" s="58"/>
      <c r="E17" s="42">
        <f>AVERAGEIF(Table_thesis[Financial_Stability],0,Table_thesis[Not offering BNPL makes me think the brand is targeting customers who value exclusivity and personal service.])</f>
        <v>3.12</v>
      </c>
    </row>
    <row r="18" spans="1:9" x14ac:dyDescent="0.2">
      <c r="F18" s="60"/>
      <c r="G18" s="60"/>
      <c r="H18" s="60"/>
      <c r="I18" s="60"/>
    </row>
    <row r="19" spans="1:9" x14ac:dyDescent="0.2">
      <c r="E19" s="2" t="s">
        <v>144</v>
      </c>
      <c r="F19" s="60"/>
      <c r="G19" s="61" t="s">
        <v>151</v>
      </c>
      <c r="H19" s="62">
        <f>AVERAGE('Gen Z and Millenials'!O:W)</f>
        <v>3.4814814814814814</v>
      </c>
      <c r="I19" t="s">
        <v>150</v>
      </c>
    </row>
    <row r="20" spans="1:9" ht="39" x14ac:dyDescent="0.2">
      <c r="A20" s="12" t="s">
        <v>92</v>
      </c>
      <c r="B20" s="59" t="s">
        <v>141</v>
      </c>
      <c r="C20" s="58" t="s">
        <v>142</v>
      </c>
      <c r="D20" s="58"/>
      <c r="E20" s="42">
        <f>AVERAGEIF(Table_thesis[Financial_Stability],1,Table_thesis[I would expect luxury products (e.g., Lamborghini, high-end Rolex, mansion) to be sold without BNPL options.])</f>
        <v>3.7555555555555555</v>
      </c>
      <c r="F20" s="60"/>
      <c r="G20" s="61"/>
      <c r="H20" s="62"/>
    </row>
    <row r="21" spans="1:9" x14ac:dyDescent="0.2">
      <c r="C21" s="58" t="s">
        <v>143</v>
      </c>
      <c r="D21" s="58"/>
      <c r="E21" s="42">
        <f>AVERAGEIF(Table_thesis[Financial_Stability],0,Table_thesis[I would expect luxury products (e.g., Lamborghini, high-end Rolex, mansion) to be sold without BNPL options.])</f>
        <v>3.74</v>
      </c>
      <c r="F21" s="60"/>
      <c r="G21" s="61"/>
      <c r="H21" s="62"/>
      <c r="I21" s="60"/>
    </row>
    <row r="23" spans="1:9" x14ac:dyDescent="0.25">
      <c r="C23" s="36" t="s">
        <v>145</v>
      </c>
      <c r="D23" s="36"/>
    </row>
    <row r="24" spans="1:9" x14ac:dyDescent="0.2">
      <c r="C24" t="s">
        <v>146</v>
      </c>
    </row>
    <row r="25" spans="1:9" x14ac:dyDescent="0.2">
      <c r="C25" t="s">
        <v>147</v>
      </c>
    </row>
    <row r="26" spans="1:9" x14ac:dyDescent="0.2">
      <c r="C26" t="s">
        <v>148</v>
      </c>
    </row>
    <row r="27" spans="1:9" x14ac:dyDescent="0.2">
      <c r="C27" t="s">
        <v>149</v>
      </c>
    </row>
  </sheetData>
  <mergeCells count="14">
    <mergeCell ref="G19:G21"/>
    <mergeCell ref="H19:H21"/>
    <mergeCell ref="C16:D16"/>
    <mergeCell ref="C17:D17"/>
    <mergeCell ref="C20:D20"/>
    <mergeCell ref="C21:D21"/>
    <mergeCell ref="C23:D23"/>
    <mergeCell ref="B2:F2"/>
    <mergeCell ref="B6:C6"/>
    <mergeCell ref="E11:E12"/>
    <mergeCell ref="B11:D12"/>
    <mergeCell ref="B13:D13"/>
    <mergeCell ref="F11:F12"/>
    <mergeCell ref="A11:A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ED69-68C1-7C45-AAFC-92EF12978201}">
  <dimension ref="B2:F2"/>
  <sheetViews>
    <sheetView topLeftCell="D1" zoomScale="132" workbookViewId="0">
      <selection activeCell="B2" sqref="B2:F2"/>
    </sheetView>
  </sheetViews>
  <sheetFormatPr baseColWidth="10" defaultRowHeight="15" x14ac:dyDescent="0.2"/>
  <sheetData>
    <row r="2" spans="2:6" ht="21" x14ac:dyDescent="0.25">
      <c r="B2" s="41" t="s">
        <v>123</v>
      </c>
      <c r="C2" s="40"/>
      <c r="D2" s="40"/>
      <c r="E2" s="40"/>
      <c r="F2" s="40"/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Total analysis</vt:lpstr>
      <vt:lpstr>Steps Taken</vt:lpstr>
      <vt:lpstr>Gen Z and Millenials</vt:lpstr>
      <vt:lpstr>Gen Z &amp; Millenials analysis</vt:lpstr>
      <vt:lpstr>Testing H1</vt:lpstr>
      <vt:lpstr>Testing H2</vt:lpstr>
      <vt:lpstr>Testing 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Barroeta Lares, Gabriela (SRH Hochschule Heidelberg St</cp:lastModifiedBy>
  <dcterms:created xsi:type="dcterms:W3CDTF">2025-08-23T21:20:55Z</dcterms:created>
  <dcterms:modified xsi:type="dcterms:W3CDTF">2025-08-27T23:48:31Z</dcterms:modified>
</cp:coreProperties>
</file>