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adamico/Documents/"/>
    </mc:Choice>
  </mc:AlternateContent>
  <bookViews>
    <workbookView xWindow="640" yWindow="1180" windowWidth="28160" windowHeight="15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93" i="1" l="1"/>
  <c r="C193" i="1"/>
  <c r="AA192" i="1"/>
  <c r="C192" i="1"/>
  <c r="AA191" i="1"/>
  <c r="C191" i="1"/>
  <c r="AA190" i="1"/>
  <c r="C190" i="1"/>
  <c r="AA189" i="1"/>
  <c r="C189" i="1"/>
  <c r="AA188" i="1"/>
  <c r="C188" i="1"/>
  <c r="AA187" i="1"/>
  <c r="C187" i="1"/>
  <c r="AA186" i="1"/>
  <c r="C186" i="1"/>
  <c r="AA185" i="1"/>
  <c r="C185" i="1"/>
  <c r="AA184" i="1"/>
  <c r="C184" i="1"/>
  <c r="AA183" i="1"/>
  <c r="C183" i="1"/>
  <c r="AA182" i="1"/>
  <c r="C182" i="1"/>
  <c r="AA181" i="1"/>
  <c r="C181" i="1"/>
  <c r="AA180" i="1"/>
  <c r="C180" i="1"/>
  <c r="AA179" i="1"/>
  <c r="C179" i="1"/>
  <c r="AA178" i="1"/>
  <c r="C178" i="1"/>
  <c r="AA177" i="1"/>
  <c r="C177" i="1"/>
  <c r="AA176" i="1"/>
  <c r="C176" i="1"/>
  <c r="AA175" i="1"/>
  <c r="C175" i="1"/>
  <c r="AA174" i="1"/>
  <c r="C174" i="1"/>
  <c r="AA173" i="1"/>
  <c r="C173" i="1"/>
  <c r="AA172" i="1"/>
  <c r="C172" i="1"/>
  <c r="AA171" i="1"/>
  <c r="C171" i="1"/>
  <c r="AA170" i="1"/>
  <c r="C170" i="1"/>
  <c r="AA169" i="1"/>
  <c r="C169" i="1"/>
  <c r="AA168" i="1"/>
  <c r="C168" i="1"/>
  <c r="AA167" i="1"/>
  <c r="C167" i="1"/>
  <c r="AA166" i="1"/>
  <c r="C166" i="1"/>
  <c r="AA165" i="1"/>
  <c r="C165" i="1"/>
  <c r="AA164" i="1"/>
  <c r="C164" i="1"/>
  <c r="AA163" i="1"/>
  <c r="C163" i="1"/>
  <c r="AA162" i="1"/>
  <c r="C162" i="1"/>
  <c r="AA161" i="1"/>
  <c r="C161" i="1"/>
  <c r="AA160" i="1"/>
  <c r="C160" i="1"/>
  <c r="AA159" i="1"/>
  <c r="C159" i="1"/>
  <c r="AA158" i="1"/>
  <c r="C158" i="1"/>
  <c r="AA157" i="1"/>
  <c r="C157" i="1"/>
  <c r="AA156" i="1"/>
  <c r="C156" i="1"/>
  <c r="AA155" i="1"/>
  <c r="C155" i="1"/>
  <c r="AA154" i="1"/>
  <c r="C154" i="1"/>
  <c r="AA153" i="1"/>
  <c r="C153" i="1"/>
  <c r="AA152" i="1"/>
  <c r="C152" i="1"/>
  <c r="AA151" i="1"/>
  <c r="C151" i="1"/>
  <c r="AA150" i="1"/>
  <c r="C150" i="1"/>
  <c r="AA149" i="1"/>
  <c r="C149" i="1"/>
  <c r="AA148" i="1"/>
  <c r="C148" i="1"/>
  <c r="AA147" i="1"/>
  <c r="C147" i="1"/>
  <c r="AA146" i="1"/>
  <c r="C146" i="1"/>
  <c r="AA145" i="1"/>
  <c r="C145" i="1"/>
  <c r="AA144" i="1"/>
  <c r="C144" i="1"/>
  <c r="AA143" i="1"/>
  <c r="C143" i="1"/>
  <c r="AA142" i="1"/>
  <c r="C142" i="1"/>
  <c r="AA141" i="1"/>
  <c r="C141" i="1"/>
  <c r="AA140" i="1"/>
  <c r="C140" i="1"/>
  <c r="AA139" i="1"/>
  <c r="C139" i="1"/>
  <c r="AA138" i="1"/>
  <c r="C138" i="1"/>
  <c r="AA137" i="1"/>
  <c r="C137" i="1"/>
  <c r="AA136" i="1"/>
  <c r="C136" i="1"/>
  <c r="AA135" i="1"/>
  <c r="C135" i="1"/>
  <c r="AA134" i="1"/>
  <c r="C134" i="1"/>
  <c r="AA133" i="1"/>
  <c r="C133" i="1"/>
  <c r="AA132" i="1"/>
  <c r="C132" i="1"/>
  <c r="AA131" i="1"/>
  <c r="C131" i="1"/>
  <c r="AA130" i="1"/>
  <c r="C130" i="1"/>
  <c r="AA129" i="1"/>
  <c r="C129" i="1"/>
  <c r="AA128" i="1"/>
  <c r="C128" i="1"/>
  <c r="AA127" i="1"/>
  <c r="C127" i="1"/>
  <c r="AA126" i="1"/>
  <c r="C126" i="1"/>
  <c r="AA125" i="1"/>
  <c r="C125" i="1"/>
  <c r="AA124" i="1"/>
  <c r="C124" i="1"/>
  <c r="AA123" i="1"/>
  <c r="C123" i="1"/>
  <c r="AA122" i="1"/>
  <c r="C122" i="1"/>
  <c r="AA121" i="1"/>
  <c r="C121" i="1"/>
  <c r="AA120" i="1"/>
  <c r="C120" i="1"/>
  <c r="AA119" i="1"/>
  <c r="C119" i="1"/>
  <c r="AA118" i="1"/>
  <c r="C118" i="1"/>
  <c r="AA117" i="1"/>
  <c r="C117" i="1"/>
  <c r="AA116" i="1"/>
  <c r="C116" i="1"/>
  <c r="AA115" i="1"/>
  <c r="C115" i="1"/>
  <c r="AA114" i="1"/>
  <c r="C114" i="1"/>
  <c r="AA113" i="1"/>
  <c r="C113" i="1"/>
  <c r="AA112" i="1"/>
  <c r="C112" i="1"/>
  <c r="AA111" i="1"/>
  <c r="C111" i="1"/>
  <c r="AA110" i="1"/>
  <c r="C110" i="1"/>
  <c r="AA109" i="1"/>
  <c r="C109" i="1"/>
  <c r="AA108" i="1"/>
  <c r="C108" i="1"/>
  <c r="AA107" i="1"/>
  <c r="C107" i="1"/>
  <c r="AA106" i="1"/>
  <c r="C106" i="1"/>
  <c r="AA105" i="1"/>
  <c r="C105" i="1"/>
  <c r="AA104" i="1"/>
  <c r="C104" i="1"/>
  <c r="AA103" i="1"/>
  <c r="C103" i="1"/>
  <c r="AA102" i="1"/>
  <c r="C102" i="1"/>
  <c r="AA101" i="1"/>
  <c r="C101" i="1"/>
  <c r="AA100" i="1"/>
  <c r="C100" i="1"/>
  <c r="AA99" i="1"/>
  <c r="C99" i="1"/>
  <c r="AA98" i="1"/>
  <c r="C98" i="1"/>
  <c r="AA97" i="1"/>
  <c r="C97" i="1"/>
  <c r="AA96" i="1"/>
  <c r="C96" i="1"/>
  <c r="AA95" i="1"/>
  <c r="C95" i="1"/>
  <c r="AA94" i="1"/>
  <c r="C94" i="1"/>
  <c r="AA93" i="1"/>
  <c r="C93" i="1"/>
  <c r="AA92" i="1"/>
  <c r="C92" i="1"/>
  <c r="AA91" i="1"/>
  <c r="C91" i="1"/>
  <c r="AA90" i="1"/>
  <c r="C90" i="1"/>
  <c r="AA89" i="1"/>
  <c r="C89" i="1"/>
  <c r="AA88" i="1"/>
  <c r="C88" i="1"/>
  <c r="AA87" i="1"/>
  <c r="C87" i="1"/>
  <c r="AA86" i="1"/>
  <c r="C86" i="1"/>
  <c r="AA85" i="1"/>
  <c r="C85" i="1"/>
  <c r="AA84" i="1"/>
  <c r="C84" i="1"/>
  <c r="AA83" i="1"/>
  <c r="C83" i="1"/>
  <c r="AA82" i="1"/>
  <c r="C82" i="1"/>
  <c r="AA81" i="1"/>
  <c r="C81" i="1"/>
  <c r="AA80" i="1"/>
  <c r="C80" i="1"/>
  <c r="AA79" i="1"/>
  <c r="C79" i="1"/>
  <c r="AA78" i="1"/>
  <c r="C78" i="1"/>
  <c r="AA77" i="1"/>
  <c r="C77" i="1"/>
  <c r="AA76" i="1"/>
  <c r="C76" i="1"/>
  <c r="AA75" i="1"/>
  <c r="C75" i="1"/>
  <c r="AA74" i="1"/>
  <c r="C74" i="1"/>
  <c r="AA73" i="1"/>
  <c r="C73" i="1"/>
  <c r="AA72" i="1"/>
  <c r="C72" i="1"/>
  <c r="AA71" i="1"/>
  <c r="C71" i="1"/>
  <c r="AA70" i="1"/>
  <c r="C70" i="1"/>
  <c r="AA69" i="1"/>
  <c r="C69" i="1"/>
  <c r="AA68" i="1"/>
  <c r="C68" i="1"/>
  <c r="AA67" i="1"/>
  <c r="C67" i="1"/>
  <c r="AA66" i="1"/>
  <c r="C66" i="1"/>
  <c r="AA65" i="1"/>
  <c r="C65" i="1"/>
  <c r="AA64" i="1"/>
  <c r="C64" i="1"/>
  <c r="AA63" i="1"/>
  <c r="C63" i="1"/>
  <c r="AA62" i="1"/>
  <c r="C62" i="1"/>
  <c r="AA61" i="1"/>
  <c r="C61" i="1"/>
  <c r="AA60" i="1"/>
  <c r="C60" i="1"/>
  <c r="AA59" i="1"/>
  <c r="C59" i="1"/>
  <c r="AA58" i="1"/>
  <c r="C58" i="1"/>
  <c r="AA57" i="1"/>
  <c r="C57" i="1"/>
  <c r="AA56" i="1"/>
  <c r="C56" i="1"/>
  <c r="AA55" i="1"/>
  <c r="C55" i="1"/>
  <c r="AA54" i="1"/>
  <c r="C54" i="1"/>
  <c r="AA53" i="1"/>
  <c r="C53" i="1"/>
  <c r="AA52" i="1"/>
  <c r="C52" i="1"/>
  <c r="AA51" i="1"/>
  <c r="C51" i="1"/>
  <c r="AA50" i="1"/>
  <c r="C50" i="1"/>
  <c r="AA49" i="1"/>
  <c r="C49" i="1"/>
  <c r="AA48" i="1"/>
  <c r="C48" i="1"/>
  <c r="AA47" i="1"/>
  <c r="C47" i="1"/>
  <c r="AA46" i="1"/>
  <c r="C46" i="1"/>
  <c r="AA45" i="1"/>
  <c r="C45" i="1"/>
  <c r="AA44" i="1"/>
  <c r="C44" i="1"/>
  <c r="AA43" i="1"/>
  <c r="C43" i="1"/>
  <c r="AA42" i="1"/>
  <c r="C42" i="1"/>
  <c r="AA41" i="1"/>
  <c r="C41" i="1"/>
  <c r="AA40" i="1"/>
  <c r="C40" i="1"/>
  <c r="AA39" i="1"/>
  <c r="C39" i="1"/>
  <c r="AA38" i="1"/>
  <c r="C38" i="1"/>
  <c r="AA37" i="1"/>
  <c r="C37" i="1"/>
  <c r="U36" i="1"/>
  <c r="V36" i="1"/>
  <c r="AA36" i="1"/>
  <c r="C36" i="1"/>
  <c r="AA35" i="1"/>
  <c r="C35" i="1"/>
  <c r="AA34" i="1"/>
  <c r="C34" i="1"/>
  <c r="AA33" i="1"/>
  <c r="C33" i="1"/>
  <c r="AA32" i="1"/>
  <c r="C32" i="1"/>
  <c r="AA31" i="1"/>
  <c r="C31" i="1"/>
  <c r="AA30" i="1"/>
  <c r="C30" i="1"/>
  <c r="AA29" i="1"/>
  <c r="C29" i="1"/>
  <c r="AA28" i="1"/>
  <c r="C28" i="1"/>
  <c r="AA27" i="1"/>
  <c r="C27" i="1"/>
  <c r="AA26" i="1"/>
  <c r="C26" i="1"/>
  <c r="AA25" i="1"/>
  <c r="C25" i="1"/>
  <c r="AA24" i="1"/>
  <c r="C24" i="1"/>
  <c r="AA23" i="1"/>
  <c r="C23" i="1"/>
  <c r="AA22" i="1"/>
  <c r="C22" i="1"/>
  <c r="AA21" i="1"/>
  <c r="C21" i="1"/>
  <c r="AA20" i="1"/>
  <c r="C20" i="1"/>
  <c r="AA19" i="1"/>
  <c r="C19" i="1"/>
  <c r="AA18" i="1"/>
  <c r="C18" i="1"/>
  <c r="AA17" i="1"/>
  <c r="C17" i="1"/>
  <c r="AA16" i="1"/>
  <c r="C16" i="1"/>
  <c r="AA15" i="1"/>
  <c r="C15" i="1"/>
  <c r="AA14" i="1"/>
  <c r="C14" i="1"/>
  <c r="AA13" i="1"/>
  <c r="C13" i="1"/>
  <c r="AA12" i="1"/>
  <c r="AA11" i="1"/>
  <c r="AA10" i="1"/>
  <c r="AA9" i="1"/>
  <c r="AA8" i="1"/>
  <c r="AA7" i="1"/>
  <c r="AA6" i="1"/>
  <c r="AA5" i="1"/>
  <c r="AA4" i="1"/>
  <c r="AA3" i="1"/>
  <c r="AA2" i="1"/>
  <c r="C2" i="1"/>
  <c r="AA1" i="1"/>
  <c r="C1" i="1"/>
</calcChain>
</file>

<file path=xl/sharedStrings.xml><?xml version="1.0" encoding="utf-8"?>
<sst xmlns="http://schemas.openxmlformats.org/spreadsheetml/2006/main" count="1184" uniqueCount="564">
  <si>
    <t>Afghanistan</t>
  </si>
  <si>
    <t>Asia</t>
  </si>
  <si>
    <t>Persian, Pashto</t>
  </si>
  <si>
    <t>Uzbek, Turkmen, Balochi, Pashayi, Nuristani, Pamir</t>
  </si>
  <si>
    <t>Persian</t>
  </si>
  <si>
    <t>Persian, Pashto, English, Urdu, Pashayi, Nuristani</t>
  </si>
  <si>
    <t>Arabic</t>
  </si>
  <si>
    <t>Uzbek, Turkmen</t>
  </si>
  <si>
    <t>Albania</t>
  </si>
  <si>
    <t>Europe</t>
  </si>
  <si>
    <t>Albanian</t>
  </si>
  <si>
    <t>Albanian, Greek</t>
  </si>
  <si>
    <t>Algeria</t>
  </si>
  <si>
    <t>Africa</t>
  </si>
  <si>
    <t>Arabic, Tamazight</t>
  </si>
  <si>
    <t>French</t>
  </si>
  <si>
    <t>Andorra</t>
  </si>
  <si>
    <t>Catalan</t>
  </si>
  <si>
    <t>Catalan, French, Castilian, Portuguese</t>
  </si>
  <si>
    <t>Angola</t>
  </si>
  <si>
    <t>Portuguese</t>
  </si>
  <si>
    <t>Umbundu, Kikongo, Kimbundu, Chokwe, Nhaneca, Nganguela, Fiote, Kwanhama, Muhumbi, Luvale</t>
  </si>
  <si>
    <t>Antigua and Barbuda</t>
  </si>
  <si>
    <t>NA</t>
  </si>
  <si>
    <t>English</t>
  </si>
  <si>
    <t>English Creole</t>
  </si>
  <si>
    <t>English, English Creole</t>
  </si>
  <si>
    <t>Argentina</t>
  </si>
  <si>
    <t>South America</t>
  </si>
  <si>
    <t>Spanish</t>
  </si>
  <si>
    <t>Guaraní, Kom, Moquoit, Wichí</t>
  </si>
  <si>
    <t>Spanish, Italian, English, German, French</t>
  </si>
  <si>
    <t>Mapudungun, Quechua, Kom, Moquoit, Wichí</t>
  </si>
  <si>
    <t>Armenia</t>
  </si>
  <si>
    <t>Europe, Asia</t>
  </si>
  <si>
    <t>Armenian</t>
  </si>
  <si>
    <t>Armenian, Kurdish</t>
  </si>
  <si>
    <t>Australia</t>
  </si>
  <si>
    <t>English, Italian, Greek</t>
  </si>
  <si>
    <t>Mandarin, Cantonese</t>
  </si>
  <si>
    <t>Vietnamese</t>
  </si>
  <si>
    <t>Austria</t>
  </si>
  <si>
    <t>German</t>
  </si>
  <si>
    <t>Serbo-Croatian, Slovenian, Hungarian</t>
  </si>
  <si>
    <t>German, Serbo-Croatian</t>
  </si>
  <si>
    <t>Turkish</t>
  </si>
  <si>
    <t>Azerbaijan</t>
  </si>
  <si>
    <t>Azerbaijani</t>
  </si>
  <si>
    <t>Azerbaijani, Russian, Armenian</t>
  </si>
  <si>
    <t>Bahamas</t>
  </si>
  <si>
    <t>Bahrain</t>
  </si>
  <si>
    <t>English, Persian, Urdu</t>
  </si>
  <si>
    <t>Bangladesh</t>
  </si>
  <si>
    <t>Bengali</t>
  </si>
  <si>
    <t>Barbados</t>
  </si>
  <si>
    <t>Belarus</t>
  </si>
  <si>
    <t>Russian, Belarussian</t>
  </si>
  <si>
    <t>Russian</t>
  </si>
  <si>
    <t>Belgium</t>
  </si>
  <si>
    <t>Dutch, French, German</t>
  </si>
  <si>
    <t>Dutch</t>
  </si>
  <si>
    <t>Belize</t>
  </si>
  <si>
    <t>North America</t>
  </si>
  <si>
    <t>English, Spanish</t>
  </si>
  <si>
    <t>English, Spanish, German</t>
  </si>
  <si>
    <t>Maya, Garifuna</t>
  </si>
  <si>
    <t>Benin</t>
  </si>
  <si>
    <t>Fon, Yoruba</t>
  </si>
  <si>
    <t>Bhutan</t>
  </si>
  <si>
    <t>Dzongkha</t>
  </si>
  <si>
    <t>Sharchhopka, Dzongkha, Lhotshamkha</t>
  </si>
  <si>
    <t>Bolivia</t>
  </si>
  <si>
    <t>Spanish, Quechua, Aymara, Guaraní, Araona, Baure, Bésiro, Canichana, Cavineño, Cayubaba, Chácobo, Chimán, Ese Ejja, Guarasu'we, Guarayu, Itonama, Leco, Machajuyai-Kallawaya, Machineri, Maropa, Mojeño-Ignaciano, Mojeño-Trinitario, Moré, Mosetén, Movima, Pacawara, Puquina, Sirionó, Tacana, Tapieté, Toromona, Uru-Chipaya, Weenhayek, Yaminawa, Yuki, Yuracaré, Zamuco</t>
  </si>
  <si>
    <t>Quechua, Aymara, Guaraní</t>
  </si>
  <si>
    <t>Bosnia and Herzegovina</t>
  </si>
  <si>
    <t>Serbo-Croatian</t>
  </si>
  <si>
    <t>Botswana</t>
  </si>
  <si>
    <t>Tswana</t>
  </si>
  <si>
    <t>Tswana, Kalanga, Kgalagadi, Shona, Tsarwa, Mbukushu, isiNdebele</t>
  </si>
  <si>
    <t>Brazil</t>
  </si>
  <si>
    <t>German, Kashubian, Italian, Nheengatu, Guaraní</t>
  </si>
  <si>
    <t>Portuguese, Spanish, German, Italian, English, Kashubian</t>
  </si>
  <si>
    <t>Japanese</t>
  </si>
  <si>
    <t>Nheengatu, Baniwa, Tucano, Guaraní</t>
  </si>
  <si>
    <t>Brunei Darussalam</t>
  </si>
  <si>
    <t>Malay</t>
  </si>
  <si>
    <t>Malay, English</t>
  </si>
  <si>
    <t>Mandarin, Minnan, Cantonese, Hakka</t>
  </si>
  <si>
    <t>Bulgaria</t>
  </si>
  <si>
    <t>Bulgarian</t>
  </si>
  <si>
    <t>Bulgarian, Romani</t>
  </si>
  <si>
    <t>Burkina Faso</t>
  </si>
  <si>
    <t>Burundi</t>
  </si>
  <si>
    <t>Kirundi, French, English</t>
  </si>
  <si>
    <t>French, English</t>
  </si>
  <si>
    <t>Kirundi, Swahili</t>
  </si>
  <si>
    <t>Cabo Verde</t>
  </si>
  <si>
    <t>Portuguese Creole</t>
  </si>
  <si>
    <t>Portuguese, Portuguese Creole</t>
  </si>
  <si>
    <t>Cambodia</t>
  </si>
  <si>
    <t>Khmer</t>
  </si>
  <si>
    <t>Cameroon</t>
  </si>
  <si>
    <t>English, French</t>
  </si>
  <si>
    <t>Canada</t>
  </si>
  <si>
    <t>Chipewyan, Cree, Gwich'in, Inuinnaqtun, Inukitut, Slavey, Tłįcho</t>
  </si>
  <si>
    <t>English, French, Punjabi, Italian, Spanish, German</t>
  </si>
  <si>
    <t>Cantonese</t>
  </si>
  <si>
    <t>Tagalog</t>
  </si>
  <si>
    <t>Central African Republic</t>
  </si>
  <si>
    <t>Ngbandi Creole</t>
  </si>
  <si>
    <t>Chad</t>
  </si>
  <si>
    <t>French, Arabic</t>
  </si>
  <si>
    <t>Sara</t>
  </si>
  <si>
    <t>Chile</t>
  </si>
  <si>
    <t>Spanish, English</t>
  </si>
  <si>
    <t>Mapudungun, Aymara, Quechua, Rapa Nui</t>
  </si>
  <si>
    <t>China</t>
  </si>
  <si>
    <t>Mandarin</t>
  </si>
  <si>
    <t>Zhuang, Yue, Mongolian, Uighur, Kyrgyz, Tibetan</t>
  </si>
  <si>
    <t>Mandarin, Cantonese, Wu, Minbei, Minnan, Xiang, Gan, Hakka</t>
  </si>
  <si>
    <t>Colombia</t>
  </si>
  <si>
    <t>Comoros</t>
  </si>
  <si>
    <t>Arabic, French, Shikomoro</t>
  </si>
  <si>
    <t>Shikomoro</t>
  </si>
  <si>
    <t>Congo</t>
  </si>
  <si>
    <t>Lingala, Kikongo</t>
  </si>
  <si>
    <t>Costa Rica</t>
  </si>
  <si>
    <t>Côte D'Ivoire</t>
  </si>
  <si>
    <t>Dioula</t>
  </si>
  <si>
    <t>Croatia</t>
  </si>
  <si>
    <t>Hungarian, Czech, Slovak, Ruthenian</t>
  </si>
  <si>
    <t>Serbo-Croatian, Czech, Slovak, Albanian</t>
  </si>
  <si>
    <t>Hungarian</t>
  </si>
  <si>
    <t>Cuba</t>
  </si>
  <si>
    <t>Cyprus</t>
  </si>
  <si>
    <t>Greek, Turkish</t>
  </si>
  <si>
    <t>Greek</t>
  </si>
  <si>
    <t>Greek, English, Romanian, Russian, Bulgarian</t>
  </si>
  <si>
    <t>Czech Republic</t>
  </si>
  <si>
    <t>Czech</t>
  </si>
  <si>
    <t>Czech, Slovak</t>
  </si>
  <si>
    <t>Democratic People's Republic of Korea</t>
  </si>
  <si>
    <t>Korean</t>
  </si>
  <si>
    <t>Democratic Republic of the Congo</t>
  </si>
  <si>
    <t>Lingala, Swahili, Kikongo, Tshiluba</t>
  </si>
  <si>
    <t>Denmark</t>
  </si>
  <si>
    <t>Danish</t>
  </si>
  <si>
    <t>Faroese, Greenlandic</t>
  </si>
  <si>
    <t>Danish, Faroese, German</t>
  </si>
  <si>
    <t>Greenlandic</t>
  </si>
  <si>
    <t>Djibouti</t>
  </si>
  <si>
    <t>Somali</t>
  </si>
  <si>
    <t>Arabic, Somali, Afar</t>
  </si>
  <si>
    <t>Dominica</t>
  </si>
  <si>
    <t>English, French Creole</t>
  </si>
  <si>
    <t>Dominican Republic</t>
  </si>
  <si>
    <t>Ecuador</t>
  </si>
  <si>
    <t>Quechua, Shuar</t>
  </si>
  <si>
    <t>Egypt</t>
  </si>
  <si>
    <t>Africa, Asia</t>
  </si>
  <si>
    <t>El Salvador</t>
  </si>
  <si>
    <t>Nawat</t>
  </si>
  <si>
    <t>Equatorial Guinea</t>
  </si>
  <si>
    <t>Spanish, French</t>
  </si>
  <si>
    <t>Fang, Bubi</t>
  </si>
  <si>
    <t>Eritrea</t>
  </si>
  <si>
    <t>Tigrinya, Arabic, English</t>
  </si>
  <si>
    <t>Tigrinya</t>
  </si>
  <si>
    <t>Tigrinya, Arabic, Tigre, Afar</t>
  </si>
  <si>
    <t>Kunama</t>
  </si>
  <si>
    <t>Estonia</t>
  </si>
  <si>
    <t>Estonian</t>
  </si>
  <si>
    <t>Russian, Ukrainian</t>
  </si>
  <si>
    <t>Ethiopia</t>
  </si>
  <si>
    <t>Amharic, Oromo, Somali, Tigrinya, Afar, Sidamo, Kunama, Berta, Gumuz, Harari</t>
  </si>
  <si>
    <t>Oromo, Amharic, Somali, Tigrinya, Sidamo, Wolaytta, Gurage, Afar, Hadiyya, Gamo, Gedeo, Kafa, Arabic, Harari</t>
  </si>
  <si>
    <t>Opuuo, Kunama, Berta, Gumuz</t>
  </si>
  <si>
    <t>Fiji</t>
  </si>
  <si>
    <t>English, Fijian, Hindi</t>
  </si>
  <si>
    <t>Fijian</t>
  </si>
  <si>
    <t>English, Hindi</t>
  </si>
  <si>
    <t>Finland</t>
  </si>
  <si>
    <t>Finnish, Swedish</t>
  </si>
  <si>
    <t>Swedish, Russian</t>
  </si>
  <si>
    <t>Finnish</t>
  </si>
  <si>
    <t>Former Yugoslav Republic of Macedonia, The</t>
  </si>
  <si>
    <t>Macedonian</t>
  </si>
  <si>
    <t>Albanian, Turkish, Romani, Aromanian, Serbo-Croatian</t>
  </si>
  <si>
    <t>Macedonian, Albanian, Romani, Serbo-Croatian</t>
  </si>
  <si>
    <t>France</t>
  </si>
  <si>
    <t>French, Provencal, Breton, Alsatian, Corsican, Catalan, Flemish</t>
  </si>
  <si>
    <t>Gabon</t>
  </si>
  <si>
    <t>Fang, Myene, Nzebi, Bapounou, Bandjabi</t>
  </si>
  <si>
    <t>Gambia</t>
  </si>
  <si>
    <t>Mandinka, Wolof, Fula</t>
  </si>
  <si>
    <t>Georgia</t>
  </si>
  <si>
    <t>Georgian</t>
  </si>
  <si>
    <t>Abkhaz</t>
  </si>
  <si>
    <t>Azerbaijani, Armenian, Russian</t>
  </si>
  <si>
    <t>Georgian, Abkhaz</t>
  </si>
  <si>
    <t>Germany</t>
  </si>
  <si>
    <t>Danish, Frisian, Sorbian, Romani</t>
  </si>
  <si>
    <t>German, Danish, Frisian, Sorbian, Romani</t>
  </si>
  <si>
    <t>Ghana</t>
  </si>
  <si>
    <t>Dangme, Dagaare, Dagbani, Ewe, Ga, Gonja, Kasem, Nzema, Akan</t>
  </si>
  <si>
    <t>Akan, Ewe, Fante, Dagbani, Dangme, Dagaare, Konkomba, Ga, Gonja, Kasem, Nzema</t>
  </si>
  <si>
    <t>Greece</t>
  </si>
  <si>
    <t>Greek, English, French</t>
  </si>
  <si>
    <t>Grenada</t>
  </si>
  <si>
    <t>English, English Creole, French, French Creole</t>
  </si>
  <si>
    <t>Guatemala</t>
  </si>
  <si>
    <t>Maya, Xinca, Garifuna</t>
  </si>
  <si>
    <t>Guinea</t>
  </si>
  <si>
    <t>Guinea Bissau</t>
  </si>
  <si>
    <t>Fula, Mandinka</t>
  </si>
  <si>
    <t>Guyana</t>
  </si>
  <si>
    <t>Arawak</t>
  </si>
  <si>
    <t>Haiti</t>
  </si>
  <si>
    <t>French, French Creole</t>
  </si>
  <si>
    <t>French Creole</t>
  </si>
  <si>
    <t>Honduras</t>
  </si>
  <si>
    <t>Garifuna, English, Miskito</t>
  </si>
  <si>
    <t>Garifuna, MIskito</t>
  </si>
  <si>
    <t>Hungary</t>
  </si>
  <si>
    <t>English, German, Russian, Romanian, French, Serbo-Croatian, Slovak, Slovenian</t>
  </si>
  <si>
    <t>Iceland</t>
  </si>
  <si>
    <t>Icelandic</t>
  </si>
  <si>
    <t>Icelandic, English, German</t>
  </si>
  <si>
    <t>India</t>
  </si>
  <si>
    <t>Hindi, English</t>
  </si>
  <si>
    <t>Assamese, Bengali, Bodo, Chhattisgarhi, Dogri, Garo, Gujarati, Kannada, Karbi, Kashmiri, Khasi, Kokborok, Konkani, Lepcha, Maithili, Malayalam, Meitei, Marathi, Mizo, Nepali, Newari, Oriya, Punjabi, Sanskrit, Santali, Sindhi, Sunwar, Tamil, Telugu, Urdu</t>
  </si>
  <si>
    <t>Hindi, Bengali, Marathi, Urdu, Gujarati, Oriya, Punjabi, Assamese, Maithili, English, Kashmiri, Sindhi, Chhattisgarhi, Dogri, Konkani, Nepali, Sanskrit</t>
  </si>
  <si>
    <t>Bodo, Garo, Karbi, Kokborok, Lepcha, Meitei, Mizo, Newari, Sunwar</t>
  </si>
  <si>
    <t>Telugu, Tamil, Kannada, Malayalam</t>
  </si>
  <si>
    <t>Khasi, Santali</t>
  </si>
  <si>
    <t>Indonesia</t>
  </si>
  <si>
    <t>Javanese, Sundanese</t>
  </si>
  <si>
    <t>English, Dutch</t>
  </si>
  <si>
    <t>Malay, Javanese, Sundanese</t>
  </si>
  <si>
    <t>Iran</t>
  </si>
  <si>
    <t>Persian, Kurdish, Gilaki, Mazanderani, Luri, Balochi</t>
  </si>
  <si>
    <t>Iraq</t>
  </si>
  <si>
    <t>Arabic, Kurdish</t>
  </si>
  <si>
    <t>Turkemen, Syriac, Armenian</t>
  </si>
  <si>
    <t>Kurdish, Armenian</t>
  </si>
  <si>
    <t>Arabic, Syriac</t>
  </si>
  <si>
    <t>Turkmen</t>
  </si>
  <si>
    <t>Ireland</t>
  </si>
  <si>
    <t>English, Gaelic</t>
  </si>
  <si>
    <t>Israel</t>
  </si>
  <si>
    <t>Hebrew</t>
  </si>
  <si>
    <t>Hebrew, Arabic</t>
  </si>
  <si>
    <t>Italy</t>
  </si>
  <si>
    <t>Italian</t>
  </si>
  <si>
    <t>French, German, Ladin, Slovenian</t>
  </si>
  <si>
    <t>Italian, German, French, Slovenian, Ladin</t>
  </si>
  <si>
    <t>Jamaica</t>
  </si>
  <si>
    <t>Japan</t>
  </si>
  <si>
    <t>Jordan</t>
  </si>
  <si>
    <t>Kazakhstan</t>
  </si>
  <si>
    <t>Kazakh, Russian</t>
  </si>
  <si>
    <t>Kazakh</t>
  </si>
  <si>
    <t>Kenya</t>
  </si>
  <si>
    <t>English, Swahili</t>
  </si>
  <si>
    <t>Swahili</t>
  </si>
  <si>
    <t>Kiribati</t>
  </si>
  <si>
    <t>Gilbertese</t>
  </si>
  <si>
    <t>Kuwait</t>
  </si>
  <si>
    <t>Kyrgyzstan</t>
  </si>
  <si>
    <t>Kyrgyz, Russian</t>
  </si>
  <si>
    <t>Kyrgyz</t>
  </si>
  <si>
    <t>Kyrgyz, Uzbek</t>
  </si>
  <si>
    <t>Lao People's Democratic Republic</t>
  </si>
  <si>
    <t>Lao</t>
  </si>
  <si>
    <t>Latvia</t>
  </si>
  <si>
    <t>Latvian</t>
  </si>
  <si>
    <t>Latvian, Russian, Polish, Ukrainian, Belarussian</t>
  </si>
  <si>
    <t>Lebanon</t>
  </si>
  <si>
    <t>French, English, Armenian</t>
  </si>
  <si>
    <t>Lesotho</t>
  </si>
  <si>
    <t>Sotho, English</t>
  </si>
  <si>
    <t>Sesotho</t>
  </si>
  <si>
    <t>Sesotho, Zulu, Xhosa</t>
  </si>
  <si>
    <t>Liberia</t>
  </si>
  <si>
    <t>Libya</t>
  </si>
  <si>
    <t>Italian, English</t>
  </si>
  <si>
    <t>Arabic, Nafusi, Ghadamis, Suknah, Awjilah, Tamazight</t>
  </si>
  <si>
    <t>Liechtenstein</t>
  </si>
  <si>
    <t>German, Italian</t>
  </si>
  <si>
    <t>Lithuania</t>
  </si>
  <si>
    <t>Lithuanian</t>
  </si>
  <si>
    <t>Lithuanian, Russian, Polish</t>
  </si>
  <si>
    <t>Luxembourg</t>
  </si>
  <si>
    <t>Luxembourgish, French, German</t>
  </si>
  <si>
    <t>Luxembourgish</t>
  </si>
  <si>
    <t>Luxembourgish, Portuguese, French, German, Italian, English</t>
  </si>
  <si>
    <t>Madagascar</t>
  </si>
  <si>
    <t>French, Malagasy</t>
  </si>
  <si>
    <t>Malagasy</t>
  </si>
  <si>
    <t>Malawi</t>
  </si>
  <si>
    <t>Chewa</t>
  </si>
  <si>
    <t>Chewa, Chiyao, Tumbuka, Lomwe, Nyakyusa, Ngoni, Sena, Tonga, Lambya</t>
  </si>
  <si>
    <t>Malaysia</t>
  </si>
  <si>
    <t>English, Punjabi</t>
  </si>
  <si>
    <t>Cantonese, Mandarin, Minnan, Hakka, Hainan, Foochow</t>
  </si>
  <si>
    <t>Tamil, Telugu, Malayalam</t>
  </si>
  <si>
    <t>Thai</t>
  </si>
  <si>
    <t>Maldives</t>
  </si>
  <si>
    <t>Sinhalese</t>
  </si>
  <si>
    <t>English, Sinhalese</t>
  </si>
  <si>
    <t>Mali</t>
  </si>
  <si>
    <t>Tamazight</t>
  </si>
  <si>
    <t>Bambara</t>
  </si>
  <si>
    <t>Bambara, Fula, Soninke, Maninka, Minyanka, Senoufo, Bobo</t>
  </si>
  <si>
    <t>Songhay</t>
  </si>
  <si>
    <t>Dogon</t>
  </si>
  <si>
    <t>Malta</t>
  </si>
  <si>
    <t>Maltese, English</t>
  </si>
  <si>
    <t>Maltese</t>
  </si>
  <si>
    <t>Marshall Islands</t>
  </si>
  <si>
    <t>Marshallese, English</t>
  </si>
  <si>
    <t>Marshallese</t>
  </si>
  <si>
    <t>Mauritania</t>
  </si>
  <si>
    <t>Arabic, French</t>
  </si>
  <si>
    <t>Fula, Soninke, Wolof</t>
  </si>
  <si>
    <t>Mauritius</t>
  </si>
  <si>
    <t>Bhojpuri, French, French Creole, English</t>
  </si>
  <si>
    <t>Mexico</t>
  </si>
  <si>
    <t>Maya, Nahuatl</t>
  </si>
  <si>
    <t>Micronesia</t>
  </si>
  <si>
    <t>Chuukese, Kosraean, Woleaian</t>
  </si>
  <si>
    <t>Chuukese, Kosraean, Pohnpeian, Yapese, Ulithian, Woleaian, Nukuoro, Kapingamarangi</t>
  </si>
  <si>
    <t>Monaco</t>
  </si>
  <si>
    <t>French, English, Italian, Ligurian</t>
  </si>
  <si>
    <t>Mongolia</t>
  </si>
  <si>
    <t>Mongolian</t>
  </si>
  <si>
    <t>Montenegro</t>
  </si>
  <si>
    <t>Serbo-Croatian, Albanian</t>
  </si>
  <si>
    <t>Morocco</t>
  </si>
  <si>
    <t>Arabic, Tamazight, Tachelhit, Tarifit</t>
  </si>
  <si>
    <t>Mozambique</t>
  </si>
  <si>
    <t>Makhuwa, Tsonga, Sena, Lomwe, Chuwabu</t>
  </si>
  <si>
    <t>Myanmar</t>
  </si>
  <si>
    <t>Burmese</t>
  </si>
  <si>
    <t>Namibia</t>
  </si>
  <si>
    <t>Afrikaans, English</t>
  </si>
  <si>
    <t>Oshivambo, Herero, Kavango</t>
  </si>
  <si>
    <t>Nama</t>
  </si>
  <si>
    <t>Nauru</t>
  </si>
  <si>
    <t>Nauruan</t>
  </si>
  <si>
    <t>Nepal</t>
  </si>
  <si>
    <t>Nepali</t>
  </si>
  <si>
    <t>Maithili</t>
  </si>
  <si>
    <t>Nepali, Maithili, Bhojpuri, Tharu, Urdu, Awadhi</t>
  </si>
  <si>
    <t>Tamang, Newar, Magar, Limbu, Gurung</t>
  </si>
  <si>
    <t>Netherlands</t>
  </si>
  <si>
    <t>Frisian, English, Portuguese</t>
  </si>
  <si>
    <t>Dutch, Frisian, Low Saxon, Limburgish, Romani, Yiddish, English, Portuguese</t>
  </si>
  <si>
    <t>New Zealand</t>
  </si>
  <si>
    <t>English, Maori</t>
  </si>
  <si>
    <t>Niuean, Tokelauan</t>
  </si>
  <si>
    <t>English, Hindi, French</t>
  </si>
  <si>
    <t>Mandarin, Yue</t>
  </si>
  <si>
    <t>Maori, Samoan, Niuean, Tokelauan</t>
  </si>
  <si>
    <t>Nicaragua</t>
  </si>
  <si>
    <t>Miskito</t>
  </si>
  <si>
    <t>Niger</t>
  </si>
  <si>
    <t>Hausa</t>
  </si>
  <si>
    <t>Djerma</t>
  </si>
  <si>
    <t>Nigeria</t>
  </si>
  <si>
    <t>Yoruba, Igbo, Fula</t>
  </si>
  <si>
    <t>Norway</t>
  </si>
  <si>
    <t>Norwegian</t>
  </si>
  <si>
    <t>Sami</t>
  </si>
  <si>
    <t>Sami, Finnish</t>
  </si>
  <si>
    <t>Oman</t>
  </si>
  <si>
    <t>English, Baluchi, Urdu</t>
  </si>
  <si>
    <t>Pakistan</t>
  </si>
  <si>
    <t>Urdu, English</t>
  </si>
  <si>
    <t>Punjabi</t>
  </si>
  <si>
    <t>Punjabi, Sindhi, Pashto, Urdu, Baluchi, Hindko, English</t>
  </si>
  <si>
    <t>Brahui</t>
  </si>
  <si>
    <t>Burushaski</t>
  </si>
  <si>
    <t>Palau</t>
  </si>
  <si>
    <t>Palauan, English</t>
  </si>
  <si>
    <t>Sonsorolese, Tobian, Japanese</t>
  </si>
  <si>
    <t>Palauan</t>
  </si>
  <si>
    <t>Palauan, Tagalog, Sonsorolese, Tobian</t>
  </si>
  <si>
    <t>Panama</t>
  </si>
  <si>
    <t>Spanish, English, French, Yiddish</t>
  </si>
  <si>
    <t>Yue, Hakka</t>
  </si>
  <si>
    <t>Arabic, Hebrew</t>
  </si>
  <si>
    <t>Guaymi, Buglere, Kuna, Embera, Wounaan, Teribe, Bribri</t>
  </si>
  <si>
    <t>Papua New Guinea</t>
  </si>
  <si>
    <t>English, English Creole, Motu</t>
  </si>
  <si>
    <t>Motu</t>
  </si>
  <si>
    <t>Paraguay</t>
  </si>
  <si>
    <t>Spanish, Guaraní</t>
  </si>
  <si>
    <t>Guaraní</t>
  </si>
  <si>
    <t>Peru</t>
  </si>
  <si>
    <t>Spanish, Quechua, Aymara</t>
  </si>
  <si>
    <t>Quechua, Aymara, Ashaninka</t>
  </si>
  <si>
    <t>Philippines</t>
  </si>
  <si>
    <t>Tagalog, English</t>
  </si>
  <si>
    <t>Poland</t>
  </si>
  <si>
    <t>Polish</t>
  </si>
  <si>
    <t>Polish, Silesian, Kashubian, Czech, Yiddish, Belarussian, Lithuanian, German, Armenian, Russian, Slovak, Ukrainian, Ruthenian, Romani</t>
  </si>
  <si>
    <t>Karaim, Tatar</t>
  </si>
  <si>
    <t>Portugal</t>
  </si>
  <si>
    <t>Portuguese, Mirandese</t>
  </si>
  <si>
    <t>Qatar</t>
  </si>
  <si>
    <t>Arabic, English</t>
  </si>
  <si>
    <t>Republic of Korea</t>
  </si>
  <si>
    <t>Republic of Moldova</t>
  </si>
  <si>
    <t>Romanian</t>
  </si>
  <si>
    <t>Romanian, Russian, Ukrainian, Bulgarian, Romani</t>
  </si>
  <si>
    <t>Gagauz</t>
  </si>
  <si>
    <t>Romania</t>
  </si>
  <si>
    <t>Romanian, Romani</t>
  </si>
  <si>
    <t>Russian Federation</t>
  </si>
  <si>
    <t>Abaza, Adyghe, Aghul, Altai, Azerbaijani, Bashkir, Buryat, Chuvash, Dargin, Erzya, Ingush, Kabardian, Kalmyk, Karachay-Balkar, Khakas, Komi, Kumyk, Lak, Lezgian, Mari, Moksha, Nogai, Ossetian, Rutul, Yakut, Tabasaran, Tatar, Persian, Tsakhur, Tuvan, Udmurt, Ukrainian</t>
  </si>
  <si>
    <t>Russian, Azerbaijani, Ossetian, Persian, Ukrainian</t>
  </si>
  <si>
    <t>Tatar, Altai, Bashkir, Chuvash, Karachay-Balkar, Khakas, Kumyk, Nogai, Yakut, Tuvan</t>
  </si>
  <si>
    <t>Erzya, Komi, Mari, Moksha, Udmurt</t>
  </si>
  <si>
    <t>Chechen, Abaza, Adyghe, Aghul, Buryat, Dargin, Ingush, Kabardian, Kalmyk, Lak, Lezgian, Rutul, Tabasaran, Tsakhur</t>
  </si>
  <si>
    <t>Rwanda</t>
  </si>
  <si>
    <t>Kinyarwanda, French, English</t>
  </si>
  <si>
    <t>Kinyarwanda</t>
  </si>
  <si>
    <t>Kinyarwanda, Swahili</t>
  </si>
  <si>
    <t>Saint Kitts and Nevis</t>
  </si>
  <si>
    <t>Saint Lucia</t>
  </si>
  <si>
    <t>English, French, French Creole</t>
  </si>
  <si>
    <t>Saint Vincent and the Grenadines</t>
  </si>
  <si>
    <t>Samoa</t>
  </si>
  <si>
    <t>Samoan</t>
  </si>
  <si>
    <t>San Marino</t>
  </si>
  <si>
    <t>Italian, Emilian-Romagnol</t>
  </si>
  <si>
    <t>Emilian-Romagnol</t>
  </si>
  <si>
    <t>Sao Tome and Principe</t>
  </si>
  <si>
    <t>Portuguese, French, English</t>
  </si>
  <si>
    <t>Saudi Arabia</t>
  </si>
  <si>
    <t>Senegal</t>
  </si>
  <si>
    <t>Wolof</t>
  </si>
  <si>
    <t>Wolof, Fula, Jola, Mandinka, Serer, Soninke</t>
  </si>
  <si>
    <t>Serbia</t>
  </si>
  <si>
    <t>Hungarian, Slovak, Romanian, Ruthenian</t>
  </si>
  <si>
    <t>Serbo-Croatian, Romani, Slovak, Romanian, Ruthenian</t>
  </si>
  <si>
    <t>Seychelles</t>
  </si>
  <si>
    <t>Sierra Leone</t>
  </si>
  <si>
    <t>Mende, Temne</t>
  </si>
  <si>
    <t>Singapore</t>
  </si>
  <si>
    <t>Mandarin, English, Malay, Tamil</t>
  </si>
  <si>
    <t>Mandarin, Minnan, Cantonese, Teochew</t>
  </si>
  <si>
    <t>Tamil</t>
  </si>
  <si>
    <t>Slovakia</t>
  </si>
  <si>
    <t>Slovak</t>
  </si>
  <si>
    <t>Bulgarian, Czech, Polish, German, Romani, Ruthenian, Ukrainian</t>
  </si>
  <si>
    <t>Slovak, Romani, Ruthenian, Bulgarian, Czech, Polish, German, Ukrainian</t>
  </si>
  <si>
    <t>Slovenia</t>
  </si>
  <si>
    <t>Slovenian</t>
  </si>
  <si>
    <t>Italian, Hungarian</t>
  </si>
  <si>
    <t>Slovenian, Serbo-Croatian, Italian</t>
  </si>
  <si>
    <t>Solomon Islands</t>
  </si>
  <si>
    <t>Somalia</t>
  </si>
  <si>
    <t>Somali, Arabic</t>
  </si>
  <si>
    <t>South Africa</t>
  </si>
  <si>
    <t>Zulu, Xhosa, Afrikaans, English, Tswana, Sotho, Tsonga, Swazi, Venda, isiNdebele</t>
  </si>
  <si>
    <t>Zulu, Xhosa, Tswana, Sotho, Tsonga, Swazi, Venda, isiNdebele</t>
  </si>
  <si>
    <t>South Sudan</t>
  </si>
  <si>
    <t>Zande</t>
  </si>
  <si>
    <t>Dinka, Nuer, Bari, Shilluk</t>
  </si>
  <si>
    <t>Spain</t>
  </si>
  <si>
    <t>Catalan, Galician, Basque, Aranese</t>
  </si>
  <si>
    <t>Spanish, Catalan, Galician, Aranese, Aragonese, Asturian, Calo</t>
  </si>
  <si>
    <t>Basque</t>
  </si>
  <si>
    <t>Sri Lanka</t>
  </si>
  <si>
    <t>Sinhalese, Tamil</t>
  </si>
  <si>
    <t>Sinhalese, English</t>
  </si>
  <si>
    <t>Sudan</t>
  </si>
  <si>
    <t>Arabic, Beja</t>
  </si>
  <si>
    <t>Nubian, Fur</t>
  </si>
  <si>
    <t>Suriname</t>
  </si>
  <si>
    <t>Dutch, English Creole</t>
  </si>
  <si>
    <t>Dutch, English, English Creole, Hindi</t>
  </si>
  <si>
    <t>Javanese</t>
  </si>
  <si>
    <t>Swaziland</t>
  </si>
  <si>
    <t>English, Swazi</t>
  </si>
  <si>
    <t>Swazi</t>
  </si>
  <si>
    <t>Sweden</t>
  </si>
  <si>
    <t>Swedish</t>
  </si>
  <si>
    <t>Finnish, Sami, Romani, Yiddish</t>
  </si>
  <si>
    <t>Swedish, Romani, Yiddish</t>
  </si>
  <si>
    <t>Finnish, Sami</t>
  </si>
  <si>
    <t>Switzerland</t>
  </si>
  <si>
    <t>German, French, Italian, Romansch</t>
  </si>
  <si>
    <t>German, French, Italian, English, Portuguese, Albanian, Serbo-Croatian, Spanish, Romansch</t>
  </si>
  <si>
    <t>Syrian Arab Republic</t>
  </si>
  <si>
    <t>Kurdish, Armenian, French, English</t>
  </si>
  <si>
    <t>Arabic, Aramaic</t>
  </si>
  <si>
    <t>Circassian</t>
  </si>
  <si>
    <t>Tajikistan</t>
  </si>
  <si>
    <t>Persian, Russian, Pashto</t>
  </si>
  <si>
    <t>Uzbek, Kyrgyz</t>
  </si>
  <si>
    <t>Thailand</t>
  </si>
  <si>
    <t>Timor-Leste</t>
  </si>
  <si>
    <t>Tetun, Portuguese</t>
  </si>
  <si>
    <t>Portuguese, English</t>
  </si>
  <si>
    <t>Tetun, Mambai, Uab Meto, Kemak, Tokodede, Waima'a, Galoli, Naueti, Idalaka, Malay</t>
  </si>
  <si>
    <t>Makasai, Bunak, Fataluku</t>
  </si>
  <si>
    <t>Togo</t>
  </si>
  <si>
    <t>Ewe</t>
  </si>
  <si>
    <t>Ewe, Kabiye, Dagbani</t>
  </si>
  <si>
    <t>Tonga</t>
  </si>
  <si>
    <t>English, Tongan</t>
  </si>
  <si>
    <t>Tongan</t>
  </si>
  <si>
    <t>Trinidad and Tobago</t>
  </si>
  <si>
    <t>English, English Creole, Hindi, French, French Creole, Spanish</t>
  </si>
  <si>
    <t>Tunisia</t>
  </si>
  <si>
    <t>Turkey</t>
  </si>
  <si>
    <t>Kurdish</t>
  </si>
  <si>
    <t>Turkmenistan</t>
  </si>
  <si>
    <t>Turkmen, Uzbek</t>
  </si>
  <si>
    <t>Tuvalu</t>
  </si>
  <si>
    <t>Tuvaluan, English</t>
  </si>
  <si>
    <t>Tuvaluan, Samoan</t>
  </si>
  <si>
    <t>Tuvaluan, Samoan, Gilbertese</t>
  </si>
  <si>
    <t>Uganda</t>
  </si>
  <si>
    <t>Ganda, Swahili</t>
  </si>
  <si>
    <t>Ukraine</t>
  </si>
  <si>
    <t>Ukrainian</t>
  </si>
  <si>
    <t>Ukrainian, Russian, Romanian</t>
  </si>
  <si>
    <t>Tatar</t>
  </si>
  <si>
    <t>United Arab Emirates</t>
  </si>
  <si>
    <t>Persian, English, Hindi, Urdu</t>
  </si>
  <si>
    <t>United Kingdom of Great Britain and Northern Ireland</t>
  </si>
  <si>
    <t>Cornish, Gaelic, Scots, Welsh, English Creole, Guernésiais, French, Jèrriais, Manx</t>
  </si>
  <si>
    <t>English, English Creole, Scots, Gaelic, Welsh, Irish, Cornish, Guernésiais, French, Jèrriais, Manx</t>
  </si>
  <si>
    <t>United Republic of Tanzania</t>
  </si>
  <si>
    <t>Swahili, English</t>
  </si>
  <si>
    <t>United States of America</t>
  </si>
  <si>
    <t>Inupiaq, Siberian, Yupik, Central Alaskan Yup'ik, Alutiiq, Unangan, Dena'ina, Deg Xinag, Holikachuk, Koyukon, Upper Kuskokwim, Gwich'in, Tanana, Upper Tanana, Tanacross, Hän, Ahtna, Eyak, Tlingit, Haida, Tsimshian, Hawaiian, Cherokee, Samoan, Chamorro, Carolinian, Spanish, French</t>
  </si>
  <si>
    <t>English, Spanish, French</t>
  </si>
  <si>
    <t>Hawaiian, Samoan, Chamorro, Carolinian</t>
  </si>
  <si>
    <t>Inupiaq, Siberian Yupik, Central Alaskan Yup'ik, Alutiiq, Unangan, Dena'ina, Deg Xinag, Holikachuk, Koyukon, Upper Kuskokwim, Gwich'in, Tanana, Upper Tanana, Tanacross, Hän, Ahtna, Eyak, Tlingit, Haida, Tsimshian, Cherokee</t>
  </si>
  <si>
    <t>Uruguay</t>
  </si>
  <si>
    <t>Spanish, Spanish-Portuguese Pidgin</t>
  </si>
  <si>
    <t>Uzbekistan</t>
  </si>
  <si>
    <t>Uzbek</t>
  </si>
  <si>
    <t>Russian, Persian</t>
  </si>
  <si>
    <t>Uzbek, Karakalpak</t>
  </si>
  <si>
    <t>Vanuatu</t>
  </si>
  <si>
    <t>English, English Creole, French</t>
  </si>
  <si>
    <t>Venezuela</t>
  </si>
  <si>
    <t>Viet Nam</t>
  </si>
  <si>
    <t>Vietnamese, Khmer</t>
  </si>
  <si>
    <t>Yemen</t>
  </si>
  <si>
    <t>Arabic, Soqotri, Mahri</t>
  </si>
  <si>
    <t>Zambia</t>
  </si>
  <si>
    <t>Bemba, Chewa, Tonga, Lozi, Senga, Tumbuka, Lunda, Kaonde, Lala-Bisa, Lamba, Luvale, Mambwe, Mwanga, Lenje</t>
  </si>
  <si>
    <t>Zimbabwe</t>
  </si>
  <si>
    <t>Shona, isiNdebele, English, Chewa, Sena, Kalanga, Khoisan, Nambya, Ndau, Tsonga, Sotho, Tonga, Tswana, Venda, Xhosa</t>
  </si>
  <si>
    <t>Shona</t>
  </si>
  <si>
    <t>Shona, isiNdebele, Chewa, Sena, Kalanga, Nambya, Ndau, Tsonga, Sotho, Tonga, Tswana, Venda, Xhosa</t>
  </si>
  <si>
    <t>Khoisan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</si>
</sst>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3"/>
  <sheetViews>
    <sheetView tabSelected="1" workbookViewId="0">
      <selection activeCell="L17" sqref="L17"/>
    </sheetView>
  </sheetViews>
  <sheetFormatPr baseColWidth="10" defaultRowHeight="16" x14ac:dyDescent="0.2"/>
  <sheetData>
    <row r="1" spans="1:27" x14ac:dyDescent="0.2">
      <c r="A1" s="1" t="s">
        <v>0</v>
      </c>
      <c r="B1" s="2" t="s">
        <v>1</v>
      </c>
      <c r="C1" s="2">
        <f>3.4 * 10^7</f>
        <v>34000000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/>
      <c r="J1" s="2" t="s">
        <v>6</v>
      </c>
      <c r="K1" s="2"/>
      <c r="L1" s="2"/>
      <c r="M1" s="2" t="s">
        <v>7</v>
      </c>
      <c r="N1" s="2"/>
      <c r="O1" s="2"/>
      <c r="P1" s="2"/>
      <c r="Q1" s="2"/>
      <c r="R1" s="2"/>
      <c r="S1" s="2"/>
      <c r="T1" s="2"/>
      <c r="U1" s="2"/>
      <c r="V1" s="2"/>
      <c r="W1" s="2"/>
      <c r="X1" s="2">
        <v>1</v>
      </c>
      <c r="Y1" s="2"/>
      <c r="Z1" s="2"/>
      <c r="AA1" s="2">
        <f>1 - SUM(U1:Z1)</f>
        <v>0</v>
      </c>
    </row>
    <row r="2" spans="1:27" x14ac:dyDescent="0.2">
      <c r="A2" s="1" t="s">
        <v>8</v>
      </c>
      <c r="B2" s="2" t="s">
        <v>9</v>
      </c>
      <c r="C2" s="2">
        <f>3*10^6</f>
        <v>3000000</v>
      </c>
      <c r="D2" s="2" t="s">
        <v>10</v>
      </c>
      <c r="E2" s="2"/>
      <c r="F2" s="2" t="s">
        <v>10</v>
      </c>
      <c r="G2" s="2" t="s">
        <v>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0.1</v>
      </c>
      <c r="V2" s="2"/>
      <c r="W2" s="2">
        <v>7.0000000000000007E-2</v>
      </c>
      <c r="X2" s="2">
        <v>0.56999999999999995</v>
      </c>
      <c r="Y2" s="2"/>
      <c r="Z2" s="2"/>
      <c r="AA2" s="2">
        <f t="shared" ref="AA2:AA65" si="0">1 - SUM(U2:Z2)</f>
        <v>0.26</v>
      </c>
    </row>
    <row r="3" spans="1:27" x14ac:dyDescent="0.2">
      <c r="A3" s="1" t="s">
        <v>12</v>
      </c>
      <c r="B3" s="2" t="s">
        <v>13</v>
      </c>
      <c r="C3" s="2">
        <v>41000000</v>
      </c>
      <c r="D3" s="2" t="s">
        <v>14</v>
      </c>
      <c r="E3" s="2"/>
      <c r="F3" s="2" t="s">
        <v>15</v>
      </c>
      <c r="G3" s="2" t="s">
        <v>15</v>
      </c>
      <c r="H3" s="2"/>
      <c r="I3" s="2"/>
      <c r="J3" s="2" t="s">
        <v>14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>
        <v>0.99</v>
      </c>
      <c r="Y3" s="2"/>
      <c r="Z3" s="2"/>
      <c r="AA3" s="2">
        <f t="shared" si="0"/>
        <v>1.0000000000000009E-2</v>
      </c>
    </row>
    <row r="4" spans="1:27" x14ac:dyDescent="0.2">
      <c r="A4" s="1" t="s">
        <v>16</v>
      </c>
      <c r="B4" s="2" t="s">
        <v>9</v>
      </c>
      <c r="C4" s="2">
        <v>77000</v>
      </c>
      <c r="D4" s="2" t="s">
        <v>17</v>
      </c>
      <c r="E4" s="2"/>
      <c r="F4" s="2" t="s">
        <v>17</v>
      </c>
      <c r="G4" s="2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/>
      <c r="W4" s="2"/>
      <c r="X4" s="2"/>
      <c r="Y4" s="2"/>
      <c r="Z4" s="2"/>
      <c r="AA4" s="2">
        <f t="shared" si="0"/>
        <v>0</v>
      </c>
    </row>
    <row r="5" spans="1:27" x14ac:dyDescent="0.2">
      <c r="A5" s="1" t="s">
        <v>19</v>
      </c>
      <c r="B5" s="2" t="s">
        <v>13</v>
      </c>
      <c r="C5" s="2">
        <v>29000000</v>
      </c>
      <c r="D5" s="2" t="s">
        <v>20</v>
      </c>
      <c r="E5" s="2"/>
      <c r="F5" s="2" t="s">
        <v>20</v>
      </c>
      <c r="G5" s="2" t="s">
        <v>20</v>
      </c>
      <c r="H5" s="2"/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0.41</v>
      </c>
      <c r="V5" s="2">
        <v>0.38</v>
      </c>
      <c r="W5" s="2"/>
      <c r="X5" s="2"/>
      <c r="Y5" s="2"/>
      <c r="Z5" s="2"/>
      <c r="AA5" s="2">
        <f t="shared" si="0"/>
        <v>0.20999999999999996</v>
      </c>
    </row>
    <row r="6" spans="1:27" x14ac:dyDescent="0.2">
      <c r="A6" s="1" t="s">
        <v>22</v>
      </c>
      <c r="B6" s="2" t="s">
        <v>23</v>
      </c>
      <c r="C6" s="2">
        <v>95000</v>
      </c>
      <c r="D6" s="2" t="s">
        <v>24</v>
      </c>
      <c r="E6" s="2"/>
      <c r="F6" s="2" t="s">
        <v>25</v>
      </c>
      <c r="G6" s="2" t="s">
        <v>26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v>0.08</v>
      </c>
      <c r="V6" s="2">
        <v>0.68</v>
      </c>
      <c r="W6" s="2"/>
      <c r="X6" s="2"/>
      <c r="Y6" s="2"/>
      <c r="Z6" s="2"/>
      <c r="AA6" s="2">
        <f t="shared" si="0"/>
        <v>0.24</v>
      </c>
    </row>
    <row r="7" spans="1:27" x14ac:dyDescent="0.2">
      <c r="A7" s="1" t="s">
        <v>27</v>
      </c>
      <c r="B7" s="2" t="s">
        <v>28</v>
      </c>
      <c r="C7" s="2">
        <v>44000000</v>
      </c>
      <c r="D7" s="2" t="s">
        <v>29</v>
      </c>
      <c r="E7" s="2" t="s">
        <v>30</v>
      </c>
      <c r="F7" s="2" t="s">
        <v>29</v>
      </c>
      <c r="G7" s="2" t="s">
        <v>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 t="s">
        <v>32</v>
      </c>
      <c r="U7" s="2">
        <v>0.92</v>
      </c>
      <c r="V7" s="2">
        <v>0.02</v>
      </c>
      <c r="W7" s="2"/>
      <c r="X7" s="2"/>
      <c r="Y7" s="2"/>
      <c r="Z7" s="2"/>
      <c r="AA7" s="2">
        <f t="shared" si="0"/>
        <v>5.9999999999999942E-2</v>
      </c>
    </row>
    <row r="8" spans="1:27" x14ac:dyDescent="0.2">
      <c r="A8" s="1" t="s">
        <v>33</v>
      </c>
      <c r="B8" s="2" t="s">
        <v>34</v>
      </c>
      <c r="C8" s="2">
        <v>3000000</v>
      </c>
      <c r="D8" s="2" t="s">
        <v>35</v>
      </c>
      <c r="E8" s="2"/>
      <c r="F8" s="2" t="s">
        <v>35</v>
      </c>
      <c r="G8" s="2" t="s">
        <v>36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0.01</v>
      </c>
      <c r="W8" s="2">
        <v>0.93</v>
      </c>
      <c r="X8" s="2"/>
      <c r="Y8" s="2"/>
      <c r="Z8" s="2"/>
      <c r="AA8" s="2">
        <f t="shared" si="0"/>
        <v>5.9999999999999942E-2</v>
      </c>
    </row>
    <row r="9" spans="1:27" x14ac:dyDescent="0.2">
      <c r="A9" s="1" t="s">
        <v>37</v>
      </c>
      <c r="B9" s="2" t="s">
        <v>37</v>
      </c>
      <c r="C9" s="2">
        <v>23000000</v>
      </c>
      <c r="D9" s="2" t="s">
        <v>23</v>
      </c>
      <c r="E9" s="2"/>
      <c r="F9" s="2" t="s">
        <v>24</v>
      </c>
      <c r="G9" s="2" t="s">
        <v>38</v>
      </c>
      <c r="H9" s="2" t="s">
        <v>39</v>
      </c>
      <c r="I9" s="2"/>
      <c r="J9" s="2" t="s">
        <v>6</v>
      </c>
      <c r="K9" s="2"/>
      <c r="L9" s="2"/>
      <c r="M9" s="2"/>
      <c r="N9" s="2"/>
      <c r="O9" s="2" t="s">
        <v>40</v>
      </c>
      <c r="P9" s="2"/>
      <c r="Q9" s="2"/>
      <c r="R9" s="2"/>
      <c r="S9" s="2"/>
      <c r="T9" s="2"/>
      <c r="U9" s="2">
        <v>0.23</v>
      </c>
      <c r="V9" s="2">
        <v>0.23</v>
      </c>
      <c r="W9" s="2">
        <v>0.02</v>
      </c>
      <c r="X9" s="2">
        <v>0.03</v>
      </c>
      <c r="Y9" s="2">
        <v>0.02</v>
      </c>
      <c r="Z9" s="2">
        <v>0.02</v>
      </c>
      <c r="AA9" s="2">
        <f t="shared" si="0"/>
        <v>0.44999999999999996</v>
      </c>
    </row>
    <row r="10" spans="1:27" x14ac:dyDescent="0.2">
      <c r="A10" s="1" t="s">
        <v>41</v>
      </c>
      <c r="B10" s="2" t="s">
        <v>9</v>
      </c>
      <c r="C10" s="2">
        <v>9000000</v>
      </c>
      <c r="D10" s="2" t="s">
        <v>42</v>
      </c>
      <c r="E10" s="2" t="s">
        <v>43</v>
      </c>
      <c r="F10" s="2" t="s">
        <v>42</v>
      </c>
      <c r="G10" s="2" t="s">
        <v>44</v>
      </c>
      <c r="H10" s="2"/>
      <c r="I10" s="2"/>
      <c r="J10" s="2"/>
      <c r="K10" s="2"/>
      <c r="L10" s="2"/>
      <c r="M10" s="2" t="s">
        <v>45</v>
      </c>
      <c r="N10" s="2"/>
      <c r="O10" s="2"/>
      <c r="P10" s="2"/>
      <c r="Q10" s="2"/>
      <c r="R10" s="2"/>
      <c r="S10" s="2"/>
      <c r="T10" s="2"/>
      <c r="U10" s="2">
        <v>0.74</v>
      </c>
      <c r="V10" s="2">
        <v>0.05</v>
      </c>
      <c r="W10" s="2">
        <v>0.02</v>
      </c>
      <c r="X10" s="2">
        <v>0.04</v>
      </c>
      <c r="Y10" s="2"/>
      <c r="Z10" s="2"/>
      <c r="AA10" s="2">
        <f t="shared" si="0"/>
        <v>0.14999999999999991</v>
      </c>
    </row>
    <row r="11" spans="1:27" x14ac:dyDescent="0.2">
      <c r="A11" s="1" t="s">
        <v>46</v>
      </c>
      <c r="B11" s="2" t="s">
        <v>34</v>
      </c>
      <c r="C11" s="2">
        <v>10000000</v>
      </c>
      <c r="D11" s="2" t="s">
        <v>47</v>
      </c>
      <c r="E11" s="2"/>
      <c r="F11" s="2" t="s">
        <v>47</v>
      </c>
      <c r="G11" s="2" t="s">
        <v>48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0.03</v>
      </c>
      <c r="X11" s="2">
        <v>0.97</v>
      </c>
      <c r="Y11" s="2"/>
      <c r="Z11" s="2"/>
      <c r="AA11" s="2">
        <f t="shared" si="0"/>
        <v>0</v>
      </c>
    </row>
    <row r="12" spans="1:27" x14ac:dyDescent="0.2">
      <c r="A12" s="1" t="s">
        <v>49</v>
      </c>
      <c r="B12" s="2" t="s">
        <v>23</v>
      </c>
      <c r="C12" s="2">
        <v>330000</v>
      </c>
      <c r="D12" s="2" t="s">
        <v>24</v>
      </c>
      <c r="E12" s="2"/>
      <c r="F12" s="2" t="s">
        <v>25</v>
      </c>
      <c r="G12" s="2" t="s">
        <v>26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0.12</v>
      </c>
      <c r="V12" s="2">
        <v>0.7</v>
      </c>
      <c r="W12" s="2"/>
      <c r="X12" s="2"/>
      <c r="Y12" s="2"/>
      <c r="Z12" s="2"/>
      <c r="AA12" s="2">
        <f t="shared" si="0"/>
        <v>0.18000000000000005</v>
      </c>
    </row>
    <row r="13" spans="1:27" x14ac:dyDescent="0.2">
      <c r="A13" s="1" t="s">
        <v>50</v>
      </c>
      <c r="B13" s="2" t="s">
        <v>23</v>
      </c>
      <c r="C13" s="2">
        <f>1.4*10^6</f>
        <v>1400000</v>
      </c>
      <c r="D13" s="2" t="s">
        <v>6</v>
      </c>
      <c r="E13" s="2"/>
      <c r="F13" s="2" t="s">
        <v>6</v>
      </c>
      <c r="G13" s="2" t="s">
        <v>51</v>
      </c>
      <c r="H13" s="2"/>
      <c r="I13" s="2"/>
      <c r="J13" s="2" t="s">
        <v>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0.05</v>
      </c>
      <c r="V13" s="2">
        <v>0.05</v>
      </c>
      <c r="W13" s="2">
        <v>0.05</v>
      </c>
      <c r="X13" s="2">
        <v>0.7</v>
      </c>
      <c r="Y13" s="2">
        <v>0.1</v>
      </c>
      <c r="Z13" s="2">
        <v>0.03</v>
      </c>
      <c r="AA13" s="2">
        <f t="shared" si="0"/>
        <v>2.0000000000000018E-2</v>
      </c>
    </row>
    <row r="14" spans="1:27" x14ac:dyDescent="0.2">
      <c r="A14" s="1" t="s">
        <v>52</v>
      </c>
      <c r="B14" s="2" t="s">
        <v>1</v>
      </c>
      <c r="C14" s="2">
        <f>1.6*10^8</f>
        <v>160000000</v>
      </c>
      <c r="D14" s="2" t="s">
        <v>53</v>
      </c>
      <c r="E14" s="2"/>
      <c r="F14" s="2" t="s">
        <v>53</v>
      </c>
      <c r="G14" s="2" t="s">
        <v>53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0.89</v>
      </c>
      <c r="Y14" s="2">
        <v>0.1</v>
      </c>
      <c r="Z14" s="2"/>
      <c r="AA14" s="2">
        <f t="shared" si="0"/>
        <v>1.0000000000000009E-2</v>
      </c>
    </row>
    <row r="15" spans="1:27" x14ac:dyDescent="0.2">
      <c r="A15" s="1" t="s">
        <v>54</v>
      </c>
      <c r="B15" s="2" t="s">
        <v>23</v>
      </c>
      <c r="C15" s="2">
        <f>2.9*10^5</f>
        <v>290000</v>
      </c>
      <c r="D15" s="2" t="s">
        <v>24</v>
      </c>
      <c r="E15" s="2"/>
      <c r="F15" s="2" t="s">
        <v>25</v>
      </c>
      <c r="G15" s="2" t="s">
        <v>26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0.04</v>
      </c>
      <c r="V15" s="2">
        <v>0.66</v>
      </c>
      <c r="W15" s="2"/>
      <c r="X15" s="2"/>
      <c r="Y15" s="2"/>
      <c r="Z15" s="2"/>
      <c r="AA15" s="2">
        <f t="shared" si="0"/>
        <v>0.29999999999999993</v>
      </c>
    </row>
    <row r="16" spans="1:27" x14ac:dyDescent="0.2">
      <c r="A16" s="1" t="s">
        <v>55</v>
      </c>
      <c r="B16" s="2" t="s">
        <v>9</v>
      </c>
      <c r="C16" s="2">
        <f>9.5*10^6</f>
        <v>9500000</v>
      </c>
      <c r="D16" s="2" t="s">
        <v>56</v>
      </c>
      <c r="E16" s="2"/>
      <c r="F16" s="2" t="s">
        <v>57</v>
      </c>
      <c r="G16" s="2" t="s">
        <v>56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7.0000000000000007E-2</v>
      </c>
      <c r="V16" s="2"/>
      <c r="W16" s="2">
        <v>0.48</v>
      </c>
      <c r="X16" s="2"/>
      <c r="Y16" s="2"/>
      <c r="Z16" s="2"/>
      <c r="AA16" s="2">
        <f t="shared" si="0"/>
        <v>0.44999999999999996</v>
      </c>
    </row>
    <row r="17" spans="1:27" x14ac:dyDescent="0.2">
      <c r="A17" s="1" t="s">
        <v>58</v>
      </c>
      <c r="B17" s="2" t="s">
        <v>9</v>
      </c>
      <c r="C17" s="2">
        <f>1.1*10^7</f>
        <v>11000000</v>
      </c>
      <c r="D17" s="2" t="s">
        <v>59</v>
      </c>
      <c r="E17" s="2"/>
      <c r="F17" s="2" t="s">
        <v>60</v>
      </c>
      <c r="G17" s="2" t="s">
        <v>59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v>0.5</v>
      </c>
      <c r="V17" s="2">
        <v>0.02</v>
      </c>
      <c r="W17" s="2"/>
      <c r="X17" s="2">
        <v>0.05</v>
      </c>
      <c r="Y17" s="2"/>
      <c r="Z17" s="2"/>
      <c r="AA17" s="2">
        <f t="shared" si="0"/>
        <v>0.42999999999999994</v>
      </c>
    </row>
    <row r="18" spans="1:27" x14ac:dyDescent="0.2">
      <c r="A18" s="1" t="s">
        <v>61</v>
      </c>
      <c r="B18" s="2" t="s">
        <v>62</v>
      </c>
      <c r="C18" s="2">
        <f>3.6*10^5</f>
        <v>360000</v>
      </c>
      <c r="D18" s="2" t="s">
        <v>24</v>
      </c>
      <c r="E18" s="2"/>
      <c r="F18" s="2" t="s">
        <v>63</v>
      </c>
      <c r="G18" s="2" t="s">
        <v>64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 t="s">
        <v>65</v>
      </c>
      <c r="U18" s="2">
        <v>0.4</v>
      </c>
      <c r="V18" s="2">
        <v>0.32</v>
      </c>
      <c r="W18" s="2"/>
      <c r="X18" s="2"/>
      <c r="Y18" s="2"/>
      <c r="Z18" s="2"/>
      <c r="AA18" s="2">
        <f t="shared" si="0"/>
        <v>0.28000000000000003</v>
      </c>
    </row>
    <row r="19" spans="1:27" x14ac:dyDescent="0.2">
      <c r="A19" s="1" t="s">
        <v>66</v>
      </c>
      <c r="B19" s="2" t="s">
        <v>13</v>
      </c>
      <c r="C19" s="2">
        <f>1.1*10^7</f>
        <v>11000000</v>
      </c>
      <c r="D19" s="2" t="s">
        <v>15</v>
      </c>
      <c r="E19" s="2"/>
      <c r="F19" s="2" t="s">
        <v>23</v>
      </c>
      <c r="G19" s="2" t="s">
        <v>15</v>
      </c>
      <c r="H19" s="2"/>
      <c r="I19" s="2" t="s">
        <v>67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0.26</v>
      </c>
      <c r="V19" s="2">
        <v>0.14000000000000001</v>
      </c>
      <c r="W19" s="2"/>
      <c r="X19" s="2">
        <v>0.28000000000000003</v>
      </c>
      <c r="Y19" s="2"/>
      <c r="Z19" s="2"/>
      <c r="AA19" s="2">
        <f t="shared" si="0"/>
        <v>0.31999999999999995</v>
      </c>
    </row>
    <row r="20" spans="1:27" x14ac:dyDescent="0.2">
      <c r="A20" s="1" t="s">
        <v>68</v>
      </c>
      <c r="B20" s="2" t="s">
        <v>1</v>
      </c>
      <c r="C20" s="2">
        <f>7.6*10^5</f>
        <v>760000</v>
      </c>
      <c r="D20" s="2" t="s">
        <v>69</v>
      </c>
      <c r="E20" s="2"/>
      <c r="F20" s="2" t="s">
        <v>23</v>
      </c>
      <c r="G20" s="2"/>
      <c r="H20" s="2" t="s">
        <v>70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f t="shared" si="0"/>
        <v>1</v>
      </c>
    </row>
    <row r="21" spans="1:27" x14ac:dyDescent="0.2">
      <c r="A21" s="1" t="s">
        <v>71</v>
      </c>
      <c r="B21" s="2" t="s">
        <v>28</v>
      </c>
      <c r="C21" s="2">
        <f>1.1*10^7</f>
        <v>11000000</v>
      </c>
      <c r="D21" s="2" t="s">
        <v>72</v>
      </c>
      <c r="E21" s="2"/>
      <c r="F21" s="2" t="s">
        <v>29</v>
      </c>
      <c r="G21" s="2" t="s">
        <v>29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 t="s">
        <v>73</v>
      </c>
      <c r="U21" s="2">
        <v>0.77</v>
      </c>
      <c r="V21" s="2">
        <v>0.08</v>
      </c>
      <c r="W21" s="2"/>
      <c r="X21" s="2"/>
      <c r="Y21" s="2"/>
      <c r="Z21" s="2"/>
      <c r="AA21" s="2">
        <f t="shared" si="0"/>
        <v>0.15000000000000002</v>
      </c>
    </row>
    <row r="22" spans="1:27" x14ac:dyDescent="0.2">
      <c r="A22" s="1" t="s">
        <v>74</v>
      </c>
      <c r="B22" s="2" t="s">
        <v>9</v>
      </c>
      <c r="C22" s="2">
        <f>3.9*10^6</f>
        <v>3900000</v>
      </c>
      <c r="D22" s="2" t="s">
        <v>75</v>
      </c>
      <c r="E22" s="2"/>
      <c r="F22" s="2" t="s">
        <v>75</v>
      </c>
      <c r="G22" s="2" t="s">
        <v>75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0.15</v>
      </c>
      <c r="V22" s="2"/>
      <c r="W22" s="2">
        <v>0.31</v>
      </c>
      <c r="X22" s="2">
        <v>0.51</v>
      </c>
      <c r="Y22" s="2"/>
      <c r="Z22" s="2"/>
      <c r="AA22" s="2">
        <f t="shared" si="0"/>
        <v>3.0000000000000027E-2</v>
      </c>
    </row>
    <row r="23" spans="1:27" x14ac:dyDescent="0.2">
      <c r="A23" s="1" t="s">
        <v>76</v>
      </c>
      <c r="B23" s="2" t="s">
        <v>13</v>
      </c>
      <c r="C23" s="2">
        <f>2.2*10^6</f>
        <v>2200000</v>
      </c>
      <c r="D23" s="2" t="s">
        <v>24</v>
      </c>
      <c r="E23" s="2"/>
      <c r="F23" s="2" t="s">
        <v>77</v>
      </c>
      <c r="G23" s="2" t="s">
        <v>24</v>
      </c>
      <c r="H23" s="2"/>
      <c r="I23" s="2" t="s">
        <v>78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7.0000000000000007E-2</v>
      </c>
      <c r="V23" s="2">
        <v>0.72</v>
      </c>
      <c r="W23" s="2"/>
      <c r="X23" s="2"/>
      <c r="Y23" s="2"/>
      <c r="Z23" s="2"/>
      <c r="AA23" s="2">
        <f t="shared" si="0"/>
        <v>0.20999999999999996</v>
      </c>
    </row>
    <row r="24" spans="1:27" x14ac:dyDescent="0.2">
      <c r="A24" s="1" t="s">
        <v>79</v>
      </c>
      <c r="B24" s="2" t="s">
        <v>28</v>
      </c>
      <c r="C24" s="2">
        <f>2.1*10^8</f>
        <v>210000000</v>
      </c>
      <c r="D24" s="2" t="s">
        <v>20</v>
      </c>
      <c r="E24" s="2" t="s">
        <v>80</v>
      </c>
      <c r="F24" s="2" t="s">
        <v>20</v>
      </c>
      <c r="G24" s="2" t="s">
        <v>81</v>
      </c>
      <c r="H24" s="2"/>
      <c r="I24" s="2"/>
      <c r="J24" s="2"/>
      <c r="K24" s="2"/>
      <c r="L24" s="2"/>
      <c r="M24" s="2"/>
      <c r="N24" s="2" t="s">
        <v>82</v>
      </c>
      <c r="O24" s="2"/>
      <c r="P24" s="2"/>
      <c r="Q24" s="2"/>
      <c r="R24" s="2"/>
      <c r="S24" s="2"/>
      <c r="T24" s="2" t="s">
        <v>83</v>
      </c>
      <c r="U24" s="2">
        <v>0.65</v>
      </c>
      <c r="V24" s="2">
        <v>0.22</v>
      </c>
      <c r="W24" s="2"/>
      <c r="X24" s="2"/>
      <c r="Y24" s="2"/>
      <c r="Z24" s="2"/>
      <c r="AA24" s="2">
        <f t="shared" si="0"/>
        <v>0.13</v>
      </c>
    </row>
    <row r="25" spans="1:27" x14ac:dyDescent="0.2">
      <c r="A25" s="1" t="s">
        <v>84</v>
      </c>
      <c r="B25" s="2" t="s">
        <v>23</v>
      </c>
      <c r="C25" s="2">
        <f>4.4*10^5</f>
        <v>440000.00000000006</v>
      </c>
      <c r="D25" s="2" t="s">
        <v>85</v>
      </c>
      <c r="E25" s="2"/>
      <c r="F25" s="2" t="s">
        <v>86</v>
      </c>
      <c r="G25" s="2" t="s">
        <v>24</v>
      </c>
      <c r="H25" s="2" t="s">
        <v>87</v>
      </c>
      <c r="I25" s="2"/>
      <c r="J25" s="2"/>
      <c r="K25" s="2" t="s">
        <v>85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0.09</v>
      </c>
      <c r="W25" s="2"/>
      <c r="X25" s="2">
        <v>0.79</v>
      </c>
      <c r="Y25" s="2"/>
      <c r="Z25" s="2">
        <v>0.08</v>
      </c>
      <c r="AA25" s="2">
        <f t="shared" si="0"/>
        <v>4.0000000000000036E-2</v>
      </c>
    </row>
    <row r="26" spans="1:27" x14ac:dyDescent="0.2">
      <c r="A26" s="1" t="s">
        <v>88</v>
      </c>
      <c r="B26" s="2" t="s">
        <v>9</v>
      </c>
      <c r="C26" s="2">
        <f>7.1*10^6</f>
        <v>7100000</v>
      </c>
      <c r="D26" s="2" t="s">
        <v>89</v>
      </c>
      <c r="E26" s="2"/>
      <c r="F26" s="2" t="s">
        <v>89</v>
      </c>
      <c r="G26" s="2" t="s">
        <v>90</v>
      </c>
      <c r="H26" s="2"/>
      <c r="I26" s="2"/>
      <c r="J26" s="2"/>
      <c r="K26" s="2"/>
      <c r="L26" s="2"/>
      <c r="M26" s="2" t="s">
        <v>45</v>
      </c>
      <c r="N26" s="2"/>
      <c r="O26" s="2"/>
      <c r="P26" s="2"/>
      <c r="Q26" s="2"/>
      <c r="R26" s="2"/>
      <c r="S26" s="2"/>
      <c r="T26" s="2"/>
      <c r="U26" s="2"/>
      <c r="V26" s="2"/>
      <c r="W26" s="2">
        <v>0.59</v>
      </c>
      <c r="X26" s="2">
        <v>0.08</v>
      </c>
      <c r="Y26" s="2"/>
      <c r="Z26" s="2"/>
      <c r="AA26" s="2">
        <f t="shared" si="0"/>
        <v>0.33000000000000007</v>
      </c>
    </row>
    <row r="27" spans="1:27" x14ac:dyDescent="0.2">
      <c r="A27" s="1" t="s">
        <v>91</v>
      </c>
      <c r="B27" s="2" t="s">
        <v>13</v>
      </c>
      <c r="C27" s="2">
        <f>2*10^7</f>
        <v>20000000</v>
      </c>
      <c r="D27" s="2" t="s">
        <v>15</v>
      </c>
      <c r="E27" s="2"/>
      <c r="F27" s="2" t="s">
        <v>23</v>
      </c>
      <c r="G27" s="2" t="s">
        <v>15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0.23</v>
      </c>
      <c r="V27" s="2">
        <v>7.0000000000000007E-2</v>
      </c>
      <c r="W27" s="2"/>
      <c r="X27" s="2">
        <v>0.62</v>
      </c>
      <c r="Y27" s="2"/>
      <c r="Z27" s="2"/>
      <c r="AA27" s="2">
        <f t="shared" si="0"/>
        <v>7.999999999999996E-2</v>
      </c>
    </row>
    <row r="28" spans="1:27" x14ac:dyDescent="0.2">
      <c r="A28" s="1" t="s">
        <v>92</v>
      </c>
      <c r="B28" s="2" t="s">
        <v>13</v>
      </c>
      <c r="C28" s="2">
        <f>1.1*10^7</f>
        <v>11000000</v>
      </c>
      <c r="D28" s="2" t="s">
        <v>93</v>
      </c>
      <c r="E28" s="2"/>
      <c r="F28" s="2" t="s">
        <v>23</v>
      </c>
      <c r="G28" s="2" t="s">
        <v>94</v>
      </c>
      <c r="H28" s="2"/>
      <c r="I28" s="2" t="s">
        <v>95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>
        <v>0.62</v>
      </c>
      <c r="V28" s="2">
        <v>0.24</v>
      </c>
      <c r="W28" s="2"/>
      <c r="X28" s="2">
        <v>0.03</v>
      </c>
      <c r="Y28" s="2"/>
      <c r="Z28" s="2"/>
      <c r="AA28" s="2">
        <f t="shared" si="0"/>
        <v>0.10999999999999999</v>
      </c>
    </row>
    <row r="29" spans="1:27" x14ac:dyDescent="0.2">
      <c r="A29" s="1" t="s">
        <v>96</v>
      </c>
      <c r="B29" s="2" t="s">
        <v>23</v>
      </c>
      <c r="C29" s="2">
        <f>5.6*10^5</f>
        <v>560000</v>
      </c>
      <c r="D29" s="2" t="s">
        <v>20</v>
      </c>
      <c r="E29" s="2"/>
      <c r="F29" s="2" t="s">
        <v>97</v>
      </c>
      <c r="G29" s="2" t="s">
        <v>98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0.77</v>
      </c>
      <c r="V29" s="2">
        <v>0.05</v>
      </c>
      <c r="W29" s="2"/>
      <c r="X29" s="2">
        <v>0.02</v>
      </c>
      <c r="Y29" s="2"/>
      <c r="Z29" s="2"/>
      <c r="AA29" s="2">
        <f t="shared" si="0"/>
        <v>0.15999999999999992</v>
      </c>
    </row>
    <row r="30" spans="1:27" x14ac:dyDescent="0.2">
      <c r="A30" s="1" t="s">
        <v>99</v>
      </c>
      <c r="B30" s="2" t="s">
        <v>1</v>
      </c>
      <c r="C30" s="2">
        <f>1.6*10^7</f>
        <v>16000000</v>
      </c>
      <c r="D30" s="2" t="s">
        <v>100</v>
      </c>
      <c r="E30" s="2"/>
      <c r="F30" s="2" t="s">
        <v>100</v>
      </c>
      <c r="G30" s="2"/>
      <c r="H30" s="2"/>
      <c r="I30" s="2"/>
      <c r="J30" s="2"/>
      <c r="K30" s="2"/>
      <c r="L30" s="2"/>
      <c r="M30" s="2"/>
      <c r="N30" s="2"/>
      <c r="O30" s="2" t="s">
        <v>100</v>
      </c>
      <c r="P30" s="2"/>
      <c r="Q30" s="2"/>
      <c r="R30" s="2"/>
      <c r="S30" s="2"/>
      <c r="T30" s="2"/>
      <c r="U30" s="2"/>
      <c r="V30" s="2"/>
      <c r="W30" s="2"/>
      <c r="X30" s="2">
        <v>0.02</v>
      </c>
      <c r="Y30" s="2"/>
      <c r="Z30" s="2">
        <v>0.97</v>
      </c>
      <c r="AA30" s="2">
        <f t="shared" si="0"/>
        <v>1.0000000000000009E-2</v>
      </c>
    </row>
    <row r="31" spans="1:27" x14ac:dyDescent="0.2">
      <c r="A31" s="1" t="s">
        <v>101</v>
      </c>
      <c r="B31" s="2" t="s">
        <v>13</v>
      </c>
      <c r="C31" s="2">
        <f>2.5*10^7</f>
        <v>25000000</v>
      </c>
      <c r="D31" s="2" t="s">
        <v>102</v>
      </c>
      <c r="E31" s="2"/>
      <c r="F31" s="2" t="s">
        <v>23</v>
      </c>
      <c r="G31" s="2" t="s">
        <v>102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0.38</v>
      </c>
      <c r="V31" s="2">
        <v>0.26</v>
      </c>
      <c r="W31" s="2"/>
      <c r="X31" s="2">
        <v>0.21</v>
      </c>
      <c r="Y31" s="2"/>
      <c r="Z31" s="2"/>
      <c r="AA31" s="2">
        <f t="shared" si="0"/>
        <v>0.15000000000000002</v>
      </c>
    </row>
    <row r="32" spans="1:27" x14ac:dyDescent="0.2">
      <c r="A32" s="1" t="s">
        <v>103</v>
      </c>
      <c r="B32" s="2" t="s">
        <v>62</v>
      </c>
      <c r="C32" s="2">
        <f>3.6*10^7</f>
        <v>36000000</v>
      </c>
      <c r="D32" s="2" t="s">
        <v>102</v>
      </c>
      <c r="E32" s="2" t="s">
        <v>104</v>
      </c>
      <c r="F32" s="2" t="s">
        <v>24</v>
      </c>
      <c r="G32" s="2" t="s">
        <v>105</v>
      </c>
      <c r="H32" s="2" t="s">
        <v>106</v>
      </c>
      <c r="I32" s="2"/>
      <c r="J32" s="2" t="s">
        <v>6</v>
      </c>
      <c r="K32" s="2" t="s">
        <v>107</v>
      </c>
      <c r="L32" s="2"/>
      <c r="M32" s="2"/>
      <c r="N32" s="2"/>
      <c r="O32" s="2"/>
      <c r="P32" s="2"/>
      <c r="Q32" s="2"/>
      <c r="R32" s="2"/>
      <c r="S32" s="2"/>
      <c r="T32" s="2" t="s">
        <v>104</v>
      </c>
      <c r="U32" s="2">
        <v>0.39</v>
      </c>
      <c r="V32" s="2">
        <v>0.2</v>
      </c>
      <c r="W32" s="2">
        <v>0.02</v>
      </c>
      <c r="X32" s="2">
        <v>0.03</v>
      </c>
      <c r="Y32" s="2">
        <v>0.02</v>
      </c>
      <c r="Z32" s="2">
        <v>0.01</v>
      </c>
      <c r="AA32" s="2">
        <f t="shared" si="0"/>
        <v>0.32999999999999985</v>
      </c>
    </row>
    <row r="33" spans="1:27" x14ac:dyDescent="0.2">
      <c r="A33" s="1" t="s">
        <v>108</v>
      </c>
      <c r="B33" s="2" t="s">
        <v>13</v>
      </c>
      <c r="C33" s="2">
        <f>5.6*10^6</f>
        <v>5600000</v>
      </c>
      <c r="D33" s="2" t="s">
        <v>15</v>
      </c>
      <c r="E33" s="2"/>
      <c r="F33" s="2" t="s">
        <v>109</v>
      </c>
      <c r="G33" s="2" t="s">
        <v>15</v>
      </c>
      <c r="H33" s="2"/>
      <c r="I33" s="2" t="s">
        <v>109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0.25</v>
      </c>
      <c r="V33" s="2">
        <v>0.25</v>
      </c>
      <c r="W33" s="2"/>
      <c r="X33" s="2">
        <v>0.15</v>
      </c>
      <c r="Y33" s="2"/>
      <c r="Z33" s="2"/>
      <c r="AA33" s="2">
        <f t="shared" si="0"/>
        <v>0.35</v>
      </c>
    </row>
    <row r="34" spans="1:27" x14ac:dyDescent="0.2">
      <c r="A34" s="1" t="s">
        <v>110</v>
      </c>
      <c r="B34" s="2" t="s">
        <v>13</v>
      </c>
      <c r="C34" s="2">
        <f>1.2*10^7</f>
        <v>12000000</v>
      </c>
      <c r="D34" s="2" t="s">
        <v>111</v>
      </c>
      <c r="E34" s="2"/>
      <c r="F34" s="2" t="s">
        <v>6</v>
      </c>
      <c r="G34" s="2" t="s">
        <v>15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 t="s">
        <v>112</v>
      </c>
      <c r="S34" s="2"/>
      <c r="T34" s="2"/>
      <c r="U34" s="2">
        <v>0.2</v>
      </c>
      <c r="V34" s="2">
        <v>0.24</v>
      </c>
      <c r="W34" s="2"/>
      <c r="X34" s="2">
        <v>0.52</v>
      </c>
      <c r="Y34" s="2"/>
      <c r="Z34" s="2"/>
      <c r="AA34" s="2">
        <f t="shared" si="0"/>
        <v>4.0000000000000036E-2</v>
      </c>
    </row>
    <row r="35" spans="1:27" x14ac:dyDescent="0.2">
      <c r="A35" s="1" t="s">
        <v>113</v>
      </c>
      <c r="B35" s="2" t="s">
        <v>28</v>
      </c>
      <c r="C35" s="2">
        <f>1.8*10^7</f>
        <v>18000000</v>
      </c>
      <c r="D35" s="2" t="s">
        <v>29</v>
      </c>
      <c r="E35" s="2"/>
      <c r="F35" s="2" t="s">
        <v>29</v>
      </c>
      <c r="G35" s="2" t="s">
        <v>114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 t="s">
        <v>115</v>
      </c>
      <c r="U35" s="2">
        <v>0.67</v>
      </c>
      <c r="V35" s="2">
        <v>0.16</v>
      </c>
      <c r="W35" s="2"/>
      <c r="X35" s="2"/>
      <c r="Y35" s="2"/>
      <c r="Z35" s="2"/>
      <c r="AA35" s="2">
        <f t="shared" si="0"/>
        <v>0.16999999999999993</v>
      </c>
    </row>
    <row r="36" spans="1:27" x14ac:dyDescent="0.2">
      <c r="A36" s="1" t="s">
        <v>116</v>
      </c>
      <c r="B36" s="2" t="s">
        <v>1</v>
      </c>
      <c r="C36" s="2">
        <f>1.4*10^9</f>
        <v>1400000000</v>
      </c>
      <c r="D36" s="2" t="s">
        <v>117</v>
      </c>
      <c r="E36" s="2" t="s">
        <v>118</v>
      </c>
      <c r="F36" s="2" t="s">
        <v>117</v>
      </c>
      <c r="G36" s="2"/>
      <c r="H36" s="2" t="s">
        <v>119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>
        <f>ROUND(9/1400, 2)</f>
        <v>0.01</v>
      </c>
      <c r="V36" s="2">
        <f xml:space="preserve"> ROUND(1/35, 2)</f>
        <v>0.03</v>
      </c>
      <c r="W36" s="2"/>
      <c r="X36" s="2">
        <v>0.02</v>
      </c>
      <c r="Y36" s="2"/>
      <c r="Z36" s="2">
        <v>0.18</v>
      </c>
      <c r="AA36" s="2">
        <f t="shared" si="0"/>
        <v>0.76</v>
      </c>
    </row>
    <row r="37" spans="1:27" x14ac:dyDescent="0.2">
      <c r="A37" s="1" t="s">
        <v>120</v>
      </c>
      <c r="B37" s="2" t="s">
        <v>28</v>
      </c>
      <c r="C37" s="2">
        <f>4.8*10^7</f>
        <v>48000000</v>
      </c>
      <c r="D37" s="2" t="s">
        <v>29</v>
      </c>
      <c r="E37" s="2"/>
      <c r="F37" s="2" t="s">
        <v>29</v>
      </c>
      <c r="G37" s="2" t="s">
        <v>29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>
        <v>0.79</v>
      </c>
      <c r="V37" s="2">
        <v>0.14000000000000001</v>
      </c>
      <c r="W37" s="2"/>
      <c r="X37" s="2"/>
      <c r="Y37" s="2"/>
      <c r="Z37" s="2"/>
      <c r="AA37" s="2">
        <f t="shared" si="0"/>
        <v>6.9999999999999951E-2</v>
      </c>
    </row>
    <row r="38" spans="1:27" x14ac:dyDescent="0.2">
      <c r="A38" s="1" t="s">
        <v>121</v>
      </c>
      <c r="B38" s="2" t="s">
        <v>23</v>
      </c>
      <c r="C38" s="2">
        <f>8.1*10^5</f>
        <v>810000</v>
      </c>
      <c r="D38" s="2" t="s">
        <v>122</v>
      </c>
      <c r="E38" s="2"/>
      <c r="F38" s="2" t="s">
        <v>123</v>
      </c>
      <c r="G38" s="2" t="s">
        <v>15</v>
      </c>
      <c r="H38" s="2"/>
      <c r="I38" s="2" t="s">
        <v>123</v>
      </c>
      <c r="J38" s="2" t="s">
        <v>6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>
        <v>0.98</v>
      </c>
      <c r="Y38" s="2"/>
      <c r="Z38" s="2"/>
      <c r="AA38" s="2">
        <f t="shared" si="0"/>
        <v>2.0000000000000018E-2</v>
      </c>
    </row>
    <row r="39" spans="1:27" x14ac:dyDescent="0.2">
      <c r="A39" s="1" t="s">
        <v>124</v>
      </c>
      <c r="B39" s="2" t="s">
        <v>13</v>
      </c>
      <c r="C39" s="2">
        <f>5*10^6</f>
        <v>5000000</v>
      </c>
      <c r="D39" s="2" t="s">
        <v>15</v>
      </c>
      <c r="E39" s="2"/>
      <c r="F39" s="2" t="s">
        <v>23</v>
      </c>
      <c r="G39" s="2" t="s">
        <v>15</v>
      </c>
      <c r="H39" s="2"/>
      <c r="I39" s="2" t="s">
        <v>125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>
        <v>0.33</v>
      </c>
      <c r="V39" s="2">
        <v>0.2</v>
      </c>
      <c r="W39" s="2"/>
      <c r="X39" s="2">
        <v>0.02</v>
      </c>
      <c r="Y39" s="2"/>
      <c r="Z39" s="2"/>
      <c r="AA39" s="2">
        <f t="shared" si="0"/>
        <v>0.44999999999999996</v>
      </c>
    </row>
    <row r="40" spans="1:27" x14ac:dyDescent="0.2">
      <c r="A40" s="1" t="s">
        <v>126</v>
      </c>
      <c r="B40" s="2" t="s">
        <v>62</v>
      </c>
      <c r="C40" s="2">
        <f>4.9*10^6</f>
        <v>4900000</v>
      </c>
      <c r="D40" s="2" t="s">
        <v>23</v>
      </c>
      <c r="E40" s="2"/>
      <c r="F40" s="2" t="s">
        <v>29</v>
      </c>
      <c r="G40" s="2" t="s">
        <v>114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>
        <v>0.76</v>
      </c>
      <c r="V40" s="2">
        <v>0.14000000000000001</v>
      </c>
      <c r="W40" s="2"/>
      <c r="X40" s="2"/>
      <c r="Y40" s="2"/>
      <c r="Z40" s="2"/>
      <c r="AA40" s="2">
        <f t="shared" si="0"/>
        <v>9.9999999999999978E-2</v>
      </c>
    </row>
    <row r="41" spans="1:27" x14ac:dyDescent="0.2">
      <c r="A41" s="1" t="s">
        <v>127</v>
      </c>
      <c r="B41" s="2" t="s">
        <v>13</v>
      </c>
      <c r="C41" s="2">
        <f>2.4*10^7</f>
        <v>24000000</v>
      </c>
      <c r="D41" s="2" t="s">
        <v>15</v>
      </c>
      <c r="E41" s="2"/>
      <c r="F41" s="2" t="s">
        <v>15</v>
      </c>
      <c r="G41" s="2" t="s">
        <v>15</v>
      </c>
      <c r="H41" s="2"/>
      <c r="I41" s="2" t="s">
        <v>128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>
        <v>0.17</v>
      </c>
      <c r="V41" s="2">
        <v>0.14000000000000001</v>
      </c>
      <c r="W41" s="2"/>
      <c r="X41" s="2">
        <v>0.43</v>
      </c>
      <c r="Y41" s="2"/>
      <c r="Z41" s="2"/>
      <c r="AA41" s="2">
        <f t="shared" si="0"/>
        <v>0.26</v>
      </c>
    </row>
    <row r="42" spans="1:27" x14ac:dyDescent="0.2">
      <c r="A42" s="1" t="s">
        <v>129</v>
      </c>
      <c r="B42" s="2" t="s">
        <v>9</v>
      </c>
      <c r="C42" s="2">
        <f>4.3*10^6</f>
        <v>4300000</v>
      </c>
      <c r="D42" s="2" t="s">
        <v>75</v>
      </c>
      <c r="E42" s="2" t="s">
        <v>130</v>
      </c>
      <c r="F42" s="2" t="s">
        <v>75</v>
      </c>
      <c r="G42" s="2" t="s">
        <v>131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132</v>
      </c>
      <c r="T42" s="2"/>
      <c r="U42" s="2">
        <v>0.86</v>
      </c>
      <c r="V42" s="2"/>
      <c r="W42" s="2">
        <v>0.04</v>
      </c>
      <c r="X42" s="2">
        <v>0.02</v>
      </c>
      <c r="Y42" s="2"/>
      <c r="Z42" s="2"/>
      <c r="AA42" s="2">
        <f t="shared" si="0"/>
        <v>7.999999999999996E-2</v>
      </c>
    </row>
    <row r="43" spans="1:27" x14ac:dyDescent="0.2">
      <c r="A43" s="1" t="s">
        <v>133</v>
      </c>
      <c r="B43" s="2" t="s">
        <v>23</v>
      </c>
      <c r="C43" s="2">
        <f>1.1*10^7</f>
        <v>11000000</v>
      </c>
      <c r="D43" s="2" t="s">
        <v>29</v>
      </c>
      <c r="E43" s="2"/>
      <c r="F43" s="2" t="s">
        <v>29</v>
      </c>
      <c r="G43" s="2" t="s">
        <v>29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>
        <v>0.85</v>
      </c>
      <c r="V43" s="2"/>
      <c r="W43" s="2"/>
      <c r="X43" s="2"/>
      <c r="Y43" s="2"/>
      <c r="Z43" s="2"/>
      <c r="AA43" s="2">
        <f t="shared" si="0"/>
        <v>0.15000000000000002</v>
      </c>
    </row>
    <row r="44" spans="1:27" x14ac:dyDescent="0.2">
      <c r="A44" s="1" t="s">
        <v>134</v>
      </c>
      <c r="B44" s="2" t="s">
        <v>23</v>
      </c>
      <c r="C44" s="2">
        <f>1.2*10^6</f>
        <v>1200000</v>
      </c>
      <c r="D44" s="2" t="s">
        <v>135</v>
      </c>
      <c r="E44" s="2"/>
      <c r="F44" s="2" t="s">
        <v>136</v>
      </c>
      <c r="G44" s="2" t="s">
        <v>137</v>
      </c>
      <c r="H44" s="2"/>
      <c r="I44" s="2"/>
      <c r="J44" s="2" t="s">
        <v>6</v>
      </c>
      <c r="K44" s="2" t="s">
        <v>107</v>
      </c>
      <c r="L44" s="2"/>
      <c r="M44" s="2" t="s">
        <v>45</v>
      </c>
      <c r="N44" s="2"/>
      <c r="O44" s="2"/>
      <c r="P44" s="2"/>
      <c r="Q44" s="2"/>
      <c r="R44" s="2"/>
      <c r="S44" s="2"/>
      <c r="T44" s="2"/>
      <c r="U44" s="2">
        <v>0.03</v>
      </c>
      <c r="V44" s="2">
        <v>0.02</v>
      </c>
      <c r="W44" s="2">
        <v>0.89</v>
      </c>
      <c r="X44" s="2">
        <v>0.02</v>
      </c>
      <c r="Y44" s="2"/>
      <c r="Z44" s="2">
        <v>0.01</v>
      </c>
      <c r="AA44" s="2">
        <f t="shared" si="0"/>
        <v>2.9999999999999916E-2</v>
      </c>
    </row>
    <row r="45" spans="1:27" x14ac:dyDescent="0.2">
      <c r="A45" s="1" t="s">
        <v>138</v>
      </c>
      <c r="B45" s="2" t="s">
        <v>9</v>
      </c>
      <c r="C45" s="2">
        <f>1.1*10^7</f>
        <v>11000000</v>
      </c>
      <c r="D45" s="2" t="s">
        <v>139</v>
      </c>
      <c r="E45" s="2"/>
      <c r="F45" s="2" t="s">
        <v>139</v>
      </c>
      <c r="G45" s="2" t="s">
        <v>140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>
        <v>0.1</v>
      </c>
      <c r="V45" s="2">
        <v>0.01</v>
      </c>
      <c r="W45" s="2"/>
      <c r="X45" s="2"/>
      <c r="Y45" s="2"/>
      <c r="Z45" s="2"/>
      <c r="AA45" s="2">
        <f t="shared" si="0"/>
        <v>0.89</v>
      </c>
    </row>
    <row r="46" spans="1:27" x14ac:dyDescent="0.2">
      <c r="A46" s="1" t="s">
        <v>141</v>
      </c>
      <c r="B46" s="2" t="s">
        <v>1</v>
      </c>
      <c r="C46" s="2">
        <f>2.5*10^7</f>
        <v>25000000</v>
      </c>
      <c r="D46" s="2" t="s">
        <v>142</v>
      </c>
      <c r="E46" s="2"/>
      <c r="F46" s="2" t="s">
        <v>142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 t="s">
        <v>142</v>
      </c>
      <c r="R46" s="2"/>
      <c r="S46" s="2"/>
      <c r="T46" s="2"/>
      <c r="U46" s="2"/>
      <c r="V46" s="2"/>
      <c r="W46" s="2"/>
      <c r="X46" s="2"/>
      <c r="Y46" s="2"/>
      <c r="Z46" s="2"/>
      <c r="AA46" s="2">
        <f t="shared" si="0"/>
        <v>1</v>
      </c>
    </row>
    <row r="47" spans="1:27" x14ac:dyDescent="0.2">
      <c r="A47" s="1" t="s">
        <v>143</v>
      </c>
      <c r="B47" s="2" t="s">
        <v>13</v>
      </c>
      <c r="C47" s="2">
        <f>8.3*10^7</f>
        <v>83000000</v>
      </c>
      <c r="D47" s="2" t="s">
        <v>15</v>
      </c>
      <c r="E47" s="2"/>
      <c r="F47" s="2" t="s">
        <v>23</v>
      </c>
      <c r="G47" s="2" t="s">
        <v>15</v>
      </c>
      <c r="H47" s="2"/>
      <c r="I47" s="2" t="s">
        <v>144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0.5</v>
      </c>
      <c r="V47" s="2">
        <v>0.2</v>
      </c>
      <c r="W47" s="2"/>
      <c r="X47" s="2">
        <v>0.1</v>
      </c>
      <c r="Y47" s="2"/>
      <c r="Z47" s="2"/>
      <c r="AA47" s="2">
        <f t="shared" si="0"/>
        <v>0.20000000000000007</v>
      </c>
    </row>
    <row r="48" spans="1:27" x14ac:dyDescent="0.2">
      <c r="A48" s="1" t="s">
        <v>145</v>
      </c>
      <c r="B48" s="2" t="s">
        <v>9</v>
      </c>
      <c r="C48" s="2">
        <f>5.6*10^6</f>
        <v>5600000</v>
      </c>
      <c r="D48" s="2" t="s">
        <v>146</v>
      </c>
      <c r="E48" s="2" t="s">
        <v>147</v>
      </c>
      <c r="F48" s="2" t="s">
        <v>146</v>
      </c>
      <c r="G48" s="2" t="s">
        <v>148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 t="s">
        <v>149</v>
      </c>
      <c r="U48" s="2"/>
      <c r="V48" s="2">
        <v>0.76</v>
      </c>
      <c r="W48" s="2"/>
      <c r="X48" s="2">
        <v>0.04</v>
      </c>
      <c r="Y48" s="2"/>
      <c r="Z48" s="2"/>
      <c r="AA48" s="2">
        <f t="shared" si="0"/>
        <v>0.19999999999999996</v>
      </c>
    </row>
    <row r="49" spans="1:27" x14ac:dyDescent="0.2">
      <c r="A49" s="1" t="s">
        <v>150</v>
      </c>
      <c r="B49" s="2" t="s">
        <v>13</v>
      </c>
      <c r="C49" s="2">
        <f>8.7*10^5</f>
        <v>869999.99999999988</v>
      </c>
      <c r="D49" s="2" t="s">
        <v>111</v>
      </c>
      <c r="E49" s="2"/>
      <c r="F49" s="2" t="s">
        <v>151</v>
      </c>
      <c r="G49" s="2" t="s">
        <v>15</v>
      </c>
      <c r="H49" s="2"/>
      <c r="I49" s="2"/>
      <c r="J49" s="2" t="s">
        <v>152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0.02</v>
      </c>
      <c r="V49" s="2">
        <v>0.01</v>
      </c>
      <c r="W49" s="2">
        <v>0.03</v>
      </c>
      <c r="X49" s="2">
        <v>0.94</v>
      </c>
      <c r="Y49" s="2"/>
      <c r="Z49" s="2"/>
      <c r="AA49" s="2">
        <f t="shared" si="0"/>
        <v>0</v>
      </c>
    </row>
    <row r="50" spans="1:27" x14ac:dyDescent="0.2">
      <c r="A50" s="1" t="s">
        <v>153</v>
      </c>
      <c r="B50" s="2" t="s">
        <v>23</v>
      </c>
      <c r="C50" s="2">
        <f>7.4*10^4</f>
        <v>74000</v>
      </c>
      <c r="D50" s="2" t="s">
        <v>24</v>
      </c>
      <c r="E50" s="2"/>
      <c r="F50" s="2" t="s">
        <v>154</v>
      </c>
      <c r="G50" s="2" t="s">
        <v>154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>
        <v>0.61</v>
      </c>
      <c r="V50" s="2">
        <v>0.28999999999999998</v>
      </c>
      <c r="W50" s="2"/>
      <c r="X50" s="2"/>
      <c r="Y50" s="2"/>
      <c r="Z50" s="2"/>
      <c r="AA50" s="2">
        <f t="shared" si="0"/>
        <v>0.10000000000000009</v>
      </c>
    </row>
    <row r="51" spans="1:27" x14ac:dyDescent="0.2">
      <c r="A51" s="1" t="s">
        <v>155</v>
      </c>
      <c r="B51" s="2" t="s">
        <v>23</v>
      </c>
      <c r="C51" s="2">
        <f>1.1*10^7</f>
        <v>11000000</v>
      </c>
      <c r="D51" s="2" t="s">
        <v>29</v>
      </c>
      <c r="E51" s="2"/>
      <c r="F51" s="2" t="s">
        <v>29</v>
      </c>
      <c r="G51" s="2" t="s">
        <v>29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v>0.95</v>
      </c>
      <c r="V51" s="2"/>
      <c r="W51" s="2"/>
      <c r="X51" s="2"/>
      <c r="Y51" s="2"/>
      <c r="Z51" s="2"/>
      <c r="AA51" s="2">
        <f t="shared" si="0"/>
        <v>5.0000000000000044E-2</v>
      </c>
    </row>
    <row r="52" spans="1:27" x14ac:dyDescent="0.2">
      <c r="A52" s="1" t="s">
        <v>156</v>
      </c>
      <c r="B52" s="2" t="s">
        <v>28</v>
      </c>
      <c r="C52" s="2">
        <f>1.6*10^7</f>
        <v>16000000</v>
      </c>
      <c r="D52" s="2" t="s">
        <v>29</v>
      </c>
      <c r="E52" s="2" t="s">
        <v>157</v>
      </c>
      <c r="F52" s="2" t="s">
        <v>29</v>
      </c>
      <c r="G52" s="2" t="s">
        <v>29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 t="s">
        <v>157</v>
      </c>
      <c r="U52" s="2">
        <v>0.74</v>
      </c>
      <c r="V52" s="2">
        <v>0.1</v>
      </c>
      <c r="W52" s="2"/>
      <c r="X52" s="2"/>
      <c r="Y52" s="2"/>
      <c r="Z52" s="2"/>
      <c r="AA52" s="2">
        <f t="shared" si="0"/>
        <v>0.16000000000000003</v>
      </c>
    </row>
    <row r="53" spans="1:27" x14ac:dyDescent="0.2">
      <c r="A53" s="1" t="s">
        <v>158</v>
      </c>
      <c r="B53" s="2" t="s">
        <v>159</v>
      </c>
      <c r="C53" s="2">
        <f>9.7*10^7</f>
        <v>97000000</v>
      </c>
      <c r="D53" s="2" t="s">
        <v>6</v>
      </c>
      <c r="E53" s="2"/>
      <c r="F53" s="2" t="s">
        <v>6</v>
      </c>
      <c r="G53" s="2"/>
      <c r="H53" s="2"/>
      <c r="I53" s="2"/>
      <c r="J53" s="2" t="s">
        <v>6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0.1</v>
      </c>
      <c r="X53" s="2">
        <v>0.9</v>
      </c>
      <c r="Y53" s="2"/>
      <c r="Z53" s="2"/>
      <c r="AA53" s="2">
        <f t="shared" si="0"/>
        <v>0</v>
      </c>
    </row>
    <row r="54" spans="1:27" x14ac:dyDescent="0.2">
      <c r="A54" s="1" t="s">
        <v>160</v>
      </c>
      <c r="B54" s="2" t="s">
        <v>62</v>
      </c>
      <c r="C54" s="2">
        <f>6.2*10^6</f>
        <v>6200000</v>
      </c>
      <c r="D54" s="2" t="s">
        <v>29</v>
      </c>
      <c r="E54" s="2"/>
      <c r="F54" s="2" t="s">
        <v>29</v>
      </c>
      <c r="G54" s="2" t="s">
        <v>29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 t="s">
        <v>161</v>
      </c>
      <c r="U54" s="2">
        <v>0.5</v>
      </c>
      <c r="V54" s="2">
        <v>0.36</v>
      </c>
      <c r="W54" s="2"/>
      <c r="X54" s="2"/>
      <c r="Y54" s="2"/>
      <c r="Z54" s="2"/>
      <c r="AA54" s="2">
        <f t="shared" si="0"/>
        <v>0.14000000000000001</v>
      </c>
    </row>
    <row r="55" spans="1:27" x14ac:dyDescent="0.2">
      <c r="A55" s="1" t="s">
        <v>162</v>
      </c>
      <c r="B55" s="2" t="s">
        <v>13</v>
      </c>
      <c r="C55" s="2">
        <f>7.8*10^5</f>
        <v>780000</v>
      </c>
      <c r="D55" s="2" t="s">
        <v>163</v>
      </c>
      <c r="E55" s="2"/>
      <c r="F55" s="2" t="s">
        <v>29</v>
      </c>
      <c r="G55" s="2" t="s">
        <v>163</v>
      </c>
      <c r="H55" s="2"/>
      <c r="I55" s="2" t="s">
        <v>164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>
        <v>0.9</v>
      </c>
      <c r="V55" s="2"/>
      <c r="W55" s="2"/>
      <c r="X55" s="2"/>
      <c r="Y55" s="2"/>
      <c r="Z55" s="2"/>
      <c r="AA55" s="2">
        <f t="shared" si="0"/>
        <v>9.9999999999999978E-2</v>
      </c>
    </row>
    <row r="56" spans="1:27" x14ac:dyDescent="0.2">
      <c r="A56" s="1" t="s">
        <v>165</v>
      </c>
      <c r="B56" s="2" t="s">
        <v>13</v>
      </c>
      <c r="C56" s="2">
        <f>5.9*10^6</f>
        <v>5900000</v>
      </c>
      <c r="D56" s="2" t="s">
        <v>23</v>
      </c>
      <c r="E56" s="2" t="s">
        <v>166</v>
      </c>
      <c r="F56" s="2" t="s">
        <v>167</v>
      </c>
      <c r="G56" s="2" t="s">
        <v>24</v>
      </c>
      <c r="H56" s="2"/>
      <c r="I56" s="2"/>
      <c r="J56" s="2" t="s">
        <v>168</v>
      </c>
      <c r="K56" s="2"/>
      <c r="L56" s="2"/>
      <c r="M56" s="2"/>
      <c r="N56" s="2"/>
      <c r="O56" s="2"/>
      <c r="P56" s="2"/>
      <c r="Q56" s="2"/>
      <c r="R56" s="2" t="s">
        <v>169</v>
      </c>
      <c r="S56" s="2"/>
      <c r="T56" s="2"/>
      <c r="U56" s="2">
        <v>0.05</v>
      </c>
      <c r="V56" s="2">
        <v>0.01</v>
      </c>
      <c r="W56" s="2">
        <v>0.5</v>
      </c>
      <c r="X56" s="2">
        <v>0.43</v>
      </c>
      <c r="Y56" s="2"/>
      <c r="Z56" s="2"/>
      <c r="AA56" s="2">
        <f t="shared" si="0"/>
        <v>1.0000000000000009E-2</v>
      </c>
    </row>
    <row r="57" spans="1:27" x14ac:dyDescent="0.2">
      <c r="A57" s="1" t="s">
        <v>170</v>
      </c>
      <c r="B57" s="2" t="s">
        <v>9</v>
      </c>
      <c r="C57" s="2">
        <f>1.3*10^6</f>
        <v>1300000</v>
      </c>
      <c r="D57" s="2" t="s">
        <v>171</v>
      </c>
      <c r="E57" s="2"/>
      <c r="F57" s="2" t="s">
        <v>171</v>
      </c>
      <c r="G57" s="2" t="s">
        <v>172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171</v>
      </c>
      <c r="T57" s="2"/>
      <c r="U57" s="2"/>
      <c r="V57" s="2">
        <v>0.1</v>
      </c>
      <c r="W57" s="2">
        <v>0.16</v>
      </c>
      <c r="X57" s="2"/>
      <c r="Y57" s="2"/>
      <c r="Z57" s="2"/>
      <c r="AA57" s="2">
        <f t="shared" si="0"/>
        <v>0.74</v>
      </c>
    </row>
    <row r="58" spans="1:27" x14ac:dyDescent="0.2">
      <c r="A58" s="1" t="s">
        <v>173</v>
      </c>
      <c r="B58" s="2" t="s">
        <v>13</v>
      </c>
      <c r="C58" s="2">
        <f>1.1*10^8</f>
        <v>110000000.00000001</v>
      </c>
      <c r="D58" s="2" t="s">
        <v>23</v>
      </c>
      <c r="E58" s="2" t="s">
        <v>174</v>
      </c>
      <c r="F58" s="2" t="s">
        <v>23</v>
      </c>
      <c r="G58" s="2" t="s">
        <v>24</v>
      </c>
      <c r="H58" s="2"/>
      <c r="I58" s="2"/>
      <c r="J58" s="2" t="s">
        <v>175</v>
      </c>
      <c r="K58" s="2"/>
      <c r="L58" s="2"/>
      <c r="M58" s="2"/>
      <c r="N58" s="2"/>
      <c r="O58" s="2"/>
      <c r="P58" s="2"/>
      <c r="Q58" s="2"/>
      <c r="R58" s="2" t="s">
        <v>176</v>
      </c>
      <c r="S58" s="2"/>
      <c r="T58" s="2"/>
      <c r="U58" s="2">
        <v>0.01</v>
      </c>
      <c r="V58" s="2">
        <v>0.19</v>
      </c>
      <c r="W58" s="2">
        <v>0.44</v>
      </c>
      <c r="X58" s="2">
        <v>0.34</v>
      </c>
      <c r="Y58" s="2"/>
      <c r="Z58" s="2"/>
      <c r="AA58" s="2">
        <f t="shared" si="0"/>
        <v>2.0000000000000018E-2</v>
      </c>
    </row>
    <row r="59" spans="1:27" x14ac:dyDescent="0.2">
      <c r="A59" s="1" t="s">
        <v>177</v>
      </c>
      <c r="B59" s="2" t="s">
        <v>23</v>
      </c>
      <c r="C59" s="2">
        <f>9.2*10^5</f>
        <v>919999.99999999988</v>
      </c>
      <c r="D59" s="2" t="s">
        <v>178</v>
      </c>
      <c r="E59" s="2"/>
      <c r="F59" s="2" t="s">
        <v>179</v>
      </c>
      <c r="G59" s="2" t="s">
        <v>180</v>
      </c>
      <c r="H59" s="2"/>
      <c r="I59" s="2"/>
      <c r="J59" s="2"/>
      <c r="K59" s="2" t="s">
        <v>179</v>
      </c>
      <c r="L59" s="2"/>
      <c r="M59" s="2"/>
      <c r="N59" s="2"/>
      <c r="O59" s="2"/>
      <c r="P59" s="2"/>
      <c r="Q59" s="2"/>
      <c r="R59" s="2"/>
      <c r="S59" s="2"/>
      <c r="T59" s="2"/>
      <c r="U59" s="2">
        <v>0.09</v>
      </c>
      <c r="V59" s="2">
        <v>0.45</v>
      </c>
      <c r="W59" s="2"/>
      <c r="X59" s="2">
        <v>0.06</v>
      </c>
      <c r="Y59" s="2">
        <v>0.28000000000000003</v>
      </c>
      <c r="Z59" s="2"/>
      <c r="AA59" s="2">
        <f t="shared" si="0"/>
        <v>0.11999999999999988</v>
      </c>
    </row>
    <row r="60" spans="1:27" x14ac:dyDescent="0.2">
      <c r="A60" s="1" t="s">
        <v>181</v>
      </c>
      <c r="B60" s="2" t="s">
        <v>9</v>
      </c>
      <c r="C60" s="2">
        <f>5.5*10^6</f>
        <v>5500000</v>
      </c>
      <c r="D60" s="2" t="s">
        <v>182</v>
      </c>
      <c r="E60" s="2"/>
      <c r="F60" s="2"/>
      <c r="G60" s="2" t="s">
        <v>183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184</v>
      </c>
      <c r="T60" s="2"/>
      <c r="U60" s="2"/>
      <c r="V60" s="2">
        <v>0.72</v>
      </c>
      <c r="W60" s="2">
        <v>0.01</v>
      </c>
      <c r="X60" s="2"/>
      <c r="Y60" s="2"/>
      <c r="Z60" s="2"/>
      <c r="AA60" s="2">
        <f t="shared" si="0"/>
        <v>0.27</v>
      </c>
    </row>
    <row r="61" spans="1:27" x14ac:dyDescent="0.2">
      <c r="A61" s="1" t="s">
        <v>185</v>
      </c>
      <c r="B61" s="2" t="s">
        <v>9</v>
      </c>
      <c r="C61" s="2">
        <f>2.1*10^6</f>
        <v>2100000</v>
      </c>
      <c r="D61" s="2" t="s">
        <v>186</v>
      </c>
      <c r="E61" s="2" t="s">
        <v>187</v>
      </c>
      <c r="F61" s="2" t="s">
        <v>186</v>
      </c>
      <c r="G61" s="2" t="s">
        <v>188</v>
      </c>
      <c r="H61" s="2"/>
      <c r="I61" s="2"/>
      <c r="J61" s="2"/>
      <c r="K61" s="2"/>
      <c r="L61" s="2"/>
      <c r="M61" s="2" t="s">
        <v>45</v>
      </c>
      <c r="N61" s="2"/>
      <c r="O61" s="2"/>
      <c r="P61" s="2"/>
      <c r="Q61" s="2"/>
      <c r="R61" s="2"/>
      <c r="S61" s="2"/>
      <c r="T61" s="2"/>
      <c r="U61" s="2"/>
      <c r="V61" s="2"/>
      <c r="W61" s="2">
        <v>0.65</v>
      </c>
      <c r="X61" s="2">
        <v>0.33</v>
      </c>
      <c r="Y61" s="2"/>
      <c r="Z61" s="2"/>
      <c r="AA61" s="2">
        <f t="shared" si="0"/>
        <v>2.0000000000000018E-2</v>
      </c>
    </row>
    <row r="62" spans="1:27" x14ac:dyDescent="0.2">
      <c r="A62" s="1" t="s">
        <v>189</v>
      </c>
      <c r="B62" s="2" t="s">
        <v>9</v>
      </c>
      <c r="C62" s="2">
        <f>6.7*10^7</f>
        <v>67000000</v>
      </c>
      <c r="D62" s="2" t="s">
        <v>15</v>
      </c>
      <c r="E62" s="2"/>
      <c r="F62" s="2" t="s">
        <v>15</v>
      </c>
      <c r="G62" s="2" t="s">
        <v>190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>
        <v>0.63</v>
      </c>
      <c r="V62" s="2"/>
      <c r="W62" s="2"/>
      <c r="X62" s="2">
        <v>0.08</v>
      </c>
      <c r="Y62" s="2"/>
      <c r="Z62" s="2">
        <v>0.01</v>
      </c>
      <c r="AA62" s="2">
        <f t="shared" si="0"/>
        <v>0.28000000000000003</v>
      </c>
    </row>
    <row r="63" spans="1:27" x14ac:dyDescent="0.2">
      <c r="A63" s="1" t="s">
        <v>191</v>
      </c>
      <c r="B63" s="2" t="s">
        <v>13</v>
      </c>
      <c r="C63" s="2">
        <f>1.8*10^6</f>
        <v>1800000</v>
      </c>
      <c r="D63" s="2" t="s">
        <v>15</v>
      </c>
      <c r="E63" s="2"/>
      <c r="F63" s="2" t="s">
        <v>15</v>
      </c>
      <c r="G63" s="2" t="s">
        <v>15</v>
      </c>
      <c r="H63" s="2"/>
      <c r="I63" s="2" t="s">
        <v>192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>
        <v>0.42</v>
      </c>
      <c r="V63" s="2">
        <v>0.14000000000000001</v>
      </c>
      <c r="W63" s="2"/>
      <c r="X63" s="2">
        <v>0.06</v>
      </c>
      <c r="Y63" s="2"/>
      <c r="Z63" s="2"/>
      <c r="AA63" s="2">
        <f t="shared" si="0"/>
        <v>0.37999999999999989</v>
      </c>
    </row>
    <row r="64" spans="1:27" x14ac:dyDescent="0.2">
      <c r="A64" s="1" t="s">
        <v>193</v>
      </c>
      <c r="B64" s="2" t="s">
        <v>13</v>
      </c>
      <c r="C64" s="2">
        <f>2.1*10^6</f>
        <v>2100000</v>
      </c>
      <c r="D64" s="2" t="s">
        <v>24</v>
      </c>
      <c r="E64" s="2"/>
      <c r="F64" s="2" t="s">
        <v>23</v>
      </c>
      <c r="G64" s="2" t="s">
        <v>24</v>
      </c>
      <c r="H64" s="2"/>
      <c r="I64" s="2" t="s">
        <v>194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>
        <v>0.02</v>
      </c>
      <c r="V64" s="2">
        <v>0.02</v>
      </c>
      <c r="W64" s="2"/>
      <c r="X64" s="2">
        <v>0.96</v>
      </c>
      <c r="Y64" s="2"/>
      <c r="Z64" s="2"/>
      <c r="AA64" s="2">
        <f t="shared" si="0"/>
        <v>0</v>
      </c>
    </row>
    <row r="65" spans="1:27" x14ac:dyDescent="0.2">
      <c r="A65" s="1" t="s">
        <v>195</v>
      </c>
      <c r="B65" s="2" t="s">
        <v>34</v>
      </c>
      <c r="C65" s="2">
        <f>4.9*10^6</f>
        <v>4900000</v>
      </c>
      <c r="D65" s="2" t="s">
        <v>196</v>
      </c>
      <c r="E65" s="2" t="s">
        <v>197</v>
      </c>
      <c r="F65" s="2" t="s">
        <v>196</v>
      </c>
      <c r="G65" s="2" t="s">
        <v>198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 t="s">
        <v>199</v>
      </c>
      <c r="U65" s="2"/>
      <c r="V65" s="2"/>
      <c r="W65" s="2">
        <v>0.86</v>
      </c>
      <c r="X65" s="2">
        <v>0.11</v>
      </c>
      <c r="Y65" s="2"/>
      <c r="Z65" s="2"/>
      <c r="AA65" s="2">
        <f t="shared" si="0"/>
        <v>3.0000000000000027E-2</v>
      </c>
    </row>
    <row r="66" spans="1:27" x14ac:dyDescent="0.2">
      <c r="A66" s="1" t="s">
        <v>200</v>
      </c>
      <c r="B66" s="2" t="s">
        <v>9</v>
      </c>
      <c r="C66" s="2">
        <f>8.1*10^7</f>
        <v>81000000</v>
      </c>
      <c r="D66" s="2" t="s">
        <v>42</v>
      </c>
      <c r="E66" s="2" t="s">
        <v>201</v>
      </c>
      <c r="F66" s="2" t="s">
        <v>42</v>
      </c>
      <c r="G66" s="2" t="s">
        <v>202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>
        <v>0.28999999999999998</v>
      </c>
      <c r="V66" s="2">
        <v>0.27</v>
      </c>
      <c r="W66" s="2">
        <v>0.02</v>
      </c>
      <c r="X66" s="2">
        <v>0.04</v>
      </c>
      <c r="Y66" s="2"/>
      <c r="Z66" s="2"/>
      <c r="AA66" s="2">
        <f t="shared" ref="AA66:AA129" si="1">1 - SUM(U66:Z66)</f>
        <v>0.37999999999999989</v>
      </c>
    </row>
    <row r="67" spans="1:27" x14ac:dyDescent="0.2">
      <c r="A67" s="1" t="s">
        <v>203</v>
      </c>
      <c r="B67" s="2" t="s">
        <v>13</v>
      </c>
      <c r="C67" s="2">
        <f>2.7*10^7</f>
        <v>27000000</v>
      </c>
      <c r="D67" s="2" t="s">
        <v>24</v>
      </c>
      <c r="E67" s="2" t="s">
        <v>204</v>
      </c>
      <c r="F67" s="2" t="s">
        <v>23</v>
      </c>
      <c r="G67" s="2" t="s">
        <v>24</v>
      </c>
      <c r="H67" s="2"/>
      <c r="I67" s="2" t="s">
        <v>205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>
        <v>0.13</v>
      </c>
      <c r="V67" s="2">
        <v>0.47</v>
      </c>
      <c r="W67" s="2"/>
      <c r="X67" s="2">
        <v>0.18</v>
      </c>
      <c r="Y67" s="2"/>
      <c r="Z67" s="2"/>
      <c r="AA67" s="2">
        <f t="shared" si="1"/>
        <v>0.21999999999999997</v>
      </c>
    </row>
    <row r="68" spans="1:27" x14ac:dyDescent="0.2">
      <c r="A68" s="1" t="s">
        <v>206</v>
      </c>
      <c r="B68" s="2" t="s">
        <v>9</v>
      </c>
      <c r="C68" s="2">
        <f>1.1*10^7</f>
        <v>11000000</v>
      </c>
      <c r="D68" s="2" t="s">
        <v>136</v>
      </c>
      <c r="E68" s="2"/>
      <c r="F68" s="2" t="s">
        <v>136</v>
      </c>
      <c r="G68" s="2" t="s">
        <v>207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>
        <v>0.98</v>
      </c>
      <c r="X68" s="2">
        <v>0.01</v>
      </c>
      <c r="Y68" s="2"/>
      <c r="Z68" s="2"/>
      <c r="AA68" s="2">
        <f t="shared" si="1"/>
        <v>1.0000000000000009E-2</v>
      </c>
    </row>
    <row r="69" spans="1:27" x14ac:dyDescent="0.2">
      <c r="A69" s="1" t="s">
        <v>208</v>
      </c>
      <c r="B69" s="2" t="s">
        <v>23</v>
      </c>
      <c r="C69" s="2">
        <f>1.1*10^5</f>
        <v>110000.00000000001</v>
      </c>
      <c r="D69" s="2" t="s">
        <v>24</v>
      </c>
      <c r="E69" s="2"/>
      <c r="F69" s="2" t="s">
        <v>25</v>
      </c>
      <c r="G69" s="2" t="s">
        <v>209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>
        <v>0.36</v>
      </c>
      <c r="V69" s="2">
        <v>0.49</v>
      </c>
      <c r="W69" s="2"/>
      <c r="X69" s="2"/>
      <c r="Y69" s="2"/>
      <c r="Z69" s="2"/>
      <c r="AA69" s="2">
        <f t="shared" si="1"/>
        <v>0.15000000000000002</v>
      </c>
    </row>
    <row r="70" spans="1:27" x14ac:dyDescent="0.2">
      <c r="A70" s="1" t="s">
        <v>210</v>
      </c>
      <c r="B70" s="2" t="s">
        <v>62</v>
      </c>
      <c r="C70" s="2">
        <f>1.5*10^7</f>
        <v>15000000</v>
      </c>
      <c r="D70" s="2" t="s">
        <v>29</v>
      </c>
      <c r="E70" s="2"/>
      <c r="F70" s="2" t="s">
        <v>29</v>
      </c>
      <c r="G70" s="2" t="s">
        <v>29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 t="s">
        <v>211</v>
      </c>
      <c r="U70" s="2">
        <v>0.45</v>
      </c>
      <c r="V70" s="2">
        <v>0.42</v>
      </c>
      <c r="W70" s="2"/>
      <c r="X70" s="2"/>
      <c r="Y70" s="2"/>
      <c r="Z70" s="2"/>
      <c r="AA70" s="2">
        <f t="shared" si="1"/>
        <v>0.13</v>
      </c>
    </row>
    <row r="71" spans="1:27" x14ac:dyDescent="0.2">
      <c r="A71" s="1" t="s">
        <v>212</v>
      </c>
      <c r="B71" s="2" t="s">
        <v>13</v>
      </c>
      <c r="C71" s="2">
        <f>1.2*10^7</f>
        <v>12000000</v>
      </c>
      <c r="D71" s="2" t="s">
        <v>15</v>
      </c>
      <c r="E71" s="2"/>
      <c r="F71" s="2" t="s">
        <v>15</v>
      </c>
      <c r="G71" s="2" t="s">
        <v>15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>
        <v>0.03</v>
      </c>
      <c r="V71" s="2">
        <v>0.06</v>
      </c>
      <c r="W71" s="2"/>
      <c r="X71" s="2">
        <v>0.87</v>
      </c>
      <c r="Y71" s="2"/>
      <c r="Z71" s="2"/>
      <c r="AA71" s="2">
        <f t="shared" si="1"/>
        <v>4.0000000000000036E-2</v>
      </c>
    </row>
    <row r="72" spans="1:27" x14ac:dyDescent="0.2">
      <c r="A72" s="1" t="s">
        <v>213</v>
      </c>
      <c r="B72" s="2" t="s">
        <v>13</v>
      </c>
      <c r="C72" s="2">
        <f>1.8*10^6</f>
        <v>1800000</v>
      </c>
      <c r="D72" s="2" t="s">
        <v>20</v>
      </c>
      <c r="E72" s="2"/>
      <c r="F72" s="2" t="s">
        <v>20</v>
      </c>
      <c r="G72" s="2" t="s">
        <v>20</v>
      </c>
      <c r="H72" s="2"/>
      <c r="I72" s="2" t="s">
        <v>214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>
        <v>0.12</v>
      </c>
      <c r="V72" s="2">
        <v>0.1</v>
      </c>
      <c r="W72" s="2"/>
      <c r="X72" s="2">
        <v>0.45</v>
      </c>
      <c r="Y72" s="2"/>
      <c r="Z72" s="2"/>
      <c r="AA72" s="2">
        <f t="shared" si="1"/>
        <v>0.32999999999999996</v>
      </c>
    </row>
    <row r="73" spans="1:27" x14ac:dyDescent="0.2">
      <c r="A73" s="1" t="s">
        <v>215</v>
      </c>
      <c r="B73" s="2" t="s">
        <v>28</v>
      </c>
      <c r="C73" s="2">
        <f>7.4*10^5</f>
        <v>740000</v>
      </c>
      <c r="D73" s="2" t="s">
        <v>24</v>
      </c>
      <c r="E73" s="2"/>
      <c r="F73" s="2" t="s">
        <v>25</v>
      </c>
      <c r="G73" s="2" t="s">
        <v>180</v>
      </c>
      <c r="H73" s="2" t="s">
        <v>117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 t="s">
        <v>216</v>
      </c>
      <c r="U73" s="2">
        <v>7.0000000000000007E-2</v>
      </c>
      <c r="V73" s="2">
        <v>0.35</v>
      </c>
      <c r="W73" s="2"/>
      <c r="X73" s="2">
        <v>7.0000000000000007E-2</v>
      </c>
      <c r="Y73" s="2">
        <v>0.25</v>
      </c>
      <c r="Z73" s="2"/>
      <c r="AA73" s="2">
        <f t="shared" si="1"/>
        <v>0.26</v>
      </c>
    </row>
    <row r="74" spans="1:27" x14ac:dyDescent="0.2">
      <c r="A74" s="1" t="s">
        <v>217</v>
      </c>
      <c r="B74" s="2" t="s">
        <v>23</v>
      </c>
      <c r="C74" s="2">
        <f>1.1*10^7</f>
        <v>11000000</v>
      </c>
      <c r="D74" s="2" t="s">
        <v>218</v>
      </c>
      <c r="E74" s="2"/>
      <c r="F74" s="2" t="s">
        <v>219</v>
      </c>
      <c r="G74" s="2" t="s">
        <v>218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>
        <v>0.55000000000000004</v>
      </c>
      <c r="V74" s="2">
        <v>0.28999999999999998</v>
      </c>
      <c r="W74" s="2"/>
      <c r="X74" s="2"/>
      <c r="Y74" s="2"/>
      <c r="Z74" s="2"/>
      <c r="AA74" s="2">
        <f t="shared" si="1"/>
        <v>0.15999999999999992</v>
      </c>
    </row>
    <row r="75" spans="1:27" x14ac:dyDescent="0.2">
      <c r="A75" s="1" t="s">
        <v>220</v>
      </c>
      <c r="B75" s="2" t="s">
        <v>62</v>
      </c>
      <c r="C75" s="2">
        <f>9*10^6</f>
        <v>9000000</v>
      </c>
      <c r="D75" s="2" t="s">
        <v>29</v>
      </c>
      <c r="E75" s="2" t="s">
        <v>221</v>
      </c>
      <c r="F75" s="2" t="s">
        <v>29</v>
      </c>
      <c r="G75" s="2" t="s">
        <v>114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 t="s">
        <v>222</v>
      </c>
      <c r="U75" s="2">
        <v>0.46</v>
      </c>
      <c r="V75" s="2">
        <v>0.41</v>
      </c>
      <c r="W75" s="2"/>
      <c r="X75" s="2"/>
      <c r="Y75" s="2"/>
      <c r="Z75" s="2"/>
      <c r="AA75" s="2">
        <f t="shared" si="1"/>
        <v>0.13</v>
      </c>
    </row>
    <row r="76" spans="1:27" x14ac:dyDescent="0.2">
      <c r="A76" s="1" t="s">
        <v>223</v>
      </c>
      <c r="B76" s="2" t="s">
        <v>9</v>
      </c>
      <c r="C76" s="2">
        <f>9.9*10^6</f>
        <v>9900000</v>
      </c>
      <c r="D76" s="2" t="s">
        <v>132</v>
      </c>
      <c r="E76" s="2"/>
      <c r="F76" s="2" t="s">
        <v>132</v>
      </c>
      <c r="G76" s="2" t="s">
        <v>224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132</v>
      </c>
      <c r="T76" s="2"/>
      <c r="U76" s="2">
        <v>0.39</v>
      </c>
      <c r="V76" s="2">
        <v>0.14000000000000001</v>
      </c>
      <c r="W76" s="2"/>
      <c r="X76" s="2"/>
      <c r="Y76" s="2"/>
      <c r="Z76" s="2"/>
      <c r="AA76" s="2">
        <f t="shared" si="1"/>
        <v>0.47</v>
      </c>
    </row>
    <row r="77" spans="1:27" x14ac:dyDescent="0.2">
      <c r="A77" s="1" t="s">
        <v>225</v>
      </c>
      <c r="B77" s="2" t="s">
        <v>23</v>
      </c>
      <c r="C77" s="2">
        <f>3.4*10^5</f>
        <v>340000</v>
      </c>
      <c r="D77" s="2" t="s">
        <v>226</v>
      </c>
      <c r="E77" s="2"/>
      <c r="F77" s="2" t="s">
        <v>226</v>
      </c>
      <c r="G77" s="2" t="s">
        <v>227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>
        <v>0.04</v>
      </c>
      <c r="V77" s="2">
        <v>0.7</v>
      </c>
      <c r="W77" s="2"/>
      <c r="X77" s="2"/>
      <c r="Y77" s="2"/>
      <c r="Z77" s="2"/>
      <c r="AA77" s="2">
        <f t="shared" si="1"/>
        <v>0.26</v>
      </c>
    </row>
    <row r="78" spans="1:27" x14ac:dyDescent="0.2">
      <c r="A78" s="1" t="s">
        <v>228</v>
      </c>
      <c r="B78" s="2" t="s">
        <v>1</v>
      </c>
      <c r="C78" s="2">
        <f>1.3*10^9</f>
        <v>1300000000</v>
      </c>
      <c r="D78" s="2" t="s">
        <v>229</v>
      </c>
      <c r="E78" s="2" t="s">
        <v>230</v>
      </c>
      <c r="F78" s="2" t="s">
        <v>23</v>
      </c>
      <c r="G78" s="2" t="s">
        <v>231</v>
      </c>
      <c r="H78" s="2" t="s">
        <v>232</v>
      </c>
      <c r="I78" s="2"/>
      <c r="J78" s="2"/>
      <c r="K78" s="2"/>
      <c r="L78" s="2" t="s">
        <v>233</v>
      </c>
      <c r="M78" s="2"/>
      <c r="N78" s="2"/>
      <c r="O78" s="2" t="s">
        <v>234</v>
      </c>
      <c r="P78" s="2"/>
      <c r="Q78" s="2"/>
      <c r="R78" s="2"/>
      <c r="S78" s="2"/>
      <c r="T78" s="2"/>
      <c r="U78" s="2">
        <v>0.02</v>
      </c>
      <c r="V78" s="2"/>
      <c r="W78" s="2"/>
      <c r="X78" s="2">
        <v>0.14000000000000001</v>
      </c>
      <c r="Y78" s="2">
        <v>0.8</v>
      </c>
      <c r="Z78" s="2"/>
      <c r="AA78" s="2">
        <f t="shared" si="1"/>
        <v>3.9999999999999925E-2</v>
      </c>
    </row>
    <row r="79" spans="1:27" x14ac:dyDescent="0.2">
      <c r="A79" s="1" t="s">
        <v>235</v>
      </c>
      <c r="B79" s="2" t="s">
        <v>23</v>
      </c>
      <c r="C79" s="2">
        <f>2.6*10^8</f>
        <v>260000000</v>
      </c>
      <c r="D79" s="2" t="s">
        <v>85</v>
      </c>
      <c r="E79" s="2" t="s">
        <v>236</v>
      </c>
      <c r="F79" s="2" t="s">
        <v>85</v>
      </c>
      <c r="G79" s="2" t="s">
        <v>237</v>
      </c>
      <c r="H79" s="2"/>
      <c r="I79" s="2"/>
      <c r="J79" s="2"/>
      <c r="K79" s="2" t="s">
        <v>238</v>
      </c>
      <c r="L79" s="2"/>
      <c r="M79" s="2"/>
      <c r="N79" s="2"/>
      <c r="O79" s="2"/>
      <c r="P79" s="2"/>
      <c r="Q79" s="2"/>
      <c r="R79" s="2"/>
      <c r="S79" s="2"/>
      <c r="T79" s="2"/>
      <c r="U79" s="2">
        <v>0.03</v>
      </c>
      <c r="V79" s="2">
        <v>7.0000000000000007E-2</v>
      </c>
      <c r="W79" s="2"/>
      <c r="X79" s="2">
        <v>0.87</v>
      </c>
      <c r="Y79" s="2">
        <v>0.02</v>
      </c>
      <c r="Z79" s="2"/>
      <c r="AA79" s="2">
        <f t="shared" si="1"/>
        <v>1.0000000000000009E-2</v>
      </c>
    </row>
    <row r="80" spans="1:27" x14ac:dyDescent="0.2">
      <c r="A80" s="1" t="s">
        <v>239</v>
      </c>
      <c r="B80" s="2" t="s">
        <v>1</v>
      </c>
      <c r="C80" s="2">
        <f>8.2*10^7</f>
        <v>82000000</v>
      </c>
      <c r="D80" s="2" t="s">
        <v>4</v>
      </c>
      <c r="E80" s="2"/>
      <c r="F80" s="2" t="s">
        <v>4</v>
      </c>
      <c r="G80" s="2" t="s">
        <v>240</v>
      </c>
      <c r="H80" s="2"/>
      <c r="I80" s="2"/>
      <c r="J80" s="2" t="s">
        <v>6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>
        <v>0.99</v>
      </c>
      <c r="Y80" s="2"/>
      <c r="Z80" s="2"/>
      <c r="AA80" s="2">
        <f t="shared" si="1"/>
        <v>1.0000000000000009E-2</v>
      </c>
    </row>
    <row r="81" spans="1:27" x14ac:dyDescent="0.2">
      <c r="A81" s="1" t="s">
        <v>241</v>
      </c>
      <c r="B81" s="2" t="s">
        <v>1</v>
      </c>
      <c r="C81" s="2">
        <f>3.9*10^7</f>
        <v>39000000</v>
      </c>
      <c r="D81" s="2" t="s">
        <v>242</v>
      </c>
      <c r="E81" s="2" t="s">
        <v>243</v>
      </c>
      <c r="F81" s="2" t="s">
        <v>6</v>
      </c>
      <c r="G81" s="2" t="s">
        <v>244</v>
      </c>
      <c r="H81" s="2"/>
      <c r="I81" s="2"/>
      <c r="J81" s="2" t="s">
        <v>245</v>
      </c>
      <c r="K81" s="2"/>
      <c r="L81" s="2"/>
      <c r="M81" s="2" t="s">
        <v>246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>
        <v>0.99</v>
      </c>
      <c r="Y81" s="2"/>
      <c r="Z81" s="2"/>
      <c r="AA81" s="2">
        <f t="shared" si="1"/>
        <v>1.0000000000000009E-2</v>
      </c>
    </row>
    <row r="82" spans="1:27" x14ac:dyDescent="0.2">
      <c r="A82" s="1" t="s">
        <v>247</v>
      </c>
      <c r="B82" s="2" t="s">
        <v>23</v>
      </c>
      <c r="C82" s="2">
        <f>5*10^6</f>
        <v>5000000</v>
      </c>
      <c r="D82" s="2" t="s">
        <v>248</v>
      </c>
      <c r="E82" s="2"/>
      <c r="F82" s="2" t="s">
        <v>24</v>
      </c>
      <c r="G82" s="2" t="s">
        <v>248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>
        <v>0.78</v>
      </c>
      <c r="V82" s="2">
        <v>0.03</v>
      </c>
      <c r="W82" s="2">
        <v>0.01</v>
      </c>
      <c r="X82" s="2">
        <v>0.01</v>
      </c>
      <c r="Y82" s="2"/>
      <c r="Z82" s="2"/>
      <c r="AA82" s="2">
        <f t="shared" si="1"/>
        <v>0.16999999999999993</v>
      </c>
    </row>
    <row r="83" spans="1:27" x14ac:dyDescent="0.2">
      <c r="A83" s="1" t="s">
        <v>249</v>
      </c>
      <c r="B83" s="2" t="s">
        <v>1</v>
      </c>
      <c r="C83" s="2">
        <f>8.3*10^6</f>
        <v>8300000.0000000009</v>
      </c>
      <c r="D83" s="2" t="s">
        <v>250</v>
      </c>
      <c r="E83" s="2" t="s">
        <v>6</v>
      </c>
      <c r="F83" s="2" t="s">
        <v>250</v>
      </c>
      <c r="G83" s="2" t="s">
        <v>24</v>
      </c>
      <c r="H83" s="2"/>
      <c r="I83" s="2"/>
      <c r="J83" s="2" t="s">
        <v>251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>
        <v>0.25</v>
      </c>
      <c r="Y83" s="2"/>
      <c r="Z83" s="2"/>
      <c r="AA83" s="2">
        <f t="shared" si="1"/>
        <v>0.75</v>
      </c>
    </row>
    <row r="84" spans="1:27" x14ac:dyDescent="0.2">
      <c r="A84" s="1" t="s">
        <v>252</v>
      </c>
      <c r="B84" s="2" t="s">
        <v>9</v>
      </c>
      <c r="C84" s="2">
        <f>6.2*10^7</f>
        <v>62000000</v>
      </c>
      <c r="D84" s="2" t="s">
        <v>253</v>
      </c>
      <c r="E84" s="2" t="s">
        <v>254</v>
      </c>
      <c r="F84" s="2" t="s">
        <v>253</v>
      </c>
      <c r="G84" s="2" t="s">
        <v>255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>
        <v>0.8</v>
      </c>
      <c r="V84" s="2"/>
      <c r="W84" s="2"/>
      <c r="X84" s="2">
        <v>0.02</v>
      </c>
      <c r="Y84" s="2"/>
      <c r="Z84" s="2"/>
      <c r="AA84" s="2">
        <f t="shared" si="1"/>
        <v>0.17999999999999994</v>
      </c>
    </row>
    <row r="85" spans="1:27" x14ac:dyDescent="0.2">
      <c r="A85" s="1" t="s">
        <v>256</v>
      </c>
      <c r="B85" s="2" t="s">
        <v>23</v>
      </c>
      <c r="C85" s="2">
        <f>3*10^6</f>
        <v>3000000</v>
      </c>
      <c r="D85" s="2" t="s">
        <v>24</v>
      </c>
      <c r="E85" s="2"/>
      <c r="F85" s="2" t="s">
        <v>25</v>
      </c>
      <c r="G85" s="2" t="s">
        <v>26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>
        <v>0.02</v>
      </c>
      <c r="V85" s="2">
        <v>0.65</v>
      </c>
      <c r="W85" s="2"/>
      <c r="X85" s="2"/>
      <c r="Y85" s="2"/>
      <c r="Z85" s="2"/>
      <c r="AA85" s="2">
        <f t="shared" si="1"/>
        <v>0.32999999999999996</v>
      </c>
    </row>
    <row r="86" spans="1:27" x14ac:dyDescent="0.2">
      <c r="A86" s="1" t="s">
        <v>257</v>
      </c>
      <c r="B86" s="2" t="s">
        <v>23</v>
      </c>
      <c r="C86" s="2">
        <f>1.3*10^8</f>
        <v>130000000</v>
      </c>
      <c r="D86" s="2" t="s">
        <v>23</v>
      </c>
      <c r="E86" s="2"/>
      <c r="F86" s="2" t="s">
        <v>82</v>
      </c>
      <c r="G86" s="2"/>
      <c r="H86" s="2"/>
      <c r="I86" s="2"/>
      <c r="J86" s="2"/>
      <c r="K86" s="2"/>
      <c r="L86" s="2"/>
      <c r="M86" s="2"/>
      <c r="N86" s="2" t="s">
        <v>82</v>
      </c>
      <c r="O86" s="2"/>
      <c r="P86" s="2"/>
      <c r="Q86" s="2"/>
      <c r="R86" s="2"/>
      <c r="S86" s="2"/>
      <c r="T86" s="2"/>
      <c r="U86" s="2">
        <v>0.01</v>
      </c>
      <c r="V86" s="2">
        <v>0.01</v>
      </c>
      <c r="W86" s="2"/>
      <c r="X86" s="2"/>
      <c r="Y86" s="2"/>
      <c r="Z86" s="2">
        <v>0.67</v>
      </c>
      <c r="AA86" s="2">
        <f t="shared" si="1"/>
        <v>0.30999999999999994</v>
      </c>
    </row>
    <row r="87" spans="1:27" x14ac:dyDescent="0.2">
      <c r="A87" s="1" t="s">
        <v>258</v>
      </c>
      <c r="B87" s="2" t="s">
        <v>1</v>
      </c>
      <c r="C87" s="2">
        <f>1*10^7</f>
        <v>10000000</v>
      </c>
      <c r="D87" s="2" t="s">
        <v>6</v>
      </c>
      <c r="E87" s="2"/>
      <c r="F87" s="2" t="s">
        <v>6</v>
      </c>
      <c r="G87" s="2" t="s">
        <v>24</v>
      </c>
      <c r="H87" s="2"/>
      <c r="I87" s="2"/>
      <c r="J87" s="2" t="s">
        <v>6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0.02</v>
      </c>
      <c r="X87" s="2">
        <v>0.97</v>
      </c>
      <c r="Y87" s="2"/>
      <c r="Z87" s="2"/>
      <c r="AA87" s="2">
        <f t="shared" si="1"/>
        <v>1.0000000000000009E-2</v>
      </c>
    </row>
    <row r="88" spans="1:27" x14ac:dyDescent="0.2">
      <c r="A88" s="1" t="s">
        <v>259</v>
      </c>
      <c r="B88" s="2" t="s">
        <v>1</v>
      </c>
      <c r="C88" s="2">
        <f>1.9*10^7</f>
        <v>19000000</v>
      </c>
      <c r="D88" s="2" t="s">
        <v>260</v>
      </c>
      <c r="E88" s="2"/>
      <c r="F88" s="2" t="s">
        <v>260</v>
      </c>
      <c r="G88" s="2" t="s">
        <v>57</v>
      </c>
      <c r="H88" s="2"/>
      <c r="I88" s="2"/>
      <c r="J88" s="2"/>
      <c r="K88" s="2"/>
      <c r="L88" s="2"/>
      <c r="M88" s="2" t="s">
        <v>261</v>
      </c>
      <c r="N88" s="2"/>
      <c r="O88" s="2"/>
      <c r="P88" s="2"/>
      <c r="Q88" s="2"/>
      <c r="R88" s="2"/>
      <c r="S88" s="2"/>
      <c r="T88" s="2"/>
      <c r="U88" s="2"/>
      <c r="V88" s="2"/>
      <c r="W88" s="2">
        <v>0.26</v>
      </c>
      <c r="X88" s="2">
        <v>0.7</v>
      </c>
      <c r="Y88" s="2"/>
      <c r="Z88" s="2"/>
      <c r="AA88" s="2">
        <f t="shared" si="1"/>
        <v>4.0000000000000036E-2</v>
      </c>
    </row>
    <row r="89" spans="1:27" x14ac:dyDescent="0.2">
      <c r="A89" s="1" t="s">
        <v>262</v>
      </c>
      <c r="B89" s="2" t="s">
        <v>13</v>
      </c>
      <c r="C89" s="2">
        <f>4.8*10^7</f>
        <v>48000000</v>
      </c>
      <c r="D89" s="2" t="s">
        <v>263</v>
      </c>
      <c r="E89" s="2"/>
      <c r="F89" s="2" t="s">
        <v>263</v>
      </c>
      <c r="G89" s="2" t="s">
        <v>24</v>
      </c>
      <c r="H89" s="2"/>
      <c r="I89" s="2" t="s">
        <v>264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>
        <v>0.23</v>
      </c>
      <c r="V89" s="2">
        <v>0.48</v>
      </c>
      <c r="W89" s="2"/>
      <c r="X89" s="2">
        <v>0.11</v>
      </c>
      <c r="Y89" s="2"/>
      <c r="Z89" s="2"/>
      <c r="AA89" s="2">
        <f t="shared" si="1"/>
        <v>0.18000000000000005</v>
      </c>
    </row>
    <row r="90" spans="1:27" x14ac:dyDescent="0.2">
      <c r="A90" s="1" t="s">
        <v>265</v>
      </c>
      <c r="B90" s="2" t="s">
        <v>23</v>
      </c>
      <c r="C90" s="2">
        <f>1.1*10^5</f>
        <v>110000.00000000001</v>
      </c>
      <c r="D90" s="2" t="s">
        <v>24</v>
      </c>
      <c r="E90" s="2"/>
      <c r="F90" s="2" t="s">
        <v>266</v>
      </c>
      <c r="G90" s="2" t="s">
        <v>24</v>
      </c>
      <c r="H90" s="2"/>
      <c r="I90" s="2"/>
      <c r="J90" s="2"/>
      <c r="K90" s="2" t="s">
        <v>266</v>
      </c>
      <c r="L90" s="2"/>
      <c r="M90" s="2"/>
      <c r="N90" s="2"/>
      <c r="O90" s="2"/>
      <c r="P90" s="2"/>
      <c r="Q90" s="2"/>
      <c r="R90" s="2"/>
      <c r="S90" s="2"/>
      <c r="T90" s="2"/>
      <c r="U90" s="2">
        <v>0.56999999999999995</v>
      </c>
      <c r="V90" s="2">
        <v>0.33</v>
      </c>
      <c r="W90" s="2"/>
      <c r="X90" s="2"/>
      <c r="Y90" s="2"/>
      <c r="Z90" s="2"/>
      <c r="AA90" s="2">
        <f t="shared" si="1"/>
        <v>0.10000000000000009</v>
      </c>
    </row>
    <row r="91" spans="1:27" x14ac:dyDescent="0.2">
      <c r="A91" s="1" t="s">
        <v>267</v>
      </c>
      <c r="B91" s="2" t="s">
        <v>1</v>
      </c>
      <c r="C91" s="2">
        <f>2.9*10^6</f>
        <v>2900000</v>
      </c>
      <c r="D91" s="2" t="s">
        <v>6</v>
      </c>
      <c r="E91" s="2"/>
      <c r="F91" s="2" t="s">
        <v>6</v>
      </c>
      <c r="G91" s="2" t="s">
        <v>24</v>
      </c>
      <c r="H91" s="2"/>
      <c r="I91" s="2"/>
      <c r="J91" s="2" t="s">
        <v>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>
        <v>0.06</v>
      </c>
      <c r="V91" s="2">
        <v>0.11</v>
      </c>
      <c r="W91" s="2"/>
      <c r="X91" s="2">
        <v>0.77</v>
      </c>
      <c r="Y91" s="2"/>
      <c r="Z91" s="2"/>
      <c r="AA91" s="2">
        <f t="shared" si="1"/>
        <v>6.0000000000000053E-2</v>
      </c>
    </row>
    <row r="92" spans="1:27" x14ac:dyDescent="0.2">
      <c r="A92" s="1" t="s">
        <v>268</v>
      </c>
      <c r="B92" s="2" t="s">
        <v>1</v>
      </c>
      <c r="C92" s="2">
        <f>5.8*10^6</f>
        <v>5800000</v>
      </c>
      <c r="D92" s="2" t="s">
        <v>269</v>
      </c>
      <c r="E92" s="2"/>
      <c r="F92" s="2" t="s">
        <v>270</v>
      </c>
      <c r="G92" s="2" t="s">
        <v>57</v>
      </c>
      <c r="H92" s="2"/>
      <c r="I92" s="2"/>
      <c r="J92" s="2"/>
      <c r="K92" s="2"/>
      <c r="L92" s="2"/>
      <c r="M92" s="2" t="s">
        <v>271</v>
      </c>
      <c r="N92" s="2"/>
      <c r="O92" s="2"/>
      <c r="P92" s="2"/>
      <c r="Q92" s="2"/>
      <c r="R92" s="2"/>
      <c r="S92" s="2"/>
      <c r="T92" s="2"/>
      <c r="U92" s="2"/>
      <c r="V92" s="2"/>
      <c r="W92" s="2">
        <v>0.2</v>
      </c>
      <c r="X92" s="2">
        <v>0.75</v>
      </c>
      <c r="Y92" s="2"/>
      <c r="Z92" s="2"/>
      <c r="AA92" s="2">
        <f t="shared" si="1"/>
        <v>5.0000000000000044E-2</v>
      </c>
    </row>
    <row r="93" spans="1:27" x14ac:dyDescent="0.2">
      <c r="A93" s="1" t="s">
        <v>272</v>
      </c>
      <c r="B93" s="2" t="s">
        <v>1</v>
      </c>
      <c r="C93" s="2">
        <f>7.1*10^6</f>
        <v>7100000</v>
      </c>
      <c r="D93" s="2" t="s">
        <v>273</v>
      </c>
      <c r="E93" s="2"/>
      <c r="F93" s="2" t="s">
        <v>273</v>
      </c>
      <c r="G93" s="2" t="s">
        <v>94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 t="s">
        <v>273</v>
      </c>
      <c r="U93" s="2">
        <v>0.01</v>
      </c>
      <c r="V93" s="2">
        <v>0.01</v>
      </c>
      <c r="W93" s="2"/>
      <c r="X93" s="2"/>
      <c r="Y93" s="2"/>
      <c r="Z93" s="2">
        <v>0.65</v>
      </c>
      <c r="AA93" s="2">
        <f t="shared" si="1"/>
        <v>0.32999999999999996</v>
      </c>
    </row>
    <row r="94" spans="1:27" x14ac:dyDescent="0.2">
      <c r="A94" s="1" t="s">
        <v>274</v>
      </c>
      <c r="B94" s="2" t="s">
        <v>9</v>
      </c>
      <c r="C94" s="2">
        <f>1.9*10^6</f>
        <v>1900000</v>
      </c>
      <c r="D94" s="2" t="s">
        <v>275</v>
      </c>
      <c r="E94" s="2"/>
      <c r="F94" s="2" t="s">
        <v>275</v>
      </c>
      <c r="G94" s="2" t="s">
        <v>276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>
        <v>0.2</v>
      </c>
      <c r="W94" s="2">
        <v>0.15</v>
      </c>
      <c r="X94" s="2"/>
      <c r="Y94" s="2"/>
      <c r="Z94" s="2"/>
      <c r="AA94" s="2">
        <f t="shared" si="1"/>
        <v>0.65</v>
      </c>
    </row>
    <row r="95" spans="1:27" x14ac:dyDescent="0.2">
      <c r="A95" s="1" t="s">
        <v>277</v>
      </c>
      <c r="B95" s="2" t="s">
        <v>1</v>
      </c>
      <c r="C95" s="2">
        <f>6.2*10^6</f>
        <v>6200000</v>
      </c>
      <c r="D95" s="2" t="s">
        <v>6</v>
      </c>
      <c r="E95" s="2"/>
      <c r="F95" s="2" t="s">
        <v>6</v>
      </c>
      <c r="G95" s="2" t="s">
        <v>278</v>
      </c>
      <c r="H95" s="2"/>
      <c r="I95" s="2"/>
      <c r="J95" s="2" t="s">
        <v>6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>
        <v>0.26</v>
      </c>
      <c r="V95" s="2"/>
      <c r="W95" s="2">
        <v>0.08</v>
      </c>
      <c r="X95" s="2">
        <v>0.54</v>
      </c>
      <c r="Y95" s="2"/>
      <c r="Z95" s="2"/>
      <c r="AA95" s="2">
        <f t="shared" si="1"/>
        <v>0.11999999999999988</v>
      </c>
    </row>
    <row r="96" spans="1:27" x14ac:dyDescent="0.2">
      <c r="A96" s="1" t="s">
        <v>279</v>
      </c>
      <c r="B96" s="2" t="s">
        <v>13</v>
      </c>
      <c r="C96" s="2">
        <f>2*10^6</f>
        <v>2000000</v>
      </c>
      <c r="D96" s="2" t="s">
        <v>280</v>
      </c>
      <c r="E96" s="2"/>
      <c r="F96" s="2" t="s">
        <v>281</v>
      </c>
      <c r="G96" s="2" t="s">
        <v>24</v>
      </c>
      <c r="H96" s="2"/>
      <c r="I96" s="2" t="s">
        <v>282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>
        <v>0.4</v>
      </c>
      <c r="V96" s="2">
        <v>0.4</v>
      </c>
      <c r="W96" s="2"/>
      <c r="X96" s="2"/>
      <c r="Y96" s="2"/>
      <c r="Z96" s="2"/>
      <c r="AA96" s="2">
        <f t="shared" si="1"/>
        <v>0.19999999999999996</v>
      </c>
    </row>
    <row r="97" spans="1:27" x14ac:dyDescent="0.2">
      <c r="A97" s="1" t="s">
        <v>283</v>
      </c>
      <c r="B97" s="2" t="s">
        <v>13</v>
      </c>
      <c r="C97" s="2">
        <f>4.7*10^6</f>
        <v>4700000</v>
      </c>
      <c r="D97" s="2" t="s">
        <v>24</v>
      </c>
      <c r="E97" s="2"/>
      <c r="F97" s="2" t="s">
        <v>23</v>
      </c>
      <c r="G97" s="2" t="s">
        <v>24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>
        <v>7.0000000000000007E-2</v>
      </c>
      <c r="V97" s="2">
        <v>0.76</v>
      </c>
      <c r="W97" s="2"/>
      <c r="X97" s="2">
        <v>0.12</v>
      </c>
      <c r="Y97" s="2"/>
      <c r="Z97" s="2"/>
      <c r="AA97" s="2">
        <f t="shared" si="1"/>
        <v>4.9999999999999933E-2</v>
      </c>
    </row>
    <row r="98" spans="1:27" x14ac:dyDescent="0.2">
      <c r="A98" s="1" t="s">
        <v>284</v>
      </c>
      <c r="B98" s="2" t="s">
        <v>13</v>
      </c>
      <c r="C98" s="2">
        <f>6.7*10^6</f>
        <v>6700000</v>
      </c>
      <c r="D98" s="2" t="s">
        <v>6</v>
      </c>
      <c r="E98" s="2"/>
      <c r="F98" s="2" t="s">
        <v>6</v>
      </c>
      <c r="G98" s="2" t="s">
        <v>285</v>
      </c>
      <c r="H98" s="2"/>
      <c r="I98" s="2"/>
      <c r="J98" s="2" t="s">
        <v>286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>
        <v>0.01</v>
      </c>
      <c r="V98" s="2"/>
      <c r="W98" s="2">
        <v>0.01</v>
      </c>
      <c r="X98" s="2">
        <v>0.97</v>
      </c>
      <c r="Y98" s="2"/>
      <c r="Z98" s="2"/>
      <c r="AA98" s="2">
        <f t="shared" si="1"/>
        <v>1.0000000000000009E-2</v>
      </c>
    </row>
    <row r="99" spans="1:27" x14ac:dyDescent="0.2">
      <c r="A99" s="1" t="s">
        <v>287</v>
      </c>
      <c r="B99" s="2" t="s">
        <v>9</v>
      </c>
      <c r="C99" s="2">
        <f>3.8*10^4</f>
        <v>38000</v>
      </c>
      <c r="D99" s="2" t="s">
        <v>42</v>
      </c>
      <c r="E99" s="2"/>
      <c r="F99" s="2" t="s">
        <v>42</v>
      </c>
      <c r="G99" s="2" t="s">
        <v>288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>
        <v>0.76</v>
      </c>
      <c r="V99" s="2">
        <v>0.08</v>
      </c>
      <c r="W99" s="2"/>
      <c r="X99" s="2">
        <v>0.05</v>
      </c>
      <c r="Y99" s="2"/>
      <c r="Z99" s="2"/>
      <c r="AA99" s="2">
        <f t="shared" si="1"/>
        <v>0.10999999999999999</v>
      </c>
    </row>
    <row r="100" spans="1:27" x14ac:dyDescent="0.2">
      <c r="A100" s="1" t="s">
        <v>289</v>
      </c>
      <c r="B100" s="2" t="s">
        <v>9</v>
      </c>
      <c r="C100" s="2">
        <f>2.8*10^6</f>
        <v>2800000</v>
      </c>
      <c r="D100" s="2" t="s">
        <v>290</v>
      </c>
      <c r="E100" s="2"/>
      <c r="F100" s="2" t="s">
        <v>290</v>
      </c>
      <c r="G100" s="2" t="s">
        <v>291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>
        <v>0.77</v>
      </c>
      <c r="V100" s="2">
        <v>0.01</v>
      </c>
      <c r="W100" s="2">
        <v>0.05</v>
      </c>
      <c r="X100" s="2"/>
      <c r="Y100" s="2"/>
      <c r="Z100" s="2"/>
      <c r="AA100" s="2">
        <f t="shared" si="1"/>
        <v>0.16999999999999993</v>
      </c>
    </row>
    <row r="101" spans="1:27" x14ac:dyDescent="0.2">
      <c r="A101" s="1" t="s">
        <v>292</v>
      </c>
      <c r="B101" s="2" t="s">
        <v>9</v>
      </c>
      <c r="C101" s="2">
        <f>5.9*10^5</f>
        <v>590000</v>
      </c>
      <c r="D101" s="2" t="s">
        <v>293</v>
      </c>
      <c r="E101" s="2"/>
      <c r="F101" s="2" t="s">
        <v>294</v>
      </c>
      <c r="G101" s="2" t="s">
        <v>295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>
        <v>0.7</v>
      </c>
      <c r="V101" s="2"/>
      <c r="W101" s="2"/>
      <c r="X101" s="2">
        <v>0.02</v>
      </c>
      <c r="Y101" s="2"/>
      <c r="Z101" s="2"/>
      <c r="AA101" s="2">
        <f t="shared" si="1"/>
        <v>0.28000000000000003</v>
      </c>
    </row>
    <row r="102" spans="1:27" x14ac:dyDescent="0.2">
      <c r="A102" s="1" t="s">
        <v>296</v>
      </c>
      <c r="B102" s="2" t="s">
        <v>23</v>
      </c>
      <c r="C102" s="2">
        <f>2.5*10^7</f>
        <v>25000000</v>
      </c>
      <c r="D102" s="2" t="s">
        <v>297</v>
      </c>
      <c r="E102" s="2"/>
      <c r="F102" s="2" t="s">
        <v>298</v>
      </c>
      <c r="G102" s="2" t="s">
        <v>94</v>
      </c>
      <c r="H102" s="2"/>
      <c r="I102" s="2"/>
      <c r="J102" s="2"/>
      <c r="K102" s="2" t="s">
        <v>298</v>
      </c>
      <c r="L102" s="2"/>
      <c r="M102" s="2"/>
      <c r="N102" s="2"/>
      <c r="O102" s="2"/>
      <c r="P102" s="2"/>
      <c r="Q102" s="2"/>
      <c r="R102" s="2"/>
      <c r="S102" s="2"/>
      <c r="T102" s="2"/>
      <c r="U102" s="2">
        <v>0.2</v>
      </c>
      <c r="V102" s="2">
        <v>0.2</v>
      </c>
      <c r="W102" s="2"/>
      <c r="X102" s="2">
        <v>0.05</v>
      </c>
      <c r="Y102" s="2"/>
      <c r="Z102" s="2"/>
      <c r="AA102" s="2">
        <f t="shared" si="1"/>
        <v>0.55000000000000004</v>
      </c>
    </row>
    <row r="103" spans="1:27" x14ac:dyDescent="0.2">
      <c r="A103" s="1" t="s">
        <v>299</v>
      </c>
      <c r="B103" s="2" t="s">
        <v>13</v>
      </c>
      <c r="C103" s="2">
        <f>1.9*10^7</f>
        <v>19000000</v>
      </c>
      <c r="D103" s="2" t="s">
        <v>24</v>
      </c>
      <c r="E103" s="2"/>
      <c r="F103" s="2" t="s">
        <v>300</v>
      </c>
      <c r="G103" s="2" t="s">
        <v>24</v>
      </c>
      <c r="H103" s="2"/>
      <c r="I103" s="2" t="s">
        <v>301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>
        <v>0.18</v>
      </c>
      <c r="V103" s="2">
        <v>0.27</v>
      </c>
      <c r="W103" s="2"/>
      <c r="X103" s="2">
        <v>0.13</v>
      </c>
      <c r="Y103" s="2"/>
      <c r="Z103" s="2"/>
      <c r="AA103" s="2">
        <f t="shared" si="1"/>
        <v>0.41999999999999993</v>
      </c>
    </row>
    <row r="104" spans="1:27" x14ac:dyDescent="0.2">
      <c r="A104" s="1" t="s">
        <v>302</v>
      </c>
      <c r="B104" s="2" t="s">
        <v>1</v>
      </c>
      <c r="C104" s="2">
        <f>3.1*10^7</f>
        <v>31000000</v>
      </c>
      <c r="D104" s="2" t="s">
        <v>85</v>
      </c>
      <c r="E104" s="2"/>
      <c r="F104" s="2" t="s">
        <v>85</v>
      </c>
      <c r="G104" s="2" t="s">
        <v>303</v>
      </c>
      <c r="H104" s="2" t="s">
        <v>304</v>
      </c>
      <c r="I104" s="2"/>
      <c r="J104" s="2"/>
      <c r="K104" s="2" t="s">
        <v>85</v>
      </c>
      <c r="L104" s="2" t="s">
        <v>305</v>
      </c>
      <c r="M104" s="2"/>
      <c r="N104" s="2"/>
      <c r="O104" s="2"/>
      <c r="P104" s="2"/>
      <c r="Q104" s="2"/>
      <c r="R104" s="2"/>
      <c r="S104" s="2"/>
      <c r="T104" s="2" t="s">
        <v>306</v>
      </c>
      <c r="U104" s="2">
        <v>0.04</v>
      </c>
      <c r="V104" s="2">
        <v>0.03</v>
      </c>
      <c r="W104" s="2">
        <v>0.02</v>
      </c>
      <c r="X104" s="2">
        <v>0.61</v>
      </c>
      <c r="Y104" s="2">
        <v>0.06</v>
      </c>
      <c r="Z104" s="2">
        <v>0.2</v>
      </c>
      <c r="AA104" s="2">
        <f t="shared" si="1"/>
        <v>4.0000000000000036E-2</v>
      </c>
    </row>
    <row r="105" spans="1:27" x14ac:dyDescent="0.2">
      <c r="A105" s="1" t="s">
        <v>307</v>
      </c>
      <c r="B105" s="2" t="s">
        <v>23</v>
      </c>
      <c r="C105" s="2">
        <f>3.9*10^5</f>
        <v>390000</v>
      </c>
      <c r="D105" s="2" t="s">
        <v>308</v>
      </c>
      <c r="E105" s="2"/>
      <c r="F105" s="2" t="s">
        <v>308</v>
      </c>
      <c r="G105" s="2" t="s">
        <v>309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>
        <v>1</v>
      </c>
      <c r="Y105" s="2"/>
      <c r="Z105" s="2"/>
      <c r="AA105" s="2">
        <f t="shared" si="1"/>
        <v>0</v>
      </c>
    </row>
    <row r="106" spans="1:27" x14ac:dyDescent="0.2">
      <c r="A106" s="1" t="s">
        <v>310</v>
      </c>
      <c r="B106" s="2" t="s">
        <v>13</v>
      </c>
      <c r="C106" s="2">
        <f>1.8*10^7</f>
        <v>18000000</v>
      </c>
      <c r="D106" s="2" t="s">
        <v>15</v>
      </c>
      <c r="E106" s="2" t="s">
        <v>311</v>
      </c>
      <c r="F106" s="2" t="s">
        <v>312</v>
      </c>
      <c r="G106" s="2" t="s">
        <v>15</v>
      </c>
      <c r="H106" s="2"/>
      <c r="I106" s="2" t="s">
        <v>313</v>
      </c>
      <c r="J106" s="2" t="s">
        <v>311</v>
      </c>
      <c r="K106" s="2"/>
      <c r="L106" s="2"/>
      <c r="M106" s="2"/>
      <c r="N106" s="2"/>
      <c r="O106" s="2"/>
      <c r="P106" s="2"/>
      <c r="Q106" s="2"/>
      <c r="R106" s="2" t="s">
        <v>314</v>
      </c>
      <c r="S106" s="2"/>
      <c r="T106" s="2" t="s">
        <v>315</v>
      </c>
      <c r="U106" s="2">
        <v>0.02</v>
      </c>
      <c r="V106" s="2">
        <v>0.01</v>
      </c>
      <c r="W106" s="2"/>
      <c r="X106" s="2">
        <v>0.95</v>
      </c>
      <c r="Y106" s="2"/>
      <c r="Z106" s="2"/>
      <c r="AA106" s="2">
        <f t="shared" si="1"/>
        <v>2.0000000000000018E-2</v>
      </c>
    </row>
    <row r="107" spans="1:27" x14ac:dyDescent="0.2">
      <c r="A107" s="1" t="s">
        <v>316</v>
      </c>
      <c r="B107" s="2" t="s">
        <v>23</v>
      </c>
      <c r="C107" s="2">
        <f>4.2*10^5</f>
        <v>420000</v>
      </c>
      <c r="D107" s="2" t="s">
        <v>317</v>
      </c>
      <c r="E107" s="2"/>
      <c r="F107" s="2" t="s">
        <v>318</v>
      </c>
      <c r="G107" s="2" t="s">
        <v>24</v>
      </c>
      <c r="H107" s="2"/>
      <c r="I107" s="2"/>
      <c r="J107" s="2" t="s">
        <v>318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>
        <v>0.9</v>
      </c>
      <c r="V107" s="2"/>
      <c r="W107" s="2"/>
      <c r="X107" s="2"/>
      <c r="Y107" s="2"/>
      <c r="Z107" s="2"/>
      <c r="AA107" s="2">
        <f t="shared" si="1"/>
        <v>9.9999999999999978E-2</v>
      </c>
    </row>
    <row r="108" spans="1:27" x14ac:dyDescent="0.2">
      <c r="A108" s="1" t="s">
        <v>319</v>
      </c>
      <c r="B108" s="2" t="s">
        <v>23</v>
      </c>
      <c r="C108" s="2">
        <f>7.5*10^4</f>
        <v>75000</v>
      </c>
      <c r="D108" s="2" t="s">
        <v>320</v>
      </c>
      <c r="E108" s="2"/>
      <c r="F108" s="2" t="s">
        <v>321</v>
      </c>
      <c r="G108" s="2" t="s">
        <v>24</v>
      </c>
      <c r="H108" s="2"/>
      <c r="I108" s="2"/>
      <c r="J108" s="2"/>
      <c r="K108" s="2" t="s">
        <v>321</v>
      </c>
      <c r="L108" s="2"/>
      <c r="M108" s="2"/>
      <c r="N108" s="2"/>
      <c r="O108" s="2"/>
      <c r="P108" s="2"/>
      <c r="Q108" s="2"/>
      <c r="R108" s="2"/>
      <c r="S108" s="2"/>
      <c r="T108" s="2"/>
      <c r="U108" s="2">
        <v>0.08</v>
      </c>
      <c r="V108" s="2">
        <v>0.83</v>
      </c>
      <c r="W108" s="2"/>
      <c r="X108" s="2"/>
      <c r="Y108" s="2"/>
      <c r="Z108" s="2"/>
      <c r="AA108" s="2">
        <f t="shared" si="1"/>
        <v>9.000000000000008E-2</v>
      </c>
    </row>
    <row r="109" spans="1:27" x14ac:dyDescent="0.2">
      <c r="A109" s="1" t="s">
        <v>322</v>
      </c>
      <c r="B109" s="2" t="s">
        <v>13</v>
      </c>
      <c r="C109" s="2">
        <f>3.8*10^6</f>
        <v>3800000</v>
      </c>
      <c r="D109" s="2" t="s">
        <v>6</v>
      </c>
      <c r="E109" s="2"/>
      <c r="F109" s="2" t="s">
        <v>323</v>
      </c>
      <c r="G109" s="2" t="s">
        <v>15</v>
      </c>
      <c r="H109" s="2"/>
      <c r="I109" s="2" t="s">
        <v>324</v>
      </c>
      <c r="J109" s="2" t="s">
        <v>6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>
        <v>1</v>
      </c>
      <c r="Y109" s="2"/>
      <c r="Z109" s="2"/>
      <c r="AA109" s="2">
        <f t="shared" si="1"/>
        <v>0</v>
      </c>
    </row>
    <row r="110" spans="1:27" x14ac:dyDescent="0.2">
      <c r="A110" s="1" t="s">
        <v>325</v>
      </c>
      <c r="B110" s="2" t="s">
        <v>23</v>
      </c>
      <c r="C110" s="2">
        <f>1.4*10^6</f>
        <v>1400000</v>
      </c>
      <c r="D110" s="2" t="s">
        <v>24</v>
      </c>
      <c r="E110" s="2"/>
      <c r="F110" s="2" t="s">
        <v>219</v>
      </c>
      <c r="G110" s="2" t="s">
        <v>326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>
        <v>0.26</v>
      </c>
      <c r="V110" s="2"/>
      <c r="W110" s="2"/>
      <c r="X110" s="2">
        <v>0.17</v>
      </c>
      <c r="Y110" s="2">
        <v>0.49</v>
      </c>
      <c r="Z110" s="2"/>
      <c r="AA110" s="2">
        <f t="shared" si="1"/>
        <v>7.999999999999996E-2</v>
      </c>
    </row>
    <row r="111" spans="1:27" x14ac:dyDescent="0.2">
      <c r="A111" s="1" t="s">
        <v>327</v>
      </c>
      <c r="B111" s="2" t="s">
        <v>62</v>
      </c>
      <c r="C111" s="2">
        <f>1.2*10^8</f>
        <v>120000000</v>
      </c>
      <c r="D111" s="2" t="s">
        <v>29</v>
      </c>
      <c r="E111" s="2"/>
      <c r="F111" s="2" t="s">
        <v>29</v>
      </c>
      <c r="G111" s="2" t="s">
        <v>29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 t="s">
        <v>328</v>
      </c>
      <c r="U111" s="2">
        <v>0.83</v>
      </c>
      <c r="V111" s="2">
        <v>7.0000000000000007E-2</v>
      </c>
      <c r="W111" s="2"/>
      <c r="X111" s="2"/>
      <c r="Y111" s="2"/>
      <c r="Z111" s="2"/>
      <c r="AA111" s="2">
        <f t="shared" si="1"/>
        <v>0.10000000000000009</v>
      </c>
    </row>
    <row r="112" spans="1:27" x14ac:dyDescent="0.2">
      <c r="A112" s="1" t="s">
        <v>329</v>
      </c>
      <c r="B112" s="2" t="s">
        <v>23</v>
      </c>
      <c r="C112" s="2">
        <f>1*10^5</f>
        <v>100000</v>
      </c>
      <c r="D112" s="2" t="s">
        <v>24</v>
      </c>
      <c r="E112" s="2" t="s">
        <v>330</v>
      </c>
      <c r="F112" s="2" t="s">
        <v>23</v>
      </c>
      <c r="G112" s="2" t="s">
        <v>24</v>
      </c>
      <c r="H112" s="2"/>
      <c r="I112" s="2"/>
      <c r="J112" s="2"/>
      <c r="K112" s="2" t="s">
        <v>331</v>
      </c>
      <c r="L112" s="2"/>
      <c r="M112" s="2"/>
      <c r="N112" s="2"/>
      <c r="O112" s="2"/>
      <c r="P112" s="2"/>
      <c r="Q112" s="2"/>
      <c r="R112" s="2"/>
      <c r="S112" s="2"/>
      <c r="T112" s="2"/>
      <c r="U112" s="2">
        <v>0.55000000000000004</v>
      </c>
      <c r="V112" s="2">
        <v>0.41</v>
      </c>
      <c r="W112" s="2"/>
      <c r="X112" s="2"/>
      <c r="Y112" s="2"/>
      <c r="Z112" s="2"/>
      <c r="AA112" s="2">
        <f t="shared" si="1"/>
        <v>4.0000000000000036E-2</v>
      </c>
    </row>
    <row r="113" spans="1:27" x14ac:dyDescent="0.2">
      <c r="A113" s="1" t="s">
        <v>332</v>
      </c>
      <c r="B113" s="2" t="s">
        <v>9</v>
      </c>
      <c r="C113" s="2">
        <f>3.1*10^4</f>
        <v>31000</v>
      </c>
      <c r="D113" s="2" t="s">
        <v>15</v>
      </c>
      <c r="E113" s="2"/>
      <c r="F113" s="2" t="s">
        <v>15</v>
      </c>
      <c r="G113" s="2" t="s">
        <v>333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>
        <v>0.9</v>
      </c>
      <c r="V113" s="2"/>
      <c r="W113" s="2"/>
      <c r="X113" s="2"/>
      <c r="Y113" s="2"/>
      <c r="Z113" s="2"/>
      <c r="AA113" s="2">
        <f t="shared" si="1"/>
        <v>9.9999999999999978E-2</v>
      </c>
    </row>
    <row r="114" spans="1:27" x14ac:dyDescent="0.2">
      <c r="A114" s="1" t="s">
        <v>334</v>
      </c>
      <c r="B114" s="2" t="s">
        <v>1</v>
      </c>
      <c r="C114" s="2">
        <f>3.1*10^6</f>
        <v>3100000</v>
      </c>
      <c r="D114" s="2" t="s">
        <v>335</v>
      </c>
      <c r="E114" s="2"/>
      <c r="F114" s="2" t="s">
        <v>335</v>
      </c>
      <c r="G114" s="2" t="s">
        <v>57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 t="s">
        <v>335</v>
      </c>
      <c r="U114" s="2"/>
      <c r="V114" s="2">
        <v>0.02</v>
      </c>
      <c r="W114" s="2"/>
      <c r="X114" s="2">
        <v>0.03</v>
      </c>
      <c r="Y114" s="2"/>
      <c r="Z114" s="2">
        <v>0.53</v>
      </c>
      <c r="AA114" s="2">
        <f t="shared" si="1"/>
        <v>0.41999999999999993</v>
      </c>
    </row>
    <row r="115" spans="1:27" x14ac:dyDescent="0.2">
      <c r="A115" s="1" t="s">
        <v>336</v>
      </c>
      <c r="B115" s="2" t="s">
        <v>9</v>
      </c>
      <c r="C115" s="2">
        <f>6.4*10^5</f>
        <v>640000</v>
      </c>
      <c r="D115" s="2" t="s">
        <v>75</v>
      </c>
      <c r="E115" s="2" t="s">
        <v>10</v>
      </c>
      <c r="F115" s="2" t="s">
        <v>75</v>
      </c>
      <c r="G115" s="2" t="s">
        <v>337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>
        <v>0.03</v>
      </c>
      <c r="V115" s="2"/>
      <c r="W115" s="2">
        <v>0.72</v>
      </c>
      <c r="X115" s="2">
        <v>0.19</v>
      </c>
      <c r="Y115" s="2"/>
      <c r="Z115" s="2"/>
      <c r="AA115" s="2">
        <f t="shared" si="1"/>
        <v>6.0000000000000053E-2</v>
      </c>
    </row>
    <row r="116" spans="1:27" x14ac:dyDescent="0.2">
      <c r="A116" s="1" t="s">
        <v>338</v>
      </c>
      <c r="B116" s="2" t="s">
        <v>13</v>
      </c>
      <c r="C116" s="2">
        <f>3.4*10^7</f>
        <v>34000000</v>
      </c>
      <c r="D116" s="2" t="s">
        <v>14</v>
      </c>
      <c r="E116" s="2"/>
      <c r="F116" s="2" t="s">
        <v>6</v>
      </c>
      <c r="G116" s="2" t="s">
        <v>15</v>
      </c>
      <c r="H116" s="2"/>
      <c r="I116" s="2"/>
      <c r="J116" s="2" t="s">
        <v>339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>
        <v>0.99</v>
      </c>
      <c r="Y116" s="2"/>
      <c r="Z116" s="2"/>
      <c r="AA116" s="2">
        <f t="shared" si="1"/>
        <v>1.0000000000000009E-2</v>
      </c>
    </row>
    <row r="117" spans="1:27" x14ac:dyDescent="0.2">
      <c r="A117" s="1" t="s">
        <v>340</v>
      </c>
      <c r="B117" s="2" t="s">
        <v>13</v>
      </c>
      <c r="C117" s="2">
        <f>2.7*10^7</f>
        <v>27000000</v>
      </c>
      <c r="D117" s="2" t="s">
        <v>20</v>
      </c>
      <c r="E117" s="2"/>
      <c r="F117" s="2" t="s">
        <v>23</v>
      </c>
      <c r="G117" s="2" t="s">
        <v>20</v>
      </c>
      <c r="H117" s="2"/>
      <c r="I117" s="2" t="s">
        <v>341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>
        <v>0.28000000000000003</v>
      </c>
      <c r="V117" s="2">
        <v>0.28000000000000003</v>
      </c>
      <c r="W117" s="2"/>
      <c r="X117" s="2">
        <v>0.18</v>
      </c>
      <c r="Y117" s="2"/>
      <c r="Z117" s="2"/>
      <c r="AA117" s="2">
        <f t="shared" si="1"/>
        <v>0.26</v>
      </c>
    </row>
    <row r="118" spans="1:27" x14ac:dyDescent="0.2">
      <c r="A118" s="1" t="s">
        <v>342</v>
      </c>
      <c r="B118" s="2" t="s">
        <v>1</v>
      </c>
      <c r="C118" s="2">
        <f>5.5*10^7</f>
        <v>55000000</v>
      </c>
      <c r="D118" s="2" t="s">
        <v>343</v>
      </c>
      <c r="E118" s="2"/>
      <c r="F118" s="2" t="s">
        <v>343</v>
      </c>
      <c r="G118" s="2"/>
      <c r="H118" s="2" t="s">
        <v>343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>
        <v>0.01</v>
      </c>
      <c r="V118" s="2">
        <v>0.05</v>
      </c>
      <c r="W118" s="2"/>
      <c r="X118" s="2">
        <v>0.04</v>
      </c>
      <c r="Y118" s="2">
        <v>0.01</v>
      </c>
      <c r="Z118" s="2">
        <v>0.88</v>
      </c>
      <c r="AA118" s="2">
        <f t="shared" si="1"/>
        <v>1.0000000000000009E-2</v>
      </c>
    </row>
    <row r="119" spans="1:27" x14ac:dyDescent="0.2">
      <c r="A119" s="1" t="s">
        <v>344</v>
      </c>
      <c r="B119" s="2" t="s">
        <v>13</v>
      </c>
      <c r="C119" s="2">
        <f>2.5*10^6</f>
        <v>2500000</v>
      </c>
      <c r="D119" s="2" t="s">
        <v>24</v>
      </c>
      <c r="E119" s="2"/>
      <c r="F119" s="2" t="s">
        <v>23</v>
      </c>
      <c r="G119" s="2" t="s">
        <v>345</v>
      </c>
      <c r="H119" s="2"/>
      <c r="I119" s="2" t="s">
        <v>346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 t="s">
        <v>347</v>
      </c>
      <c r="U119" s="2">
        <v>0.15</v>
      </c>
      <c r="V119" s="2">
        <v>0.7</v>
      </c>
      <c r="W119" s="2"/>
      <c r="X119" s="2"/>
      <c r="Y119" s="2"/>
      <c r="Z119" s="2"/>
      <c r="AA119" s="2">
        <f t="shared" si="1"/>
        <v>0.15000000000000002</v>
      </c>
    </row>
    <row r="120" spans="1:27" x14ac:dyDescent="0.2">
      <c r="A120" s="1" t="s">
        <v>348</v>
      </c>
      <c r="B120" s="2" t="s">
        <v>23</v>
      </c>
      <c r="C120" s="2">
        <f>1.1*10^4</f>
        <v>11000</v>
      </c>
      <c r="D120" s="2" t="s">
        <v>349</v>
      </c>
      <c r="E120" s="2"/>
      <c r="F120" s="2" t="s">
        <v>349</v>
      </c>
      <c r="G120" s="2" t="s">
        <v>24</v>
      </c>
      <c r="H120" s="2"/>
      <c r="I120" s="2"/>
      <c r="J120" s="2"/>
      <c r="K120" s="2" t="s">
        <v>349</v>
      </c>
      <c r="L120" s="2"/>
      <c r="M120" s="2"/>
      <c r="N120" s="2"/>
      <c r="O120" s="2"/>
      <c r="P120" s="2"/>
      <c r="Q120" s="2"/>
      <c r="R120" s="2"/>
      <c r="S120" s="2"/>
      <c r="T120" s="2"/>
      <c r="U120" s="2">
        <v>0.33</v>
      </c>
      <c r="V120" s="2">
        <v>0.6</v>
      </c>
      <c r="W120" s="2"/>
      <c r="X120" s="2"/>
      <c r="Y120" s="2"/>
      <c r="Z120" s="2"/>
      <c r="AA120" s="2">
        <f t="shared" si="1"/>
        <v>7.0000000000000062E-2</v>
      </c>
    </row>
    <row r="121" spans="1:27" x14ac:dyDescent="0.2">
      <c r="A121" s="1" t="s">
        <v>350</v>
      </c>
      <c r="B121" s="2" t="s">
        <v>1</v>
      </c>
      <c r="C121" s="2">
        <f>2.9*10^7</f>
        <v>29000000</v>
      </c>
      <c r="D121" s="2" t="s">
        <v>351</v>
      </c>
      <c r="E121" s="2" t="s">
        <v>352</v>
      </c>
      <c r="F121" s="2" t="s">
        <v>23</v>
      </c>
      <c r="G121" s="2" t="s">
        <v>353</v>
      </c>
      <c r="H121" s="2" t="s">
        <v>354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>
        <v>0.01</v>
      </c>
      <c r="W121" s="2"/>
      <c r="X121" s="2">
        <v>0.04</v>
      </c>
      <c r="Y121" s="2">
        <v>0.81</v>
      </c>
      <c r="Z121" s="2">
        <v>0.09</v>
      </c>
      <c r="AA121" s="2">
        <f t="shared" si="1"/>
        <v>4.9999999999999933E-2</v>
      </c>
    </row>
    <row r="122" spans="1:27" x14ac:dyDescent="0.2">
      <c r="A122" s="1" t="s">
        <v>355</v>
      </c>
      <c r="B122" s="2" t="s">
        <v>9</v>
      </c>
      <c r="C122" s="2">
        <f>1.7*10^7</f>
        <v>17000000</v>
      </c>
      <c r="D122" s="2" t="s">
        <v>60</v>
      </c>
      <c r="E122" s="2" t="s">
        <v>356</v>
      </c>
      <c r="F122" s="2" t="s">
        <v>60</v>
      </c>
      <c r="G122" s="2" t="s">
        <v>357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>
        <v>0.24</v>
      </c>
      <c r="V122" s="2">
        <v>0.16</v>
      </c>
      <c r="W122" s="2"/>
      <c r="X122" s="2">
        <v>0.05</v>
      </c>
      <c r="Y122" s="2"/>
      <c r="Z122" s="2"/>
      <c r="AA122" s="2">
        <f t="shared" si="1"/>
        <v>0.55000000000000004</v>
      </c>
    </row>
    <row r="123" spans="1:27" x14ac:dyDescent="0.2">
      <c r="A123" s="1" t="s">
        <v>358</v>
      </c>
      <c r="B123" s="2" t="s">
        <v>23</v>
      </c>
      <c r="C123" s="2">
        <f>4.5*10^6</f>
        <v>4500000</v>
      </c>
      <c r="D123" s="2" t="s">
        <v>359</v>
      </c>
      <c r="E123" s="2" t="s">
        <v>360</v>
      </c>
      <c r="F123" s="2" t="s">
        <v>24</v>
      </c>
      <c r="G123" s="2" t="s">
        <v>361</v>
      </c>
      <c r="H123" s="2" t="s">
        <v>362</v>
      </c>
      <c r="I123" s="2"/>
      <c r="J123" s="2"/>
      <c r="K123" s="2" t="s">
        <v>363</v>
      </c>
      <c r="L123" s="2"/>
      <c r="M123" s="2"/>
      <c r="N123" s="2"/>
      <c r="O123" s="2"/>
      <c r="P123" s="2"/>
      <c r="Q123" s="2"/>
      <c r="R123" s="2"/>
      <c r="S123" s="2"/>
      <c r="T123" s="2"/>
      <c r="U123" s="2">
        <v>0.12</v>
      </c>
      <c r="V123" s="2">
        <v>0.33</v>
      </c>
      <c r="W123" s="2"/>
      <c r="X123" s="2">
        <v>0.01</v>
      </c>
      <c r="Y123" s="2">
        <v>0.02</v>
      </c>
      <c r="Z123" s="2">
        <v>0.01</v>
      </c>
      <c r="AA123" s="2">
        <f t="shared" si="1"/>
        <v>0.51</v>
      </c>
    </row>
    <row r="124" spans="1:27" x14ac:dyDescent="0.2">
      <c r="A124" s="1" t="s">
        <v>364</v>
      </c>
      <c r="B124" s="2" t="s">
        <v>62</v>
      </c>
      <c r="C124" s="2">
        <f>6*10^6</f>
        <v>6000000</v>
      </c>
      <c r="D124" s="2" t="s">
        <v>29</v>
      </c>
      <c r="E124" s="2"/>
      <c r="F124" s="2" t="s">
        <v>29</v>
      </c>
      <c r="G124" s="2" t="s">
        <v>29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 t="s">
        <v>365</v>
      </c>
      <c r="U124" s="2">
        <v>0.52</v>
      </c>
      <c r="V124" s="2">
        <v>0.34</v>
      </c>
      <c r="W124" s="2"/>
      <c r="X124" s="2"/>
      <c r="Y124" s="2"/>
      <c r="Z124" s="2"/>
      <c r="AA124" s="2">
        <f t="shared" si="1"/>
        <v>0.1399999999999999</v>
      </c>
    </row>
    <row r="125" spans="1:27" x14ac:dyDescent="0.2">
      <c r="A125" s="1" t="s">
        <v>366</v>
      </c>
      <c r="B125" s="2" t="s">
        <v>13</v>
      </c>
      <c r="C125" s="2">
        <f>1.9*10^7</f>
        <v>19000000</v>
      </c>
      <c r="D125" s="2" t="s">
        <v>15</v>
      </c>
      <c r="E125" s="2"/>
      <c r="F125" s="2" t="s">
        <v>367</v>
      </c>
      <c r="G125" s="2" t="s">
        <v>15</v>
      </c>
      <c r="H125" s="2"/>
      <c r="I125" s="2"/>
      <c r="J125" s="2" t="s">
        <v>367</v>
      </c>
      <c r="K125" s="2"/>
      <c r="L125" s="2"/>
      <c r="M125" s="2"/>
      <c r="N125" s="2"/>
      <c r="O125" s="2"/>
      <c r="P125" s="2"/>
      <c r="Q125" s="2"/>
      <c r="R125" s="2" t="s">
        <v>368</v>
      </c>
      <c r="S125" s="2"/>
      <c r="T125" s="2"/>
      <c r="U125" s="2"/>
      <c r="V125" s="2"/>
      <c r="W125" s="2"/>
      <c r="X125" s="2">
        <v>0.8</v>
      </c>
      <c r="Y125" s="2"/>
      <c r="Z125" s="2"/>
      <c r="AA125" s="2">
        <f t="shared" si="1"/>
        <v>0.19999999999999996</v>
      </c>
    </row>
    <row r="126" spans="1:27" x14ac:dyDescent="0.2">
      <c r="A126" s="1" t="s">
        <v>369</v>
      </c>
      <c r="B126" s="2" t="s">
        <v>13</v>
      </c>
      <c r="C126" s="2">
        <f>1.9*10^8</f>
        <v>190000000</v>
      </c>
      <c r="D126" s="2" t="s">
        <v>24</v>
      </c>
      <c r="E126" s="2"/>
      <c r="F126" s="2" t="s">
        <v>23</v>
      </c>
      <c r="G126" s="2" t="s">
        <v>24</v>
      </c>
      <c r="H126" s="2"/>
      <c r="I126" s="2" t="s">
        <v>370</v>
      </c>
      <c r="J126" s="2" t="s">
        <v>367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>
        <v>0.19</v>
      </c>
      <c r="V126" s="2">
        <v>0.21</v>
      </c>
      <c r="W126" s="2"/>
      <c r="X126" s="2">
        <v>0.5</v>
      </c>
      <c r="Y126" s="2"/>
      <c r="Z126" s="2"/>
      <c r="AA126" s="2">
        <f t="shared" si="1"/>
        <v>9.9999999999999978E-2</v>
      </c>
    </row>
    <row r="127" spans="1:27" x14ac:dyDescent="0.2">
      <c r="A127" s="1" t="s">
        <v>371</v>
      </c>
      <c r="B127" s="2" t="s">
        <v>9</v>
      </c>
      <c r="C127" s="2">
        <f>5.3*10^6</f>
        <v>5300000</v>
      </c>
      <c r="D127" s="2" t="s">
        <v>372</v>
      </c>
      <c r="E127" s="2" t="s">
        <v>373</v>
      </c>
      <c r="F127" s="2" t="s">
        <v>372</v>
      </c>
      <c r="G127" s="2" t="s">
        <v>372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 t="s">
        <v>374</v>
      </c>
      <c r="T127" s="2"/>
      <c r="U127" s="2">
        <v>0.02</v>
      </c>
      <c r="V127" s="2">
        <v>0.82</v>
      </c>
      <c r="W127" s="2"/>
      <c r="X127" s="2">
        <v>0.02</v>
      </c>
      <c r="Y127" s="2"/>
      <c r="Z127" s="2"/>
      <c r="AA127" s="2">
        <f t="shared" si="1"/>
        <v>0.14000000000000001</v>
      </c>
    </row>
    <row r="128" spans="1:27" x14ac:dyDescent="0.2">
      <c r="A128" s="1" t="s">
        <v>375</v>
      </c>
      <c r="B128" s="2" t="s">
        <v>1</v>
      </c>
      <c r="C128" s="2">
        <f>3.4*10^6</f>
        <v>3400000</v>
      </c>
      <c r="D128" s="2" t="s">
        <v>6</v>
      </c>
      <c r="E128" s="2"/>
      <c r="F128" s="2" t="s">
        <v>6</v>
      </c>
      <c r="G128" s="2" t="s">
        <v>376</v>
      </c>
      <c r="H128" s="2"/>
      <c r="I128" s="2"/>
      <c r="J128" s="2" t="s">
        <v>6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>
        <v>0.06</v>
      </c>
      <c r="X128" s="2">
        <v>0.86</v>
      </c>
      <c r="Y128" s="2">
        <v>0.06</v>
      </c>
      <c r="Z128" s="2">
        <v>0.01</v>
      </c>
      <c r="AA128" s="2">
        <f t="shared" si="1"/>
        <v>1.0000000000000009E-2</v>
      </c>
    </row>
    <row r="129" spans="1:27" x14ac:dyDescent="0.2">
      <c r="A129" s="1" t="s">
        <v>377</v>
      </c>
      <c r="B129" s="2" t="s">
        <v>1</v>
      </c>
      <c r="C129" s="2">
        <f>2*10^8</f>
        <v>200000000</v>
      </c>
      <c r="D129" s="2" t="s">
        <v>378</v>
      </c>
      <c r="E129" s="2"/>
      <c r="F129" s="2" t="s">
        <v>379</v>
      </c>
      <c r="G129" s="2" t="s">
        <v>380</v>
      </c>
      <c r="H129" s="2"/>
      <c r="I129" s="2"/>
      <c r="J129" s="2"/>
      <c r="K129" s="2"/>
      <c r="L129" s="2" t="s">
        <v>381</v>
      </c>
      <c r="M129" s="2"/>
      <c r="N129" s="2"/>
      <c r="O129" s="2"/>
      <c r="P129" s="2"/>
      <c r="Q129" s="2"/>
      <c r="R129" s="2"/>
      <c r="S129" s="2"/>
      <c r="T129" s="2" t="s">
        <v>382</v>
      </c>
      <c r="U129" s="2"/>
      <c r="V129" s="2"/>
      <c r="W129" s="2"/>
      <c r="X129" s="2">
        <v>0.96</v>
      </c>
      <c r="Y129" s="2"/>
      <c r="Z129" s="2"/>
      <c r="AA129" s="2">
        <f t="shared" si="1"/>
        <v>4.0000000000000036E-2</v>
      </c>
    </row>
    <row r="130" spans="1:27" x14ac:dyDescent="0.2">
      <c r="A130" s="1" t="s">
        <v>383</v>
      </c>
      <c r="B130" s="2" t="s">
        <v>23</v>
      </c>
      <c r="C130" s="2">
        <f>2.1*10^4</f>
        <v>21000</v>
      </c>
      <c r="D130" s="2" t="s">
        <v>384</v>
      </c>
      <c r="E130" s="2" t="s">
        <v>385</v>
      </c>
      <c r="F130" s="2" t="s">
        <v>386</v>
      </c>
      <c r="G130" s="2" t="s">
        <v>24</v>
      </c>
      <c r="H130" s="2" t="s">
        <v>117</v>
      </c>
      <c r="I130" s="2"/>
      <c r="J130" s="2"/>
      <c r="K130" s="2" t="s">
        <v>387</v>
      </c>
      <c r="L130" s="2"/>
      <c r="M130" s="2"/>
      <c r="N130" s="2" t="s">
        <v>82</v>
      </c>
      <c r="O130" s="2"/>
      <c r="P130" s="2"/>
      <c r="Q130" s="2"/>
      <c r="R130" s="2"/>
      <c r="S130" s="2"/>
      <c r="T130" s="2"/>
      <c r="U130" s="2">
        <v>0.45</v>
      </c>
      <c r="V130" s="2">
        <v>0.35</v>
      </c>
      <c r="W130" s="2"/>
      <c r="X130" s="2">
        <v>0.03</v>
      </c>
      <c r="Y130" s="2"/>
      <c r="Z130" s="2"/>
      <c r="AA130" s="2">
        <f t="shared" ref="AA130:AA193" si="2">1 - SUM(U130:Z130)</f>
        <v>0.16999999999999993</v>
      </c>
    </row>
    <row r="131" spans="1:27" x14ac:dyDescent="0.2">
      <c r="A131" s="1" t="s">
        <v>388</v>
      </c>
      <c r="B131" s="2" t="s">
        <v>62</v>
      </c>
      <c r="C131" s="2">
        <f>3.8*10^6</f>
        <v>3800000</v>
      </c>
      <c r="D131" s="2" t="s">
        <v>29</v>
      </c>
      <c r="E131" s="2"/>
      <c r="F131" s="2" t="s">
        <v>29</v>
      </c>
      <c r="G131" s="2" t="s">
        <v>389</v>
      </c>
      <c r="H131" s="2" t="s">
        <v>390</v>
      </c>
      <c r="I131" s="2"/>
      <c r="J131" s="2" t="s">
        <v>391</v>
      </c>
      <c r="K131" s="2"/>
      <c r="L131" s="2"/>
      <c r="M131" s="2"/>
      <c r="N131" s="2" t="s">
        <v>82</v>
      </c>
      <c r="O131" s="2"/>
      <c r="P131" s="2"/>
      <c r="Q131" s="2" t="s">
        <v>142</v>
      </c>
      <c r="R131" s="2"/>
      <c r="S131" s="2"/>
      <c r="T131" s="2" t="s">
        <v>392</v>
      </c>
      <c r="U131" s="2">
        <v>0.85</v>
      </c>
      <c r="V131" s="2">
        <v>0.15</v>
      </c>
      <c r="W131" s="2"/>
      <c r="X131" s="2"/>
      <c r="Y131" s="2"/>
      <c r="Z131" s="2"/>
      <c r="AA131" s="2">
        <f t="shared" si="2"/>
        <v>0</v>
      </c>
    </row>
    <row r="132" spans="1:27" x14ac:dyDescent="0.2">
      <c r="A132" s="1" t="s">
        <v>393</v>
      </c>
      <c r="B132" s="2" t="s">
        <v>23</v>
      </c>
      <c r="C132" s="2">
        <f>6.9*10^6</f>
        <v>6900000</v>
      </c>
      <c r="D132" s="2" t="s">
        <v>394</v>
      </c>
      <c r="E132" s="2"/>
      <c r="F132" s="2" t="s">
        <v>25</v>
      </c>
      <c r="G132" s="2" t="s">
        <v>26</v>
      </c>
      <c r="H132" s="2"/>
      <c r="I132" s="2"/>
      <c r="J132" s="2"/>
      <c r="K132" s="2" t="s">
        <v>395</v>
      </c>
      <c r="L132" s="2"/>
      <c r="M132" s="2"/>
      <c r="N132" s="2"/>
      <c r="O132" s="2"/>
      <c r="P132" s="2"/>
      <c r="Q132" s="2"/>
      <c r="R132" s="2"/>
      <c r="S132" s="2"/>
      <c r="T132" s="2"/>
      <c r="U132" s="2">
        <v>0.27</v>
      </c>
      <c r="V132" s="2">
        <v>0.69</v>
      </c>
      <c r="W132" s="2"/>
      <c r="X132" s="2"/>
      <c r="Y132" s="2"/>
      <c r="Z132" s="2"/>
      <c r="AA132" s="2">
        <f t="shared" si="2"/>
        <v>4.0000000000000036E-2</v>
      </c>
    </row>
    <row r="133" spans="1:27" x14ac:dyDescent="0.2">
      <c r="A133" s="1" t="s">
        <v>396</v>
      </c>
      <c r="B133" s="2" t="s">
        <v>28</v>
      </c>
      <c r="C133" s="2">
        <f>6.9*10^6</f>
        <v>6900000</v>
      </c>
      <c r="D133" s="2" t="s">
        <v>397</v>
      </c>
      <c r="E133" s="2"/>
      <c r="F133" s="2" t="s">
        <v>397</v>
      </c>
      <c r="G133" s="2" t="s">
        <v>29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 t="s">
        <v>398</v>
      </c>
      <c r="U133" s="2">
        <v>0.9</v>
      </c>
      <c r="V133" s="2">
        <v>0.06</v>
      </c>
      <c r="W133" s="2"/>
      <c r="X133" s="2"/>
      <c r="Y133" s="2"/>
      <c r="Z133" s="2"/>
      <c r="AA133" s="2">
        <f t="shared" si="2"/>
        <v>4.0000000000000036E-2</v>
      </c>
    </row>
    <row r="134" spans="1:27" x14ac:dyDescent="0.2">
      <c r="A134" s="1" t="s">
        <v>399</v>
      </c>
      <c r="B134" s="2" t="s">
        <v>28</v>
      </c>
      <c r="C134" s="2">
        <f>3.1*10^7</f>
        <v>31000000</v>
      </c>
      <c r="D134" s="2" t="s">
        <v>400</v>
      </c>
      <c r="E134" s="2"/>
      <c r="F134" s="2" t="s">
        <v>29</v>
      </c>
      <c r="G134" s="2" t="s">
        <v>29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 t="s">
        <v>401</v>
      </c>
      <c r="U134" s="2">
        <v>0.81</v>
      </c>
      <c r="V134" s="2">
        <v>0.13</v>
      </c>
      <c r="W134" s="2"/>
      <c r="X134" s="2"/>
      <c r="Y134" s="2"/>
      <c r="Z134" s="2"/>
      <c r="AA134" s="2">
        <f t="shared" si="2"/>
        <v>5.9999999999999942E-2</v>
      </c>
    </row>
    <row r="135" spans="1:27" x14ac:dyDescent="0.2">
      <c r="A135" s="1" t="s">
        <v>402</v>
      </c>
      <c r="B135" s="2" t="s">
        <v>23</v>
      </c>
      <c r="C135" s="2">
        <f>1*10^8</f>
        <v>100000000</v>
      </c>
      <c r="D135" s="2" t="s">
        <v>403</v>
      </c>
      <c r="E135" s="2"/>
      <c r="F135" s="2" t="s">
        <v>403</v>
      </c>
      <c r="G135" s="2" t="s">
        <v>24</v>
      </c>
      <c r="H135" s="2"/>
      <c r="I135" s="2"/>
      <c r="J135" s="2"/>
      <c r="K135" s="2" t="s">
        <v>107</v>
      </c>
      <c r="L135" s="2"/>
      <c r="M135" s="2"/>
      <c r="N135" s="2"/>
      <c r="O135" s="2"/>
      <c r="P135" s="2"/>
      <c r="Q135" s="2"/>
      <c r="R135" s="2"/>
      <c r="S135" s="2"/>
      <c r="T135" s="2"/>
      <c r="U135" s="2">
        <v>0.83</v>
      </c>
      <c r="V135" s="2">
        <v>0.03</v>
      </c>
      <c r="W135" s="2"/>
      <c r="X135" s="2">
        <v>0.05</v>
      </c>
      <c r="Y135" s="2"/>
      <c r="Z135" s="2"/>
      <c r="AA135" s="2">
        <f t="shared" si="2"/>
        <v>8.9999999999999969E-2</v>
      </c>
    </row>
    <row r="136" spans="1:27" x14ac:dyDescent="0.2">
      <c r="A136" s="1" t="s">
        <v>404</v>
      </c>
      <c r="B136" s="2" t="s">
        <v>9</v>
      </c>
      <c r="C136" s="2">
        <f>3.8*10^7</f>
        <v>38000000</v>
      </c>
      <c r="D136" s="2" t="s">
        <v>405</v>
      </c>
      <c r="E136" s="2"/>
      <c r="F136" s="2" t="s">
        <v>405</v>
      </c>
      <c r="G136" s="2" t="s">
        <v>406</v>
      </c>
      <c r="H136" s="2"/>
      <c r="I136" s="2"/>
      <c r="J136" s="2" t="s">
        <v>250</v>
      </c>
      <c r="K136" s="2"/>
      <c r="L136" s="2"/>
      <c r="M136" s="2" t="s">
        <v>407</v>
      </c>
      <c r="N136" s="2"/>
      <c r="O136" s="2"/>
      <c r="P136" s="2"/>
      <c r="Q136" s="2"/>
      <c r="R136" s="2"/>
      <c r="S136" s="2"/>
      <c r="T136" s="2"/>
      <c r="U136" s="2">
        <v>0.87</v>
      </c>
      <c r="V136" s="2"/>
      <c r="W136" s="2">
        <v>0.01</v>
      </c>
      <c r="X136" s="2"/>
      <c r="Y136" s="2"/>
      <c r="Z136" s="2"/>
      <c r="AA136" s="2">
        <f t="shared" si="2"/>
        <v>0.12</v>
      </c>
    </row>
    <row r="137" spans="1:27" x14ac:dyDescent="0.2">
      <c r="A137" s="1" t="s">
        <v>408</v>
      </c>
      <c r="B137" s="2" t="s">
        <v>9</v>
      </c>
      <c r="C137" s="2">
        <f>1.1*10^7</f>
        <v>11000000</v>
      </c>
      <c r="D137" s="2" t="s">
        <v>409</v>
      </c>
      <c r="E137" s="2"/>
      <c r="F137" s="2" t="s">
        <v>20</v>
      </c>
      <c r="G137" s="2" t="s">
        <v>409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>
        <v>0.81</v>
      </c>
      <c r="V137" s="2"/>
      <c r="W137" s="2"/>
      <c r="X137" s="2"/>
      <c r="Y137" s="2"/>
      <c r="Z137" s="2"/>
      <c r="AA137" s="2">
        <f t="shared" si="2"/>
        <v>0.18999999999999995</v>
      </c>
    </row>
    <row r="138" spans="1:27" x14ac:dyDescent="0.2">
      <c r="A138" s="1" t="s">
        <v>410</v>
      </c>
      <c r="B138" s="2" t="s">
        <v>1</v>
      </c>
      <c r="C138" s="2">
        <f>2.3*10^6</f>
        <v>2300000</v>
      </c>
      <c r="D138" s="2" t="s">
        <v>6</v>
      </c>
      <c r="E138" s="2"/>
      <c r="F138" s="2" t="s">
        <v>411</v>
      </c>
      <c r="G138" s="2" t="s">
        <v>24</v>
      </c>
      <c r="H138" s="2"/>
      <c r="I138" s="2"/>
      <c r="J138" s="2" t="s">
        <v>6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>
        <v>0.09</v>
      </c>
      <c r="V138" s="2">
        <v>0.05</v>
      </c>
      <c r="W138" s="2"/>
      <c r="X138" s="2">
        <v>0.68</v>
      </c>
      <c r="Y138" s="2">
        <v>0.14000000000000001</v>
      </c>
      <c r="Z138" s="2">
        <v>0.03</v>
      </c>
      <c r="AA138" s="2">
        <f t="shared" si="2"/>
        <v>9.9999999999998979E-3</v>
      </c>
    </row>
    <row r="139" spans="1:27" x14ac:dyDescent="0.2">
      <c r="A139" s="1" t="s">
        <v>412</v>
      </c>
      <c r="B139" s="2" t="s">
        <v>1</v>
      </c>
      <c r="C139" s="2">
        <f>5.1*10^7</f>
        <v>51000000</v>
      </c>
      <c r="D139" s="2" t="s">
        <v>142</v>
      </c>
      <c r="E139" s="2"/>
      <c r="F139" s="2" t="s">
        <v>142</v>
      </c>
      <c r="G139" s="2" t="s">
        <v>24</v>
      </c>
      <c r="H139" s="2"/>
      <c r="I139" s="2"/>
      <c r="J139" s="2"/>
      <c r="K139" s="2"/>
      <c r="L139" s="2"/>
      <c r="M139" s="2"/>
      <c r="N139" s="2"/>
      <c r="O139" s="2"/>
      <c r="P139" s="2"/>
      <c r="Q139" s="2" t="s">
        <v>142</v>
      </c>
      <c r="R139" s="2"/>
      <c r="S139" s="2"/>
      <c r="T139" s="2"/>
      <c r="U139" s="2">
        <v>0.08</v>
      </c>
      <c r="V139" s="2">
        <v>0.2</v>
      </c>
      <c r="W139" s="2"/>
      <c r="X139" s="2"/>
      <c r="Y139" s="2"/>
      <c r="Z139" s="2">
        <v>0.16</v>
      </c>
      <c r="AA139" s="2">
        <f t="shared" si="2"/>
        <v>0.55999999999999994</v>
      </c>
    </row>
    <row r="140" spans="1:27" x14ac:dyDescent="0.2">
      <c r="A140" s="1" t="s">
        <v>413</v>
      </c>
      <c r="B140" s="2" t="s">
        <v>9</v>
      </c>
      <c r="C140" s="2">
        <f>3.5*10^6</f>
        <v>3500000</v>
      </c>
      <c r="D140" s="2" t="s">
        <v>414</v>
      </c>
      <c r="E140" s="2"/>
      <c r="F140" s="2" t="s">
        <v>414</v>
      </c>
      <c r="G140" s="2" t="s">
        <v>415</v>
      </c>
      <c r="H140" s="2"/>
      <c r="I140" s="2"/>
      <c r="J140" s="2"/>
      <c r="K140" s="2"/>
      <c r="L140" s="2"/>
      <c r="M140" s="2" t="s">
        <v>416</v>
      </c>
      <c r="N140" s="2"/>
      <c r="O140" s="2"/>
      <c r="P140" s="2"/>
      <c r="Q140" s="2"/>
      <c r="R140" s="2"/>
      <c r="S140" s="2"/>
      <c r="T140" s="2"/>
      <c r="U140" s="2"/>
      <c r="V140" s="2"/>
      <c r="W140" s="2">
        <v>0.9</v>
      </c>
      <c r="X140" s="2"/>
      <c r="Y140" s="2"/>
      <c r="Z140" s="2"/>
      <c r="AA140" s="2">
        <f t="shared" si="2"/>
        <v>9.9999999999999978E-2</v>
      </c>
    </row>
    <row r="141" spans="1:27" x14ac:dyDescent="0.2">
      <c r="A141" s="1" t="s">
        <v>417</v>
      </c>
      <c r="B141" s="2" t="s">
        <v>9</v>
      </c>
      <c r="C141" s="2">
        <f>2.2*10^7</f>
        <v>22000000</v>
      </c>
      <c r="D141" s="2" t="s">
        <v>414</v>
      </c>
      <c r="E141" s="2"/>
      <c r="F141" s="2" t="s">
        <v>414</v>
      </c>
      <c r="G141" s="2" t="s">
        <v>418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 t="s">
        <v>132</v>
      </c>
      <c r="T141" s="2"/>
      <c r="U141" s="2">
        <v>0.04</v>
      </c>
      <c r="V141" s="2">
        <v>0.06</v>
      </c>
      <c r="W141" s="2">
        <v>0.82</v>
      </c>
      <c r="X141" s="2"/>
      <c r="Y141" s="2"/>
      <c r="Z141" s="2"/>
      <c r="AA141" s="2">
        <f t="shared" si="2"/>
        <v>8.0000000000000071E-2</v>
      </c>
    </row>
    <row r="142" spans="1:27" x14ac:dyDescent="0.2">
      <c r="A142" s="1" t="s">
        <v>419</v>
      </c>
      <c r="B142" s="2" t="s">
        <v>34</v>
      </c>
      <c r="C142" s="2">
        <f>1.4*10^8</f>
        <v>140000000</v>
      </c>
      <c r="D142" s="2" t="s">
        <v>57</v>
      </c>
      <c r="E142" s="2" t="s">
        <v>420</v>
      </c>
      <c r="F142" s="2" t="s">
        <v>57</v>
      </c>
      <c r="G142" s="2" t="s">
        <v>421</v>
      </c>
      <c r="H142" s="2"/>
      <c r="I142" s="2"/>
      <c r="J142" s="2"/>
      <c r="K142" s="2"/>
      <c r="L142" s="2"/>
      <c r="M142" s="2" t="s">
        <v>422</v>
      </c>
      <c r="N142" s="2"/>
      <c r="O142" s="2"/>
      <c r="P142" s="2"/>
      <c r="Q142" s="2"/>
      <c r="R142" s="2"/>
      <c r="S142" s="2" t="s">
        <v>423</v>
      </c>
      <c r="T142" s="2" t="s">
        <v>424</v>
      </c>
      <c r="U142" s="2"/>
      <c r="V142" s="2"/>
      <c r="W142" s="2">
        <v>0.2</v>
      </c>
      <c r="X142" s="2">
        <v>0.15</v>
      </c>
      <c r="Y142" s="2"/>
      <c r="Z142" s="2"/>
      <c r="AA142" s="2">
        <f t="shared" si="2"/>
        <v>0.65</v>
      </c>
    </row>
    <row r="143" spans="1:27" x14ac:dyDescent="0.2">
      <c r="A143" s="1" t="s">
        <v>425</v>
      </c>
      <c r="B143" s="2" t="s">
        <v>13</v>
      </c>
      <c r="C143" s="2">
        <f>1.2*10^7</f>
        <v>12000000</v>
      </c>
      <c r="D143" s="2" t="s">
        <v>426</v>
      </c>
      <c r="E143" s="2"/>
      <c r="F143" s="2" t="s">
        <v>427</v>
      </c>
      <c r="G143" s="2" t="s">
        <v>94</v>
      </c>
      <c r="H143" s="2"/>
      <c r="I143" s="2" t="s">
        <v>428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>
        <v>0.44</v>
      </c>
      <c r="V143" s="2">
        <v>0.5</v>
      </c>
      <c r="W143" s="2"/>
      <c r="X143" s="2">
        <v>0.02</v>
      </c>
      <c r="Y143" s="2"/>
      <c r="Z143" s="2"/>
      <c r="AA143" s="2">
        <f t="shared" si="2"/>
        <v>4.0000000000000036E-2</v>
      </c>
    </row>
    <row r="144" spans="1:27" x14ac:dyDescent="0.2">
      <c r="A144" s="1" t="s">
        <v>429</v>
      </c>
      <c r="B144" s="2" t="s">
        <v>23</v>
      </c>
      <c r="C144" s="2">
        <f>5.3*10^4</f>
        <v>53000</v>
      </c>
      <c r="D144" s="2" t="s">
        <v>24</v>
      </c>
      <c r="E144" s="2"/>
      <c r="F144" s="2" t="s">
        <v>25</v>
      </c>
      <c r="G144" s="2" t="s">
        <v>26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>
        <v>7.0000000000000007E-2</v>
      </c>
      <c r="V144" s="2">
        <v>0.75</v>
      </c>
      <c r="W144" s="2"/>
      <c r="X144" s="2"/>
      <c r="Y144" s="2"/>
      <c r="Z144" s="2"/>
      <c r="AA144" s="2">
        <f t="shared" si="2"/>
        <v>0.17999999999999994</v>
      </c>
    </row>
    <row r="145" spans="1:27" x14ac:dyDescent="0.2">
      <c r="A145" s="1" t="s">
        <v>430</v>
      </c>
      <c r="B145" s="2" t="s">
        <v>23</v>
      </c>
      <c r="C145" s="2">
        <f>1.6*10^5</f>
        <v>160000</v>
      </c>
      <c r="D145" s="2" t="s">
        <v>24</v>
      </c>
      <c r="E145" s="2"/>
      <c r="F145" s="2" t="s">
        <v>219</v>
      </c>
      <c r="G145" s="2" t="s">
        <v>431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>
        <v>0.62</v>
      </c>
      <c r="V145" s="2">
        <v>0.26</v>
      </c>
      <c r="W145" s="2"/>
      <c r="X145" s="2"/>
      <c r="Y145" s="2"/>
      <c r="Z145" s="2"/>
      <c r="AA145" s="2">
        <f t="shared" si="2"/>
        <v>0.12</v>
      </c>
    </row>
    <row r="146" spans="1:27" x14ac:dyDescent="0.2">
      <c r="A146" s="1" t="s">
        <v>432</v>
      </c>
      <c r="B146" s="2" t="s">
        <v>23</v>
      </c>
      <c r="C146" s="2">
        <f>1*10^5</f>
        <v>100000</v>
      </c>
      <c r="D146" s="2" t="s">
        <v>24</v>
      </c>
      <c r="E146" s="2"/>
      <c r="F146" s="2" t="s">
        <v>25</v>
      </c>
      <c r="G146" s="2" t="s">
        <v>209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>
        <v>0.13</v>
      </c>
      <c r="V146" s="2">
        <v>0.75</v>
      </c>
      <c r="W146" s="2"/>
      <c r="X146" s="2"/>
      <c r="Y146" s="2"/>
      <c r="Z146" s="2"/>
      <c r="AA146" s="2">
        <f t="shared" si="2"/>
        <v>0.12</v>
      </c>
    </row>
    <row r="147" spans="1:27" x14ac:dyDescent="0.2">
      <c r="A147" s="1" t="s">
        <v>433</v>
      </c>
      <c r="B147" s="2" t="s">
        <v>23</v>
      </c>
      <c r="C147" s="2">
        <f>2*10^5</f>
        <v>200000</v>
      </c>
      <c r="D147" s="2" t="s">
        <v>434</v>
      </c>
      <c r="E147" s="2"/>
      <c r="F147" s="2" t="s">
        <v>434</v>
      </c>
      <c r="G147" s="2" t="s">
        <v>24</v>
      </c>
      <c r="H147" s="2"/>
      <c r="I147" s="2"/>
      <c r="J147" s="2"/>
      <c r="K147" s="2" t="s">
        <v>434</v>
      </c>
      <c r="L147" s="2"/>
      <c r="M147" s="2"/>
      <c r="N147" s="2"/>
      <c r="O147" s="2"/>
      <c r="P147" s="2"/>
      <c r="Q147" s="2"/>
      <c r="R147" s="2"/>
      <c r="S147" s="2"/>
      <c r="T147" s="2"/>
      <c r="U147" s="2">
        <v>0.19</v>
      </c>
      <c r="V147" s="2">
        <v>0.56999999999999995</v>
      </c>
      <c r="W147" s="2"/>
      <c r="X147" s="2"/>
      <c r="Y147" s="2"/>
      <c r="Z147" s="2"/>
      <c r="AA147" s="2">
        <f t="shared" si="2"/>
        <v>0.24</v>
      </c>
    </row>
    <row r="148" spans="1:27" x14ac:dyDescent="0.2">
      <c r="A148" s="1" t="s">
        <v>435</v>
      </c>
      <c r="B148" s="2" t="s">
        <v>9</v>
      </c>
      <c r="C148" s="2">
        <f>3.4*10^4</f>
        <v>34000</v>
      </c>
      <c r="D148" s="2" t="s">
        <v>436</v>
      </c>
      <c r="E148" s="2"/>
      <c r="F148" s="2" t="s">
        <v>437</v>
      </c>
      <c r="G148" s="2" t="s">
        <v>436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>
        <v>0.97</v>
      </c>
      <c r="V148" s="2"/>
      <c r="W148" s="2"/>
      <c r="X148" s="2"/>
      <c r="Y148" s="2"/>
      <c r="Z148" s="2"/>
      <c r="AA148" s="2">
        <f t="shared" si="2"/>
        <v>3.0000000000000027E-2</v>
      </c>
    </row>
    <row r="149" spans="1:27" x14ac:dyDescent="0.2">
      <c r="A149" s="1" t="s">
        <v>438</v>
      </c>
      <c r="B149" s="2" t="s">
        <v>23</v>
      </c>
      <c r="C149" s="2">
        <f>2*10^5</f>
        <v>200000</v>
      </c>
      <c r="D149" s="2" t="s">
        <v>20</v>
      </c>
      <c r="E149" s="2"/>
      <c r="F149" s="2" t="s">
        <v>20</v>
      </c>
      <c r="G149" s="2" t="s">
        <v>439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>
        <v>0.56000000000000005</v>
      </c>
      <c r="V149" s="2">
        <v>0.08</v>
      </c>
      <c r="W149" s="2"/>
      <c r="X149" s="2"/>
      <c r="Y149" s="2"/>
      <c r="Z149" s="2"/>
      <c r="AA149" s="2">
        <f t="shared" si="2"/>
        <v>0.36</v>
      </c>
    </row>
    <row r="150" spans="1:27" x14ac:dyDescent="0.2">
      <c r="A150" s="1" t="s">
        <v>440</v>
      </c>
      <c r="B150" s="2" t="s">
        <v>1</v>
      </c>
      <c r="C150" s="2">
        <f>2.9*10^7</f>
        <v>29000000</v>
      </c>
      <c r="D150" s="2" t="s">
        <v>6</v>
      </c>
      <c r="E150" s="2"/>
      <c r="F150" s="2" t="s">
        <v>6</v>
      </c>
      <c r="G150" s="2"/>
      <c r="H150" s="2"/>
      <c r="I150" s="2"/>
      <c r="J150" s="2" t="s">
        <v>6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>
        <v>0.95</v>
      </c>
      <c r="Y150" s="2"/>
      <c r="Z150" s="2"/>
      <c r="AA150" s="2">
        <f t="shared" si="2"/>
        <v>5.0000000000000044E-2</v>
      </c>
    </row>
    <row r="151" spans="1:27" x14ac:dyDescent="0.2">
      <c r="A151" s="1" t="s">
        <v>441</v>
      </c>
      <c r="B151" s="2" t="s">
        <v>13</v>
      </c>
      <c r="C151" s="2">
        <f>1.5*10^7</f>
        <v>15000000</v>
      </c>
      <c r="D151" s="2" t="s">
        <v>15</v>
      </c>
      <c r="E151" s="2"/>
      <c r="F151" s="2" t="s">
        <v>442</v>
      </c>
      <c r="G151" s="2" t="s">
        <v>15</v>
      </c>
      <c r="H151" s="2"/>
      <c r="I151" s="2" t="s">
        <v>443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>
        <v>0.04</v>
      </c>
      <c r="V151" s="2"/>
      <c r="W151" s="2"/>
      <c r="X151" s="2">
        <v>0.95</v>
      </c>
      <c r="Y151" s="2"/>
      <c r="Z151" s="2"/>
      <c r="AA151" s="2">
        <f t="shared" si="2"/>
        <v>1.0000000000000009E-2</v>
      </c>
    </row>
    <row r="152" spans="1:27" x14ac:dyDescent="0.2">
      <c r="A152" s="1" t="s">
        <v>444</v>
      </c>
      <c r="B152" s="2" t="s">
        <v>9</v>
      </c>
      <c r="C152" s="2">
        <f>7.1*10^6</f>
        <v>7100000</v>
      </c>
      <c r="D152" s="2" t="s">
        <v>75</v>
      </c>
      <c r="E152" s="2" t="s">
        <v>445</v>
      </c>
      <c r="F152" s="2" t="s">
        <v>75</v>
      </c>
      <c r="G152" s="2" t="s">
        <v>446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 t="s">
        <v>132</v>
      </c>
      <c r="T152" s="2"/>
      <c r="U152" s="2">
        <v>0.05</v>
      </c>
      <c r="V152" s="2">
        <v>0.01</v>
      </c>
      <c r="W152" s="2">
        <v>0.85</v>
      </c>
      <c r="X152" s="2">
        <v>0.03</v>
      </c>
      <c r="Y152" s="2"/>
      <c r="Z152" s="2"/>
      <c r="AA152" s="2">
        <f t="shared" si="2"/>
        <v>5.9999999999999942E-2</v>
      </c>
    </row>
    <row r="153" spans="1:27" x14ac:dyDescent="0.2">
      <c r="A153" s="1" t="s">
        <v>447</v>
      </c>
      <c r="B153" s="2" t="s">
        <v>23</v>
      </c>
      <c r="C153" s="2">
        <f>9.4*10^4</f>
        <v>94000</v>
      </c>
      <c r="D153" s="2" t="s">
        <v>431</v>
      </c>
      <c r="E153" s="2"/>
      <c r="F153" s="2" t="s">
        <v>219</v>
      </c>
      <c r="G153" s="2" t="s">
        <v>431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>
        <v>0.76</v>
      </c>
      <c r="V153" s="2">
        <v>0.11</v>
      </c>
      <c r="W153" s="2"/>
      <c r="X153" s="2">
        <v>0.02</v>
      </c>
      <c r="Y153" s="2">
        <v>0.02</v>
      </c>
      <c r="Z153" s="2"/>
      <c r="AA153" s="2">
        <f t="shared" si="2"/>
        <v>8.9999999999999969E-2</v>
      </c>
    </row>
    <row r="154" spans="1:27" x14ac:dyDescent="0.2">
      <c r="A154" s="1" t="s">
        <v>448</v>
      </c>
      <c r="B154" s="2" t="s">
        <v>13</v>
      </c>
      <c r="C154" s="2">
        <f>6.2*10^6</f>
        <v>6200000</v>
      </c>
      <c r="D154" s="2" t="s">
        <v>24</v>
      </c>
      <c r="E154" s="2"/>
      <c r="F154" s="2" t="s">
        <v>25</v>
      </c>
      <c r="G154" s="2" t="s">
        <v>26</v>
      </c>
      <c r="H154" s="2"/>
      <c r="I154" s="2" t="s">
        <v>449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>
        <v>0.03</v>
      </c>
      <c r="V154" s="2">
        <v>7.0000000000000007E-2</v>
      </c>
      <c r="W154" s="2"/>
      <c r="X154" s="2">
        <v>0.6</v>
      </c>
      <c r="Y154" s="2"/>
      <c r="Z154" s="2"/>
      <c r="AA154" s="2">
        <f t="shared" si="2"/>
        <v>0.30000000000000004</v>
      </c>
    </row>
    <row r="155" spans="1:27" x14ac:dyDescent="0.2">
      <c r="A155" s="1" t="s">
        <v>450</v>
      </c>
      <c r="B155" s="2" t="s">
        <v>1</v>
      </c>
      <c r="C155" s="2">
        <f>5.9*10^6</f>
        <v>5900000</v>
      </c>
      <c r="D155" s="2" t="s">
        <v>451</v>
      </c>
      <c r="E155" s="2"/>
      <c r="F155" s="2" t="s">
        <v>23</v>
      </c>
      <c r="G155" s="2" t="s">
        <v>24</v>
      </c>
      <c r="H155" s="2" t="s">
        <v>452</v>
      </c>
      <c r="I155" s="2"/>
      <c r="J155" s="2"/>
      <c r="K155" s="2" t="s">
        <v>85</v>
      </c>
      <c r="L155" s="2" t="s">
        <v>453</v>
      </c>
      <c r="M155" s="2"/>
      <c r="N155" s="2"/>
      <c r="O155" s="2"/>
      <c r="P155" s="2"/>
      <c r="Q155" s="2"/>
      <c r="R155" s="2"/>
      <c r="S155" s="2"/>
      <c r="T155" s="2"/>
      <c r="U155" s="2">
        <v>7.0000000000000007E-2</v>
      </c>
      <c r="V155" s="2"/>
      <c r="W155" s="2"/>
      <c r="X155" s="2">
        <v>0.14000000000000001</v>
      </c>
      <c r="Y155" s="2">
        <v>0.05</v>
      </c>
      <c r="Z155" s="2">
        <v>0.34</v>
      </c>
      <c r="AA155" s="2">
        <f t="shared" si="2"/>
        <v>0.39999999999999991</v>
      </c>
    </row>
    <row r="156" spans="1:27" x14ac:dyDescent="0.2">
      <c r="A156" s="1" t="s">
        <v>454</v>
      </c>
      <c r="B156" s="2" t="s">
        <v>9</v>
      </c>
      <c r="C156" s="2">
        <f>5.4*10^6</f>
        <v>5400000</v>
      </c>
      <c r="D156" s="2" t="s">
        <v>455</v>
      </c>
      <c r="E156" s="2" t="s">
        <v>456</v>
      </c>
      <c r="F156" s="2"/>
      <c r="G156" s="2" t="s">
        <v>457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 t="s">
        <v>132</v>
      </c>
      <c r="T156" s="2"/>
      <c r="U156" s="2">
        <v>0.66</v>
      </c>
      <c r="V156" s="2">
        <v>0.08</v>
      </c>
      <c r="W156" s="2"/>
      <c r="X156" s="2"/>
      <c r="Y156" s="2"/>
      <c r="Z156" s="2"/>
      <c r="AA156" s="2">
        <f t="shared" si="2"/>
        <v>0.26</v>
      </c>
    </row>
    <row r="157" spans="1:27" x14ac:dyDescent="0.2">
      <c r="A157" s="1" t="s">
        <v>458</v>
      </c>
      <c r="B157" s="2" t="s">
        <v>9</v>
      </c>
      <c r="C157" s="2">
        <f>2*10^6</f>
        <v>2000000</v>
      </c>
      <c r="D157" s="2" t="s">
        <v>459</v>
      </c>
      <c r="E157" s="2" t="s">
        <v>460</v>
      </c>
      <c r="F157" s="2" t="s">
        <v>459</v>
      </c>
      <c r="G157" s="2" t="s">
        <v>461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 t="s">
        <v>132</v>
      </c>
      <c r="T157" s="2"/>
      <c r="U157" s="2">
        <v>0.57999999999999996</v>
      </c>
      <c r="V157" s="2"/>
      <c r="W157" s="2">
        <v>0.02</v>
      </c>
      <c r="X157" s="2">
        <v>0.02</v>
      </c>
      <c r="Y157" s="2"/>
      <c r="Z157" s="2"/>
      <c r="AA157" s="2">
        <f t="shared" si="2"/>
        <v>0.38</v>
      </c>
    </row>
    <row r="158" spans="1:27" x14ac:dyDescent="0.2">
      <c r="A158" s="1" t="s">
        <v>462</v>
      </c>
      <c r="B158" s="2" t="s">
        <v>23</v>
      </c>
      <c r="C158" s="2">
        <f>6.5*10^5</f>
        <v>650000</v>
      </c>
      <c r="D158" s="2" t="s">
        <v>24</v>
      </c>
      <c r="E158" s="2"/>
      <c r="F158" s="2" t="s">
        <v>25</v>
      </c>
      <c r="G158" s="2" t="s">
        <v>26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>
        <v>0.2</v>
      </c>
      <c r="V158" s="2">
        <v>0.73</v>
      </c>
      <c r="W158" s="2"/>
      <c r="X158" s="2"/>
      <c r="Y158" s="2"/>
      <c r="Z158" s="2"/>
      <c r="AA158" s="2">
        <f t="shared" si="2"/>
        <v>7.0000000000000062E-2</v>
      </c>
    </row>
    <row r="159" spans="1:27" x14ac:dyDescent="0.2">
      <c r="A159" s="1" t="s">
        <v>463</v>
      </c>
      <c r="B159" s="2" t="s">
        <v>13</v>
      </c>
      <c r="C159" s="2">
        <f>1.1*10^7</f>
        <v>11000000</v>
      </c>
      <c r="D159" s="2" t="s">
        <v>23</v>
      </c>
      <c r="E159" s="2" t="s">
        <v>464</v>
      </c>
      <c r="F159" s="2" t="s">
        <v>151</v>
      </c>
      <c r="G159" s="2" t="s">
        <v>285</v>
      </c>
      <c r="H159" s="2"/>
      <c r="I159" s="2"/>
      <c r="J159" s="2" t="s">
        <v>464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>
        <v>1</v>
      </c>
      <c r="Y159" s="2"/>
      <c r="Z159" s="2"/>
      <c r="AA159" s="2">
        <f t="shared" si="2"/>
        <v>0</v>
      </c>
    </row>
    <row r="160" spans="1:27" x14ac:dyDescent="0.2">
      <c r="A160" s="1" t="s">
        <v>465</v>
      </c>
      <c r="B160" s="2" t="s">
        <v>13</v>
      </c>
      <c r="C160" s="2">
        <f>5.5*10^7</f>
        <v>55000000</v>
      </c>
      <c r="D160" s="2" t="s">
        <v>466</v>
      </c>
      <c r="E160" s="2"/>
      <c r="F160" s="2" t="s">
        <v>23</v>
      </c>
      <c r="G160" s="2" t="s">
        <v>345</v>
      </c>
      <c r="H160" s="2"/>
      <c r="I160" s="2" t="s">
        <v>467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>
        <v>7.0000000000000007E-2</v>
      </c>
      <c r="V160" s="2">
        <v>0.37</v>
      </c>
      <c r="W160" s="2"/>
      <c r="X160" s="2">
        <v>0.02</v>
      </c>
      <c r="Y160" s="2"/>
      <c r="Z160" s="2"/>
      <c r="AA160" s="2">
        <f t="shared" si="2"/>
        <v>0.54</v>
      </c>
    </row>
    <row r="161" spans="1:27" x14ac:dyDescent="0.2">
      <c r="A161" s="1" t="s">
        <v>468</v>
      </c>
      <c r="B161" s="2" t="s">
        <v>13</v>
      </c>
      <c r="C161" s="2">
        <f>1.3*10^7</f>
        <v>13000000</v>
      </c>
      <c r="D161" s="2" t="s">
        <v>24</v>
      </c>
      <c r="E161" s="2"/>
      <c r="F161" s="2" t="s">
        <v>23</v>
      </c>
      <c r="G161" s="2" t="s">
        <v>24</v>
      </c>
      <c r="H161" s="2"/>
      <c r="I161" s="2" t="s">
        <v>469</v>
      </c>
      <c r="J161" s="2" t="s">
        <v>6</v>
      </c>
      <c r="K161" s="2"/>
      <c r="L161" s="2"/>
      <c r="M161" s="2"/>
      <c r="N161" s="2"/>
      <c r="O161" s="2"/>
      <c r="P161" s="2"/>
      <c r="Q161" s="2"/>
      <c r="R161" s="2" t="s">
        <v>470</v>
      </c>
      <c r="S161" s="2"/>
      <c r="T161" s="2"/>
      <c r="U161" s="2">
        <v>0.21</v>
      </c>
      <c r="V161" s="2">
        <v>0.39</v>
      </c>
      <c r="W161" s="2"/>
      <c r="X161" s="2">
        <v>0.06</v>
      </c>
      <c r="Y161" s="2"/>
      <c r="Z161" s="2"/>
      <c r="AA161" s="2">
        <f t="shared" si="2"/>
        <v>0.34000000000000008</v>
      </c>
    </row>
    <row r="162" spans="1:27" x14ac:dyDescent="0.2">
      <c r="A162" s="1" t="s">
        <v>471</v>
      </c>
      <c r="B162" s="2" t="s">
        <v>9</v>
      </c>
      <c r="C162" s="2">
        <f>4.9*10^7</f>
        <v>49000000</v>
      </c>
      <c r="D162" s="2" t="s">
        <v>29</v>
      </c>
      <c r="E162" s="2" t="s">
        <v>472</v>
      </c>
      <c r="F162" s="2" t="s">
        <v>29</v>
      </c>
      <c r="G162" s="2" t="s">
        <v>473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 t="s">
        <v>474</v>
      </c>
      <c r="U162" s="2">
        <v>0.68</v>
      </c>
      <c r="V162" s="2"/>
      <c r="W162" s="2"/>
      <c r="X162" s="2"/>
      <c r="Y162" s="2"/>
      <c r="Z162" s="2"/>
      <c r="AA162" s="2">
        <f t="shared" si="2"/>
        <v>0.31999999999999995</v>
      </c>
    </row>
    <row r="163" spans="1:27" x14ac:dyDescent="0.2">
      <c r="A163" s="1" t="s">
        <v>475</v>
      </c>
      <c r="B163" s="2" t="s">
        <v>23</v>
      </c>
      <c r="C163" s="2">
        <f>2.2*10^7</f>
        <v>22000000</v>
      </c>
      <c r="D163" s="2" t="s">
        <v>476</v>
      </c>
      <c r="E163" s="2"/>
      <c r="F163" s="2" t="s">
        <v>308</v>
      </c>
      <c r="G163" s="2" t="s">
        <v>477</v>
      </c>
      <c r="H163" s="2"/>
      <c r="I163" s="2"/>
      <c r="J163" s="2"/>
      <c r="K163" s="2"/>
      <c r="L163" s="2" t="s">
        <v>453</v>
      </c>
      <c r="M163" s="2"/>
      <c r="N163" s="2"/>
      <c r="O163" s="2"/>
      <c r="P163" s="2"/>
      <c r="Q163" s="2"/>
      <c r="R163" s="2"/>
      <c r="S163" s="2"/>
      <c r="T163" s="2"/>
      <c r="U163" s="2">
        <v>0.06</v>
      </c>
      <c r="V163" s="2"/>
      <c r="W163" s="2"/>
      <c r="X163" s="2">
        <v>0.1</v>
      </c>
      <c r="Y163" s="2">
        <v>0.13</v>
      </c>
      <c r="Z163" s="2">
        <v>0.7</v>
      </c>
      <c r="AA163" s="2">
        <f t="shared" si="2"/>
        <v>1.0000000000000009E-2</v>
      </c>
    </row>
    <row r="164" spans="1:27" x14ac:dyDescent="0.2">
      <c r="A164" s="1" t="s">
        <v>478</v>
      </c>
      <c r="B164" s="2" t="s">
        <v>13</v>
      </c>
      <c r="C164" s="2">
        <f>3.7*10^7</f>
        <v>37000000</v>
      </c>
      <c r="D164" s="2" t="s">
        <v>411</v>
      </c>
      <c r="E164" s="2"/>
      <c r="F164" s="2" t="s">
        <v>6</v>
      </c>
      <c r="G164" s="2" t="s">
        <v>24</v>
      </c>
      <c r="H164" s="2"/>
      <c r="I164" s="2"/>
      <c r="J164" s="2" t="s">
        <v>479</v>
      </c>
      <c r="K164" s="2"/>
      <c r="L164" s="2"/>
      <c r="M164" s="2"/>
      <c r="N164" s="2"/>
      <c r="O164" s="2"/>
      <c r="P164" s="2"/>
      <c r="Q164" s="2"/>
      <c r="R164" s="2" t="s">
        <v>480</v>
      </c>
      <c r="S164" s="2"/>
      <c r="T164" s="2"/>
      <c r="U164" s="2">
        <v>0.01</v>
      </c>
      <c r="V164" s="2"/>
      <c r="W164" s="2">
        <v>0.01</v>
      </c>
      <c r="X164" s="2">
        <v>0.97</v>
      </c>
      <c r="Y164" s="2"/>
      <c r="Z164" s="2"/>
      <c r="AA164" s="2">
        <f t="shared" si="2"/>
        <v>1.0000000000000009E-2</v>
      </c>
    </row>
    <row r="165" spans="1:27" x14ac:dyDescent="0.2">
      <c r="A165" s="1" t="s">
        <v>481</v>
      </c>
      <c r="B165" s="2" t="s">
        <v>28</v>
      </c>
      <c r="C165" s="2">
        <f>5.9*10^5</f>
        <v>590000</v>
      </c>
      <c r="D165" s="2" t="s">
        <v>60</v>
      </c>
      <c r="E165" s="2"/>
      <c r="F165" s="2" t="s">
        <v>482</v>
      </c>
      <c r="G165" s="2" t="s">
        <v>483</v>
      </c>
      <c r="H165" s="2"/>
      <c r="I165" s="2"/>
      <c r="J165" s="2"/>
      <c r="K165" s="2" t="s">
        <v>484</v>
      </c>
      <c r="L165" s="2"/>
      <c r="M165" s="2"/>
      <c r="N165" s="2"/>
      <c r="O165" s="2"/>
      <c r="P165" s="2"/>
      <c r="Q165" s="2"/>
      <c r="R165" s="2"/>
      <c r="S165" s="2"/>
      <c r="T165" s="2"/>
      <c r="U165" s="2">
        <v>0.22</v>
      </c>
      <c r="V165" s="2">
        <v>0.24</v>
      </c>
      <c r="W165" s="2"/>
      <c r="X165" s="2">
        <v>0.14000000000000001</v>
      </c>
      <c r="Y165" s="2">
        <v>0.22</v>
      </c>
      <c r="Z165" s="2"/>
      <c r="AA165" s="2">
        <f t="shared" si="2"/>
        <v>0.18000000000000005</v>
      </c>
    </row>
    <row r="166" spans="1:27" x14ac:dyDescent="0.2">
      <c r="A166" s="1" t="s">
        <v>485</v>
      </c>
      <c r="B166" s="2" t="s">
        <v>13</v>
      </c>
      <c r="C166" s="2">
        <f>1.5*10^6</f>
        <v>1500000</v>
      </c>
      <c r="D166" s="2" t="s">
        <v>486</v>
      </c>
      <c r="E166" s="2"/>
      <c r="F166" s="2" t="s">
        <v>487</v>
      </c>
      <c r="G166" s="2" t="s">
        <v>24</v>
      </c>
      <c r="H166" s="2"/>
      <c r="I166" s="2" t="s">
        <v>487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>
        <v>0.2</v>
      </c>
      <c r="V166" s="2">
        <v>0.3</v>
      </c>
      <c r="W166" s="2"/>
      <c r="X166" s="2">
        <v>0.02</v>
      </c>
      <c r="Y166" s="2"/>
      <c r="Z166" s="2"/>
      <c r="AA166" s="2">
        <f t="shared" si="2"/>
        <v>0.48</v>
      </c>
    </row>
    <row r="167" spans="1:27" x14ac:dyDescent="0.2">
      <c r="A167" s="1" t="s">
        <v>488</v>
      </c>
      <c r="B167" s="2" t="s">
        <v>9</v>
      </c>
      <c r="C167" s="2">
        <f>1*10^7</f>
        <v>10000000</v>
      </c>
      <c r="D167" s="2" t="s">
        <v>489</v>
      </c>
      <c r="E167" s="2" t="s">
        <v>490</v>
      </c>
      <c r="F167" s="2" t="s">
        <v>489</v>
      </c>
      <c r="G167" s="2" t="s">
        <v>491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 t="s">
        <v>492</v>
      </c>
      <c r="T167" s="2"/>
      <c r="U167" s="2">
        <v>0.01</v>
      </c>
      <c r="V167" s="2">
        <v>0.67</v>
      </c>
      <c r="W167" s="2">
        <v>0.01</v>
      </c>
      <c r="X167" s="2">
        <v>0.01</v>
      </c>
      <c r="Y167" s="2"/>
      <c r="Z167" s="2"/>
      <c r="AA167" s="2">
        <f t="shared" si="2"/>
        <v>0.29999999999999993</v>
      </c>
    </row>
    <row r="168" spans="1:27" x14ac:dyDescent="0.2">
      <c r="A168" s="1" t="s">
        <v>493</v>
      </c>
      <c r="B168" s="2" t="s">
        <v>9</v>
      </c>
      <c r="C168" s="2">
        <f>8.2*10^6</f>
        <v>8199999.9999999991</v>
      </c>
      <c r="D168" s="2" t="s">
        <v>494</v>
      </c>
      <c r="E168" s="2"/>
      <c r="F168" s="2" t="s">
        <v>42</v>
      </c>
      <c r="G168" s="2" t="s">
        <v>495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>
        <v>0.37</v>
      </c>
      <c r="V168" s="2">
        <v>0.25</v>
      </c>
      <c r="W168" s="2"/>
      <c r="X168" s="2">
        <v>0.05</v>
      </c>
      <c r="Y168" s="2"/>
      <c r="Z168" s="2"/>
      <c r="AA168" s="2">
        <f t="shared" si="2"/>
        <v>0.32999999999999996</v>
      </c>
    </row>
    <row r="169" spans="1:27" x14ac:dyDescent="0.2">
      <c r="A169" s="1" t="s">
        <v>496</v>
      </c>
      <c r="B169" s="2" t="s">
        <v>1</v>
      </c>
      <c r="C169" s="2">
        <f>1.8*10^7</f>
        <v>18000000</v>
      </c>
      <c r="D169" s="2" t="s">
        <v>6</v>
      </c>
      <c r="E169" s="2"/>
      <c r="F169" s="2" t="s">
        <v>6</v>
      </c>
      <c r="G169" s="2" t="s">
        <v>497</v>
      </c>
      <c r="H169" s="2"/>
      <c r="I169" s="2"/>
      <c r="J169" s="2" t="s">
        <v>498</v>
      </c>
      <c r="K169" s="2"/>
      <c r="L169" s="2"/>
      <c r="M169" s="2"/>
      <c r="N169" s="2"/>
      <c r="O169" s="2"/>
      <c r="P169" s="2"/>
      <c r="Q169" s="2"/>
      <c r="R169" s="2"/>
      <c r="S169" s="2"/>
      <c r="T169" s="2" t="s">
        <v>499</v>
      </c>
      <c r="U169" s="2">
        <v>0.02</v>
      </c>
      <c r="V169" s="2">
        <v>0.08</v>
      </c>
      <c r="W169" s="2"/>
      <c r="X169" s="2">
        <v>0.87</v>
      </c>
      <c r="Y169" s="2"/>
      <c r="Z169" s="2"/>
      <c r="AA169" s="2">
        <f t="shared" si="2"/>
        <v>3.0000000000000027E-2</v>
      </c>
    </row>
    <row r="170" spans="1:27" x14ac:dyDescent="0.2">
      <c r="A170" s="1" t="s">
        <v>500</v>
      </c>
      <c r="B170" s="2" t="s">
        <v>1</v>
      </c>
      <c r="C170" s="2">
        <f>8.5*10^6</f>
        <v>8500000</v>
      </c>
      <c r="D170" s="2" t="s">
        <v>4</v>
      </c>
      <c r="E170" s="2"/>
      <c r="F170" s="2" t="s">
        <v>4</v>
      </c>
      <c r="G170" s="2" t="s">
        <v>501</v>
      </c>
      <c r="H170" s="2"/>
      <c r="I170" s="2"/>
      <c r="J170" s="2"/>
      <c r="K170" s="2"/>
      <c r="L170" s="2"/>
      <c r="M170" s="2" t="s">
        <v>502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>
        <v>0.9</v>
      </c>
      <c r="Y170" s="2"/>
      <c r="Z170" s="2"/>
      <c r="AA170" s="2">
        <f t="shared" si="2"/>
        <v>9.9999999999999978E-2</v>
      </c>
    </row>
    <row r="171" spans="1:27" x14ac:dyDescent="0.2">
      <c r="A171" s="1" t="s">
        <v>503</v>
      </c>
      <c r="B171" s="2" t="s">
        <v>1</v>
      </c>
      <c r="C171" s="2">
        <f>6.8*10^7</f>
        <v>68000000</v>
      </c>
      <c r="D171" s="2" t="s">
        <v>306</v>
      </c>
      <c r="E171" s="2"/>
      <c r="F171" s="2" t="s">
        <v>306</v>
      </c>
      <c r="G171" s="2" t="s">
        <v>24</v>
      </c>
      <c r="H171" s="2" t="s">
        <v>343</v>
      </c>
      <c r="I171" s="2"/>
      <c r="J171" s="2"/>
      <c r="K171" s="2"/>
      <c r="L171" s="2"/>
      <c r="M171" s="2"/>
      <c r="N171" s="2"/>
      <c r="O171" s="2"/>
      <c r="P171" s="2" t="s">
        <v>306</v>
      </c>
      <c r="Q171" s="2"/>
      <c r="R171" s="2"/>
      <c r="S171" s="2"/>
      <c r="T171" s="2"/>
      <c r="U171" s="2"/>
      <c r="V171" s="2">
        <v>0.01</v>
      </c>
      <c r="W171" s="2"/>
      <c r="X171" s="2">
        <v>0.04</v>
      </c>
      <c r="Y171" s="2"/>
      <c r="Z171" s="2">
        <v>0.95</v>
      </c>
      <c r="AA171" s="2">
        <f t="shared" si="2"/>
        <v>0</v>
      </c>
    </row>
    <row r="172" spans="1:27" x14ac:dyDescent="0.2">
      <c r="A172" s="1" t="s">
        <v>504</v>
      </c>
      <c r="B172" s="2" t="s">
        <v>23</v>
      </c>
      <c r="C172" s="2">
        <f>1.3*10^6</f>
        <v>1300000</v>
      </c>
      <c r="D172" s="2" t="s">
        <v>505</v>
      </c>
      <c r="E172" s="2"/>
      <c r="F172" s="2" t="s">
        <v>23</v>
      </c>
      <c r="G172" s="2" t="s">
        <v>506</v>
      </c>
      <c r="H172" s="2"/>
      <c r="I172" s="2"/>
      <c r="J172" s="2"/>
      <c r="K172" s="2" t="s">
        <v>507</v>
      </c>
      <c r="L172" s="2"/>
      <c r="M172" s="2"/>
      <c r="N172" s="2"/>
      <c r="O172" s="2"/>
      <c r="P172" s="2"/>
      <c r="Q172" s="2"/>
      <c r="R172" s="2"/>
      <c r="S172" s="2"/>
      <c r="T172" s="2" t="s">
        <v>508</v>
      </c>
      <c r="U172" s="2">
        <v>0.98</v>
      </c>
      <c r="V172" s="2">
        <v>0.02</v>
      </c>
      <c r="W172" s="2"/>
      <c r="X172" s="2"/>
      <c r="Y172" s="2"/>
      <c r="Z172" s="2"/>
      <c r="AA172" s="2">
        <f t="shared" si="2"/>
        <v>0</v>
      </c>
    </row>
    <row r="173" spans="1:27" x14ac:dyDescent="0.2">
      <c r="A173" s="1" t="s">
        <v>509</v>
      </c>
      <c r="B173" s="2" t="s">
        <v>13</v>
      </c>
      <c r="C173" s="2">
        <f>8*10^6</f>
        <v>8000000</v>
      </c>
      <c r="D173" s="2" t="s">
        <v>15</v>
      </c>
      <c r="E173" s="2"/>
      <c r="F173" s="2" t="s">
        <v>510</v>
      </c>
      <c r="G173" s="2" t="s">
        <v>15</v>
      </c>
      <c r="H173" s="2"/>
      <c r="I173" s="2" t="s">
        <v>511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>
        <v>0.25</v>
      </c>
      <c r="V173" s="2">
        <v>0.05</v>
      </c>
      <c r="W173" s="2"/>
      <c r="X173" s="2">
        <v>0.2</v>
      </c>
      <c r="Y173" s="2"/>
      <c r="Z173" s="2"/>
      <c r="AA173" s="2">
        <f t="shared" si="2"/>
        <v>0.5</v>
      </c>
    </row>
    <row r="174" spans="1:27" x14ac:dyDescent="0.2">
      <c r="A174" s="1" t="s">
        <v>512</v>
      </c>
      <c r="B174" s="2" t="s">
        <v>23</v>
      </c>
      <c r="C174" s="2">
        <f>1.1*10^5</f>
        <v>110000.00000000001</v>
      </c>
      <c r="D174" s="2" t="s">
        <v>513</v>
      </c>
      <c r="E174" s="2"/>
      <c r="F174" s="2" t="s">
        <v>513</v>
      </c>
      <c r="G174" s="2" t="s">
        <v>24</v>
      </c>
      <c r="H174" s="2"/>
      <c r="I174" s="2"/>
      <c r="J174" s="2"/>
      <c r="K174" s="2" t="s">
        <v>514</v>
      </c>
      <c r="L174" s="2"/>
      <c r="M174" s="2"/>
      <c r="N174" s="2"/>
      <c r="O174" s="2"/>
      <c r="P174" s="2"/>
      <c r="Q174" s="2"/>
      <c r="R174" s="2"/>
      <c r="S174" s="2"/>
      <c r="T174" s="2"/>
      <c r="U174" s="2">
        <v>0.16</v>
      </c>
      <c r="V174" s="2">
        <v>0.65</v>
      </c>
      <c r="W174" s="2"/>
      <c r="X174" s="2"/>
      <c r="Y174" s="2"/>
      <c r="Z174" s="2"/>
      <c r="AA174" s="2">
        <f t="shared" si="2"/>
        <v>0.18999999999999995</v>
      </c>
    </row>
    <row r="175" spans="1:27" x14ac:dyDescent="0.2">
      <c r="A175" s="1" t="s">
        <v>515</v>
      </c>
      <c r="B175" s="2" t="s">
        <v>23</v>
      </c>
      <c r="C175" s="2">
        <f>1.2*10^6</f>
        <v>1200000</v>
      </c>
      <c r="D175" s="2" t="s">
        <v>24</v>
      </c>
      <c r="E175" s="2"/>
      <c r="F175" s="2" t="s">
        <v>25</v>
      </c>
      <c r="G175" s="2" t="s">
        <v>516</v>
      </c>
      <c r="H175" s="2" t="s">
        <v>117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>
        <v>0.22</v>
      </c>
      <c r="V175" s="2">
        <v>0.32</v>
      </c>
      <c r="W175" s="2"/>
      <c r="X175" s="2">
        <v>0.05</v>
      </c>
      <c r="Y175" s="2">
        <v>0.18</v>
      </c>
      <c r="Z175" s="2"/>
      <c r="AA175" s="2">
        <f t="shared" si="2"/>
        <v>0.22999999999999998</v>
      </c>
    </row>
    <row r="176" spans="1:27" x14ac:dyDescent="0.2">
      <c r="A176" s="1" t="s">
        <v>517</v>
      </c>
      <c r="B176" s="2" t="s">
        <v>13</v>
      </c>
      <c r="C176" s="2">
        <f>1.1*10^7</f>
        <v>11000000</v>
      </c>
      <c r="D176" s="2" t="s">
        <v>6</v>
      </c>
      <c r="E176" s="2"/>
      <c r="F176" s="2" t="s">
        <v>323</v>
      </c>
      <c r="G176" s="2" t="s">
        <v>15</v>
      </c>
      <c r="H176" s="2"/>
      <c r="I176" s="2"/>
      <c r="J176" s="2" t="s">
        <v>14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>
        <v>0.99</v>
      </c>
      <c r="Y176" s="2"/>
      <c r="Z176" s="2"/>
      <c r="AA176" s="2">
        <f t="shared" si="2"/>
        <v>1.0000000000000009E-2</v>
      </c>
    </row>
    <row r="177" spans="1:27" x14ac:dyDescent="0.2">
      <c r="A177" s="1" t="s">
        <v>518</v>
      </c>
      <c r="B177" s="2" t="s">
        <v>34</v>
      </c>
      <c r="C177" s="2">
        <f>8.1*10^7</f>
        <v>81000000</v>
      </c>
      <c r="D177" s="2" t="s">
        <v>45</v>
      </c>
      <c r="E177" s="2"/>
      <c r="F177" s="2" t="s">
        <v>45</v>
      </c>
      <c r="G177" s="2" t="s">
        <v>519</v>
      </c>
      <c r="H177" s="2"/>
      <c r="I177" s="2"/>
      <c r="J177" s="2"/>
      <c r="K177" s="2"/>
      <c r="L177" s="2"/>
      <c r="M177" s="2" t="s">
        <v>45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>
        <v>1</v>
      </c>
      <c r="Y177" s="2"/>
      <c r="Z177" s="2"/>
      <c r="AA177" s="2">
        <f t="shared" si="2"/>
        <v>0</v>
      </c>
    </row>
    <row r="178" spans="1:27" x14ac:dyDescent="0.2">
      <c r="A178" s="1" t="s">
        <v>520</v>
      </c>
      <c r="B178" s="2" t="s">
        <v>1</v>
      </c>
      <c r="C178" s="2">
        <f>5.4*10^6</f>
        <v>5400000</v>
      </c>
      <c r="D178" s="2" t="s">
        <v>246</v>
      </c>
      <c r="E178" s="2"/>
      <c r="F178" s="2" t="s">
        <v>246</v>
      </c>
      <c r="G178" s="2" t="s">
        <v>57</v>
      </c>
      <c r="H178" s="2"/>
      <c r="I178" s="2"/>
      <c r="J178" s="2"/>
      <c r="K178" s="2"/>
      <c r="L178" s="2"/>
      <c r="M178" s="2" t="s">
        <v>521</v>
      </c>
      <c r="N178" s="2"/>
      <c r="O178" s="2"/>
      <c r="P178" s="2"/>
      <c r="Q178" s="2"/>
      <c r="R178" s="2"/>
      <c r="S178" s="2"/>
      <c r="T178" s="2"/>
      <c r="U178" s="2"/>
      <c r="V178" s="2"/>
      <c r="W178" s="2">
        <v>0.09</v>
      </c>
      <c r="X178" s="2">
        <v>0.89</v>
      </c>
      <c r="Y178" s="2"/>
      <c r="Z178" s="2"/>
      <c r="AA178" s="2">
        <f t="shared" si="2"/>
        <v>2.0000000000000018E-2</v>
      </c>
    </row>
    <row r="179" spans="1:27" x14ac:dyDescent="0.2">
      <c r="A179" s="1" t="s">
        <v>522</v>
      </c>
      <c r="B179" s="2" t="s">
        <v>23</v>
      </c>
      <c r="C179" s="2">
        <f>1.1*10^4</f>
        <v>11000</v>
      </c>
      <c r="D179" s="2" t="s">
        <v>523</v>
      </c>
      <c r="E179" s="2"/>
      <c r="F179" s="2" t="s">
        <v>524</v>
      </c>
      <c r="G179" s="2" t="s">
        <v>24</v>
      </c>
      <c r="H179" s="2"/>
      <c r="I179" s="2"/>
      <c r="J179" s="2"/>
      <c r="K179" s="2" t="s">
        <v>525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>
        <v>0.98</v>
      </c>
      <c r="W179" s="2"/>
      <c r="X179" s="2"/>
      <c r="Y179" s="2"/>
      <c r="Z179" s="2"/>
      <c r="AA179" s="2">
        <f t="shared" si="2"/>
        <v>2.0000000000000018E-2</v>
      </c>
    </row>
    <row r="180" spans="1:27" x14ac:dyDescent="0.2">
      <c r="A180" s="1" t="s">
        <v>526</v>
      </c>
      <c r="B180" s="2" t="s">
        <v>13</v>
      </c>
      <c r="C180" s="2">
        <f>4*10^7</f>
        <v>40000000</v>
      </c>
      <c r="D180" s="2" t="s">
        <v>263</v>
      </c>
      <c r="E180" s="2"/>
      <c r="F180" s="2" t="s">
        <v>23</v>
      </c>
      <c r="G180" s="2" t="s">
        <v>24</v>
      </c>
      <c r="H180" s="2"/>
      <c r="I180" s="2" t="s">
        <v>527</v>
      </c>
      <c r="J180" s="2" t="s">
        <v>6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>
        <v>0.39</v>
      </c>
      <c r="V180" s="2">
        <v>0.45</v>
      </c>
      <c r="W180" s="2"/>
      <c r="X180" s="2">
        <v>0.14000000000000001</v>
      </c>
      <c r="Y180" s="2"/>
      <c r="Z180" s="2"/>
      <c r="AA180" s="2">
        <f t="shared" si="2"/>
        <v>1.9999999999999907E-2</v>
      </c>
    </row>
    <row r="181" spans="1:27" x14ac:dyDescent="0.2">
      <c r="A181" s="1" t="s">
        <v>528</v>
      </c>
      <c r="B181" s="2" t="s">
        <v>9</v>
      </c>
      <c r="C181" s="2">
        <f>4.4*10^7</f>
        <v>44000000</v>
      </c>
      <c r="D181" s="2" t="s">
        <v>529</v>
      </c>
      <c r="E181" s="2"/>
      <c r="F181" s="2" t="s">
        <v>529</v>
      </c>
      <c r="G181" s="2" t="s">
        <v>530</v>
      </c>
      <c r="H181" s="2"/>
      <c r="I181" s="2"/>
      <c r="J181" s="2"/>
      <c r="K181" s="2"/>
      <c r="L181" s="2"/>
      <c r="M181" s="2" t="s">
        <v>531</v>
      </c>
      <c r="N181" s="2"/>
      <c r="O181" s="2"/>
      <c r="P181" s="2"/>
      <c r="Q181" s="2"/>
      <c r="R181" s="2"/>
      <c r="S181" s="2" t="s">
        <v>132</v>
      </c>
      <c r="T181" s="2"/>
      <c r="U181" s="2">
        <v>0.1</v>
      </c>
      <c r="V181" s="2"/>
      <c r="W181" s="2">
        <v>0.66</v>
      </c>
      <c r="X181" s="2"/>
      <c r="Y181" s="2"/>
      <c r="Z181" s="2"/>
      <c r="AA181" s="2">
        <f t="shared" si="2"/>
        <v>0.24</v>
      </c>
    </row>
    <row r="182" spans="1:27" x14ac:dyDescent="0.2">
      <c r="A182" s="1" t="s">
        <v>532</v>
      </c>
      <c r="B182" s="2" t="s">
        <v>1</v>
      </c>
      <c r="C182" s="2">
        <f>6.1*10^6</f>
        <v>6100000</v>
      </c>
      <c r="D182" s="2" t="s">
        <v>6</v>
      </c>
      <c r="E182" s="2"/>
      <c r="F182" s="2" t="s">
        <v>6</v>
      </c>
      <c r="G182" s="2" t="s">
        <v>533</v>
      </c>
      <c r="H182" s="2"/>
      <c r="I182" s="2"/>
      <c r="J182" s="2" t="s">
        <v>6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>
        <v>7.0000000000000007E-2</v>
      </c>
      <c r="V182" s="2">
        <v>0.03</v>
      </c>
      <c r="W182" s="2">
        <v>0.03</v>
      </c>
      <c r="X182" s="2">
        <v>0.76</v>
      </c>
      <c r="Y182" s="2"/>
      <c r="Z182" s="2"/>
      <c r="AA182" s="2">
        <f t="shared" si="2"/>
        <v>0.10999999999999999</v>
      </c>
    </row>
    <row r="183" spans="1:27" x14ac:dyDescent="0.2">
      <c r="A183" s="1" t="s">
        <v>534</v>
      </c>
      <c r="B183" s="2" t="s">
        <v>23</v>
      </c>
      <c r="C183" s="2">
        <f>6.5*10^7</f>
        <v>65000000</v>
      </c>
      <c r="D183" s="2" t="s">
        <v>23</v>
      </c>
      <c r="E183" s="2" t="s">
        <v>535</v>
      </c>
      <c r="F183" s="2" t="s">
        <v>24</v>
      </c>
      <c r="G183" s="2" t="s">
        <v>536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>
        <v>0.08</v>
      </c>
      <c r="V183" s="2">
        <v>0.52</v>
      </c>
      <c r="W183" s="2"/>
      <c r="X183" s="2">
        <v>0.04</v>
      </c>
      <c r="Y183" s="2">
        <v>0.01</v>
      </c>
      <c r="Z183" s="2"/>
      <c r="AA183" s="2">
        <f t="shared" si="2"/>
        <v>0.35</v>
      </c>
    </row>
    <row r="184" spans="1:27" x14ac:dyDescent="0.2">
      <c r="A184" s="1" t="s">
        <v>537</v>
      </c>
      <c r="B184" s="2" t="s">
        <v>13</v>
      </c>
      <c r="C184" s="2">
        <f>5.4*10^7</f>
        <v>54000000</v>
      </c>
      <c r="D184" s="2" t="s">
        <v>538</v>
      </c>
      <c r="E184" s="2"/>
      <c r="F184" s="2" t="s">
        <v>538</v>
      </c>
      <c r="G184" s="2" t="s">
        <v>24</v>
      </c>
      <c r="H184" s="2"/>
      <c r="I184" s="2" t="s">
        <v>264</v>
      </c>
      <c r="J184" s="2" t="s">
        <v>6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>
        <v>0.25</v>
      </c>
      <c r="V184" s="2">
        <v>0.36</v>
      </c>
      <c r="W184" s="2">
        <v>0.35</v>
      </c>
      <c r="X184" s="2"/>
      <c r="Y184" s="2"/>
      <c r="Z184" s="2"/>
      <c r="AA184" s="2">
        <f t="shared" si="2"/>
        <v>4.0000000000000036E-2</v>
      </c>
    </row>
    <row r="185" spans="1:27" x14ac:dyDescent="0.2">
      <c r="A185" s="1" t="s">
        <v>539</v>
      </c>
      <c r="B185" s="2" t="s">
        <v>62</v>
      </c>
      <c r="C185" s="2">
        <f>3.3*10^8</f>
        <v>330000000</v>
      </c>
      <c r="D185" s="2" t="s">
        <v>23</v>
      </c>
      <c r="E185" s="2" t="s">
        <v>540</v>
      </c>
      <c r="F185" s="2" t="s">
        <v>24</v>
      </c>
      <c r="G185" s="2" t="s">
        <v>541</v>
      </c>
      <c r="H185" s="2"/>
      <c r="I185" s="2"/>
      <c r="J185" s="2"/>
      <c r="K185" s="2" t="s">
        <v>542</v>
      </c>
      <c r="L185" s="2"/>
      <c r="M185" s="2"/>
      <c r="N185" s="2"/>
      <c r="O185" s="2"/>
      <c r="P185" s="2"/>
      <c r="Q185" s="2"/>
      <c r="R185" s="2"/>
      <c r="S185" s="2"/>
      <c r="T185" s="2" t="s">
        <v>543</v>
      </c>
      <c r="U185" s="2">
        <v>0.21</v>
      </c>
      <c r="V185" s="2">
        <v>0.47</v>
      </c>
      <c r="W185" s="2"/>
      <c r="X185" s="2">
        <v>0.01</v>
      </c>
      <c r="Y185" s="2">
        <v>0.01</v>
      </c>
      <c r="Z185" s="2">
        <v>0.01</v>
      </c>
      <c r="AA185" s="2">
        <f t="shared" si="2"/>
        <v>0.29000000000000004</v>
      </c>
    </row>
    <row r="186" spans="1:27" x14ac:dyDescent="0.2">
      <c r="A186" s="1" t="s">
        <v>544</v>
      </c>
      <c r="B186" s="2" t="s">
        <v>28</v>
      </c>
      <c r="C186" s="2">
        <f>3.4*10^6</f>
        <v>3400000</v>
      </c>
      <c r="D186" s="2" t="s">
        <v>29</v>
      </c>
      <c r="E186" s="2"/>
      <c r="F186" s="2" t="s">
        <v>29</v>
      </c>
      <c r="G186" s="2" t="s">
        <v>545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>
        <v>0.47</v>
      </c>
      <c r="V186" s="2">
        <v>0.11</v>
      </c>
      <c r="W186" s="2"/>
      <c r="X186" s="2"/>
      <c r="Y186" s="2"/>
      <c r="Z186" s="2"/>
      <c r="AA186" s="2">
        <f t="shared" si="2"/>
        <v>0.42000000000000004</v>
      </c>
    </row>
    <row r="187" spans="1:27" x14ac:dyDescent="0.2">
      <c r="A187" s="1" t="s">
        <v>546</v>
      </c>
      <c r="B187" s="2" t="s">
        <v>1</v>
      </c>
      <c r="C187" s="2">
        <f>3*10^7</f>
        <v>30000000</v>
      </c>
      <c r="D187" s="2" t="s">
        <v>547</v>
      </c>
      <c r="E187" s="2"/>
      <c r="F187" s="2" t="s">
        <v>547</v>
      </c>
      <c r="G187" s="2" t="s">
        <v>548</v>
      </c>
      <c r="H187" s="2"/>
      <c r="I187" s="2"/>
      <c r="J187" s="2"/>
      <c r="K187" s="2"/>
      <c r="L187" s="2"/>
      <c r="M187" s="2" t="s">
        <v>549</v>
      </c>
      <c r="N187" s="2"/>
      <c r="O187" s="2"/>
      <c r="P187" s="2"/>
      <c r="Q187" s="2"/>
      <c r="R187" s="2"/>
      <c r="S187" s="2"/>
      <c r="T187" s="2"/>
      <c r="U187" s="2"/>
      <c r="V187" s="2"/>
      <c r="W187" s="2">
        <v>0.09</v>
      </c>
      <c r="X187" s="2">
        <v>0.88</v>
      </c>
      <c r="Y187" s="2"/>
      <c r="Z187" s="2"/>
      <c r="AA187" s="2">
        <f t="shared" si="2"/>
        <v>3.0000000000000027E-2</v>
      </c>
    </row>
    <row r="188" spans="1:27" x14ac:dyDescent="0.2">
      <c r="A188" s="1" t="s">
        <v>550</v>
      </c>
      <c r="B188" s="2" t="s">
        <v>23</v>
      </c>
      <c r="C188" s="2">
        <f>2.8*10^5</f>
        <v>280000</v>
      </c>
      <c r="D188" s="2" t="s">
        <v>551</v>
      </c>
      <c r="E188" s="2"/>
      <c r="F188" s="2" t="s">
        <v>23</v>
      </c>
      <c r="G188" s="2" t="s">
        <v>551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>
        <v>0.12</v>
      </c>
      <c r="V188" s="2">
        <v>0.7</v>
      </c>
      <c r="W188" s="2"/>
      <c r="X188" s="2"/>
      <c r="Y188" s="2"/>
      <c r="Z188" s="2"/>
      <c r="AA188" s="2">
        <f t="shared" si="2"/>
        <v>0.18000000000000005</v>
      </c>
    </row>
    <row r="189" spans="1:27" x14ac:dyDescent="0.2">
      <c r="A189" s="1" t="s">
        <v>552</v>
      </c>
      <c r="B189" s="2" t="s">
        <v>28</v>
      </c>
      <c r="C189" s="2">
        <f>3.1*10^7</f>
        <v>31000000</v>
      </c>
      <c r="D189" s="2" t="s">
        <v>29</v>
      </c>
      <c r="E189" s="2"/>
      <c r="F189" s="2" t="s">
        <v>29</v>
      </c>
      <c r="G189" s="2" t="s">
        <v>29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>
        <v>0.96</v>
      </c>
      <c r="V189" s="2">
        <v>0.02</v>
      </c>
      <c r="W189" s="2"/>
      <c r="X189" s="2"/>
      <c r="Y189" s="2"/>
      <c r="Z189" s="2"/>
      <c r="AA189" s="2">
        <f t="shared" si="2"/>
        <v>2.0000000000000018E-2</v>
      </c>
    </row>
    <row r="190" spans="1:27" x14ac:dyDescent="0.2">
      <c r="A190" s="1" t="s">
        <v>553</v>
      </c>
      <c r="B190" s="2" t="s">
        <v>1</v>
      </c>
      <c r="C190" s="2">
        <f>9.6*10^7</f>
        <v>96000000</v>
      </c>
      <c r="D190" s="2" t="s">
        <v>40</v>
      </c>
      <c r="E190" s="2"/>
      <c r="F190" s="2" t="s">
        <v>40</v>
      </c>
      <c r="G190" s="2" t="s">
        <v>102</v>
      </c>
      <c r="H190" s="2" t="s">
        <v>117</v>
      </c>
      <c r="I190" s="2"/>
      <c r="J190" s="2"/>
      <c r="K190" s="2"/>
      <c r="L190" s="2"/>
      <c r="M190" s="2"/>
      <c r="N190" s="2"/>
      <c r="O190" s="2" t="s">
        <v>554</v>
      </c>
      <c r="P190" s="2"/>
      <c r="Q190" s="2"/>
      <c r="R190" s="2"/>
      <c r="S190" s="2"/>
      <c r="T190" s="2"/>
      <c r="U190" s="2">
        <v>7.0000000000000007E-2</v>
      </c>
      <c r="V190" s="2">
        <v>0.01</v>
      </c>
      <c r="W190" s="2"/>
      <c r="X190" s="2"/>
      <c r="Y190" s="2"/>
      <c r="Z190" s="2">
        <v>0.08</v>
      </c>
      <c r="AA190" s="2">
        <f t="shared" si="2"/>
        <v>0.84</v>
      </c>
    </row>
    <row r="191" spans="1:27" x14ac:dyDescent="0.2">
      <c r="A191" s="1" t="s">
        <v>555</v>
      </c>
      <c r="B191" s="2" t="s">
        <v>1</v>
      </c>
      <c r="C191" s="2">
        <f>2.8*10^7</f>
        <v>28000000</v>
      </c>
      <c r="D191" s="2" t="s">
        <v>6</v>
      </c>
      <c r="E191" s="2"/>
      <c r="F191" s="2" t="s">
        <v>6</v>
      </c>
      <c r="G191" s="2"/>
      <c r="H191" s="2"/>
      <c r="I191" s="2"/>
      <c r="J191" s="2" t="s">
        <v>556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>
        <f t="shared" si="2"/>
        <v>1</v>
      </c>
    </row>
    <row r="192" spans="1:27" x14ac:dyDescent="0.2">
      <c r="A192" s="1" t="s">
        <v>557</v>
      </c>
      <c r="B192" s="2" t="s">
        <v>13</v>
      </c>
      <c r="C192" s="2">
        <f>1.6*10^7</f>
        <v>16000000</v>
      </c>
      <c r="D192" s="2" t="s">
        <v>24</v>
      </c>
      <c r="E192" s="2"/>
      <c r="F192" s="2" t="s">
        <v>23</v>
      </c>
      <c r="G192" s="2" t="s">
        <v>24</v>
      </c>
      <c r="H192" s="2"/>
      <c r="I192" s="2" t="s">
        <v>558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>
        <v>0.2</v>
      </c>
      <c r="V192" s="2">
        <v>0.75</v>
      </c>
      <c r="W192" s="2"/>
      <c r="X192" s="2"/>
      <c r="Y192" s="2"/>
      <c r="Z192" s="2"/>
      <c r="AA192" s="2">
        <f t="shared" si="2"/>
        <v>5.0000000000000044E-2</v>
      </c>
    </row>
    <row r="193" spans="1:27" x14ac:dyDescent="0.2">
      <c r="A193" s="1" t="s">
        <v>559</v>
      </c>
      <c r="B193" s="2" t="s">
        <v>13</v>
      </c>
      <c r="C193" s="2">
        <f>1.4*10^7</f>
        <v>14000000</v>
      </c>
      <c r="D193" s="2" t="s">
        <v>560</v>
      </c>
      <c r="E193" s="2"/>
      <c r="F193" s="2" t="s">
        <v>561</v>
      </c>
      <c r="G193" s="2" t="s">
        <v>24</v>
      </c>
      <c r="H193" s="2"/>
      <c r="I193" s="2" t="s">
        <v>562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 t="s">
        <v>563</v>
      </c>
      <c r="U193" s="2">
        <v>7.0000000000000007E-2</v>
      </c>
      <c r="V193" s="2">
        <v>0.83</v>
      </c>
      <c r="W193" s="2"/>
      <c r="X193" s="2"/>
      <c r="Y193" s="2"/>
      <c r="Z193" s="2"/>
      <c r="AA193" s="2">
        <f t="shared" si="2"/>
        <v>0.10000000000000009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Damico</dc:creator>
  <cp:lastModifiedBy>Greg Damico</cp:lastModifiedBy>
  <dcterms:created xsi:type="dcterms:W3CDTF">2018-01-08T01:54:27Z</dcterms:created>
  <dcterms:modified xsi:type="dcterms:W3CDTF">2018-01-08T01:56:06Z</dcterms:modified>
</cp:coreProperties>
</file>