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Construction neuve rési" sheetId="1" state="visible" r:id="rId1"/>
    <sheet name="parc résidentiel" sheetId="2" state="visible" r:id="rId2"/>
    <sheet name="Résidentiel existant" sheetId="3" state="visible" r:id="rId3"/>
    <sheet name="Résidentiel hors chauffage" sheetId="4" state="visible" r:id="rId4"/>
    <sheet name="Construction et parc tertiaire" sheetId="5" state="visible" r:id="rId5"/>
    <sheet name="Tertiaire existant" sheetId="6" state="visible" r:id="rId6"/>
    <sheet name="Tertiaire hors chauffage" sheetId="7" state="visible" r:id="rId7"/>
    <sheet name="Hors CEREN" sheetId="8" state="visible" r:id="rId8"/>
    <sheet name="Climatisation" sheetId="9" state="visible" r:id="rId9"/>
    <sheet name="parc rési détail AME" sheetId="10" state="visible" r:id="rId10"/>
    <sheet name="parc rési détail AMS" sheetId="11" state="visible" r:id="rId11"/>
  </sheets>
  <calcPr iterateDelta="0.0001"/>
</workbook>
</file>

<file path=xl/sharedStrings.xml><?xml version="1.0" encoding="utf-8"?>
<sst xmlns="http://schemas.openxmlformats.org/spreadsheetml/2006/main" count="520" uniqueCount="520">
  <si>
    <t xml:space="preserve">1. Parc de logements</t>
  </si>
  <si>
    <t>AME</t>
  </si>
  <si>
    <t xml:space="preserve">AME 2021</t>
  </si>
  <si>
    <t xml:space="preserve">Source / explication</t>
  </si>
  <si>
    <t xml:space="preserve">AME 2030</t>
  </si>
  <si>
    <t xml:space="preserve">AME 2050</t>
  </si>
  <si>
    <t>Démographie</t>
  </si>
  <si>
    <t xml:space="preserve">Population totale (Mhab métrop)</t>
  </si>
  <si>
    <t>cadrage</t>
  </si>
  <si>
    <t xml:space="preserve">Personnes par logement</t>
  </si>
  <si>
    <t xml:space="preserve">Tendanciel ADEME</t>
  </si>
  <si>
    <t xml:space="preserve">Destructions - reconstructions</t>
  </si>
  <si>
    <t xml:space="preserve">Nb Destructions (milliers)</t>
  </si>
  <si>
    <t xml:space="preserve">Constant (manque de données fiables sur l’historique)</t>
  </si>
  <si>
    <t xml:space="preserve">Qualification des résidences principales neuves</t>
  </si>
  <si>
    <t xml:space="preserve">% MI dans la construction neuve</t>
  </si>
  <si>
    <t xml:space="preserve">hausse à 2030 au niveau pré-2014 (COVID) puis stabilité</t>
  </si>
  <si>
    <t xml:space="preserve">taille moyenne MI (surface habitable)</t>
  </si>
  <si>
    <t xml:space="preserve">hausse de la taille à 2030 (COVID) puis stabilité</t>
  </si>
  <si>
    <t xml:space="preserve">taille moyenne LC (surface habitable)</t>
  </si>
  <si>
    <t>Reconversions</t>
  </si>
  <si>
    <t xml:space="preserve">Nb de logements créés à partir de surfaces tertiaires existantes (milliers)</t>
  </si>
  <si>
    <t xml:space="preserve">Hypothèse : 1/3 du plan Wargon</t>
  </si>
  <si>
    <t xml:space="preserve">Donnée 2020 : Apur, Sitadel – Région parisienne uniquement. 0,59Mm² transformés entre 2001 et 2020 soit 400/500lgt/an. Charte d’engagement avec 10 promoteurs en 2018 : objectif 500 000m² transformés sur 4 ans, seuls 85000 réalisés</t>
  </si>
  <si>
    <t xml:space="preserve">Résidences secondaires</t>
  </si>
  <si>
    <t xml:space="preserve">% res sec sur parc total</t>
  </si>
  <si>
    <t xml:space="preserve">Prolongation tendance récente (accélérée 2020-2030 covid)</t>
  </si>
  <si>
    <t xml:space="preserve">Lgt vacants</t>
  </si>
  <si>
    <t xml:space="preserve">taux de vacance des logements</t>
  </si>
  <si>
    <t xml:space="preserve">Prolongation tendance récente (linéaire jusqu'à 10% en 2050)</t>
  </si>
  <si>
    <t>AMS</t>
  </si>
  <si>
    <t xml:space="preserve">AMS 2018</t>
  </si>
  <si>
    <t xml:space="preserve">ADEME – 2030</t>
  </si>
  <si>
    <t xml:space="preserve">ADEME – 2050</t>
  </si>
  <si>
    <t xml:space="preserve">AMS 2030</t>
  </si>
  <si>
    <t xml:space="preserve">AMS 2050</t>
  </si>
  <si>
    <t>S1</t>
  </si>
  <si>
    <t>S2</t>
  </si>
  <si>
    <t>S3</t>
  </si>
  <si>
    <t>S4</t>
  </si>
  <si>
    <t xml:space="preserve">Negawatt 2030</t>
  </si>
  <si>
    <t xml:space="preserve">Negawatt 2050</t>
  </si>
  <si>
    <t xml:space="preserve">Population (Mhab métrop)</t>
  </si>
  <si>
    <t xml:space="preserve">S1/S2 ADEME</t>
  </si>
  <si>
    <t>47;2</t>
  </si>
  <si>
    <t xml:space="preserve">% MI</t>
  </si>
  <si>
    <t xml:space="preserve">similaire AMS 18 et ADEME S3</t>
  </si>
  <si>
    <t xml:space="preserve">stabilité par rapport à 2020 (chiffres SITADEL de 2019 en fait)</t>
  </si>
  <si>
    <t xml:space="preserve">stabilisation au niveau actuel</t>
  </si>
  <si>
    <t xml:space="preserve">Hyp pic à 2030 à 20k lgt – plan Wargon</t>
  </si>
  <si>
    <t xml:space="preserve">Hyp stabilisation chiffre 2020</t>
  </si>
  <si>
    <t xml:space="preserve">Hyp baisse à 6,5 % en 2050</t>
  </si>
  <si>
    <t xml:space="preserve">2. Performance de la construction neuve</t>
  </si>
  <si>
    <t>Historique</t>
  </si>
  <si>
    <t xml:space="preserve">source CEREN/SDES</t>
  </si>
  <si>
    <t xml:space="preserve">AMS18 : Réglementation thermique et environnementale (moyenne tous bâtiments)</t>
  </si>
  <si>
    <t xml:space="preserve">Consommation de chauffage (kWh/m²)</t>
  </si>
  <si>
    <t xml:space="preserve">données en énergie consommée en cours (CSTB)</t>
  </si>
  <si>
    <t>2015-2019</t>
  </si>
  <si>
    <t>2020-2024</t>
  </si>
  <si>
    <t>2025-2029</t>
  </si>
  <si>
    <t>2030-2039</t>
  </si>
  <si>
    <t>2040-2050</t>
  </si>
  <si>
    <t xml:space="preserve">Post 2050</t>
  </si>
  <si>
    <t>autres</t>
  </si>
  <si>
    <t>bois</t>
  </si>
  <si>
    <t xml:space="preserve">chauffage urbain</t>
  </si>
  <si>
    <t>électricité</t>
  </si>
  <si>
    <t xml:space="preserve">dont PAC</t>
  </si>
  <si>
    <t>fioul</t>
  </si>
  <si>
    <t>gaz</t>
  </si>
  <si>
    <t>GPL</t>
  </si>
  <si>
    <t xml:space="preserve">Energie primaire (kWh/m²)</t>
  </si>
  <si>
    <t>MI</t>
  </si>
  <si>
    <t xml:space="preserve">Source CEREN/SDES</t>
  </si>
  <si>
    <t xml:space="preserve">Mix de chauffage MI 2019 (nombre de logements)</t>
  </si>
  <si>
    <t xml:space="preserve">Energie primaire chauffage (kWh/m²)</t>
  </si>
  <si>
    <t>LC</t>
  </si>
  <si>
    <t xml:space="preserve">Mix de chauffage LC 2019 (nombre de logements)</t>
  </si>
  <si>
    <t xml:space="preserve">GES (kgCO2/M2, phase utilisation)</t>
  </si>
  <si>
    <t xml:space="preserve">electricité joule</t>
  </si>
  <si>
    <t>PAC</t>
  </si>
  <si>
    <t>Fioul</t>
  </si>
  <si>
    <t>RCU</t>
  </si>
  <si>
    <t>Bois</t>
  </si>
  <si>
    <t xml:space="preserve">solaire et géothermie</t>
  </si>
  <si>
    <t xml:space="preserve">Source OPE 2018</t>
  </si>
  <si>
    <t xml:space="preserve">MI 2018</t>
  </si>
  <si>
    <t xml:space="preserve">Energie finale (kWh/m²)</t>
  </si>
  <si>
    <t>-</t>
  </si>
  <si>
    <t xml:space="preserve">LC 2018</t>
  </si>
  <si>
    <t xml:space="preserve">AME 2023</t>
  </si>
  <si>
    <t xml:space="preserve">MI hors bois/RCU</t>
  </si>
  <si>
    <t xml:space="preserve">Différenciation bois/RCU des autres vecteurs pour prendre en compte le double palier cep,nr / cep de la RE2020 </t>
  </si>
  <si>
    <t xml:space="preserve">M bois/RCU </t>
  </si>
  <si>
    <t xml:space="preserve">On conserve le ratio 50% du cep pour le chauffage</t>
  </si>
  <si>
    <t xml:space="preserve">LC hors bois/RCU</t>
  </si>
  <si>
    <t xml:space="preserve">Cep kWhep/(m².an)</t>
  </si>
  <si>
    <t>Cep,nr_maxmoyen</t>
  </si>
  <si>
    <t>Cep_maxmoyen</t>
  </si>
  <si>
    <t xml:space="preserve">LC bois/RCU</t>
  </si>
  <si>
    <t xml:space="preserve">Mix post-RE2020</t>
  </si>
  <si>
    <t xml:space="preserve">Mix de chauffage (en part la consommation finale)</t>
  </si>
  <si>
    <t xml:space="preserve">MI 2022</t>
  </si>
  <si>
    <t xml:space="preserve">MI 2030</t>
  </si>
  <si>
    <t xml:space="preserve">- Pas de progression du RCU en MI</t>
  </si>
  <si>
    <t xml:space="preserve">MI 2040</t>
  </si>
  <si>
    <t xml:space="preserve">- Pas d'évolution post RE2020</t>
  </si>
  <si>
    <t xml:space="preserve">MI 2050</t>
  </si>
  <si>
    <t xml:space="preserve">- Diminution du gaz à partir de 2025 en LC</t>
  </si>
  <si>
    <t xml:space="preserve">LC 2022</t>
  </si>
  <si>
    <t xml:space="preserve">- Diminution du joule à partir de 2022 en LC et MI</t>
  </si>
  <si>
    <t xml:space="preserve">LC 2025</t>
  </si>
  <si>
    <t xml:space="preserve">- Répercutée principalement sur Joule et PAC</t>
  </si>
  <si>
    <t xml:space="preserve">LC 2030</t>
  </si>
  <si>
    <t xml:space="preserve">- progression mesurée des RCU en LC</t>
  </si>
  <si>
    <t xml:space="preserve">LC 2040</t>
  </si>
  <si>
    <t xml:space="preserve">LC 2050</t>
  </si>
  <si>
    <t xml:space="preserve">Palier RE2020 en 2022 (notamment sur le gaz)</t>
  </si>
  <si>
    <t xml:space="preserve">AMS 2023</t>
  </si>
  <si>
    <t>nW</t>
  </si>
  <si>
    <t xml:space="preserve">Mix du parc &gt; 1975, appliqué au neuf</t>
  </si>
  <si>
    <t xml:space="preserve">Reprise AME (RE2020 jusqu’à 2030) puis baisse de 10 % à 2050 (faibles marges supplémentaires pour une future RE)</t>
  </si>
  <si>
    <t>Typo</t>
  </si>
  <si>
    <t xml:space="preserve">Gaz (chaudières à condensation)</t>
  </si>
  <si>
    <t xml:space="preserve">Electricité (Joule et autres)</t>
  </si>
  <si>
    <t xml:space="preserve">Electricité (pompes à chaleur)</t>
  </si>
  <si>
    <t xml:space="preserve">Chaleur urbaine</t>
  </si>
  <si>
    <t>Charbon</t>
  </si>
  <si>
    <t>Total</t>
  </si>
  <si>
    <t xml:space="preserve">MI &gt;1975</t>
  </si>
  <si>
    <t xml:space="preserve">AMS 18 Mix énergétique construction neuve (en part de l’énergie consommée et non en part de marché)</t>
  </si>
  <si>
    <t xml:space="preserve">LC &gt;1975</t>
  </si>
  <si>
    <t xml:space="preserve">Reprise AME (RE2020 jusqu’à 2030) puis </t>
  </si>
  <si>
    <t xml:space="preserve">Poursuite de l’extension des réseaux de chaleur, notamment en LC</t>
  </si>
  <si>
    <t xml:space="preserve">Baisse progressive de la part du bois post-2030</t>
  </si>
  <si>
    <t xml:space="preserve">Réduction des systèmes gaz en LC</t>
  </si>
  <si>
    <t xml:space="preserve">3. Modes constructifs</t>
  </si>
  <si>
    <t xml:space="preserve">NOUVEAU – ne sera pas utilisé dans le run 1, mais servira pour le bouclage matière et l’analyse en empreinte</t>
  </si>
  <si>
    <t xml:space="preserve">Part de marché en neuf</t>
  </si>
  <si>
    <t xml:space="preserve">comparer points de départ DHUP/ADEME-Nw</t>
  </si>
  <si>
    <t>ADEME</t>
  </si>
  <si>
    <t xml:space="preserve">Traduction de la RE2020 (DHUP)</t>
  </si>
  <si>
    <t xml:space="preserve">Valeur absolue 2030</t>
  </si>
  <si>
    <t xml:space="preserve">Valeur absolue 2050</t>
  </si>
  <si>
    <t xml:space="preserve">MI Structure bois</t>
  </si>
  <si>
    <t>%</t>
  </si>
  <si>
    <t xml:space="preserve">Géosourcé : reprise ADEME à 2030 puis stable</t>
  </si>
  <si>
    <t xml:space="preserve">MI Inertie Géosourcée</t>
  </si>
  <si>
    <t xml:space="preserve">LC Structure bois</t>
  </si>
  <si>
    <t xml:space="preserve">LC structure mixte bois-béton</t>
  </si>
  <si>
    <t xml:space="preserve">LC Inertie Géosourcée</t>
  </si>
  <si>
    <t xml:space="preserve">Tertiaire Structure bois</t>
  </si>
  <si>
    <t xml:space="preserve">idem LC</t>
  </si>
  <si>
    <t xml:space="preserve">Tertiaire structure mixte bois-béton</t>
  </si>
  <si>
    <t xml:space="preserve">Tertiaire Inertie Géosourcée</t>
  </si>
  <si>
    <t xml:space="preserve">Ind&amp;Agri Structure bois</t>
  </si>
  <si>
    <t xml:space="preserve">Ind&amp;Agri structure mixte bois-béton</t>
  </si>
  <si>
    <t xml:space="preserve">Un peu inférieur à LC car moins bien connu donc exigence probablement moindre sur les seuils</t>
  </si>
  <si>
    <t xml:space="preserve"> </t>
  </si>
  <si>
    <t xml:space="preserve">Ind&amp;Agri Inertie Géosourcée</t>
  </si>
  <si>
    <t xml:space="preserve">Reprise AME (RE2020 jusqu’à 2030) puis rejoint ADEME S2</t>
  </si>
  <si>
    <t>NW</t>
  </si>
  <si>
    <t xml:space="preserve">On compte les mixtes bois-béton comme équivalent à 1/2 structure bois</t>
  </si>
  <si>
    <t xml:space="preserve">Sortie du module ANTONIO</t>
  </si>
  <si>
    <t xml:space="preserve">Nombre total de logements</t>
  </si>
  <si>
    <t xml:space="preserve">Dont neuf (post 2020)</t>
  </si>
  <si>
    <t xml:space="preserve">Dont neuves (post 2020)</t>
  </si>
  <si>
    <t xml:space="preserve">Dont existant (pré-2020)</t>
  </si>
  <si>
    <t xml:space="preserve">Dont existantes (pré-2020)</t>
  </si>
  <si>
    <t xml:space="preserve">Dont résidences principales</t>
  </si>
  <si>
    <t xml:space="preserve">Dont MI</t>
  </si>
  <si>
    <t xml:space="preserve">Dont LC</t>
  </si>
  <si>
    <t xml:space="preserve">Dont résidences secondaires</t>
  </si>
  <si>
    <t xml:space="preserve">Dont logements vacants</t>
  </si>
  <si>
    <t xml:space="preserve">Dont courte durée</t>
  </si>
  <si>
    <t xml:space="preserve">Dont longue durée</t>
  </si>
  <si>
    <t>2015-2020</t>
  </si>
  <si>
    <t>2020-2030</t>
  </si>
  <si>
    <t>2030-2040</t>
  </si>
  <si>
    <t xml:space="preserve">Construction neuve</t>
  </si>
  <si>
    <t xml:space="preserve">Dont réponse à l’évolution du nombre de ménages</t>
  </si>
  <si>
    <t xml:space="preserve">dont MI</t>
  </si>
  <si>
    <t xml:space="preserve">dont LC</t>
  </si>
  <si>
    <t xml:space="preserve">Dont réponse à l’évolution du nombre de logements vacants</t>
  </si>
  <si>
    <t xml:space="preserve">Dont réponse à l’évolution du nombre de résidences secondaires</t>
  </si>
  <si>
    <t xml:space="preserve">Dont compensation des destructions</t>
  </si>
  <si>
    <t xml:space="preserve">Construction neuve (lgt/an)</t>
  </si>
  <si>
    <t xml:space="preserve">construction neuve RP</t>
  </si>
  <si>
    <t xml:space="preserve">Part des MI dans la construction neuve</t>
  </si>
  <si>
    <t xml:space="preserve">Surfaces de logements (Mm²)</t>
  </si>
  <si>
    <t xml:space="preserve">Surface moyenne </t>
  </si>
  <si>
    <t>RS</t>
  </si>
  <si>
    <t xml:space="preserve">Hyp surface moyenne de tous les lgt</t>
  </si>
  <si>
    <t>LV</t>
  </si>
  <si>
    <t>https://www.insee.fr/fr/statistiques/2586024?sommaire=2586377</t>
  </si>
  <si>
    <t xml:space="preserve"> 1. MESURES PRISES EN COMPTE</t>
  </si>
  <si>
    <t>CEE</t>
  </si>
  <si>
    <r>
      <rPr>
        <sz val="10"/>
        <rFont val="Arial"/>
      </rPr>
      <t xml:space="preserve">8€/Mwhcumac pour la 5</t>
    </r>
    <r>
      <rPr>
        <vertAlign val="superscript"/>
        <sz val="10"/>
        <rFont val="Arial"/>
      </rPr>
      <t>e</t>
    </r>
    <r>
      <rPr>
        <sz val="10"/>
        <rFont val="Arial"/>
      </rPr>
      <t xml:space="preserve"> période, puis hausse de 5%/an (10€ en 2030, 27 en 2050)</t>
    </r>
  </si>
  <si>
    <t xml:space="preserve">8€/MWh cumac (SD5)</t>
  </si>
  <si>
    <t xml:space="preserve">3€/Mwhcumac jusqu’à 2030 puis augmentation de 10 %/an pour atteindre une plafond de 20€/MWh en 2050</t>
  </si>
  <si>
    <t xml:space="preserve">6€/MWh cumac (SD5)</t>
  </si>
  <si>
    <t xml:space="preserve">Prolongement jusqu’à 2050</t>
  </si>
  <si>
    <r>
      <rPr>
        <sz val="10"/>
        <rFont val="Arial"/>
      </rPr>
      <t>5</t>
    </r>
    <r>
      <rPr>
        <vertAlign val="superscript"/>
        <sz val="10"/>
        <rFont val="Arial"/>
      </rPr>
      <t>e</t>
    </r>
    <r>
      <rPr>
        <sz val="10"/>
        <rFont val="Arial"/>
      </rPr>
      <t xml:space="preserve"> période jusqu’à fin 2025</t>
    </r>
  </si>
  <si>
    <t xml:space="preserve">Prolongement jusqu'en 2050 </t>
  </si>
  <si>
    <t xml:space="preserve">4e période 2018 prolongée jusqu'au 31/12/2021</t>
  </si>
  <si>
    <t xml:space="preserve">Elimination des passoires thermiques</t>
  </si>
  <si>
    <t xml:space="preserve">Rénovation de l’ensemble des passoires en 2028 au niveau B (1/3) C (1/3) ou D (1/3), puis des logements de catégorie E d’ici 2033 au niveau B (1/2) et C (1/2)</t>
  </si>
  <si>
    <t xml:space="preserve">Rénovation de l’ensemble des passoires thermiques du parc locatif en 2028 au niveau D (1/2) ou E (1/2), puis des logements de catégorie E d’ici 2034 au niveau D</t>
  </si>
  <si>
    <t xml:space="preserve">Généralisation de l'expérimetataion E+/C </t>
  </si>
  <si>
    <t xml:space="preserve">Fun du fioul</t>
  </si>
  <si>
    <t xml:space="preserve">Fin de vente de nouveaux systèmes fioul en 2022, et disparition du parc en 2030</t>
  </si>
  <si>
    <t xml:space="preserve">Fin de vente de nouveaux systèmes fioul en 2022</t>
  </si>
  <si>
    <t xml:space="preserve">Fin des ventes à partir de 2035 </t>
  </si>
  <si>
    <t xml:space="preserve">Systèmes gaz</t>
  </si>
  <si>
    <t xml:space="preserve">A partir de 2025, les nouveaux systèmes gaz (dans le neuf et changements de chaudière dans l’existant) en MI sont des PAC hybrides.</t>
  </si>
  <si>
    <t xml:space="preserve">Stabilisation des systèmes bois</t>
  </si>
  <si>
    <t xml:space="preserve">Fin des switch fossile vers bois à partir de 2035</t>
  </si>
  <si>
    <t xml:space="preserve">Interdiction des ventes de système bois en cas de changement d'énergie à partir 2035</t>
  </si>
  <si>
    <t xml:space="preserve">Fonds chaleur</t>
  </si>
  <si>
    <t xml:space="preserve">Prolongement jusqu’à 2050, trajectoire du budget : 370M 2022, 450M 2023, 600M 2024, 700M 2025 puis constant</t>
  </si>
  <si>
    <t xml:space="preserve">Prolongement jusqu’à 2022 puis fin (350M€ 2021, 370M€ 2022)</t>
  </si>
  <si>
    <t xml:space="preserve">Prolongement jusqu'en 2050 de manière à atteindre le mix cible </t>
  </si>
  <si>
    <t xml:space="preserve">350M€ 2020</t>
  </si>
  <si>
    <t xml:space="preserve">voir trajectoire ligne 47</t>
  </si>
  <si>
    <t xml:space="preserve">41 klgts raccordés en 2021, 43 klgt en 2022</t>
  </si>
  <si>
    <t xml:space="preserve">34,2k lgts raccordés 2020 + 44k en 2021</t>
  </si>
  <si>
    <t xml:space="preserve">TVA réduite à 5,5%</t>
  </si>
  <si>
    <t xml:space="preserve">Prolongé jusqu’à 2050</t>
  </si>
  <si>
    <t xml:space="preserve">Supposée pérenne jusqu'en 2050</t>
  </si>
  <si>
    <t xml:space="preserve">idem AME2018</t>
  </si>
  <si>
    <t xml:space="preserve">CITE / Ma Prime Rénov'</t>
  </si>
  <si>
    <t xml:space="preserve">MPR prolongé jusqu’à 2050 au niveau actuel (y.c plan de relance) : 2Md€/an</t>
  </si>
  <si>
    <t xml:space="preserve">MPR prolongé à son niveau actuel jusqu’à 2022</t>
  </si>
  <si>
    <t xml:space="preserve">CITE prolongé jusqu'en 2050 + retrait des chaudières à fioul et des fenêtres à partir de 2018 retrait chaudière à gaz en 2019 (exclusion à l'éligibilité) </t>
  </si>
  <si>
    <t xml:space="preserve">Aides Anah sérénité</t>
  </si>
  <si>
    <t xml:space="preserve">Prolongation jusqu’à 2022</t>
  </si>
  <si>
    <t xml:space="preserve">Prolongé jusq'au 31/12/2021 pour déciles 1 à 4</t>
  </si>
  <si>
    <t>Eco-PTZ</t>
  </si>
  <si>
    <t xml:space="preserve">Prolongé jusqu'en 2050 </t>
  </si>
  <si>
    <t xml:space="preserve">Prolongé jusq'au 31/12/2021 et extensions d'applications</t>
  </si>
  <si>
    <t>EcoPLS</t>
  </si>
  <si>
    <t xml:space="preserve">Prolongé jusqu'au 31/12/2022</t>
  </si>
  <si>
    <t xml:space="preserve">décret individualisation frais chauffage</t>
  </si>
  <si>
    <t xml:space="preserve">Pas pris en compte</t>
  </si>
  <si>
    <t xml:space="preserve">Mesure pleinement effective à partir de 2020 - déduction d'un impact de la mesure sur les besoins de chauffage de 15% qur les logements concernés + gestion smart des besoins énergétiques </t>
  </si>
  <si>
    <t xml:space="preserve">Idem AME 2018</t>
  </si>
  <si>
    <t xml:space="preserve">Travaux embarqués</t>
  </si>
  <si>
    <t xml:space="preserve">Mise en œuvre à partir de 2030</t>
  </si>
  <si>
    <t xml:space="preserve">Mise en œuvre effective du décrêt à partir de 2030 (d'après l'étude d'impact de la DHUP)</t>
  </si>
  <si>
    <t xml:space="preserve">Plan de relance – logements sociaux et politique de la ville</t>
  </si>
  <si>
    <t xml:space="preserve">Poursuite des investissements (250M€/an) jusqu’à 2050</t>
  </si>
  <si>
    <t xml:space="preserve">Investissement de 500M€</t>
  </si>
  <si>
    <t xml:space="preserve">2. Paramètres divers</t>
  </si>
  <si>
    <t xml:space="preserve">Impact du changement climatique</t>
  </si>
  <si>
    <t xml:space="preserve">AME / AMS 2023</t>
  </si>
  <si>
    <t xml:space="preserve">AME/AMS 2018</t>
  </si>
  <si>
    <t xml:space="preserve">Evolution de la consommation de chauffage</t>
  </si>
  <si>
    <t xml:space="preserve">Evolution de la consommation de climatisation</t>
  </si>
  <si>
    <t xml:space="preserve">Calcul DGEC à partir des dernières données MétéoFrance (DRIAS) – RCP2.6</t>
  </si>
  <si>
    <t>Sobriété</t>
  </si>
  <si>
    <t xml:space="preserve">Baisse de la température de consigne à 18°C</t>
  </si>
  <si>
    <t xml:space="preserve">Pas pris en compte dans le run 1</t>
  </si>
  <si>
    <t xml:space="preserve">A calculer plus précisément pour le run 2</t>
  </si>
  <si>
    <t xml:space="preserve">Individualisation des frais de chauffage</t>
  </si>
  <si>
    <t xml:space="preserve">Jusqu’à 15 % dans les logements concernés</t>
  </si>
  <si>
    <t xml:space="preserve">Total sobriété (baisse du besoin de chauffage)</t>
  </si>
  <si>
    <t xml:space="preserve">hyp AMS18</t>
  </si>
  <si>
    <t xml:space="preserve">COP DES PAC </t>
  </si>
  <si>
    <t xml:space="preserve">Voir sorties détaillées MENFIS</t>
  </si>
  <si>
    <t>Autres</t>
  </si>
  <si>
    <t xml:space="preserve">Barrières à la rénovation dans le parc locatif privé (prise de décision en copropriété, dilemme propriétaire-locataire, contraintes de financement)</t>
  </si>
  <si>
    <t xml:space="preserve">Nombre de logements existants raccordés au réseau de chaleur (milliers)</t>
  </si>
  <si>
    <t xml:space="preserve">Climatisation traitée dans l’onglet dédié</t>
  </si>
  <si>
    <t xml:space="preserve">1. Besoin par habitant et efficacité énergétique</t>
  </si>
  <si>
    <t xml:space="preserve">données CEREN </t>
  </si>
  <si>
    <t xml:space="preserve">ECS (kWh/hab/an)</t>
  </si>
  <si>
    <t xml:space="preserve">Cuisson (kWh/hab/an)</t>
  </si>
  <si>
    <t xml:space="preserve">Elec spécifique (kWh/hab/an)</t>
  </si>
  <si>
    <t xml:space="preserve">Climatisation (kWH/lgt)</t>
  </si>
  <si>
    <t xml:space="preserve">variation par rapport à 2015</t>
  </si>
  <si>
    <t xml:space="preserve">variations par rapport à 2020</t>
  </si>
  <si>
    <t xml:space="preserve">Poursuite de la baisse tendancielle (ADEME arrive autour de 400/500 en 2050 – regarder le tendanciel ?)</t>
  </si>
  <si>
    <t>ECS</t>
  </si>
  <si>
    <t xml:space="preserve">Baisse plus marquée qu’en AME21 (restauration hors domicile et livraisons)</t>
  </si>
  <si>
    <t xml:space="preserve">Cuisson </t>
  </si>
  <si>
    <t xml:space="preserve">Reprise AME21, similaire ADEME S4</t>
  </si>
  <si>
    <t xml:space="preserve">Elec spécifique</t>
  </si>
  <si>
    <t xml:space="preserve">Baisse -30 % en 2050, similaire AMS18 et ADEME S1/S2/S3 (EE + déploiement des PAC)</t>
  </si>
  <si>
    <t xml:space="preserve">Baisse -30 % en 2050, similaire AMS18 et ADEME S2 (ne baisse pas trop car plus de repas à domicile). Généralisation de l’induction.</t>
  </si>
  <si>
    <t xml:space="preserve">Baisse -40 % en 2050, similaire ADEME S2 : limitation du nombre d’équipements électroniques, gains EE (dont LED)</t>
  </si>
  <si>
    <t xml:space="preserve">Eclairage (kWh/lgt)</t>
  </si>
  <si>
    <t xml:space="preserve">2. Mix énergétique cuisson et ECS</t>
  </si>
  <si>
    <t xml:space="preserve">Attention : le CEREN ne donne pas la part de PAC pour l’ECS</t>
  </si>
  <si>
    <t xml:space="preserve">Attention 2 : le mix cuisson ADEME est très différent de celui du CEREN</t>
  </si>
  <si>
    <t xml:space="preserve">données CEREN/SDES</t>
  </si>
  <si>
    <t xml:space="preserve">gaz naturel</t>
  </si>
  <si>
    <t xml:space="preserve">autres énergies</t>
  </si>
  <si>
    <t xml:space="preserve">Historique ADEME</t>
  </si>
  <si>
    <t>Joule</t>
  </si>
  <si>
    <t>Gaz</t>
  </si>
  <si>
    <t>Pétrole/GPL</t>
  </si>
  <si>
    <t xml:space="preserve">PAC / CET</t>
  </si>
  <si>
    <t xml:space="preserve">Réseau de Chaleur Urbain</t>
  </si>
  <si>
    <t xml:space="preserve">EnR Thermiques</t>
  </si>
  <si>
    <t xml:space="preserve">Chaleur issue de l'Environnement</t>
  </si>
  <si>
    <t xml:space="preserve">Mix ECS 2016</t>
  </si>
  <si>
    <t xml:space="preserve">Mix ECS 2019</t>
  </si>
  <si>
    <t xml:space="preserve">EDF estime la part de PAC/CET à 4 % en 2020 (soustrait à l’élec) – en part des logements</t>
  </si>
  <si>
    <t xml:space="preserve">Mix cuisson 2016</t>
  </si>
  <si>
    <t>Cuisson</t>
  </si>
  <si>
    <t xml:space="preserve">Mix cuisson 2019</t>
  </si>
  <si>
    <t>Électricité</t>
  </si>
  <si>
    <t>PAC/CET</t>
  </si>
  <si>
    <t xml:space="preserve">Réseau de chaleur</t>
  </si>
  <si>
    <t xml:space="preserve">Gaz naturel</t>
  </si>
  <si>
    <t>Biomasse</t>
  </si>
  <si>
    <t>Biogaz</t>
  </si>
  <si>
    <t xml:space="preserve">Renouvelables thermiques</t>
  </si>
  <si>
    <t xml:space="preserve">Chaleur Environnement</t>
  </si>
  <si>
    <t>charbon</t>
  </si>
  <si>
    <t xml:space="preserve">solaire thermique</t>
  </si>
  <si>
    <t xml:space="preserve">Mix ECS</t>
  </si>
  <si>
    <t xml:space="preserve">Reprise AME21 globalement</t>
  </si>
  <si>
    <t xml:space="preserve">Mix cuisson</t>
  </si>
  <si>
    <t xml:space="preserve">Mix Cuisson</t>
  </si>
  <si>
    <t xml:space="preserve">Reprise AME21 avec recul plus marqué du fioul</t>
  </si>
  <si>
    <t xml:space="preserve">Attention, choisir PCI</t>
  </si>
  <si>
    <t xml:space="preserve">Mix en énergie finale</t>
  </si>
  <si>
    <t xml:space="preserve">Gaz réseau</t>
  </si>
  <si>
    <t xml:space="preserve">Renouvelables thermiques (solaire)</t>
  </si>
  <si>
    <t xml:space="preserve">Ajustement des hypothèses de l’AMS18 : moins de PAC/CET  et solaire thermique au profit du gaz et du Joule.Voir comment on traite les PAC hybrides.</t>
  </si>
  <si>
    <t>Electricité</t>
  </si>
  <si>
    <t>Solaire</t>
  </si>
  <si>
    <t>CET</t>
  </si>
  <si>
    <t xml:space="preserve">L’élec atteint 80 % en 2050 (comme dans les scénarios ADEME) avec un quasi-phase-out du GPL et baisse du gaz</t>
  </si>
  <si>
    <t>total</t>
  </si>
  <si>
    <t xml:space="preserve">TCAM emploi tertiaire</t>
  </si>
  <si>
    <t xml:space="preserve">Source : cadrage</t>
  </si>
  <si>
    <t xml:space="preserve">AME/AMS 2023</t>
  </si>
  <si>
    <t xml:space="preserve">Index 2020</t>
  </si>
  <si>
    <t>Année</t>
  </si>
  <si>
    <t xml:space="preserve">2020 (observé)</t>
  </si>
  <si>
    <t xml:space="preserve">Bureaux Administration</t>
  </si>
  <si>
    <t xml:space="preserve">Café Hôtel Restaurant</t>
  </si>
  <si>
    <t>Commerce</t>
  </si>
  <si>
    <t xml:space="preserve">Enseignement Recherche</t>
  </si>
  <si>
    <t xml:space="preserve">Habitat Communautaire</t>
  </si>
  <si>
    <t xml:space="preserve">Santé Action Sociale</t>
  </si>
  <si>
    <t xml:space="preserve">Sport Loisir Culture</t>
  </si>
  <si>
    <t>Transport</t>
  </si>
  <si>
    <t xml:space="preserve">Surfaces par employés</t>
  </si>
  <si>
    <t xml:space="preserve">Surface totale 2020</t>
  </si>
  <si>
    <t xml:space="preserve">Répartition de l'emploi par branche</t>
  </si>
  <si>
    <t xml:space="preserve">Nombre d'empoi</t>
  </si>
  <si>
    <t xml:space="preserve">Surface par employé en m² 2020</t>
  </si>
  <si>
    <t xml:space="preserve">Variations AME 2023</t>
  </si>
  <si>
    <t xml:space="preserve">Elements explicatifs</t>
  </si>
  <si>
    <t xml:space="preserve">evol  Bureaux Administration</t>
  </si>
  <si>
    <t xml:space="preserve">une baisse de 0,2%/an pr le télétravail (reprise conservatrice de l'hyp de -6,4%/2020 pour 2joursTT/semaine, de la note de l'ORIE de 2021)</t>
  </si>
  <si>
    <t xml:space="preserve">evol  Café Hôtel Restaurant</t>
  </si>
  <si>
    <t xml:space="preserve">evol  Commerce</t>
  </si>
  <si>
    <t xml:space="preserve">E-commerce : hausse de 0,3 %/an</t>
  </si>
  <si>
    <t xml:space="preserve">evol  Enseignement Recherche</t>
  </si>
  <si>
    <t xml:space="preserve">evol  Habitat Communautaire</t>
  </si>
  <si>
    <t xml:space="preserve">vieillissement : hausse ephad 0,3 %/an</t>
  </si>
  <si>
    <t xml:space="preserve">evol  Santé Action Sociale</t>
  </si>
  <si>
    <t xml:space="preserve">vieillissement : hausse de 0,5 %/an</t>
  </si>
  <si>
    <t xml:space="preserve">evol  Sport Loisir Culture</t>
  </si>
  <si>
    <t xml:space="preserve">evol  Transport</t>
  </si>
  <si>
    <t xml:space="preserve">Variations AMS 2023</t>
  </si>
  <si>
    <t xml:space="preserve">une baisse de 0,4%/an pr le télétravail (reprise conservatrice de l'hyp de -6,4%/2020 pour 2joursTT/semaine, de la note de l'ORIE de 2021)</t>
  </si>
  <si>
    <t xml:space="preserve">vieillissement : hausse ephad (0,1 %/an)</t>
  </si>
  <si>
    <t xml:space="preserve">Surfaces de parc</t>
  </si>
  <si>
    <t xml:space="preserve">Parc AME 2023 (milliers de m²)</t>
  </si>
  <si>
    <t xml:space="preserve">Entrées dans le parc - en pourcentage du parc existant</t>
  </si>
  <si>
    <t xml:space="preserve">Sorties de parc - en pourcentage du parc existant</t>
  </si>
  <si>
    <t xml:space="preserve">Etat initial (2020)</t>
  </si>
  <si>
    <t>Branche</t>
  </si>
  <si>
    <t xml:space="preserve">Habitat Communautaire*</t>
  </si>
  <si>
    <t xml:space="preserve">Parc AMS 2023 (milliers de m²)</t>
  </si>
  <si>
    <t xml:space="preserve">On ajoute manuellement les sorties de parc pour reconversions bureaux (9,6 Mm² en 2030, 10,6 en 2040, 2,9 en 2050)</t>
  </si>
  <si>
    <t xml:space="preserve">Reconversions bureaux – logements</t>
  </si>
  <si>
    <t xml:space="preserve">Nombre de logements créés à partir de reconversions de bureaux (milliers)</t>
  </si>
  <si>
    <t xml:space="preserve">Surface moyenne des logements (m²)</t>
  </si>
  <si>
    <t xml:space="preserve">Surface tertiaire sortie du parc (Mm²)</t>
  </si>
  <si>
    <t xml:space="preserve">Surface tertiaire cumulée</t>
  </si>
  <si>
    <t xml:space="preserve">A partir de 2025, les nouveaux systèmes gaz (dans le neuf et changements de chaudière dans l’existant) sont des PAC hybrides </t>
  </si>
  <si>
    <t xml:space="preserve">Fun des switch fossile vers bois à partir de 2035</t>
  </si>
  <si>
    <t xml:space="preserve">80klgt logements raccordés par an à partir de 2025</t>
  </si>
  <si>
    <t xml:space="preserve">ratio d’efficience 8€/MWh</t>
  </si>
  <si>
    <t xml:space="preserve">ratio d’efficience 6€/MWh</t>
  </si>
  <si>
    <t xml:space="preserve">ratio efficience 6€/MWh</t>
  </si>
  <si>
    <t xml:space="preserve">France relance – rénovation thermique des bâtiments publics</t>
  </si>
  <si>
    <t xml:space="preserve">Poursuite des investissements jusqu’à 2050 (1,3Md€/an)</t>
  </si>
  <si>
    <r>
      <rPr>
        <sz val="10"/>
        <rFont val="Arial"/>
      </rPr>
      <t xml:space="preserve">7,7 Md€ dont 1,2 Md€ pour les Ehpad, 2,5 Md€ pour les hôpitaux et 2,2 Md€ pour les universités. Sur l'enveloppe globale, tout n'est pas utilisé pour la rénovation énergétique. Voici la répartition de « part rénovation énergétique » proposée (sur la base du rapport de l’IGF sur la rénovation des cités administratives dans le cadre du GPI ): 
 - 42% * 2,2 = 0,924 Md€ pour les universités [chiffre de l’IGF pour les projets mixtes et rénovation] ; 
- 27%*2,5 = 0,675 Md€ pour les hôpitaux [chiffre de l'IGF pour l'ensemble des travaux du programme rénovation des cités administratives] 
- 34% * 3 = 1,02 Md€ pour les autres travaux [chiffre de l'IGF pour les projets mixtes]. 
On a donc au total </t>
    </r>
    <r>
      <rPr>
        <b/>
        <sz val="10"/>
        <rFont val="Arial"/>
      </rPr>
      <t xml:space="preserve">2,6 Md€ consacrés exclusivement à la rénovation énergétique.</t>
    </r>
  </si>
  <si>
    <t xml:space="preserve">France relance – rénovation énergétique de TPE/PME</t>
  </si>
  <si>
    <t xml:space="preserve">Hausse des investissements pour compenser le DT à 1000m² – poursuite des investissements jusqu’à 2050 (250M€/an)</t>
  </si>
  <si>
    <r>
      <rPr>
        <sz val="10"/>
        <rFont val="Arial"/>
      </rPr>
      <t xml:space="preserve">Il s'agit là d'aides directes aux travaux de rénovation. Par prudence, et en l'absence d'informations complémentaires sur le montant et la nature de l'aide, on considère un effet levier de 1 (pour 1 € d'aide, 1 € investi).   Sur les 200 M€ prévus pour cette mesure, seulement </t>
    </r>
    <r>
      <rPr>
        <b/>
        <sz val="10"/>
        <rFont val="Arial"/>
      </rPr>
      <t xml:space="preserve">130 M€ concernent effectivement de la rénovation énergétique</t>
    </r>
    <r>
      <rPr>
        <sz val="10"/>
        <rFont val="Arial"/>
      </rPr>
      <t xml:space="preserve">, le reste étant dédié à l'accompagnement des entreprises.</t>
    </r>
  </si>
  <si>
    <t xml:space="preserve">Décret tertiaire</t>
  </si>
  <si>
    <t xml:space="preserve">Pleine prise en compte du DT</t>
  </si>
  <si>
    <t xml:space="preserve">Prise en compte du décret jusqu’à 2030, gains 50 % de ceux escomptés</t>
  </si>
  <si>
    <t xml:space="preserve">Hyp AMS18</t>
  </si>
  <si>
    <t xml:space="preserve">Effet rebond lors d’un geste de rénovation</t>
  </si>
  <si>
    <t xml:space="preserve">Surface tertiaire existante raccordée au réseau de chaleur (Mm²)</t>
  </si>
  <si>
    <t xml:space="preserve">source : CEREN/SDES</t>
  </si>
  <si>
    <t xml:space="preserve">Source : ADEME</t>
  </si>
  <si>
    <t>kWh/m²</t>
  </si>
  <si>
    <t xml:space="preserve">ECS </t>
  </si>
  <si>
    <t xml:space="preserve">Elec spécifique </t>
  </si>
  <si>
    <t>Climatisation</t>
  </si>
  <si>
    <t xml:space="preserve">Reprise AME21 (similaire ADEME S4)</t>
  </si>
  <si>
    <t xml:space="preserve">Hausse 10 % à 2050 (restauration hors domicile)</t>
  </si>
  <si>
    <t xml:space="preserve">Reprise AME 2021 baisse 5 % en 2050</t>
  </si>
  <si>
    <t xml:space="preserve">Conso EF en kWh/m²</t>
  </si>
  <si>
    <t xml:space="preserve">Reprise AMS 2018 (similaire ADEME S2)</t>
  </si>
  <si>
    <t xml:space="preserve">Baisse similaire ADEME</t>
  </si>
  <si>
    <t xml:space="preserve">Baisse de 25 % en 2050 (ADEME S3)</t>
  </si>
  <si>
    <t xml:space="preserve">Données CEREN</t>
  </si>
  <si>
    <t xml:space="preserve">fioul domestique</t>
  </si>
  <si>
    <t xml:space="preserve">Chauffage urbain</t>
  </si>
  <si>
    <t xml:space="preserve">énergies renouvelables</t>
  </si>
  <si>
    <t xml:space="preserve">électricité (PAC incluses)</t>
  </si>
  <si>
    <t>Secteur</t>
  </si>
  <si>
    <t xml:space="preserve">Eclairage public</t>
  </si>
  <si>
    <t xml:space="preserve">Data centers</t>
  </si>
  <si>
    <t xml:space="preserve">EDF dit 10-11TWh (cohérent BorderStep Institute, AIE, Uptime institute). ADEME dit 2. Probablement une question de périmètre</t>
  </si>
  <si>
    <t xml:space="preserve">Parties communes d'immeubles</t>
  </si>
  <si>
    <t>Télécommunication</t>
  </si>
  <si>
    <t xml:space="preserve">Entrepôts frigorifiques</t>
  </si>
  <si>
    <t xml:space="preserve">Grands centres de recherche</t>
  </si>
  <si>
    <t xml:space="preserve">Secteur de l'eau</t>
  </si>
  <si>
    <t xml:space="preserve">Total extension du champ tertiaire</t>
  </si>
  <si>
    <t xml:space="preserve">AME 2021 : pas pris en compte</t>
  </si>
  <si>
    <t>TWh</t>
  </si>
  <si>
    <t xml:space="preserve">décroissance linéaire (~installation de LED à 50 %, nb de points lumineux suit la population, puissance moyenne et temps à pleine puissance constants)</t>
  </si>
  <si>
    <t>http://www.afe-eclairage.fr/afe/l-eclairage-en-chiffres-26.html</t>
  </si>
  <si>
    <t xml:space="preserve">2030 : reprise du chiffre 10TWh du CGE, 2050 reprise du x3 de RTE ? (mais dit 3TWh en 2015)</t>
  </si>
  <si>
    <t>https://www.economie.gouv.fr/files/files/directions_services/cge/consommation-energique-numerique.pdf</t>
  </si>
  <si>
    <t xml:space="preserve">Consommations générales d’immeubles</t>
  </si>
  <si>
    <t xml:space="preserve">annexé au nb de LC </t>
  </si>
  <si>
    <t>Télécommunications</t>
  </si>
  <si>
    <t xml:space="preserve">annexé population</t>
  </si>
  <si>
    <t xml:space="preserve">Entrepôts frigorifiques et grands établissements de recherche</t>
  </si>
  <si>
    <t xml:space="preserve">hausse modérée (plateformes logistiques, livraisons alimentaires)</t>
  </si>
  <si>
    <t xml:space="preserve">Eau (distribution et assainissements)</t>
  </si>
  <si>
    <t xml:space="preserve">Non spécifié</t>
  </si>
  <si>
    <t xml:space="preserve">constant  </t>
  </si>
  <si>
    <t xml:space="preserve">baisse similaire ADEME/NW (en 2050 : installation de LED à 80 % + -1/3 du temps en pleine puissance, nb de points lumineux constant)</t>
  </si>
  <si>
    <t xml:space="preserve">Gain de 60 % en 2050/2015</t>
  </si>
  <si>
    <t xml:space="preserve">ADEME S2/S3</t>
  </si>
  <si>
    <t xml:space="preserve">Croissance de 40 % d’ici 2030/2015, constant ensuite</t>
  </si>
  <si>
    <t xml:space="preserve">constant (similaire ADEME)</t>
  </si>
  <si>
    <t xml:space="preserve">Gain de 20 % en 2030/2015, de 25 % en 2050/2015</t>
  </si>
  <si>
    <t xml:space="preserve">croissance à 2030 puis constant ensuite</t>
  </si>
  <si>
    <t xml:space="preserve">Croissance de 25 % en 2030/2015, constant ensuite</t>
  </si>
  <si>
    <t xml:space="preserve">constant (gains EE compensés par meilleur traitement des eaux)</t>
  </si>
  <si>
    <t xml:space="preserve">Gain de 30 % en 2030, constant ensuite</t>
  </si>
  <si>
    <t>Constant</t>
  </si>
  <si>
    <t xml:space="preserve">AME : Reprise du scénario tendanciel ADEME. AMS : reprise du scénario S2</t>
  </si>
  <si>
    <t xml:space="preserve">1. Taux d’équipements</t>
  </si>
  <si>
    <t>TEND</t>
  </si>
  <si>
    <t xml:space="preserve">Taux pondéré Fce. entière</t>
  </si>
  <si>
    <t>H1A</t>
  </si>
  <si>
    <t>H1B</t>
  </si>
  <si>
    <t>H1C</t>
  </si>
  <si>
    <t>H2A</t>
  </si>
  <si>
    <t>H2B</t>
  </si>
  <si>
    <t>H2C</t>
  </si>
  <si>
    <t>H2D</t>
  </si>
  <si>
    <t>H3</t>
  </si>
  <si>
    <t>Martinique</t>
  </si>
  <si>
    <t>Guadeloupe</t>
  </si>
  <si>
    <t>Guyane</t>
  </si>
  <si>
    <t>Mayotte</t>
  </si>
  <si>
    <t xml:space="preserve">La Réunion</t>
  </si>
  <si>
    <t xml:space="preserve">2. Parc de climatiseurs</t>
  </si>
  <si>
    <t xml:space="preserve">Répartion du parc par technologie et type de logement [%]</t>
  </si>
  <si>
    <t xml:space="preserve">Surface moy. pondérée climatisée (M²)</t>
  </si>
  <si>
    <t xml:space="preserve">Climatiseur mobile</t>
  </si>
  <si>
    <t xml:space="preserve">Climatiseur Monosplit</t>
  </si>
  <si>
    <t xml:space="preserve">PAC Air-Air multisplit</t>
  </si>
  <si>
    <t xml:space="preserve">Pac Air Eau Elec</t>
  </si>
  <si>
    <t xml:space="preserve">Pac Gaz</t>
  </si>
  <si>
    <t xml:space="preserve">Réseau Froid</t>
  </si>
  <si>
    <t xml:space="preserve">Absorption solaire</t>
  </si>
  <si>
    <t xml:space="preserve">PAC Géothermique Eau-eau</t>
  </si>
  <si>
    <t xml:space="preserve">Techno alternat. 2</t>
  </si>
  <si>
    <t xml:space="preserve">Mais. Indiv.</t>
  </si>
  <si>
    <t xml:space="preserve">Appart. &amp; Autres</t>
  </si>
  <si>
    <t xml:space="preserve">EER des équipements [30 ° ext. - Consigne 27°]</t>
  </si>
  <si>
    <t xml:space="preserve">TCAM </t>
  </si>
  <si>
    <t>$2006</t>
  </si>
  <si>
    <t>2030/2020</t>
  </si>
  <si>
    <t>2050/2030</t>
  </si>
  <si>
    <t xml:space="preserve">Technologie Alternative 2</t>
  </si>
  <si>
    <t xml:space="preserve">3. Usage de la climatisation</t>
  </si>
  <si>
    <t xml:space="preserve">température de consigne (°C)</t>
  </si>
  <si>
    <t xml:space="preserve">température de mise en route (°C)</t>
  </si>
  <si>
    <t xml:space="preserve">Durée moyenne de fonctionnement (h)</t>
  </si>
  <si>
    <t xml:space="preserve">AME  (post 2030)</t>
  </si>
  <si>
    <t xml:space="preserve">AMS (post 2030)</t>
  </si>
  <si>
    <t xml:space="preserve">Résidences principales</t>
  </si>
  <si>
    <t xml:space="preserve">On ignore les « autres » (on laisse les chiffres ADEME…)</t>
  </si>
  <si>
    <t xml:space="preserve">verif MI</t>
  </si>
  <si>
    <t>répartition</t>
  </si>
  <si>
    <t>Propriétaire</t>
  </si>
  <si>
    <t xml:space="preserve">Total MI</t>
  </si>
  <si>
    <t xml:space="preserve">Locataire bailleur privé</t>
  </si>
  <si>
    <t xml:space="preserve">Locataire HLM</t>
  </si>
  <si>
    <t>Principale</t>
  </si>
  <si>
    <t xml:space="preserve">Maison individuelle</t>
  </si>
  <si>
    <t xml:space="preserve">Locataire privé</t>
  </si>
  <si>
    <t xml:space="preserve">Locataire bailleur HLM</t>
  </si>
  <si>
    <t xml:space="preserve">verif LC</t>
  </si>
  <si>
    <t xml:space="preserve">Total LC</t>
  </si>
  <si>
    <t>Appartement</t>
  </si>
  <si>
    <t xml:space="preserve">verif rs</t>
  </si>
  <si>
    <t xml:space="preserve">Total RS</t>
  </si>
  <si>
    <t>Secondaire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</si>
</sst>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9">
    <numFmt numFmtId="160" formatCode="\ * #,##0\ ;\-* #,##0\ ;\ * &quot;- &quot;;\ @\ "/>
    <numFmt numFmtId="161" formatCode="&quot; $&quot;* #,##0\ ;&quot; $&quot;* \(#,##0\);&quot; $&quot;* &quot;- &quot;;\ @\ "/>
    <numFmt numFmtId="162" formatCode="_-* #,##0.00&quot; €&quot;_-;\-* #,##0.00&quot; €&quot;_-;_-* \-??&quot; €&quot;_-;_-@_-"/>
    <numFmt numFmtId="163" formatCode="#,##0.00&quot;    &quot;;#,##0.00&quot;    &quot;;\-#&quot;    &quot;;@\ "/>
    <numFmt numFmtId="164" formatCode="_-* #,##0.00_-;\-* #,##0.00_-;_-* \-??_-;_-@_-"/>
    <numFmt numFmtId="165" formatCode="\ * #,##0.00&quot;    &quot;;\-* #,##0.00&quot;    &quot;;\ * \-#&quot;    &quot;;\ @\ "/>
    <numFmt numFmtId="166" formatCode="\ * #,##0.00\ ;\-* #,##0.00\ ;\ * \-#\ ;\ @\ "/>
    <numFmt numFmtId="167" formatCode="0\ %"/>
    <numFmt numFmtId="168" formatCode="#,##0.00\ [$€-40C];[Red]\-#,##0.00\ [$€-40C]"/>
    <numFmt numFmtId="169" formatCode="0.0"/>
    <numFmt numFmtId="170" formatCode="0.00\ %"/>
    <numFmt numFmtId="171" formatCode="0.0%"/>
    <numFmt numFmtId="172" formatCode="_-* #,##0.000_-;\-* #,##0.000_-;_-* \-??_-;_-@_-"/>
    <numFmt numFmtId="173" formatCode="_-* #,##0.0000_-;\-* #,##0.0000_-;_-* \-??_-;_-@_-"/>
    <numFmt numFmtId="174" formatCode="_-* #,##0\ _€_-;\-* #,##0\ _€_-;_-* \-??\ _€_-;_-@_-"/>
    <numFmt numFmtId="175" formatCode="#,##0&quot;    &quot;;#,##0&quot;    &quot;;\-#&quot;    &quot;;@\ "/>
    <numFmt numFmtId="176" formatCode="#,##0.0"/>
    <numFmt numFmtId="177" formatCode="0.000"/>
    <numFmt numFmtId="178" formatCode="0.000\ %"/>
  </numFmts>
  <fonts count="47">
    <font>
      <name val="Calibri"/>
      <color indexed="64"/>
      <sz val="11.000000"/>
    </font>
    <font>
      <name val="Arial"/>
      <color indexed="65"/>
      <sz val="10.000000"/>
    </font>
    <font>
      <name val="Arial"/>
      <b/>
      <color indexed="64"/>
      <sz val="10.000000"/>
    </font>
    <font>
      <name val="Arial"/>
      <color rgb="FFCC0000"/>
      <sz val="10.000000"/>
    </font>
    <font>
      <name val="Arial"/>
      <sz val="10.000000"/>
    </font>
    <font>
      <name val="Arial"/>
      <b/>
      <i/>
      <sz val="16.000000"/>
    </font>
    <font>
      <name val="Arial"/>
      <b/>
      <color indexed="65"/>
      <sz val="10.000000"/>
    </font>
    <font>
      <name val="Arial"/>
      <i/>
      <color indexed="23"/>
      <sz val="10.000000"/>
    </font>
    <font>
      <name val="Arial"/>
      <color rgb="FF006600"/>
      <sz val="10.000000"/>
    </font>
    <font>
      <name val="Arial"/>
      <color indexed="64"/>
      <sz val="18.000000"/>
    </font>
    <font>
      <name val="Arial"/>
      <color indexed="64"/>
      <sz val="12.000000"/>
    </font>
    <font>
      <name val="Arial"/>
      <color rgb="FF0000EE"/>
      <sz val="10.000000"/>
      <u/>
    </font>
    <font>
      <name val="Arial"/>
      <color rgb="FF996600"/>
      <sz val="10.000000"/>
    </font>
    <font>
      <name val="Calibri"/>
      <color indexed="60"/>
      <sz val="11.000000"/>
    </font>
    <font>
      <name val="Calibri"/>
      <sz val="11.000000"/>
    </font>
    <font>
      <name val="Arial"/>
      <sz val="12.000000"/>
    </font>
    <font>
      <name val="MS Sans Serif"/>
      <sz val="10.000000"/>
    </font>
    <font>
      <name val="Arial"/>
      <color indexed="63"/>
      <sz val="10.000000"/>
    </font>
    <font>
      <name val="Arial"/>
      <b/>
      <i/>
      <sz val="10.000000"/>
      <u/>
    </font>
    <font>
      <name val="Arial"/>
      <b/>
      <sz val="14.000000"/>
    </font>
    <font>
      <name val="Arial"/>
      <b/>
      <sz val="10.000000"/>
    </font>
    <font>
      <name val="Calibri"/>
      <b/>
      <color indexed="64"/>
      <sz val="11.000000"/>
    </font>
    <font>
      <name val="Arial"/>
      <b/>
      <sz val="13.000000"/>
    </font>
    <font>
      <name val="Arial"/>
      <i/>
      <sz val="10.000000"/>
    </font>
    <font>
      <name val="Arial"/>
      <color rgb="FFCE181E"/>
      <sz val="10.000000"/>
    </font>
    <font>
      <name val="Arial"/>
      <color indexed="64"/>
      <sz val="10.000000"/>
    </font>
    <font>
      <name val="Arial"/>
      <b/>
      <i/>
      <color indexed="64"/>
      <sz val="10.000000"/>
    </font>
    <font>
      <name val="Calibri"/>
      <b/>
      <color indexed="64"/>
      <sz val="9.000000"/>
    </font>
    <font>
      <name val="Calibri"/>
      <b/>
      <i/>
      <color indexed="64"/>
      <sz val="11.000000"/>
    </font>
    <font>
      <name val="Arial"/>
      <i/>
      <color indexed="2"/>
      <sz val="10.000000"/>
    </font>
    <font>
      <name val="Arial"/>
      <color indexed="2"/>
      <sz val="10.000000"/>
    </font>
    <font>
      <name val="Arial"/>
      <b/>
      <color indexed="23"/>
      <sz val="10.000000"/>
    </font>
    <font>
      <name val="Arial"/>
      <color indexed="23"/>
      <sz val="10.000000"/>
    </font>
    <font>
      <name val="Calibri"/>
      <b/>
      <color indexed="65"/>
      <sz val="11.000000"/>
    </font>
    <font>
      <name val="Calibri"/>
      <color indexed="65"/>
      <sz val="11.000000"/>
    </font>
    <font>
      <name val="Calibri"/>
      <b/>
      <sz val="11.000000"/>
    </font>
    <font>
      <name val="Calibri"/>
      <color indexed="65"/>
      <sz val="8.000000"/>
    </font>
    <font>
      <name val="Arial"/>
      <b/>
      <color indexed="65"/>
      <sz val="9.000000"/>
    </font>
    <font>
      <name val="Arial"/>
      <color indexed="65"/>
      <sz val="9.000000"/>
    </font>
    <font>
      <name val="Calibri"/>
      <color indexed="65"/>
      <sz val="9.000000"/>
    </font>
    <font>
      <name val="Arial"/>
      <i/>
      <color indexed="64"/>
      <sz val="8.000000"/>
    </font>
    <font>
      <name val="Arial"/>
      <b/>
      <color indexed="64"/>
      <sz val="9.000000"/>
    </font>
    <font>
      <name val="Arial"/>
      <color indexed="64"/>
      <sz val="9.000000"/>
    </font>
    <font>
      <name val="Arial"/>
      <color indexed="64"/>
      <sz val="8.000000"/>
    </font>
    <font>
      <name val="Arial"/>
      <sz val="8.000000"/>
    </font>
    <font>
      <name val="Arial"/>
      <i/>
      <sz val="9.000000"/>
    </font>
    <font>
      <name val="Calibri"/>
      <color indexed="64"/>
      <sz val="8.000000"/>
    </font>
  </fonts>
  <fills count="21">
    <fill>
      <patternFill patternType="none"/>
    </fill>
    <fill>
      <patternFill patternType="gray125"/>
    </fill>
    <fill>
      <patternFill patternType="solid">
        <fgColor indexed="64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indexed="42"/>
        <bgColor rgb="FFE2F0D9"/>
      </patternFill>
    </fill>
    <fill>
      <patternFill patternType="solid">
        <fgColor indexed="26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65"/>
        <bgColor indexed="26"/>
      </patternFill>
    </fill>
    <fill>
      <patternFill patternType="solid">
        <fgColor rgb="FFFF8000"/>
        <bgColor indexed="53"/>
      </patternFill>
    </fill>
    <fill>
      <patternFill patternType="solid">
        <fgColor indexed="5"/>
        <bgColor rgb="FFFFF200"/>
      </patternFill>
    </fill>
    <fill>
      <patternFill patternType="solid">
        <fgColor rgb="FFFFBF00"/>
        <bgColor rgb="FFFFF200"/>
      </patternFill>
    </fill>
    <fill>
      <patternFill patternType="solid">
        <fgColor rgb="FFFFD966"/>
        <bgColor indexed="43"/>
      </patternFill>
    </fill>
    <fill>
      <patternFill patternType="solid">
        <fgColor rgb="FFFFF200"/>
        <bgColor indexed="5"/>
      </patternFill>
    </fill>
    <fill>
      <patternFill patternType="solid">
        <fgColor rgb="FF002060"/>
        <bgColor indexed="18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DDDDDD"/>
      </patternFill>
    </fill>
    <fill>
      <patternFill patternType="solid">
        <fgColor rgb="FFC5E0B4"/>
        <bgColor rgb="FFDDDDDD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7">
    <xf fontId="0" fillId="0" borderId="0" numFmtId="0" applyNumberFormat="1" applyFont="1" applyFill="1" applyBorder="1"/>
    <xf fontId="1" fillId="2" borderId="0" numFmtId="0" applyNumberFormat="1" applyFont="1" applyFill="1" applyBorder="0" applyProtection="0"/>
    <xf fontId="1" fillId="2" borderId="0" numFmtId="0" applyNumberFormat="1" applyFont="1" applyFill="1" applyBorder="0" applyProtection="0"/>
    <xf fontId="2" fillId="0" borderId="0" numFmtId="0" applyNumberFormat="1" applyFont="1" applyFill="1" applyBorder="0" applyProtection="0"/>
    <xf fontId="1" fillId="3" borderId="0" numFmtId="0" applyNumberFormat="1" applyFont="1" applyFill="1" applyBorder="0" applyProtection="0"/>
    <xf fontId="1" fillId="3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0" borderId="0" numFmtId="0" applyNumberFormat="1" applyFont="1" applyFill="1" applyBorder="0" applyProtection="0"/>
    <xf fontId="3" fillId="5" borderId="0" numFmtId="0" applyNumberFormat="1" applyFont="1" applyFill="1" applyBorder="0" applyProtection="0"/>
    <xf fontId="3" fillId="5" borderId="0" numFmtId="0" applyNumberFormat="1" applyFont="1" applyFill="1" applyBorder="0" applyProtection="0"/>
    <xf fontId="4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4" fillId="0" borderId="0" numFmtId="161" applyNumberFormat="1" applyFont="1" applyFill="1" applyBorder="0" applyProtection="0"/>
    <xf fontId="0" fillId="0" borderId="0" numFmtId="161" applyNumberFormat="1" applyFont="1" applyFill="1" applyBorder="0" applyProtection="0"/>
    <xf fontId="5" fillId="0" borderId="0" numFmtId="0" applyNumberFormat="1" applyFont="1" applyFill="1" applyBorder="0" applyProtection="0">
      <alignment horizontal="center"/>
    </xf>
    <xf fontId="6" fillId="6" borderId="0" numFmtId="0" applyNumberFormat="1" applyFont="1" applyFill="1" applyBorder="0" applyProtection="0"/>
    <xf fontId="6" fillId="6" borderId="0" numFmtId="0" applyNumberFormat="1" applyFont="1" applyFill="1" applyBorder="0" applyProtection="0"/>
    <xf fontId="4" fillId="0" borderId="0" numFmtId="162" applyNumberFormat="1" applyFont="1" applyFill="1" applyBorder="0" applyProtection="0"/>
    <xf fontId="4" fillId="0" borderId="0" numFmtId="162" applyNumberFormat="1" applyFont="1" applyFill="1" applyBorder="0" applyProtection="0"/>
    <xf fontId="4" fillId="0" borderId="0" numFmtId="162" applyNumberFormat="1" applyFont="1" applyFill="1" applyBorder="0" applyProtection="0"/>
    <xf fontId="4" fillId="0" borderId="0" numFmtId="162" applyNumberFormat="1" applyFont="1" applyFill="1" applyBorder="0" applyProtection="0"/>
    <xf fontId="0" fillId="0" borderId="0" numFmtId="163" applyNumberFormat="1" applyFont="1" applyFill="1" applyBorder="1"/>
    <xf fontId="7" fillId="0" borderId="0" numFmtId="0" applyNumberFormat="1" applyFont="1" applyFill="1" applyBorder="0" applyProtection="0"/>
    <xf fontId="7" fillId="0" borderId="0" numFmtId="0" applyNumberFormat="1" applyFont="1" applyFill="1" applyBorder="0" applyProtection="0"/>
    <xf fontId="8" fillId="7" borderId="0" numFmtId="0" applyNumberFormat="1" applyFont="1" applyFill="1" applyBorder="0" applyProtection="0"/>
    <xf fontId="8" fillId="7" borderId="0" numFmtId="0" applyNumberFormat="1" applyFont="1" applyFill="1" applyBorder="0" applyProtection="0"/>
    <xf fontId="9" fillId="0" borderId="0" numFmtId="0" applyNumberFormat="1" applyFont="1" applyFill="1" applyBorder="0" applyProtection="0"/>
    <xf fontId="9" fillId="0" borderId="0" numFmtId="0" applyNumberFormat="1" applyFont="1" applyFill="1" applyBorder="0" applyProtection="0"/>
    <xf fontId="10" fillId="0" borderId="0" numFmtId="0" applyNumberFormat="1" applyFont="1" applyFill="1" applyBorder="0" applyProtection="0"/>
    <xf fontId="10" fillId="0" borderId="0" numFmtId="0" applyNumberFormat="1" applyFont="1" applyFill="1" applyBorder="0" applyProtection="0"/>
    <xf fontId="11" fillId="0" borderId="0" numFmtId="0" applyNumberFormat="1" applyFont="1" applyFill="1" applyBorder="0" applyProtection="0"/>
    <xf fontId="11" fillId="0" borderId="0" numFmtId="0" applyNumberFormat="1" applyFont="1" applyFill="1" applyBorder="0" applyProtection="0"/>
    <xf fontId="0" fillId="0" borderId="0" numFmtId="164" applyNumberFormat="1" applyFont="1" applyFill="1" applyBorder="0" applyProtection="0"/>
    <xf fontId="4" fillId="0" borderId="0" numFmtId="165" applyNumberFormat="1" applyFont="1" applyFill="1" applyBorder="0" applyProtection="0"/>
    <xf fontId="4" fillId="0" borderId="0" numFmtId="165" applyNumberFormat="1" applyFont="1" applyFill="1" applyBorder="0" applyProtection="0"/>
    <xf fontId="4" fillId="0" borderId="0" numFmtId="165" applyNumberFormat="1" applyFont="1" applyFill="1" applyBorder="0" applyProtection="0"/>
    <xf fontId="4" fillId="0" borderId="0" numFmtId="166" applyNumberFormat="1" applyFont="1" applyFill="1" applyBorder="0" applyProtection="0"/>
    <xf fontId="0" fillId="0" borderId="0" numFmtId="166" applyNumberFormat="1" applyFont="1" applyFill="1" applyBorder="0" applyProtection="0"/>
    <xf fontId="12" fillId="8" borderId="0" numFmtId="0" applyNumberFormat="1" applyFont="1" applyFill="1" applyBorder="0" applyProtection="0"/>
    <xf fontId="12" fillId="8" borderId="0" numFmtId="0" applyNumberFormat="1" applyFont="1" applyFill="1" applyBorder="0" applyProtection="0"/>
    <xf fontId="13" fillId="9" borderId="0" numFmtId="0" applyNumberFormat="1" applyFont="1" applyFill="1" applyBorder="0" applyProtection="0"/>
    <xf fontId="14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15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15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16" fillId="0" borderId="0" numFmtId="0" applyNumberFormat="1" applyFont="1" applyFill="1" applyBorder="1"/>
    <xf fontId="14" fillId="0" borderId="0" numFmtId="0" applyNumberFormat="1" applyFont="1" applyFill="1" applyBorder="1"/>
    <xf fontId="0" fillId="0" borderId="0" numFmtId="0" applyNumberFormat="1" applyFont="1" applyFill="1" applyBorder="1"/>
    <xf fontId="4" fillId="0" borderId="0" numFmtId="0" applyNumberFormat="1" applyFont="1" applyFill="1" applyBorder="1"/>
    <xf fontId="0" fillId="0" borderId="0" numFmtId="0" applyNumberFormat="1" applyFont="1" applyFill="1" applyBorder="1"/>
    <xf fontId="17" fillId="8" borderId="1" numFmtId="0" applyNumberFormat="1" applyFont="1" applyFill="1" applyBorder="1" applyProtection="0"/>
    <xf fontId="17" fillId="8" borderId="1" numFmtId="0" applyNumberFormat="1" applyFont="1" applyFill="1" applyBorder="1" applyProtection="0"/>
    <xf fontId="4" fillId="0" borderId="0" numFmtId="167" applyNumberFormat="1" applyFont="1" applyFill="1" applyBorder="0" applyProtection="0"/>
    <xf fontId="4" fillId="0" borderId="0" numFmtId="167" applyNumberFormat="1" applyFont="1" applyFill="1" applyBorder="0" applyProtection="0"/>
    <xf fontId="0" fillId="0" borderId="0" numFmtId="167" applyNumberFormat="1" applyFont="1" applyFill="1" applyBorder="0" applyProtection="0"/>
    <xf fontId="0" fillId="0" borderId="0" numFmtId="167" applyNumberFormat="1" applyFont="1" applyFill="1" applyBorder="0" applyProtection="0"/>
    <xf fontId="4" fillId="0" borderId="0" numFmtId="167" applyNumberFormat="1" applyFont="1" applyFill="1" applyBorder="0" applyProtection="0"/>
    <xf fontId="14" fillId="0" borderId="0" numFmtId="167" applyNumberFormat="1" applyFont="1" applyFill="1" applyBorder="0" applyProtection="0"/>
    <xf fontId="4" fillId="0" borderId="0" numFmtId="167" applyNumberFormat="1" applyFont="1" applyFill="1" applyBorder="0" applyProtection="0"/>
    <xf fontId="18" fillId="0" borderId="0" numFmtId="0" applyNumberFormat="1" applyFont="1" applyFill="1" applyBorder="0" applyProtection="0"/>
    <xf fontId="18" fillId="0" borderId="0" numFmtId="168" applyNumberFormat="1" applyFont="1" applyFill="1" applyBorder="0" applyProtection="0"/>
    <xf fontId="4" fillId="0" borderId="0" numFmtId="0" applyNumberFormat="1" applyFont="1" applyFill="1" applyBorder="1">
      <alignment vertical="top"/>
    </xf>
    <xf fontId="4" fillId="0" borderId="0" numFmtId="0" applyNumberFormat="1" applyFont="1" applyFill="1" applyBorder="0" applyProtection="0"/>
    <xf fontId="4" fillId="0" borderId="0" numFmtId="0" applyNumberFormat="1" applyFont="1" applyFill="1" applyBorder="0" applyProtection="0"/>
    <xf fontId="0" fillId="10" borderId="0" numFmtId="0" applyNumberFormat="1" applyFont="1" applyFill="1" applyBorder="1">
      <alignment wrapText="1"/>
    </xf>
    <xf fontId="4" fillId="0" borderId="0" numFmtId="0" applyNumberFormat="1" applyFont="1" applyFill="1" applyBorder="0" applyProtection="0"/>
    <xf fontId="4" fillId="0" borderId="0" numFmtId="0" applyNumberFormat="1" applyFont="1" applyFill="1" applyBorder="0" applyProtection="0"/>
    <xf fontId="5" fillId="0" borderId="0" numFmtId="0" applyNumberFormat="1" applyFont="1" applyFill="1" applyBorder="0" applyProtection="0">
      <alignment horizontal="center" textRotation="90"/>
    </xf>
    <xf fontId="3" fillId="0" borderId="0" numFmtId="0" applyNumberFormat="1" applyFont="1" applyFill="1" applyBorder="0" applyProtection="0"/>
    <xf fontId="3" fillId="0" borderId="0" numFmtId="0" applyNumberFormat="1" applyFont="1" applyFill="1" applyBorder="0" applyProtection="0"/>
  </cellStyleXfs>
  <cellXfs count="237">
    <xf fontId="0" fillId="0" borderId="0" numFmtId="0" xfId="0"/>
    <xf fontId="19" fillId="11" borderId="0" numFmtId="0" xfId="0" applyFont="1" applyFill="1" applyAlignment="1">
      <alignment horizontal="center" vertical="center"/>
    </xf>
    <xf fontId="20" fillId="0" borderId="0" numFmtId="0" xfId="0" applyFont="1"/>
    <xf fontId="4" fillId="0" borderId="0" numFmtId="0" xfId="0" applyFont="1" applyAlignment="1">
      <alignment horizontal="center"/>
    </xf>
    <xf fontId="0" fillId="0" borderId="2" numFmtId="0" xfId="0" applyBorder="1"/>
    <xf fontId="20" fillId="0" borderId="2" numFmtId="0" xfId="0" applyFont="1" applyBorder="1"/>
    <xf fontId="4" fillId="0" borderId="2" numFmtId="0" xfId="0" applyFont="1" applyBorder="1"/>
    <xf fontId="0" fillId="0" borderId="0" numFmtId="0" xfId="0" applyAlignment="1">
      <alignment horizontal="center"/>
    </xf>
    <xf fontId="0" fillId="0" borderId="2" numFmtId="0" xfId="0" applyBorder="1" applyAlignment="1">
      <alignment horizontal="center" vertical="center" wrapText="1"/>
    </xf>
    <xf fontId="0" fillId="0" borderId="2" numFmtId="169" xfId="56" applyNumberFormat="1" applyBorder="1"/>
    <xf fontId="4" fillId="0" borderId="2" numFmtId="0" xfId="0" applyFont="1" applyBorder="1" applyAlignment="1">
      <alignment horizontal="center" wrapText="1"/>
    </xf>
    <xf fontId="0" fillId="0" borderId="2" numFmtId="2" xfId="0" applyNumberFormat="1" applyBorder="1"/>
    <xf fontId="4" fillId="0" borderId="2" numFmtId="167" xfId="0" applyNumberFormat="1" applyFont="1" applyBorder="1"/>
    <xf fontId="4" fillId="0" borderId="2" numFmtId="0" xfId="0" applyFont="1" applyBorder="1" applyAlignment="1">
      <alignment horizontal="center" vertical="center" wrapText="1"/>
    </xf>
    <xf fontId="0" fillId="0" borderId="0" numFmtId="170" xfId="0" applyNumberFormat="1" applyAlignment="1">
      <alignment horizontal="center"/>
    </xf>
    <xf fontId="4" fillId="0" borderId="2" numFmtId="169" xfId="0" applyNumberFormat="1" applyFont="1" applyBorder="1"/>
    <xf fontId="4" fillId="0" borderId="2" numFmtId="0" xfId="0" applyFont="1" applyBorder="1" applyAlignment="1">
      <alignment wrapText="1"/>
    </xf>
    <xf fontId="0" fillId="0" borderId="2" numFmtId="170" xfId="0" applyNumberFormat="1" applyBorder="1"/>
    <xf fontId="0" fillId="0" borderId="2" numFmtId="167" xfId="0" applyNumberFormat="1" applyBorder="1"/>
    <xf fontId="0" fillId="0" borderId="2" numFmtId="171" xfId="0" applyNumberFormat="1" applyBorder="1"/>
    <xf fontId="4" fillId="0" borderId="2" numFmtId="0" xfId="0" applyFont="1" applyBorder="1" applyAlignment="1">
      <alignment horizontal="center"/>
    </xf>
    <xf fontId="0" fillId="0" borderId="0" numFmtId="167" xfId="0" applyNumberFormat="1"/>
    <xf fontId="0" fillId="0" borderId="0" numFmtId="170" xfId="0" applyNumberFormat="1"/>
    <xf fontId="4" fillId="0" borderId="0" numFmtId="0" xfId="0" applyFont="1"/>
    <xf fontId="20" fillId="0" borderId="3" numFmtId="0" xfId="0" applyFont="1" applyBorder="1" applyAlignment="1">
      <alignment horizontal="center" vertical="center"/>
    </xf>
    <xf fontId="0" fillId="0" borderId="4" numFmtId="0" xfId="0" applyBorder="1" applyAlignment="1">
      <alignment horizontal="center"/>
    </xf>
    <xf fontId="4" fillId="0" borderId="2" numFmtId="0" xfId="0" applyFont="1" applyBorder="1" applyAlignment="1">
      <alignment horizontal="center" vertical="center"/>
    </xf>
    <xf fontId="4" fillId="0" borderId="5" numFmtId="0" xfId="0" applyFont="1" applyBorder="1" applyAlignment="1">
      <alignment horizontal="center" vertical="center"/>
    </xf>
    <xf fontId="4" fillId="0" borderId="6" numFmtId="0" xfId="0" applyFont="1" applyBorder="1"/>
    <xf fontId="4" fillId="0" borderId="6" numFmtId="0" xfId="0" applyFont="1" applyBorder="1" applyAlignment="1">
      <alignment horizontal="center" vertical="center" wrapText="1"/>
    </xf>
    <xf fontId="0" fillId="0" borderId="6" numFmtId="170" xfId="0" applyNumberFormat="1" applyBorder="1"/>
    <xf fontId="4" fillId="0" borderId="4" numFmtId="0" xfId="0" applyFont="1" applyBorder="1" applyAlignment="1">
      <alignment horizontal="center" wrapText="1"/>
    </xf>
    <xf fontId="4" fillId="0" borderId="4" numFmtId="0" xfId="0" applyFont="1" applyBorder="1" applyAlignment="1">
      <alignment horizontal="center"/>
    </xf>
    <xf fontId="4" fillId="0" borderId="0" numFmtId="0" xfId="0" applyFont="1" applyAlignment="1">
      <alignment horizontal="center" vertical="center" wrapText="1"/>
    </xf>
    <xf fontId="4" fillId="0" borderId="6" numFmtId="0" xfId="0" applyFont="1" applyBorder="1" applyAlignment="1">
      <alignment horizontal="center" vertical="center"/>
    </xf>
    <xf fontId="4" fillId="0" borderId="6" numFmtId="167" xfId="0" applyNumberFormat="1" applyFont="1" applyBorder="1"/>
    <xf fontId="4" fillId="0" borderId="7" numFmtId="0" xfId="0" applyFont="1" applyBorder="1" applyAlignment="1">
      <alignment horizontal="center"/>
    </xf>
    <xf fontId="4" fillId="0" borderId="8" numFmtId="0" xfId="0" applyFont="1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14" fillId="0" borderId="0" numFmtId="0" xfId="0" applyFont="1"/>
    <xf fontId="0" fillId="0" borderId="6" numFmtId="167" xfId="0" applyNumberFormat="1" applyBorder="1"/>
    <xf fontId="0" fillId="0" borderId="6" numFmtId="171" xfId="0" applyNumberFormat="1" applyBorder="1"/>
    <xf fontId="20" fillId="0" borderId="0" numFmtId="0" xfId="0" applyFont="1" applyAlignment="1">
      <alignment horizontal="center"/>
    </xf>
    <xf fontId="4" fillId="0" borderId="0" numFmtId="0" xfId="0" applyFont="1" applyAlignment="1">
      <alignment horizontal="center" vertical="center"/>
    </xf>
    <xf fontId="20" fillId="12" borderId="0" numFmtId="0" xfId="0" applyFont="1" applyFill="1" applyAlignment="1">
      <alignment wrapText="1"/>
    </xf>
    <xf fontId="4" fillId="12" borderId="0" numFmtId="0" xfId="0" applyFont="1" applyFill="1"/>
    <xf fontId="4" fillId="0" borderId="6" numFmtId="169" xfId="0" applyNumberFormat="1" applyFont="1" applyBorder="1"/>
    <xf fontId="0" fillId="0" borderId="0" numFmtId="0" xfId="0" applyAlignment="1">
      <alignment wrapText="1"/>
    </xf>
    <xf fontId="0" fillId="0" borderId="0" numFmtId="0" xfId="0"/>
    <xf fontId="4" fillId="0" borderId="10" numFmtId="0" xfId="0" applyFont="1" applyBorder="1"/>
    <xf fontId="0" fillId="0" borderId="11" numFmtId="0" xfId="0" applyBorder="1" applyAlignment="1">
      <alignment wrapText="1"/>
    </xf>
    <xf fontId="0" fillId="0" borderId="12" numFmtId="171" xfId="0" applyNumberFormat="1" applyBorder="1"/>
    <xf fontId="0" fillId="0" borderId="13" numFmtId="171" xfId="0" applyNumberFormat="1" applyBorder="1"/>
    <xf fontId="0" fillId="0" borderId="14" numFmtId="0" xfId="0" applyBorder="1" applyAlignment="1">
      <alignment wrapText="1"/>
    </xf>
    <xf fontId="4" fillId="0" borderId="15" numFmtId="0" xfId="0" applyFont="1" applyBorder="1"/>
    <xf fontId="0" fillId="0" borderId="0" numFmtId="171" xfId="0" applyNumberFormat="1"/>
    <xf fontId="0" fillId="0" borderId="16" numFmtId="171" xfId="0" applyNumberFormat="1" applyBorder="1"/>
    <xf fontId="4" fillId="0" borderId="6" numFmtId="0" xfId="0" applyFont="1" applyBorder="1" applyAlignment="1">
      <alignment horizontal="center"/>
    </xf>
    <xf fontId="0" fillId="0" borderId="6" numFmtId="167" xfId="0" applyNumberFormat="1" applyBorder="1" applyAlignment="1">
      <alignment horizontal="center"/>
    </xf>
    <xf fontId="0" fillId="0" borderId="6" numFmtId="171" xfId="0" applyNumberFormat="1" applyBorder="1" applyAlignment="1">
      <alignment horizontal="center"/>
    </xf>
    <xf fontId="0" fillId="0" borderId="17" numFmtId="0" xfId="0" applyBorder="1" applyAlignment="1">
      <alignment wrapText="1"/>
    </xf>
    <xf fontId="4" fillId="0" borderId="18" numFmtId="0" xfId="0" applyFont="1" applyBorder="1"/>
    <xf fontId="0" fillId="0" borderId="19" numFmtId="171" xfId="0" applyNumberFormat="1" applyBorder="1"/>
    <xf fontId="0" fillId="0" borderId="20" numFmtId="171" xfId="0" applyNumberFormat="1" applyBorder="1"/>
    <xf fontId="21" fillId="0" borderId="0" numFmtId="0" xfId="0" applyFont="1"/>
    <xf fontId="20" fillId="0" borderId="6" numFmtId="0" xfId="0" applyFont="1" applyBorder="1"/>
    <xf fontId="0" fillId="0" borderId="6" numFmtId="0" xfId="0" applyBorder="1"/>
    <xf fontId="22" fillId="13" borderId="0" numFmtId="0" xfId="0" applyFont="1" applyFill="1"/>
    <xf fontId="20" fillId="0" borderId="0" numFmtId="3" xfId="0" applyNumberFormat="1" applyFont="1"/>
    <xf fontId="0" fillId="0" borderId="0" numFmtId="3" xfId="0" applyNumberFormat="1"/>
    <xf fontId="0" fillId="0" borderId="0" numFmtId="1" xfId="0" applyNumberFormat="1"/>
    <xf fontId="21" fillId="14" borderId="0" numFmtId="0" xfId="0" applyFont="1" applyFill="1" applyAlignment="1">
      <alignment horizontal="center" vertical="center"/>
    </xf>
    <xf fontId="4" fillId="0" borderId="0" numFmtId="0" xfId="0" applyFont="1" applyAlignment="1">
      <alignment horizontal="center" wrapText="1"/>
    </xf>
    <xf fontId="4" fillId="0" borderId="0" numFmtId="0" xfId="0" applyFont="1" applyAlignment="1">
      <alignment wrapText="1"/>
    </xf>
    <xf fontId="4" fillId="0" borderId="0" numFmtId="0" xfId="0" applyFont="1" applyAlignment="1">
      <alignment vertical="center"/>
    </xf>
    <xf fontId="23" fillId="0" borderId="0" numFmtId="0" xfId="0" applyFont="1" applyAlignment="1">
      <alignment horizontal="center" wrapText="1"/>
    </xf>
    <xf fontId="4" fillId="0" borderId="0" numFmtId="0" xfId="0" applyFont="1" applyAlignment="1">
      <alignment vertical="center" wrapText="1"/>
    </xf>
    <xf fontId="0" fillId="0" borderId="0" numFmtId="2" xfId="0" applyNumberFormat="1"/>
    <xf fontId="24" fillId="0" borderId="0" numFmtId="0" xfId="0" applyFont="1"/>
    <xf fontId="0" fillId="0" borderId="0" numFmtId="169" xfId="0" applyNumberFormat="1"/>
    <xf fontId="0" fillId="15" borderId="0" numFmtId="0" xfId="0" applyFill="1" applyAlignment="1">
      <alignment horizontal="center" vertical="center"/>
    </xf>
    <xf fontId="0" fillId="0" borderId="6" numFmtId="1" xfId="0" applyNumberFormat="1" applyBorder="1"/>
    <xf fontId="0" fillId="0" borderId="6" numFmtId="169" xfId="0" applyNumberFormat="1" applyBorder="1"/>
    <xf fontId="24" fillId="0" borderId="6" numFmtId="1" xfId="0" applyNumberFormat="1" applyFont="1" applyBorder="1" applyAlignment="1">
      <alignment horizontal="center"/>
    </xf>
    <xf fontId="25" fillId="0" borderId="21" numFmtId="1" xfId="0" applyNumberFormat="1" applyFont="1" applyBorder="1" applyAlignment="1">
      <alignment horizontal="center" vertical="center"/>
    </xf>
    <xf fontId="25" fillId="0" borderId="2" numFmtId="0" xfId="0" applyFont="1" applyBorder="1" applyAlignment="1">
      <alignment horizontal="center" vertical="center" wrapText="1"/>
    </xf>
    <xf fontId="0" fillId="0" borderId="21" numFmtId="171" xfId="0" applyNumberFormat="1" applyBorder="1" applyAlignment="1">
      <alignment horizontal="center"/>
    </xf>
    <xf fontId="0" fillId="0" borderId="2" numFmtId="171" xfId="0" applyNumberFormat="1" applyBorder="1" applyAlignment="1">
      <alignment horizontal="center"/>
    </xf>
    <xf fontId="4" fillId="0" borderId="2" numFmtId="167" xfId="59" applyNumberFormat="1" applyFont="1" applyBorder="1" applyAlignment="1" applyProtection="1">
      <alignment horizontal="center" wrapText="1"/>
    </xf>
    <xf fontId="4" fillId="0" borderId="2" numFmtId="167" xfId="59" applyNumberFormat="1" applyFont="1" applyBorder="1" applyAlignment="1" applyProtection="1">
      <alignment horizontal="center" vertical="center" wrapText="1"/>
    </xf>
    <xf fontId="0" fillId="0" borderId="22" numFmtId="0" xfId="0" applyBorder="1"/>
    <xf fontId="20" fillId="0" borderId="23" numFmtId="0" xfId="0" applyFont="1" applyBorder="1"/>
    <xf fontId="0" fillId="0" borderId="24" numFmtId="171" xfId="0" applyNumberFormat="1" applyBorder="1"/>
    <xf fontId="0" fillId="0" borderId="24" numFmtId="170" xfId="0" applyNumberFormat="1" applyBorder="1"/>
    <xf fontId="4" fillId="0" borderId="25" numFmtId="0" xfId="0" applyFont="1" applyBorder="1" applyAlignment="1">
      <alignment horizontal="center" vertical="center" wrapText="1"/>
    </xf>
    <xf fontId="4" fillId="0" borderId="24" numFmtId="0" xfId="0" applyFont="1" applyBorder="1"/>
    <xf fontId="0" fillId="0" borderId="26" numFmtId="0" xfId="0" applyBorder="1"/>
    <xf fontId="0" fillId="0" borderId="27" numFmtId="0" xfId="0" applyBorder="1"/>
    <xf fontId="0" fillId="0" borderId="28" numFmtId="0" xfId="0" applyBorder="1"/>
    <xf fontId="0" fillId="0" borderId="28" numFmtId="171" xfId="0" applyNumberFormat="1" applyBorder="1"/>
    <xf fontId="0" fillId="0" borderId="29" numFmtId="0" xfId="0" applyBorder="1"/>
    <xf fontId="0" fillId="0" borderId="24" numFmtId="0" xfId="0" applyBorder="1"/>
    <xf fontId="0" fillId="0" borderId="2" numFmtId="172" xfId="33" applyNumberFormat="1" applyBorder="1" applyProtection="1"/>
    <xf fontId="0" fillId="0" borderId="2" numFmtId="164" xfId="33" applyNumberFormat="1" applyBorder="1" applyProtection="1"/>
    <xf fontId="0" fillId="0" borderId="2" numFmtId="173" xfId="33" applyNumberFormat="1" applyBorder="1" applyProtection="1"/>
    <xf fontId="26" fillId="0" borderId="30" numFmtId="3" xfId="0" applyNumberFormat="1" applyFont="1" applyBorder="1" applyAlignment="1">
      <alignment horizontal="center" vertical="center"/>
    </xf>
    <xf fontId="21" fillId="0" borderId="2" numFmtId="0" xfId="0" applyFont="1" applyBorder="1" applyAlignment="1">
      <alignment horizontal="center"/>
    </xf>
    <xf fontId="21" fillId="0" borderId="2" numFmtId="3" xfId="0" applyNumberFormat="1" applyFont="1" applyBorder="1"/>
    <xf fontId="0" fillId="0" borderId="2" numFmtId="174" xfId="0" applyNumberFormat="1" applyBorder="1"/>
    <xf fontId="0" fillId="0" borderId="0" numFmtId="0" xfId="0" applyAlignment="1">
      <alignment horizontal="center" vertical="center"/>
    </xf>
    <xf fontId="21" fillId="10" borderId="31" numFmtId="0" xfId="0" applyFont="1" applyFill="1" applyBorder="1" applyAlignment="1">
      <alignment horizontal="center" vertical="center"/>
    </xf>
    <xf fontId="21" fillId="0" borderId="30" numFmtId="0" xfId="0" applyFont="1" applyBorder="1" applyAlignment="1">
      <alignment horizontal="center" vertical="center" wrapText="1"/>
    </xf>
    <xf fontId="21" fillId="10" borderId="31" numFmtId="0" xfId="0" applyFont="1" applyFill="1" applyBorder="1" applyAlignment="1">
      <alignment horizontal="center" vertical="center" wrapText="1"/>
    </xf>
    <xf fontId="21" fillId="0" borderId="2" numFmtId="0" xfId="0" applyFont="1" applyBorder="1"/>
    <xf fontId="27" fillId="0" borderId="32" numFmtId="175" xfId="22" applyNumberFormat="1" applyFont="1" applyBorder="1" applyProtection="1"/>
    <xf fontId="0" fillId="0" borderId="2" numFmtId="167" xfId="59" applyNumberFormat="1" applyBorder="1" applyProtection="1"/>
    <xf fontId="27" fillId="10" borderId="32" numFmtId="175" xfId="22" applyNumberFormat="1" applyFont="1" applyFill="1" applyBorder="1" applyAlignment="1" applyProtection="1">
      <alignment horizontal="right"/>
    </xf>
    <xf fontId="21" fillId="0" borderId="2" numFmtId="169" xfId="0" applyNumberFormat="1" applyFont="1" applyBorder="1" applyAlignment="1">
      <alignment horizontal="center"/>
    </xf>
    <xf fontId="27" fillId="0" borderId="33" numFmtId="175" xfId="22" applyNumberFormat="1" applyFont="1" applyBorder="1" applyProtection="1"/>
    <xf fontId="27" fillId="10" borderId="33" numFmtId="175" xfId="22" applyNumberFormat="1" applyFont="1" applyFill="1" applyBorder="1" applyAlignment="1" applyProtection="1">
      <alignment horizontal="right"/>
    </xf>
    <xf fontId="21" fillId="0" borderId="2" numFmtId="3" xfId="0" applyNumberFormat="1" applyFont="1" applyBorder="1" applyAlignment="1">
      <alignment wrapText="1"/>
    </xf>
    <xf fontId="0" fillId="0" borderId="30" numFmtId="0" xfId="0" applyBorder="1"/>
    <xf fontId="0" fillId="0" borderId="2" numFmtId="0" xfId="0" applyBorder="1" applyAlignment="1">
      <alignment wrapText="1"/>
    </xf>
    <xf fontId="28" fillId="10" borderId="34" numFmtId="0" xfId="0" applyFont="1" applyFill="1" applyBorder="1"/>
    <xf fontId="21" fillId="10" borderId="31" numFmtId="0" xfId="0" applyFont="1" applyFill="1" applyBorder="1"/>
    <xf fontId="0" fillId="10" borderId="31" numFmtId="0" xfId="0" applyFill="1" applyBorder="1"/>
    <xf fontId="27" fillId="10" borderId="31" numFmtId="170" xfId="62" applyNumberFormat="1" applyFont="1" applyFill="1" applyBorder="1" applyAlignment="1" applyProtection="1">
      <alignment horizontal="center" vertical="center"/>
    </xf>
    <xf fontId="21" fillId="0" borderId="2" numFmtId="176" xfId="0" applyNumberFormat="1" applyFont="1" applyBorder="1"/>
    <xf fontId="27" fillId="10" borderId="32" numFmtId="175" xfId="22" applyNumberFormat="1" applyFont="1" applyFill="1" applyBorder="1" applyProtection="1"/>
    <xf fontId="27" fillId="10" borderId="35" numFmtId="0" xfId="0" applyFont="1" applyFill="1" applyBorder="1"/>
    <xf fontId="27" fillId="10" borderId="32" numFmtId="170" xfId="59" applyNumberFormat="1" applyFont="1" applyFill="1" applyBorder="1" applyProtection="1"/>
    <xf fontId="27" fillId="0" borderId="31" numFmtId="170" xfId="62" applyNumberFormat="1" applyFont="1" applyBorder="1" applyAlignment="1" applyProtection="1">
      <alignment horizontal="center" vertical="center"/>
    </xf>
    <xf fontId="27" fillId="10" borderId="33" numFmtId="175" xfId="22" applyNumberFormat="1" applyFont="1" applyFill="1" applyBorder="1" applyProtection="1"/>
    <xf fontId="27" fillId="10" borderId="31" numFmtId="0" xfId="0" applyFont="1" applyFill="1" applyBorder="1"/>
    <xf fontId="21" fillId="0" borderId="15" numFmtId="176" xfId="0" applyNumberFormat="1" applyFont="1" applyBorder="1"/>
    <xf fontId="0" fillId="12" borderId="0" numFmtId="0" xfId="0" applyFill="1" applyAlignment="1">
      <alignment horizontal="left"/>
    </xf>
    <xf fontId="0" fillId="0" borderId="0" numFmtId="0" xfId="0" applyAlignment="1">
      <alignment horizontal="center" vertical="center" wrapText="1"/>
    </xf>
    <xf fontId="21" fillId="14" borderId="0" numFmtId="0" xfId="0" applyFont="1" applyFill="1" applyAlignment="1">
      <alignment horizontal="center" vertical="center" wrapText="1"/>
    </xf>
    <xf fontId="20" fillId="0" borderId="0" numFmtId="0" xfId="0" applyFont="1" applyAlignment="1">
      <alignment wrapText="1"/>
    </xf>
    <xf fontId="0" fillId="0" borderId="2" numFmtId="169" xfId="0" applyNumberFormat="1" applyBorder="1"/>
    <xf fontId="29" fillId="0" borderId="0" numFmtId="0" xfId="0" applyFont="1"/>
    <xf fontId="30" fillId="0" borderId="0" numFmtId="0" xfId="0" applyFont="1"/>
    <xf fontId="31" fillId="0" borderId="2" numFmtId="0" xfId="0" applyFont="1" applyBorder="1" applyAlignment="1">
      <alignment wrapText="1"/>
    </xf>
    <xf fontId="31" fillId="0" borderId="2" numFmtId="0" xfId="0" applyFont="1" applyBorder="1" applyAlignment="1">
      <alignment horizontal="center" wrapText="1"/>
    </xf>
    <xf fontId="32" fillId="0" borderId="2" numFmtId="0" xfId="0" applyFont="1" applyBorder="1" applyAlignment="1">
      <alignment wrapText="1"/>
    </xf>
    <xf fontId="32" fillId="0" borderId="2" numFmtId="3" xfId="0" applyNumberFormat="1" applyFont="1" applyBorder="1" applyAlignment="1">
      <alignment horizontal="center" wrapText="1"/>
    </xf>
    <xf fontId="31" fillId="0" borderId="2" numFmtId="3" xfId="0" applyNumberFormat="1" applyFont="1" applyBorder="1" applyAlignment="1">
      <alignment horizontal="center" wrapText="1"/>
    </xf>
    <xf fontId="0" fillId="0" borderId="0" numFmtId="177" xfId="0" applyNumberFormat="1"/>
    <xf fontId="20" fillId="0" borderId="0" numFmtId="169" xfId="0" applyNumberFormat="1" applyFont="1"/>
    <xf fontId="20" fillId="12" borderId="0" numFmtId="0" xfId="0" applyFont="1" applyFill="1"/>
    <xf fontId="0" fillId="0" borderId="6" numFmtId="176" xfId="0" applyNumberFormat="1" applyBorder="1"/>
    <xf fontId="0" fillId="0" borderId="0" numFmtId="176" xfId="0" applyNumberFormat="1"/>
    <xf fontId="20" fillId="0" borderId="0" numFmtId="176" xfId="0" applyNumberFormat="1" applyFont="1"/>
    <xf fontId="0" fillId="15" borderId="6" numFmtId="0" xfId="0" applyFill="1" applyBorder="1" applyAlignment="1">
      <alignment horizontal="center" vertical="center"/>
    </xf>
    <xf fontId="33" fillId="16" borderId="36" numFmtId="0" xfId="0" applyFont="1" applyFill="1" applyBorder="1"/>
    <xf fontId="34" fillId="16" borderId="37" numFmtId="0" xfId="0" applyFont="1" applyFill="1" applyBorder="1"/>
    <xf fontId="34" fillId="16" borderId="38" numFmtId="0" xfId="0" applyFont="1" applyFill="1" applyBorder="1"/>
    <xf fontId="0" fillId="16" borderId="37" numFmtId="0" xfId="0" applyFill="1" applyBorder="1"/>
    <xf fontId="21" fillId="17" borderId="39" numFmtId="0" xfId="0" applyFont="1" applyFill="1" applyBorder="1"/>
    <xf fontId="21" fillId="17" borderId="0" numFmtId="0" xfId="0" applyFont="1" applyFill="1"/>
    <xf fontId="21" fillId="17" borderId="0" numFmtId="171" xfId="59" applyNumberFormat="1" applyFont="1" applyFill="1" applyProtection="1"/>
    <xf fontId="21" fillId="17" borderId="40" numFmtId="171" xfId="59" applyNumberFormat="1" applyFont="1" applyFill="1" applyBorder="1" applyProtection="1"/>
    <xf fontId="35" fillId="17" borderId="0" numFmtId="171" xfId="59" applyNumberFormat="1" applyFont="1" applyFill="1" applyProtection="1"/>
    <xf fontId="0" fillId="10" borderId="39" numFmtId="0" xfId="0" applyFill="1" applyBorder="1"/>
    <xf fontId="0" fillId="10" borderId="0" numFmtId="0" xfId="0" applyFill="1"/>
    <xf fontId="0" fillId="10" borderId="0" numFmtId="167" xfId="59" applyNumberFormat="1" applyFill="1" applyProtection="1"/>
    <xf fontId="0" fillId="10" borderId="40" numFmtId="167" xfId="59" applyNumberFormat="1" applyFill="1" applyBorder="1" applyProtection="1"/>
    <xf fontId="0" fillId="18" borderId="39" numFmtId="0" xfId="0" applyFill="1" applyBorder="1"/>
    <xf fontId="0" fillId="18" borderId="0" numFmtId="0" xfId="0" applyFill="1"/>
    <xf fontId="14" fillId="18" borderId="0" numFmtId="167" xfId="0" applyNumberFormat="1" applyFont="1" applyFill="1"/>
    <xf fontId="14" fillId="18" borderId="0" numFmtId="167" xfId="59" applyNumberFormat="1" applyFont="1" applyFill="1" applyProtection="1"/>
    <xf fontId="0" fillId="18" borderId="0" numFmtId="167" xfId="59" applyNumberFormat="1" applyFill="1" applyProtection="1"/>
    <xf fontId="0" fillId="18" borderId="40" numFmtId="167" xfId="59" applyNumberFormat="1" applyFill="1" applyBorder="1" applyProtection="1"/>
    <xf fontId="0" fillId="19" borderId="39" numFmtId="0" xfId="0" applyFill="1" applyBorder="1"/>
    <xf fontId="0" fillId="19" borderId="0" numFmtId="0" xfId="0" applyFill="1"/>
    <xf fontId="0" fillId="19" borderId="0" numFmtId="167" xfId="59" applyNumberFormat="1" applyFill="1" applyProtection="1"/>
    <xf fontId="0" fillId="19" borderId="40" numFmtId="167" xfId="59" applyNumberFormat="1" applyFill="1" applyBorder="1" applyProtection="1"/>
    <xf fontId="0" fillId="20" borderId="39" numFmtId="0" xfId="0" applyFill="1" applyBorder="1"/>
    <xf fontId="0" fillId="20" borderId="0" numFmtId="0" xfId="0" applyFill="1"/>
    <xf fontId="14" fillId="20" borderId="0" numFmtId="171" xfId="0" applyNumberFormat="1" applyFont="1" applyFill="1"/>
    <xf fontId="14" fillId="20" borderId="0" numFmtId="171" xfId="59" applyNumberFormat="1" applyFont="1" applyFill="1" applyProtection="1"/>
    <xf fontId="0" fillId="20" borderId="0" numFmtId="167" xfId="59" applyNumberFormat="1" applyFill="1" applyProtection="1"/>
    <xf fontId="0" fillId="20" borderId="40" numFmtId="167" xfId="59" applyNumberFormat="1" applyFill="1" applyBorder="1" applyProtection="1"/>
    <xf fontId="0" fillId="10" borderId="41" numFmtId="0" xfId="0" applyFill="1" applyBorder="1"/>
    <xf fontId="0" fillId="10" borderId="42" numFmtId="0" xfId="0" applyFill="1" applyBorder="1"/>
    <xf fontId="0" fillId="10" borderId="42" numFmtId="167" xfId="59" applyNumberFormat="1" applyFill="1" applyBorder="1" applyProtection="1"/>
    <xf fontId="0" fillId="10" borderId="43" numFmtId="167" xfId="59" applyNumberFormat="1" applyFill="1" applyBorder="1" applyProtection="1"/>
    <xf fontId="0" fillId="18" borderId="41" numFmtId="0" xfId="0" applyFill="1" applyBorder="1"/>
    <xf fontId="0" fillId="18" borderId="42" numFmtId="0" xfId="0" applyFill="1" applyBorder="1"/>
    <xf fontId="14" fillId="18" borderId="42" numFmtId="167" xfId="0" applyNumberFormat="1" applyFont="1" applyFill="1" applyBorder="1"/>
    <xf fontId="14" fillId="18" borderId="42" numFmtId="167" xfId="59" applyNumberFormat="1" applyFont="1" applyFill="1" applyBorder="1" applyProtection="1"/>
    <xf fontId="0" fillId="18" borderId="42" numFmtId="167" xfId="59" applyNumberFormat="1" applyFill="1" applyBorder="1" applyProtection="1"/>
    <xf fontId="0" fillId="18" borderId="43" numFmtId="167" xfId="59" applyNumberFormat="1" applyFill="1" applyBorder="1" applyProtection="1"/>
    <xf fontId="0" fillId="16" borderId="36" numFmtId="0" xfId="0" applyFill="1" applyBorder="1"/>
    <xf fontId="36" fillId="16" borderId="38" numFmtId="0" xfId="0" applyFont="1" applyFill="1" applyBorder="1" applyAlignment="1">
      <alignment horizontal="center" wrapText="1"/>
    </xf>
    <xf fontId="37" fillId="16" borderId="39" numFmtId="0" xfId="0" applyFont="1" applyFill="1" applyBorder="1" applyAlignment="1">
      <alignment horizontal="center" vertical="center" wrapText="1"/>
    </xf>
    <xf fontId="38" fillId="16" borderId="0" numFmtId="0" xfId="0" applyFont="1" applyFill="1" applyAlignment="1">
      <alignment wrapText="1"/>
    </xf>
    <xf fontId="39" fillId="16" borderId="0" numFmtId="0" xfId="0" applyFont="1" applyFill="1" applyAlignment="1">
      <alignment horizontal="center" wrapText="1"/>
    </xf>
    <xf fontId="39" fillId="16" borderId="0" numFmtId="0" xfId="0" applyFont="1" applyFill="1" applyAlignment="1">
      <alignment horizontal="center" vertical="center" wrapText="1"/>
    </xf>
    <xf fontId="40" fillId="19" borderId="39" numFmtId="0" xfId="0" applyFont="1" applyFill="1" applyBorder="1" applyAlignment="1">
      <alignment horizontal="center"/>
    </xf>
    <xf fontId="40" fillId="19" borderId="0" numFmtId="0" xfId="0" applyFont="1" applyFill="1" applyAlignment="1">
      <alignment horizontal="center"/>
    </xf>
    <xf fontId="41" fillId="19" borderId="0" numFmtId="167" xfId="0" applyNumberFormat="1" applyFont="1" applyFill="1" applyAlignment="1">
      <alignment horizontal="center"/>
    </xf>
    <xf fontId="42" fillId="19" borderId="40" numFmtId="169" xfId="0" applyNumberFormat="1" applyFont="1" applyFill="1" applyBorder="1" applyAlignment="1">
      <alignment horizontal="center"/>
    </xf>
    <xf fontId="43" fillId="10" borderId="39" numFmtId="0" xfId="0" applyFont="1" applyFill="1" applyBorder="1" applyAlignment="1">
      <alignment horizontal="center"/>
    </xf>
    <xf fontId="43" fillId="10" borderId="0" numFmtId="0" xfId="0" applyFont="1" applyFill="1" applyAlignment="1">
      <alignment horizontal="center"/>
    </xf>
    <xf fontId="41" fillId="10" borderId="0" numFmtId="167" xfId="0" applyNumberFormat="1" applyFont="1" applyFill="1" applyAlignment="1">
      <alignment horizontal="center"/>
    </xf>
    <xf fontId="42" fillId="10" borderId="40" numFmtId="169" xfId="0" applyNumberFormat="1" applyFont="1" applyFill="1" applyBorder="1" applyAlignment="1">
      <alignment horizontal="center"/>
    </xf>
    <xf fontId="43" fillId="19" borderId="39" numFmtId="0" xfId="0" applyFont="1" applyFill="1" applyBorder="1" applyAlignment="1">
      <alignment horizontal="center"/>
    </xf>
    <xf fontId="43" fillId="19" borderId="0" numFmtId="0" xfId="0" applyFont="1" applyFill="1" applyAlignment="1">
      <alignment horizontal="center"/>
    </xf>
    <xf fontId="43" fillId="10" borderId="44" numFmtId="0" xfId="0" applyFont="1" applyFill="1" applyBorder="1" applyAlignment="1">
      <alignment horizontal="center"/>
    </xf>
    <xf fontId="43" fillId="10" borderId="19" numFmtId="0" xfId="0" applyFont="1" applyFill="1" applyBorder="1" applyAlignment="1">
      <alignment horizontal="center"/>
    </xf>
    <xf fontId="41" fillId="10" borderId="19" numFmtId="167" xfId="0" applyNumberFormat="1" applyFont="1" applyFill="1" applyBorder="1" applyAlignment="1">
      <alignment horizontal="center"/>
    </xf>
    <xf fontId="42" fillId="10" borderId="45" numFmtId="169" xfId="0" applyNumberFormat="1" applyFont="1" applyFill="1" applyBorder="1" applyAlignment="1">
      <alignment horizontal="center"/>
    </xf>
    <xf fontId="40" fillId="19" borderId="46" numFmtId="0" xfId="0" applyFont="1" applyFill="1" applyBorder="1" applyAlignment="1">
      <alignment horizontal="center"/>
    </xf>
    <xf fontId="40" fillId="19" borderId="12" numFmtId="0" xfId="0" applyFont="1" applyFill="1" applyBorder="1" applyAlignment="1">
      <alignment horizontal="center"/>
    </xf>
    <xf fontId="41" fillId="19" borderId="12" numFmtId="167" xfId="0" applyNumberFormat="1" applyFont="1" applyFill="1" applyBorder="1" applyAlignment="1">
      <alignment horizontal="center"/>
    </xf>
    <xf fontId="40" fillId="10" borderId="39" numFmtId="0" xfId="0" applyFont="1" applyFill="1" applyBorder="1" applyAlignment="1">
      <alignment horizontal="center"/>
    </xf>
    <xf fontId="43" fillId="10" borderId="41" numFmtId="0" xfId="0" applyFont="1" applyFill="1" applyBorder="1" applyAlignment="1">
      <alignment horizontal="center"/>
    </xf>
    <xf fontId="43" fillId="10" borderId="42" numFmtId="0" xfId="0" applyFont="1" applyFill="1" applyBorder="1" applyAlignment="1">
      <alignment horizontal="center"/>
    </xf>
    <xf fontId="41" fillId="10" borderId="42" numFmtId="167" xfId="0" applyNumberFormat="1" applyFont="1" applyFill="1" applyBorder="1" applyAlignment="1">
      <alignment horizontal="center"/>
    </xf>
    <xf fontId="42" fillId="10" borderId="43" numFmtId="169" xfId="0" applyNumberFormat="1" applyFont="1" applyFill="1" applyBorder="1" applyAlignment="1">
      <alignment horizontal="center"/>
    </xf>
    <xf fontId="38" fillId="16" borderId="20" numFmtId="0" xfId="0" applyFont="1" applyFill="1" applyBorder="1" applyAlignment="1">
      <alignment horizontal="center" vertical="center" wrapText="1"/>
    </xf>
    <xf fontId="37" fillId="16" borderId="30" numFmtId="0" xfId="0" applyFont="1" applyFill="1" applyBorder="1"/>
    <xf fontId="37" fillId="16" borderId="47" numFmtId="0" xfId="0" applyFont="1" applyFill="1" applyBorder="1"/>
    <xf fontId="37" fillId="16" borderId="21" numFmtId="0" xfId="0" applyFont="1" applyFill="1" applyBorder="1"/>
    <xf fontId="38" fillId="16" borderId="2" numFmtId="0" xfId="0" applyFont="1" applyFill="1" applyBorder="1" applyAlignment="1">
      <alignment horizontal="center" wrapText="1"/>
    </xf>
    <xf fontId="41" fillId="17" borderId="10" numFmtId="0" xfId="0" applyFont="1" applyFill="1" applyBorder="1" applyAlignment="1">
      <alignment horizontal="center"/>
    </xf>
    <xf fontId="44" fillId="17" borderId="2" numFmtId="0" xfId="0" applyFont="1" applyFill="1" applyBorder="1"/>
    <xf fontId="44" fillId="17" borderId="2" numFmtId="0" xfId="0" applyFont="1" applyFill="1" applyBorder="1" applyAlignment="1">
      <alignment horizontal="center"/>
    </xf>
    <xf fontId="42" fillId="0" borderId="2" numFmtId="0" xfId="0" applyFont="1" applyBorder="1" applyAlignment="1">
      <alignment horizontal="center"/>
    </xf>
    <xf fontId="45" fillId="0" borderId="2" numFmtId="2" xfId="0" applyNumberFormat="1" applyFont="1" applyBorder="1"/>
    <xf fontId="42" fillId="0" borderId="2" numFmtId="0" xfId="0" applyFont="1" applyBorder="1"/>
    <xf fontId="21" fillId="0" borderId="0" numFmtId="0" xfId="0" applyFont="1" applyAlignment="1">
      <alignment horizontal="center" vertical="center" wrapText="1"/>
    </xf>
    <xf fontId="0" fillId="0" borderId="6" numFmtId="0" xfId="0" applyBorder="1" applyAlignment="1">
      <alignment horizontal="center"/>
    </xf>
    <xf fontId="0" fillId="0" borderId="0" numFmtId="178" xfId="0" applyNumberFormat="1"/>
    <xf fontId="46" fillId="0" borderId="0" numFmtId="3" xfId="0" applyNumberFormat="1" applyFont="1"/>
    <xf fontId="46" fillId="0" borderId="0" numFmtId="0" xfId="0" applyFont="1"/>
  </cellXfs>
  <cellStyles count="77">
    <cellStyle name="Accent 1 14" xfId="1"/>
    <cellStyle name="Accent 1 5" xfId="2"/>
    <cellStyle name="Accent 13" xfId="3"/>
    <cellStyle name="Accent 2 15" xfId="4"/>
    <cellStyle name="Accent 2 6" xfId="5"/>
    <cellStyle name="Accent 3 16" xfId="6"/>
    <cellStyle name="Accent 3 7" xfId="7"/>
    <cellStyle name="Accent 4" xfId="8"/>
    <cellStyle name="Bad 10" xfId="9"/>
    <cellStyle name="Bad 8" xfId="10"/>
    <cellStyle name="Comma [0]" xfId="11"/>
    <cellStyle name="Comma [0] 2" xfId="12"/>
    <cellStyle name="Currency [0]" xfId="13"/>
    <cellStyle name="Currency [0] 2" xfId="14"/>
    <cellStyle name="En-tête" xfId="15"/>
    <cellStyle name="Error 12" xfId="16"/>
    <cellStyle name="Error 9" xfId="17"/>
    <cellStyle name="Euro" xfId="18"/>
    <cellStyle name="Euro 2" xfId="19"/>
    <cellStyle name="Euro 3" xfId="20"/>
    <cellStyle name="Euro 4" xfId="21"/>
    <cellStyle name="Excel_BuiltIn_Comma 1" xfId="22"/>
    <cellStyle name="Footnote 10" xfId="23"/>
    <cellStyle name="Footnote 5" xfId="24"/>
    <cellStyle name="Good 11" xfId="25"/>
    <cellStyle name="Good 8" xfId="26"/>
    <cellStyle name="Heading 1 1" xfId="27"/>
    <cellStyle name="Heading 1 12" xfId="28"/>
    <cellStyle name="Heading 2 13" xfId="29"/>
    <cellStyle name="Heading 2 2" xfId="30"/>
    <cellStyle name="Hyperlink 14" xfId="31"/>
    <cellStyle name="Hyperlink 6" xfId="32"/>
    <cellStyle name="Milliers" xfId="33" builtinId="3"/>
    <cellStyle name="Milliers 2" xfId="34"/>
    <cellStyle name="Milliers 3" xfId="35"/>
    <cellStyle name="Milliers 4" xfId="36"/>
    <cellStyle name="Milliers 5" xfId="37"/>
    <cellStyle name="Milliers 6" xfId="38"/>
    <cellStyle name="Neutral 15" xfId="39"/>
    <cellStyle name="Neutral 9" xfId="40"/>
    <cellStyle name="Neutre 2" xfId="41"/>
    <cellStyle name="Normal" xfId="0" builtinId="0"/>
    <cellStyle name="Normal 10 10 2 2 2" xfId="42"/>
    <cellStyle name="Normal 2" xfId="43"/>
    <cellStyle name="Normal 2 2" xfId="44"/>
    <cellStyle name="Normal 2 2 2" xfId="45"/>
    <cellStyle name="Normal 2 2 2 2 4" xfId="46"/>
    <cellStyle name="Normal 2 3" xfId="47"/>
    <cellStyle name="Normal 2 4" xfId="48"/>
    <cellStyle name="Normal 3" xfId="49"/>
    <cellStyle name="Normal 3 2" xfId="50"/>
    <cellStyle name="Normal 3 3" xfId="51"/>
    <cellStyle name="Normal 3 4" xfId="52"/>
    <cellStyle name="Normal 4" xfId="53"/>
    <cellStyle name="Normal 5" xfId="54"/>
    <cellStyle name="Normal 6" xfId="55"/>
    <cellStyle name="Normal 7" xfId="56"/>
    <cellStyle name="Note 16" xfId="57"/>
    <cellStyle name="Note 4" xfId="58"/>
    <cellStyle name="Pourcentage" xfId="59" builtinId="5"/>
    <cellStyle name="Pourcentage 2" xfId="60"/>
    <cellStyle name="Pourcentage 2 2" xfId="61"/>
    <cellStyle name="Pourcentage 3" xfId="62"/>
    <cellStyle name="Pourcentage 3 2" xfId="63"/>
    <cellStyle name="Pourcentage 3 3" xfId="64"/>
    <cellStyle name="Pourcentage 4" xfId="65"/>
    <cellStyle name="Résultat" xfId="66"/>
    <cellStyle name="Résultat2" xfId="67"/>
    <cellStyle name="Standard_Mappe1" xfId="68"/>
    <cellStyle name="Status 17" xfId="69"/>
    <cellStyle name="Status 7" xfId="70"/>
    <cellStyle name="TableStyleLight1" xfId="71"/>
    <cellStyle name="Text 18" xfId="72"/>
    <cellStyle name="Text 3" xfId="73"/>
    <cellStyle name="Titre1" xfId="74"/>
    <cellStyle name="Warning 11" xfId="75"/>
    <cellStyle name="Warning 19" xfId="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7" workbookViewId="0">
      <selection activeCell="B4" activeCellId="0" sqref="B4:R4"/>
    </sheetView>
  </sheetViews>
  <sheetFormatPr baseColWidth="10" defaultColWidth="9.140625" defaultRowHeight="14.25"/>
  <cols>
    <col customWidth="1" min="1" max="1" width="17.28515625"/>
    <col customWidth="1" min="2" max="2" width="29.5703125"/>
    <col customWidth="1" min="3" max="3" width="8.42578125"/>
    <col customWidth="1" hidden="1" min="4" max="7" width="11.5703125"/>
    <col customWidth="1" min="8" max="8" width="8.42578125"/>
    <col customWidth="1" hidden="1" min="9" max="12" width="11.5703125"/>
    <col customWidth="1" min="13" max="13" width="8.42578125"/>
    <col customWidth="1" hidden="1" min="14" max="17" width="11.5703125"/>
    <col customWidth="1" min="18" max="18" width="8.42578125"/>
    <col customWidth="1" hidden="1" min="19" max="22" width="11.5703125"/>
    <col customWidth="1" min="23" max="23" width="8.42578125"/>
    <col customWidth="1" hidden="1" min="24" max="27" width="11.5703125"/>
    <col customWidth="1" min="28" max="28" width="8.42578125"/>
    <col customWidth="1" hidden="1" min="29" max="32" width="11.5703125"/>
    <col customWidth="1" min="33" max="34" width="8.42578125"/>
    <col customWidth="1" min="35" max="35" width="14.5703125"/>
    <col customWidth="1" min="36" max="36" width="17.42578125"/>
    <col customWidth="1" min="37" max="37" width="16.85546875"/>
    <col customWidth="1" min="38" max="38" width="9.7109375"/>
    <col customWidth="1" min="39" max="46" width="8.42578125"/>
    <col customWidth="1" min="47" max="47" width="13.28515625"/>
    <col customWidth="1" min="48" max="1025" width="8.42578125"/>
  </cols>
  <sheetData>
    <row r="4" ht="26.100000000000001" customHeight="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7">
      <c r="A7" s="2" t="s">
        <v>1</v>
      </c>
      <c r="AK7" s="3" t="s">
        <v>2</v>
      </c>
      <c r="AL7" s="3"/>
    </row>
    <row r="8">
      <c r="B8" s="4"/>
      <c r="C8" s="5">
        <v>2020</v>
      </c>
      <c r="D8" s="5">
        <f t="shared" ref="D8:AG8" si="0">C8+1</f>
        <v>2021</v>
      </c>
      <c r="E8" s="5">
        <f t="shared" si="0"/>
        <v>2022</v>
      </c>
      <c r="F8" s="5">
        <f t="shared" si="0"/>
        <v>2023</v>
      </c>
      <c r="G8" s="5">
        <f t="shared" si="0"/>
        <v>2024</v>
      </c>
      <c r="H8" s="5">
        <f t="shared" si="0"/>
        <v>2025</v>
      </c>
      <c r="I8" s="5">
        <f t="shared" si="0"/>
        <v>2026</v>
      </c>
      <c r="J8" s="5">
        <f t="shared" si="0"/>
        <v>2027</v>
      </c>
      <c r="K8" s="5">
        <f t="shared" si="0"/>
        <v>2028</v>
      </c>
      <c r="L8" s="5">
        <f t="shared" si="0"/>
        <v>2029</v>
      </c>
      <c r="M8" s="5">
        <f t="shared" si="0"/>
        <v>2030</v>
      </c>
      <c r="N8" s="5">
        <f t="shared" si="0"/>
        <v>2031</v>
      </c>
      <c r="O8" s="5">
        <f t="shared" si="0"/>
        <v>2032</v>
      </c>
      <c r="P8" s="5">
        <f t="shared" si="0"/>
        <v>2033</v>
      </c>
      <c r="Q8" s="5">
        <f t="shared" si="0"/>
        <v>2034</v>
      </c>
      <c r="R8" s="5">
        <f t="shared" si="0"/>
        <v>2035</v>
      </c>
      <c r="S8" s="5">
        <f t="shared" si="0"/>
        <v>2036</v>
      </c>
      <c r="T8" s="5">
        <f t="shared" si="0"/>
        <v>2037</v>
      </c>
      <c r="U8" s="5">
        <f t="shared" si="0"/>
        <v>2038</v>
      </c>
      <c r="V8" s="5">
        <f t="shared" si="0"/>
        <v>2039</v>
      </c>
      <c r="W8" s="5">
        <f t="shared" si="0"/>
        <v>2040</v>
      </c>
      <c r="X8" s="5">
        <f t="shared" si="0"/>
        <v>2041</v>
      </c>
      <c r="Y8" s="5">
        <f t="shared" si="0"/>
        <v>2042</v>
      </c>
      <c r="Z8" s="5">
        <f t="shared" si="0"/>
        <v>2043</v>
      </c>
      <c r="AA8" s="5">
        <f t="shared" si="0"/>
        <v>2044</v>
      </c>
      <c r="AB8" s="5">
        <f t="shared" si="0"/>
        <v>2045</v>
      </c>
      <c r="AC8" s="5">
        <f t="shared" si="0"/>
        <v>2046</v>
      </c>
      <c r="AD8" s="5">
        <f t="shared" si="0"/>
        <v>2047</v>
      </c>
      <c r="AE8" s="5">
        <f t="shared" si="0"/>
        <v>2048</v>
      </c>
      <c r="AF8" s="5">
        <f t="shared" si="0"/>
        <v>2049</v>
      </c>
      <c r="AG8" s="5">
        <f t="shared" si="0"/>
        <v>2050</v>
      </c>
      <c r="AI8" s="6" t="s">
        <v>3</v>
      </c>
      <c r="AJ8" s="6"/>
      <c r="AK8" s="7" t="s">
        <v>4</v>
      </c>
      <c r="AL8" s="7" t="s">
        <v>5</v>
      </c>
    </row>
    <row r="9" ht="12.75" customHeight="1">
      <c r="A9" s="8" t="s">
        <v>6</v>
      </c>
      <c r="B9" s="6" t="s">
        <v>7</v>
      </c>
      <c r="C9" s="9">
        <v>65.1828038459834</v>
      </c>
      <c r="D9" s="9">
        <v>65.281096124396299</v>
      </c>
      <c r="E9" s="9">
        <v>65.3791971928176</v>
      </c>
      <c r="F9" s="9">
        <v>65.574959006793193</v>
      </c>
      <c r="G9" s="9">
        <v>65.6718154609826</v>
      </c>
      <c r="H9" s="9">
        <v>65.867326732673305</v>
      </c>
      <c r="I9" s="9">
        <v>65.964859644791701</v>
      </c>
      <c r="J9" s="9">
        <v>66.0624838873199</v>
      </c>
      <c r="K9" s="9">
        <v>66.159859002325902</v>
      </c>
      <c r="L9" s="9">
        <v>66.2573565222403</v>
      </c>
      <c r="M9" s="9">
        <v>66.451350457818904</v>
      </c>
      <c r="N9" s="9">
        <v>66.548784893973902</v>
      </c>
      <c r="O9" s="9">
        <v>66.548089135534099</v>
      </c>
      <c r="P9" s="9">
        <v>66.644814545247002</v>
      </c>
      <c r="Q9" s="9">
        <v>66.741112408177202</v>
      </c>
      <c r="R9" s="9">
        <v>66.835909090909098</v>
      </c>
      <c r="S9" s="9">
        <v>66.834887610192993</v>
      </c>
      <c r="T9" s="9">
        <v>66.931401861228196</v>
      </c>
      <c r="U9" s="9">
        <v>67.026878563766701</v>
      </c>
      <c r="V9" s="9">
        <v>67.024371416900294</v>
      </c>
      <c r="W9" s="9">
        <v>67.022387828850199</v>
      </c>
      <c r="X9" s="9">
        <v>67.118081134194298</v>
      </c>
      <c r="Y9" s="9">
        <v>67.115923486547103</v>
      </c>
      <c r="Z9" s="9">
        <v>67.112283279459305</v>
      </c>
      <c r="AA9" s="9">
        <v>67.1113750698714</v>
      </c>
      <c r="AB9" s="9">
        <v>67.109410500460498</v>
      </c>
      <c r="AC9" s="9">
        <v>67.106839727860802</v>
      </c>
      <c r="AD9" s="9">
        <v>67.104243673486394</v>
      </c>
      <c r="AE9" s="9">
        <v>67.101408176328206</v>
      </c>
      <c r="AF9" s="9">
        <v>67.002410978712803</v>
      </c>
      <c r="AG9" s="9">
        <v>66.999160784749606</v>
      </c>
      <c r="AI9" s="10" t="s">
        <v>8</v>
      </c>
      <c r="AJ9" s="10"/>
      <c r="AK9" s="7">
        <v>66.950000000000003</v>
      </c>
      <c r="AL9" s="7">
        <v>69.489999999999995</v>
      </c>
    </row>
    <row r="10" ht="24" customHeight="1">
      <c r="A10" s="8"/>
      <c r="B10" s="6" t="s">
        <v>9</v>
      </c>
      <c r="C10" s="11">
        <v>2.1899999999999999</v>
      </c>
      <c r="D10" s="11"/>
      <c r="E10" s="11"/>
      <c r="F10" s="11"/>
      <c r="G10" s="11"/>
      <c r="H10" s="11">
        <v>2.1499999999999999</v>
      </c>
      <c r="I10" s="11"/>
      <c r="J10" s="11"/>
      <c r="K10" s="11"/>
      <c r="L10" s="11"/>
      <c r="M10" s="11">
        <v>2.1099999999999999</v>
      </c>
      <c r="N10" s="11"/>
      <c r="O10" s="11"/>
      <c r="P10" s="11"/>
      <c r="Q10" s="11"/>
      <c r="R10" s="11">
        <v>2.0699999999999998</v>
      </c>
      <c r="S10" s="11"/>
      <c r="T10" s="11"/>
      <c r="U10" s="11"/>
      <c r="V10" s="11"/>
      <c r="W10" s="11">
        <v>2.04</v>
      </c>
      <c r="X10" s="11"/>
      <c r="Y10" s="11"/>
      <c r="Z10" s="11"/>
      <c r="AA10" s="11"/>
      <c r="AB10" s="11">
        <v>2.0299999999999998</v>
      </c>
      <c r="AC10" s="11"/>
      <c r="AD10" s="11"/>
      <c r="AE10" s="11"/>
      <c r="AF10" s="11"/>
      <c r="AG10" s="11">
        <v>2.02</v>
      </c>
      <c r="AI10" s="10" t="s">
        <v>10</v>
      </c>
      <c r="AJ10" s="10"/>
      <c r="AK10" s="7">
        <v>2.1000000000000001</v>
      </c>
      <c r="AL10" s="7">
        <v>2</v>
      </c>
    </row>
    <row r="11" ht="24.949999999999999" customHeight="1">
      <c r="A11" s="8" t="s">
        <v>11</v>
      </c>
      <c r="B11" s="6" t="s">
        <v>12</v>
      </c>
      <c r="C11" s="6">
        <v>80</v>
      </c>
      <c r="D11" s="6">
        <v>80</v>
      </c>
      <c r="E11" s="6">
        <v>80</v>
      </c>
      <c r="F11" s="6">
        <v>80</v>
      </c>
      <c r="G11" s="6">
        <v>80</v>
      </c>
      <c r="H11" s="6">
        <v>80</v>
      </c>
      <c r="I11" s="6">
        <v>80</v>
      </c>
      <c r="J11" s="6">
        <v>80</v>
      </c>
      <c r="K11" s="6">
        <v>80</v>
      </c>
      <c r="L11" s="6">
        <v>80</v>
      </c>
      <c r="M11" s="6">
        <v>80</v>
      </c>
      <c r="N11" s="6">
        <v>80</v>
      </c>
      <c r="O11" s="6">
        <v>80</v>
      </c>
      <c r="P11" s="6">
        <v>80</v>
      </c>
      <c r="Q11" s="6">
        <v>80</v>
      </c>
      <c r="R11" s="6">
        <v>80</v>
      </c>
      <c r="S11" s="6">
        <v>80</v>
      </c>
      <c r="T11" s="6">
        <v>80</v>
      </c>
      <c r="U11" s="6">
        <v>80</v>
      </c>
      <c r="V11" s="6">
        <v>80</v>
      </c>
      <c r="W11" s="6">
        <v>80</v>
      </c>
      <c r="X11" s="6">
        <v>80</v>
      </c>
      <c r="Y11" s="6">
        <v>80</v>
      </c>
      <c r="Z11" s="6">
        <v>80</v>
      </c>
      <c r="AA11" s="6">
        <v>80</v>
      </c>
      <c r="AB11" s="6">
        <v>80</v>
      </c>
      <c r="AC11" s="6">
        <v>80</v>
      </c>
      <c r="AD11" s="6">
        <v>80</v>
      </c>
      <c r="AE11" s="6">
        <v>80</v>
      </c>
      <c r="AF11" s="6">
        <v>80</v>
      </c>
      <c r="AG11" s="6">
        <v>80</v>
      </c>
      <c r="AI11" s="10" t="s">
        <v>13</v>
      </c>
      <c r="AJ11" s="10"/>
      <c r="AK11" s="7">
        <v>126.7</v>
      </c>
      <c r="AL11" s="7">
        <v>126.7</v>
      </c>
    </row>
    <row r="12" ht="23.449999999999999" customHeight="1">
      <c r="A12" s="8" t="s">
        <v>14</v>
      </c>
      <c r="B12" s="6" t="s">
        <v>15</v>
      </c>
      <c r="C12" s="12">
        <v>0.46000000000000002</v>
      </c>
      <c r="D12" s="12">
        <v>0.46500000000000002</v>
      </c>
      <c r="E12" s="12">
        <v>0.46999999999999997</v>
      </c>
      <c r="F12" s="12">
        <v>0.47499999999999998</v>
      </c>
      <c r="G12" s="12">
        <v>0.47999999999999998</v>
      </c>
      <c r="H12" s="12">
        <v>0.48499999999999999</v>
      </c>
      <c r="I12" s="12">
        <v>0.48999999999999999</v>
      </c>
      <c r="J12" s="12">
        <v>0.495</v>
      </c>
      <c r="K12" s="12">
        <v>0.5</v>
      </c>
      <c r="L12" s="12">
        <v>0.505</v>
      </c>
      <c r="M12" s="12">
        <v>0.51000000000000001</v>
      </c>
      <c r="N12" s="12">
        <v>0.51000000000000001</v>
      </c>
      <c r="O12" s="12">
        <v>0.51000000000000001</v>
      </c>
      <c r="P12" s="12">
        <v>0.51000000000000001</v>
      </c>
      <c r="Q12" s="12">
        <v>0.51000000000000001</v>
      </c>
      <c r="R12" s="12">
        <v>0.51000000000000001</v>
      </c>
      <c r="S12" s="12">
        <v>0.51000000000000001</v>
      </c>
      <c r="T12" s="12">
        <v>0.51000000000000001</v>
      </c>
      <c r="U12" s="12">
        <v>0.51000000000000001</v>
      </c>
      <c r="V12" s="12">
        <v>0.51000000000000001</v>
      </c>
      <c r="W12" s="12">
        <v>0.51000000000000001</v>
      </c>
      <c r="X12" s="12">
        <v>0.51000000000000001</v>
      </c>
      <c r="Y12" s="12">
        <v>0.51000000000000001</v>
      </c>
      <c r="Z12" s="12">
        <v>0.51000000000000001</v>
      </c>
      <c r="AA12" s="12">
        <v>0.51000000000000001</v>
      </c>
      <c r="AB12" s="12">
        <v>0.51000000000000001</v>
      </c>
      <c r="AC12" s="12">
        <v>0.51000000000000001</v>
      </c>
      <c r="AD12" s="12">
        <v>0.51000000000000001</v>
      </c>
      <c r="AE12" s="12">
        <v>0.51000000000000001</v>
      </c>
      <c r="AF12" s="12">
        <v>0.51000000000000001</v>
      </c>
      <c r="AG12" s="12">
        <v>0.51000000000000001</v>
      </c>
      <c r="AI12" s="13" t="s">
        <v>16</v>
      </c>
      <c r="AJ12" s="13"/>
      <c r="AK12" s="14">
        <v>0.41499999999999998</v>
      </c>
      <c r="AL12" s="14">
        <v>0.41499999999999998</v>
      </c>
    </row>
    <row r="13" ht="23.449999999999999" customHeight="1">
      <c r="A13" s="8"/>
      <c r="B13" s="6" t="s">
        <v>17</v>
      </c>
      <c r="C13" s="15">
        <v>115.40000000000001</v>
      </c>
      <c r="D13" s="15"/>
      <c r="E13" s="15"/>
      <c r="F13" s="15"/>
      <c r="G13" s="15"/>
      <c r="H13" s="15">
        <f t="shared" ref="H13:H14" si="1">(C13+M13)/2</f>
        <v>117.7</v>
      </c>
      <c r="I13" s="15"/>
      <c r="J13" s="15"/>
      <c r="K13" s="15"/>
      <c r="L13" s="15"/>
      <c r="M13" s="15">
        <v>120</v>
      </c>
      <c r="N13" s="15"/>
      <c r="O13" s="15"/>
      <c r="P13" s="15"/>
      <c r="Q13" s="15"/>
      <c r="R13" s="15">
        <f t="shared" ref="R13:R14" si="2">(M13+W13)/2</f>
        <v>120</v>
      </c>
      <c r="S13" s="15"/>
      <c r="T13" s="15"/>
      <c r="U13" s="15"/>
      <c r="V13" s="15"/>
      <c r="W13" s="15">
        <f t="shared" ref="W13:W14" si="3">(M13+AG13)/2</f>
        <v>120</v>
      </c>
      <c r="X13" s="15"/>
      <c r="Y13" s="15"/>
      <c r="Z13" s="15"/>
      <c r="AA13" s="15"/>
      <c r="AB13" s="15">
        <f t="shared" ref="AB13:AB14" si="4">(W13+AG13)/2</f>
        <v>120</v>
      </c>
      <c r="AC13" s="15"/>
      <c r="AD13" s="15"/>
      <c r="AE13" s="15"/>
      <c r="AF13" s="15"/>
      <c r="AG13" s="15">
        <f t="shared" ref="AG13:AG14" si="5">M13</f>
        <v>120</v>
      </c>
      <c r="AI13" s="13" t="s">
        <v>18</v>
      </c>
      <c r="AJ13" s="13"/>
      <c r="AK13" s="7">
        <v>113.40000000000001</v>
      </c>
      <c r="AL13" s="7">
        <v>113.40000000000001</v>
      </c>
    </row>
    <row r="14" ht="23.449999999999999" customHeight="1">
      <c r="A14" s="8"/>
      <c r="B14" s="6" t="s">
        <v>19</v>
      </c>
      <c r="C14" s="15">
        <v>64.299999999999997</v>
      </c>
      <c r="D14" s="15"/>
      <c r="E14" s="15"/>
      <c r="F14" s="15"/>
      <c r="G14" s="15"/>
      <c r="H14" s="15">
        <f t="shared" si="1"/>
        <v>66.150000000000006</v>
      </c>
      <c r="I14" s="15"/>
      <c r="J14" s="15"/>
      <c r="K14" s="15"/>
      <c r="L14" s="15"/>
      <c r="M14" s="15">
        <v>68</v>
      </c>
      <c r="N14" s="15"/>
      <c r="O14" s="15"/>
      <c r="P14" s="15"/>
      <c r="Q14" s="15"/>
      <c r="R14" s="15">
        <f t="shared" si="2"/>
        <v>68</v>
      </c>
      <c r="S14" s="15"/>
      <c r="T14" s="15"/>
      <c r="U14" s="15"/>
      <c r="V14" s="15"/>
      <c r="W14" s="15">
        <f t="shared" si="3"/>
        <v>68</v>
      </c>
      <c r="X14" s="15"/>
      <c r="Y14" s="15"/>
      <c r="Z14" s="15"/>
      <c r="AA14" s="15"/>
      <c r="AB14" s="15">
        <f t="shared" si="4"/>
        <v>68</v>
      </c>
      <c r="AC14" s="15"/>
      <c r="AD14" s="15"/>
      <c r="AE14" s="15"/>
      <c r="AF14" s="15"/>
      <c r="AG14" s="15">
        <f t="shared" si="5"/>
        <v>68</v>
      </c>
      <c r="AI14" s="13" t="s">
        <v>18</v>
      </c>
      <c r="AJ14" s="13"/>
      <c r="AK14" s="7">
        <v>63.600000000000001</v>
      </c>
      <c r="AL14" s="7">
        <v>63.600000000000001</v>
      </c>
    </row>
    <row r="15" ht="24.949999999999999" customHeight="1">
      <c r="A15" s="8" t="s">
        <v>20</v>
      </c>
      <c r="B15" s="16" t="s">
        <v>21</v>
      </c>
      <c r="C15" s="6">
        <v>0.5</v>
      </c>
      <c r="D15" s="6">
        <v>0</v>
      </c>
      <c r="E15" s="6">
        <v>0</v>
      </c>
      <c r="F15" s="6">
        <v>0</v>
      </c>
      <c r="G15" s="6">
        <v>0</v>
      </c>
      <c r="H15" s="6">
        <v>3.5</v>
      </c>
      <c r="I15" s="6">
        <v>0</v>
      </c>
      <c r="J15" s="6">
        <v>0</v>
      </c>
      <c r="K15" s="6">
        <v>0</v>
      </c>
      <c r="L15" s="6">
        <v>0</v>
      </c>
      <c r="M15" s="6">
        <v>7</v>
      </c>
      <c r="N15" s="6">
        <v>0</v>
      </c>
      <c r="O15" s="6">
        <v>0</v>
      </c>
      <c r="P15" s="6">
        <v>0</v>
      </c>
      <c r="Q15" s="6">
        <v>0</v>
      </c>
      <c r="R15" s="6">
        <v>3.5</v>
      </c>
      <c r="S15" s="6">
        <v>0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I15" s="10" t="s">
        <v>22</v>
      </c>
      <c r="AJ15" s="10"/>
      <c r="AK15" t="s">
        <v>23</v>
      </c>
    </row>
    <row r="16" ht="35.100000000000001" customHeight="1">
      <c r="A16" s="8" t="s">
        <v>24</v>
      </c>
      <c r="B16" s="6" t="s">
        <v>25</v>
      </c>
      <c r="C16" s="17">
        <v>0.10000000000000001</v>
      </c>
      <c r="D16" s="18"/>
      <c r="E16" s="19"/>
      <c r="F16" s="19"/>
      <c r="G16" s="19"/>
      <c r="H16" s="19">
        <v>0.105</v>
      </c>
      <c r="I16" s="19"/>
      <c r="J16" s="19"/>
      <c r="K16" s="19"/>
      <c r="L16" s="19"/>
      <c r="M16" s="19">
        <v>0.11</v>
      </c>
      <c r="N16" s="19"/>
      <c r="O16" s="19"/>
      <c r="P16" s="19"/>
      <c r="Q16" s="19"/>
      <c r="R16" s="19">
        <v>0.1125</v>
      </c>
      <c r="S16" s="19"/>
      <c r="T16" s="19"/>
      <c r="U16" s="19"/>
      <c r="V16" s="19"/>
      <c r="W16" s="19">
        <v>0.115</v>
      </c>
      <c r="X16" s="19"/>
      <c r="Y16" s="19"/>
      <c r="Z16" s="19"/>
      <c r="AA16" s="19"/>
      <c r="AB16" s="19">
        <v>0.11749999999999999</v>
      </c>
      <c r="AC16" s="19"/>
      <c r="AD16" s="19"/>
      <c r="AE16" s="19"/>
      <c r="AF16" s="19"/>
      <c r="AG16" s="19">
        <v>0.12</v>
      </c>
      <c r="AI16" s="10" t="s">
        <v>26</v>
      </c>
      <c r="AJ16" s="10"/>
    </row>
    <row r="17" ht="24" customHeight="1">
      <c r="A17" s="8" t="s">
        <v>27</v>
      </c>
      <c r="B17" s="6" t="s">
        <v>28</v>
      </c>
      <c r="C17" s="17">
        <v>0.0814</v>
      </c>
      <c r="D17" s="17"/>
      <c r="E17" s="17"/>
      <c r="F17" s="17"/>
      <c r="G17" s="17"/>
      <c r="H17" s="17">
        <v>0.084500000000000006</v>
      </c>
      <c r="I17" s="17"/>
      <c r="J17" s="17"/>
      <c r="K17" s="17"/>
      <c r="L17" s="17"/>
      <c r="M17" s="17">
        <v>0.087599999999999997</v>
      </c>
      <c r="N17" s="17"/>
      <c r="O17" s="17"/>
      <c r="P17" s="17"/>
      <c r="Q17" s="17"/>
      <c r="R17" s="17">
        <v>0.090700000000000003</v>
      </c>
      <c r="S17" s="17"/>
      <c r="T17" s="17"/>
      <c r="U17" s="17"/>
      <c r="V17" s="17"/>
      <c r="W17" s="17">
        <v>0.093799999999999994</v>
      </c>
      <c r="X17" s="17"/>
      <c r="Y17" s="17"/>
      <c r="Z17" s="17"/>
      <c r="AA17" s="17"/>
      <c r="AB17" s="17">
        <v>0.0969</v>
      </c>
      <c r="AC17" s="17"/>
      <c r="AD17" s="17"/>
      <c r="AE17" s="17"/>
      <c r="AF17" s="17"/>
      <c r="AG17" s="18">
        <v>0.10000000000000001</v>
      </c>
      <c r="AI17" s="10" t="s">
        <v>29</v>
      </c>
      <c r="AJ17" s="10"/>
    </row>
    <row r="22">
      <c r="A22" s="2" t="s">
        <v>30</v>
      </c>
      <c r="AK22" s="3" t="s">
        <v>31</v>
      </c>
      <c r="AL22" s="3"/>
      <c r="AM22" s="3" t="s">
        <v>32</v>
      </c>
      <c r="AN22" s="3"/>
      <c r="AO22" s="3"/>
      <c r="AP22" s="3"/>
      <c r="AQ22" s="3" t="s">
        <v>33</v>
      </c>
      <c r="AR22" s="3"/>
      <c r="AS22" s="3"/>
      <c r="AT22" s="3"/>
    </row>
    <row r="23">
      <c r="A23" s="4"/>
      <c r="B23" s="4"/>
      <c r="C23" s="5">
        <v>2020</v>
      </c>
      <c r="D23" s="5">
        <f t="shared" ref="D23:AG68" si="6">C23+1</f>
        <v>2021</v>
      </c>
      <c r="E23" s="5">
        <f t="shared" si="6"/>
        <v>2022</v>
      </c>
      <c r="F23" s="5">
        <f t="shared" si="6"/>
        <v>2023</v>
      </c>
      <c r="G23" s="5">
        <f t="shared" si="6"/>
        <v>2024</v>
      </c>
      <c r="H23" s="5">
        <f t="shared" si="6"/>
        <v>2025</v>
      </c>
      <c r="I23" s="5">
        <f t="shared" si="6"/>
        <v>2026</v>
      </c>
      <c r="J23" s="5">
        <f t="shared" si="6"/>
        <v>2027</v>
      </c>
      <c r="K23" s="5">
        <f t="shared" si="6"/>
        <v>2028</v>
      </c>
      <c r="L23" s="5">
        <f t="shared" si="6"/>
        <v>2029</v>
      </c>
      <c r="M23" s="5">
        <f t="shared" si="6"/>
        <v>2030</v>
      </c>
      <c r="N23" s="5">
        <f t="shared" si="6"/>
        <v>2031</v>
      </c>
      <c r="O23" s="5">
        <f t="shared" si="6"/>
        <v>2032</v>
      </c>
      <c r="P23" s="5">
        <f t="shared" si="6"/>
        <v>2033</v>
      </c>
      <c r="Q23" s="5">
        <f t="shared" si="6"/>
        <v>2034</v>
      </c>
      <c r="R23" s="5">
        <f t="shared" si="6"/>
        <v>2035</v>
      </c>
      <c r="S23" s="5">
        <f t="shared" si="6"/>
        <v>2036</v>
      </c>
      <c r="T23" s="5">
        <f t="shared" si="6"/>
        <v>2037</v>
      </c>
      <c r="U23" s="5">
        <f t="shared" si="6"/>
        <v>2038</v>
      </c>
      <c r="V23" s="5">
        <f t="shared" si="6"/>
        <v>2039</v>
      </c>
      <c r="W23" s="5">
        <f t="shared" si="6"/>
        <v>2040</v>
      </c>
      <c r="X23" s="5">
        <f t="shared" si="6"/>
        <v>2041</v>
      </c>
      <c r="Y23" s="5">
        <f t="shared" si="6"/>
        <v>2042</v>
      </c>
      <c r="Z23" s="5">
        <f t="shared" si="6"/>
        <v>2043</v>
      </c>
      <c r="AA23" s="5">
        <f t="shared" si="6"/>
        <v>2044</v>
      </c>
      <c r="AB23" s="5">
        <f t="shared" si="6"/>
        <v>2045</v>
      </c>
      <c r="AC23" s="5">
        <f t="shared" si="6"/>
        <v>2046</v>
      </c>
      <c r="AD23" s="5">
        <f t="shared" si="6"/>
        <v>2047</v>
      </c>
      <c r="AE23" s="5">
        <f t="shared" si="6"/>
        <v>2048</v>
      </c>
      <c r="AF23" s="5">
        <f t="shared" si="6"/>
        <v>2049</v>
      </c>
      <c r="AG23" s="5">
        <f t="shared" si="6"/>
        <v>2050</v>
      </c>
      <c r="AI23" s="20" t="s">
        <v>3</v>
      </c>
      <c r="AJ23" s="20"/>
      <c r="AK23" t="s">
        <v>34</v>
      </c>
      <c r="AL23" t="s">
        <v>35</v>
      </c>
      <c r="AM23" t="s">
        <v>36</v>
      </c>
      <c r="AN23" t="s">
        <v>37</v>
      </c>
      <c r="AO23" t="s">
        <v>38</v>
      </c>
      <c r="AP23" t="s">
        <v>39</v>
      </c>
      <c r="AQ23" t="s">
        <v>36</v>
      </c>
      <c r="AR23" t="s">
        <v>37</v>
      </c>
      <c r="AS23" t="s">
        <v>38</v>
      </c>
      <c r="AT23" t="s">
        <v>39</v>
      </c>
      <c r="AU23" t="s">
        <v>40</v>
      </c>
      <c r="AV23" t="s">
        <v>41</v>
      </c>
    </row>
    <row r="24" ht="12.75" customHeight="1">
      <c r="A24" s="8" t="s">
        <v>6</v>
      </c>
      <c r="B24" s="6" t="s">
        <v>42</v>
      </c>
      <c r="C24" s="9">
        <v>65.1828038459834</v>
      </c>
      <c r="D24" s="9">
        <v>65.281096124396299</v>
      </c>
      <c r="E24" s="9">
        <v>65.3791971928176</v>
      </c>
      <c r="F24" s="9">
        <v>65.574959006793193</v>
      </c>
      <c r="G24" s="9">
        <v>65.6718154609826</v>
      </c>
      <c r="H24" s="9">
        <v>65.867326732673305</v>
      </c>
      <c r="I24" s="9">
        <v>65.964859644791701</v>
      </c>
      <c r="J24" s="9">
        <v>66.0624838873199</v>
      </c>
      <c r="K24" s="9">
        <v>66.159859002325902</v>
      </c>
      <c r="L24" s="9">
        <v>66.2573565222403</v>
      </c>
      <c r="M24" s="9">
        <v>66.451350457818904</v>
      </c>
      <c r="N24" s="9">
        <v>66.548784893973902</v>
      </c>
      <c r="O24" s="9">
        <v>66.548089135534099</v>
      </c>
      <c r="P24" s="9">
        <v>66.644814545247002</v>
      </c>
      <c r="Q24" s="9">
        <v>66.741112408177202</v>
      </c>
      <c r="R24" s="9">
        <v>66.835909090909098</v>
      </c>
      <c r="S24" s="9">
        <v>66.834887610192993</v>
      </c>
      <c r="T24" s="9">
        <v>66.931401861228196</v>
      </c>
      <c r="U24" s="9">
        <v>67.026878563766701</v>
      </c>
      <c r="V24" s="9">
        <v>67.024371416900294</v>
      </c>
      <c r="W24" s="9">
        <v>67.022387828850199</v>
      </c>
      <c r="X24" s="9">
        <v>67.118081134194298</v>
      </c>
      <c r="Y24" s="9">
        <v>67.115923486547103</v>
      </c>
      <c r="Z24" s="9">
        <v>67.112283279459305</v>
      </c>
      <c r="AA24" s="9">
        <v>67.1113750698714</v>
      </c>
      <c r="AB24" s="9">
        <v>67.109410500460498</v>
      </c>
      <c r="AC24" s="9">
        <v>67.106839727860802</v>
      </c>
      <c r="AD24" s="9">
        <v>67.104243673486394</v>
      </c>
      <c r="AE24" s="9">
        <v>67.101408176328206</v>
      </c>
      <c r="AF24" s="9">
        <v>67.002410978712803</v>
      </c>
      <c r="AG24" s="9">
        <v>66.999160784749606</v>
      </c>
      <c r="AI24" s="10" t="s">
        <v>8</v>
      </c>
      <c r="AJ24" s="10"/>
      <c r="AK24">
        <v>70.280000000000001</v>
      </c>
      <c r="AL24">
        <v>74.030000000000001</v>
      </c>
      <c r="AM24">
        <v>65.400000000000006</v>
      </c>
      <c r="AN24">
        <v>66.400000000000006</v>
      </c>
      <c r="AO24">
        <v>67.400000000000006</v>
      </c>
      <c r="AP24">
        <v>68.400000000000006</v>
      </c>
      <c r="AQ24">
        <v>67.200000000000003</v>
      </c>
      <c r="AR24">
        <v>68.200000000000003</v>
      </c>
      <c r="AS24">
        <v>69.200000000000003</v>
      </c>
      <c r="AT24">
        <v>70.200000000000003</v>
      </c>
    </row>
    <row r="25" ht="24" customHeight="1">
      <c r="A25" s="8"/>
      <c r="B25" s="6" t="s">
        <v>9</v>
      </c>
      <c r="C25" s="11">
        <v>2.2000000000000002</v>
      </c>
      <c r="D25" s="11"/>
      <c r="E25" s="11"/>
      <c r="F25" s="11"/>
      <c r="G25" s="11"/>
      <c r="H25" s="11">
        <v>2.1800000000000002</v>
      </c>
      <c r="I25" s="11"/>
      <c r="J25" s="11"/>
      <c r="K25" s="11"/>
      <c r="L25" s="11"/>
      <c r="M25" s="11">
        <v>2.1600000000000001</v>
      </c>
      <c r="N25" s="11"/>
      <c r="O25" s="11"/>
      <c r="P25" s="11"/>
      <c r="Q25" s="11"/>
      <c r="R25" s="11">
        <v>2.1400000000000001</v>
      </c>
      <c r="S25" s="11"/>
      <c r="T25" s="11"/>
      <c r="U25" s="11"/>
      <c r="V25" s="11"/>
      <c r="W25" s="11">
        <v>2.1200000000000001</v>
      </c>
      <c r="X25" s="11"/>
      <c r="Y25" s="11"/>
      <c r="Z25" s="11"/>
      <c r="AA25" s="11"/>
      <c r="AB25" s="11">
        <v>2.1099999999999999</v>
      </c>
      <c r="AC25" s="11"/>
      <c r="AD25" s="11"/>
      <c r="AE25" s="11"/>
      <c r="AF25" s="11"/>
      <c r="AG25" s="11">
        <v>2.1000000000000001</v>
      </c>
      <c r="AI25" s="10" t="s">
        <v>43</v>
      </c>
      <c r="AJ25" s="10"/>
      <c r="AK25">
        <v>2.1000000000000001</v>
      </c>
      <c r="AL25">
        <v>2</v>
      </c>
      <c r="AM25">
        <v>2.1499999999999999</v>
      </c>
      <c r="AN25">
        <v>2.1600000000000001</v>
      </c>
      <c r="AO25">
        <v>2.1099999999999999</v>
      </c>
      <c r="AP25">
        <v>2.1099999999999999</v>
      </c>
      <c r="AQ25">
        <v>2.1200000000000001</v>
      </c>
      <c r="AR25">
        <v>2.1000000000000001</v>
      </c>
      <c r="AS25">
        <v>2.02</v>
      </c>
      <c r="AT25">
        <v>2.02</v>
      </c>
      <c r="AU25">
        <v>2.1499999999999999</v>
      </c>
      <c r="AV25">
        <v>2.2000000000000002</v>
      </c>
    </row>
    <row r="26" ht="24.949999999999999" customHeight="1">
      <c r="A26" s="8" t="s">
        <v>11</v>
      </c>
      <c r="B26" s="6" t="s">
        <v>12</v>
      </c>
      <c r="C26" s="6">
        <v>80</v>
      </c>
      <c r="D26" s="6">
        <v>80</v>
      </c>
      <c r="E26" s="6">
        <v>80</v>
      </c>
      <c r="F26" s="6">
        <v>80</v>
      </c>
      <c r="G26" s="6">
        <v>80</v>
      </c>
      <c r="H26" s="6">
        <v>80</v>
      </c>
      <c r="I26" s="6">
        <v>80</v>
      </c>
      <c r="J26" s="6">
        <v>80</v>
      </c>
      <c r="K26" s="6">
        <v>80</v>
      </c>
      <c r="L26" s="6">
        <v>80</v>
      </c>
      <c r="M26" s="6">
        <v>80</v>
      </c>
      <c r="N26" s="6">
        <v>80</v>
      </c>
      <c r="O26" s="6">
        <v>80</v>
      </c>
      <c r="P26" s="6">
        <v>80</v>
      </c>
      <c r="Q26" s="6">
        <v>80</v>
      </c>
      <c r="R26" s="6">
        <v>80</v>
      </c>
      <c r="S26" s="6">
        <v>80</v>
      </c>
      <c r="T26" s="6">
        <v>80</v>
      </c>
      <c r="U26" s="6">
        <v>80</v>
      </c>
      <c r="V26" s="6">
        <v>80</v>
      </c>
      <c r="W26" s="6">
        <v>80</v>
      </c>
      <c r="X26" s="6">
        <v>80</v>
      </c>
      <c r="Y26" s="6">
        <v>80</v>
      </c>
      <c r="Z26" s="6">
        <v>80</v>
      </c>
      <c r="AA26" s="6">
        <v>80</v>
      </c>
      <c r="AB26" s="6">
        <v>80</v>
      </c>
      <c r="AC26" s="6">
        <v>80</v>
      </c>
      <c r="AD26" s="6">
        <v>80</v>
      </c>
      <c r="AE26" s="6">
        <v>80</v>
      </c>
      <c r="AF26" s="6">
        <v>80</v>
      </c>
      <c r="AG26" s="6">
        <v>80</v>
      </c>
      <c r="AI26" s="10" t="s">
        <v>13</v>
      </c>
      <c r="AJ26" s="10"/>
      <c r="AK26">
        <v>96.5</v>
      </c>
      <c r="AL26">
        <v>96.5</v>
      </c>
      <c r="AM26">
        <v>73.099999999999994</v>
      </c>
      <c r="AN26">
        <v>73.099999999999994</v>
      </c>
      <c r="AO26">
        <v>172.09999999999999</v>
      </c>
      <c r="AP26">
        <v>87.5</v>
      </c>
      <c r="AQ26" t="s">
        <v>44</v>
      </c>
      <c r="AR26">
        <v>47.5</v>
      </c>
      <c r="AS26">
        <v>193.19999999999999</v>
      </c>
      <c r="AT26">
        <v>97.900000000000006</v>
      </c>
      <c r="AU26">
        <v>41</v>
      </c>
      <c r="AV26">
        <v>36</v>
      </c>
    </row>
    <row r="27" ht="23.449999999999999" customHeight="1">
      <c r="A27" s="8" t="s">
        <v>14</v>
      </c>
      <c r="B27" s="6" t="s">
        <v>45</v>
      </c>
      <c r="C27" s="12">
        <v>0.46000000000000002</v>
      </c>
      <c r="D27" s="12">
        <v>0.45500000000000002</v>
      </c>
      <c r="E27" s="12">
        <v>0.45000000000000001</v>
      </c>
      <c r="F27" s="12">
        <v>0.44500000000000001</v>
      </c>
      <c r="G27" s="12">
        <v>0.44</v>
      </c>
      <c r="H27" s="12">
        <v>0.435</v>
      </c>
      <c r="I27" s="12">
        <v>0.42999999999999999</v>
      </c>
      <c r="J27" s="12">
        <v>0.42499999999999999</v>
      </c>
      <c r="K27" s="12">
        <v>0.41999999999999998</v>
      </c>
      <c r="L27" s="12">
        <v>0.41499999999999998</v>
      </c>
      <c r="M27" s="12">
        <v>0.40999999999999998</v>
      </c>
      <c r="N27" s="12">
        <v>0.40200000000000002</v>
      </c>
      <c r="O27" s="12">
        <v>0.39400000000000002</v>
      </c>
      <c r="P27" s="12">
        <v>0.38600000000000001</v>
      </c>
      <c r="Q27" s="12">
        <v>0.378</v>
      </c>
      <c r="R27" s="12">
        <v>0.37</v>
      </c>
      <c r="S27" s="12">
        <v>0.36199999999999999</v>
      </c>
      <c r="T27" s="12">
        <v>0.35399999999999998</v>
      </c>
      <c r="U27" s="12">
        <v>0.34599999999999997</v>
      </c>
      <c r="V27" s="12">
        <v>0.33800000000000002</v>
      </c>
      <c r="W27" s="12">
        <v>0.33000000000000002</v>
      </c>
      <c r="X27" s="12">
        <v>0.32200000000000001</v>
      </c>
      <c r="Y27" s="12">
        <v>0.314</v>
      </c>
      <c r="Z27" s="12">
        <v>0.30599999999999999</v>
      </c>
      <c r="AA27" s="12">
        <v>0.29799999999999999</v>
      </c>
      <c r="AB27" s="12">
        <v>0.28999999999999998</v>
      </c>
      <c r="AC27" s="12">
        <v>0.28199999999999997</v>
      </c>
      <c r="AD27" s="12">
        <v>0.27400000000000002</v>
      </c>
      <c r="AE27" s="12">
        <v>0.26600000000000001</v>
      </c>
      <c r="AF27" s="12">
        <v>0.25800000000000001</v>
      </c>
      <c r="AG27" s="12">
        <v>0.25</v>
      </c>
      <c r="AI27" s="13" t="s">
        <v>46</v>
      </c>
      <c r="AJ27" s="13"/>
      <c r="AM27" s="21">
        <v>0.34999999999999998</v>
      </c>
      <c r="AN27" s="21">
        <v>0.34999999999999998</v>
      </c>
      <c r="AO27" s="21">
        <v>0.40000000000000002</v>
      </c>
      <c r="AP27" s="21">
        <v>0.45000000000000001</v>
      </c>
      <c r="AQ27" s="21">
        <v>0.14999999999999999</v>
      </c>
      <c r="AR27" s="21">
        <v>0.14999999999999999</v>
      </c>
      <c r="AS27" s="21">
        <v>0.25</v>
      </c>
      <c r="AT27" s="21">
        <v>0.45000000000000001</v>
      </c>
      <c r="AU27" s="22">
        <v>0.29999999999999999</v>
      </c>
      <c r="AV27" s="22">
        <v>0.20000000000000001</v>
      </c>
    </row>
    <row r="28" ht="23.449999999999999" customHeight="1">
      <c r="A28" s="8"/>
      <c r="B28" s="6" t="s">
        <v>17</v>
      </c>
      <c r="C28" s="6">
        <v>115.40000000000001</v>
      </c>
      <c r="D28" s="6"/>
      <c r="E28" s="6"/>
      <c r="F28" s="6"/>
      <c r="G28" s="6"/>
      <c r="H28" s="6">
        <f t="shared" ref="H28:H29" si="7">C28</f>
        <v>115.40000000000001</v>
      </c>
      <c r="I28" s="6"/>
      <c r="J28" s="6"/>
      <c r="K28" s="6"/>
      <c r="L28" s="6"/>
      <c r="M28" s="6">
        <f t="shared" ref="M28:M29" si="8">H28</f>
        <v>115.40000000000001</v>
      </c>
      <c r="N28" s="6"/>
      <c r="O28" s="6"/>
      <c r="P28" s="6"/>
      <c r="Q28" s="6"/>
      <c r="R28" s="6">
        <f t="shared" ref="R28:R29" si="9">M28</f>
        <v>115.40000000000001</v>
      </c>
      <c r="S28" s="6"/>
      <c r="T28" s="6"/>
      <c r="U28" s="6"/>
      <c r="V28" s="6"/>
      <c r="W28" s="6">
        <f t="shared" ref="W28:W29" si="10">R28</f>
        <v>115.40000000000001</v>
      </c>
      <c r="X28" s="6"/>
      <c r="Y28" s="6"/>
      <c r="Z28" s="6"/>
      <c r="AA28" s="6"/>
      <c r="AB28" s="6">
        <f t="shared" ref="AB28:AB29" si="11">W28</f>
        <v>115.40000000000001</v>
      </c>
      <c r="AC28" s="6"/>
      <c r="AD28" s="6"/>
      <c r="AE28" s="6"/>
      <c r="AF28" s="6"/>
      <c r="AG28" s="6">
        <f t="shared" ref="AG28:AG29" si="12">AB28</f>
        <v>115.40000000000001</v>
      </c>
      <c r="AI28" s="13" t="s">
        <v>47</v>
      </c>
      <c r="AJ28" s="13"/>
      <c r="AU28" s="23" t="s">
        <v>48</v>
      </c>
      <c r="AV28" s="23"/>
    </row>
    <row r="29" ht="23.449999999999999" customHeight="1">
      <c r="A29" s="8"/>
      <c r="B29" s="6" t="s">
        <v>19</v>
      </c>
      <c r="C29" s="6">
        <v>64.299999999999997</v>
      </c>
      <c r="D29" s="6"/>
      <c r="E29" s="6"/>
      <c r="F29" s="6"/>
      <c r="G29" s="6"/>
      <c r="H29" s="6">
        <f t="shared" si="7"/>
        <v>64.299999999999997</v>
      </c>
      <c r="I29" s="6"/>
      <c r="J29" s="6"/>
      <c r="K29" s="6"/>
      <c r="L29" s="6"/>
      <c r="M29" s="6">
        <f t="shared" si="8"/>
        <v>64.299999999999997</v>
      </c>
      <c r="N29" s="6"/>
      <c r="O29" s="6"/>
      <c r="P29" s="6"/>
      <c r="Q29" s="6"/>
      <c r="R29" s="6">
        <f t="shared" si="9"/>
        <v>64.299999999999997</v>
      </c>
      <c r="S29" s="6"/>
      <c r="T29" s="6"/>
      <c r="U29" s="6"/>
      <c r="V29" s="6"/>
      <c r="W29" s="6">
        <f t="shared" si="10"/>
        <v>64.299999999999997</v>
      </c>
      <c r="X29" s="6"/>
      <c r="Y29" s="6"/>
      <c r="Z29" s="6"/>
      <c r="AA29" s="6"/>
      <c r="AB29" s="6">
        <f t="shared" si="11"/>
        <v>64.299999999999997</v>
      </c>
      <c r="AC29" s="6"/>
      <c r="AD29" s="6"/>
      <c r="AE29" s="6"/>
      <c r="AF29" s="6"/>
      <c r="AG29" s="6">
        <f t="shared" si="12"/>
        <v>64.299999999999997</v>
      </c>
      <c r="AI29" s="13" t="s">
        <v>47</v>
      </c>
      <c r="AJ29" s="13"/>
      <c r="AU29" s="23" t="s">
        <v>48</v>
      </c>
      <c r="AV29" s="23"/>
    </row>
    <row r="30" ht="35.100000000000001" customHeight="1">
      <c r="A30" s="8" t="s">
        <v>20</v>
      </c>
      <c r="B30" s="16" t="s">
        <v>21</v>
      </c>
      <c r="C30" s="6">
        <v>0.5</v>
      </c>
      <c r="D30" s="6"/>
      <c r="E30" s="6"/>
      <c r="F30" s="6"/>
      <c r="G30" s="6"/>
      <c r="H30" s="6">
        <v>10</v>
      </c>
      <c r="I30" s="6"/>
      <c r="J30" s="6"/>
      <c r="K30" s="6"/>
      <c r="L30" s="6"/>
      <c r="M30" s="4">
        <v>20</v>
      </c>
      <c r="N30" s="6"/>
      <c r="O30" s="6"/>
      <c r="P30" s="6"/>
      <c r="Q30" s="6"/>
      <c r="R30" s="6">
        <v>15</v>
      </c>
      <c r="S30" s="6"/>
      <c r="T30" s="6"/>
      <c r="U30" s="6"/>
      <c r="V30" s="6"/>
      <c r="W30" s="6">
        <v>10</v>
      </c>
      <c r="X30" s="6"/>
      <c r="Y30" s="6"/>
      <c r="Z30" s="6"/>
      <c r="AA30" s="6"/>
      <c r="AB30" s="6">
        <v>5</v>
      </c>
      <c r="AC30" s="6"/>
      <c r="AD30" s="6"/>
      <c r="AE30" s="6"/>
      <c r="AF30" s="6"/>
      <c r="AG30" s="4">
        <v>0</v>
      </c>
      <c r="AI30" s="10" t="s">
        <v>49</v>
      </c>
      <c r="AJ30" s="10"/>
      <c r="AM30">
        <v>0</v>
      </c>
      <c r="AN30">
        <f t="shared" ref="AN30:AT30" si="13">AM30</f>
        <v>0</v>
      </c>
      <c r="AO30">
        <f t="shared" si="13"/>
        <v>0</v>
      </c>
      <c r="AP30">
        <f t="shared" si="13"/>
        <v>0</v>
      </c>
      <c r="AQ30">
        <f t="shared" si="13"/>
        <v>0</v>
      </c>
      <c r="AR30">
        <f t="shared" si="13"/>
        <v>0</v>
      </c>
      <c r="AS30">
        <f t="shared" si="13"/>
        <v>0</v>
      </c>
      <c r="AT30">
        <f t="shared" si="13"/>
        <v>0</v>
      </c>
      <c r="AU30">
        <v>0</v>
      </c>
      <c r="AV30">
        <v>0</v>
      </c>
    </row>
    <row r="31" ht="24.949999999999999" customHeight="1">
      <c r="A31" s="8" t="s">
        <v>24</v>
      </c>
      <c r="B31" s="6" t="s">
        <v>25</v>
      </c>
      <c r="C31" s="19">
        <v>0.10000000000000001</v>
      </c>
      <c r="D31" s="19">
        <v>0.10000000000000001</v>
      </c>
      <c r="E31" s="19">
        <v>0.10000000000000001</v>
      </c>
      <c r="F31" s="19">
        <v>0.10000000000000001</v>
      </c>
      <c r="G31" s="19">
        <v>0.10000000000000001</v>
      </c>
      <c r="H31" s="19">
        <v>0.10000000000000001</v>
      </c>
      <c r="I31" s="19">
        <v>0.10000000000000001</v>
      </c>
      <c r="J31" s="19">
        <v>0.10000000000000001</v>
      </c>
      <c r="K31" s="19">
        <v>0.10000000000000001</v>
      </c>
      <c r="L31" s="19">
        <v>0.10000000000000001</v>
      </c>
      <c r="M31" s="19">
        <v>0.10000000000000001</v>
      </c>
      <c r="N31" s="19">
        <v>0.10000000000000001</v>
      </c>
      <c r="O31" s="19">
        <v>0.10000000000000001</v>
      </c>
      <c r="P31" s="19">
        <v>0.10000000000000001</v>
      </c>
      <c r="Q31" s="19">
        <v>0.10000000000000001</v>
      </c>
      <c r="R31" s="19">
        <v>0.10000000000000001</v>
      </c>
      <c r="S31" s="19">
        <v>0.10000000000000001</v>
      </c>
      <c r="T31" s="19">
        <v>0.10000000000000001</v>
      </c>
      <c r="U31" s="19">
        <v>0.10000000000000001</v>
      </c>
      <c r="V31" s="19">
        <v>0.10000000000000001</v>
      </c>
      <c r="W31" s="19">
        <v>0.10000000000000001</v>
      </c>
      <c r="X31" s="19">
        <v>0.10000000000000001</v>
      </c>
      <c r="Y31" s="19">
        <v>0.10000000000000001</v>
      </c>
      <c r="Z31" s="19">
        <v>0.10000000000000001</v>
      </c>
      <c r="AA31" s="19">
        <v>0.10000000000000001</v>
      </c>
      <c r="AB31" s="19">
        <v>0.10000000000000001</v>
      </c>
      <c r="AC31" s="19">
        <v>0.10000000000000001</v>
      </c>
      <c r="AD31" s="19">
        <v>0.10000000000000001</v>
      </c>
      <c r="AE31" s="19">
        <v>0.10000000000000001</v>
      </c>
      <c r="AF31" s="19">
        <v>0.10000000000000001</v>
      </c>
      <c r="AG31" s="19">
        <v>0.10000000000000001</v>
      </c>
      <c r="AI31" s="10" t="s">
        <v>50</v>
      </c>
      <c r="AJ31" s="10"/>
      <c r="AM31" s="22">
        <v>0.074999999999999997</v>
      </c>
      <c r="AN31" s="22">
        <v>0.080000000000000002</v>
      </c>
      <c r="AO31" s="22">
        <v>0.097000000000000003</v>
      </c>
      <c r="AP31" s="22">
        <v>0.097000000000000003</v>
      </c>
      <c r="AQ31" s="22">
        <v>0.025000000000000001</v>
      </c>
      <c r="AR31" s="22">
        <v>0.050000000000000003</v>
      </c>
      <c r="AS31" s="22">
        <v>0.090999999999999998</v>
      </c>
      <c r="AT31" s="22">
        <v>0.090999999999999998</v>
      </c>
      <c r="AU31" s="22">
        <v>0.085999999999999993</v>
      </c>
      <c r="AV31" s="22">
        <v>0.080000000000000002</v>
      </c>
    </row>
    <row r="32" ht="24" customHeight="1">
      <c r="A32" s="8" t="s">
        <v>27</v>
      </c>
      <c r="B32" s="6" t="s">
        <v>28</v>
      </c>
      <c r="C32" s="17">
        <v>0.0814</v>
      </c>
      <c r="D32" s="17"/>
      <c r="E32" s="17"/>
      <c r="F32" s="17"/>
      <c r="G32" s="17"/>
      <c r="H32" s="17">
        <v>0.080000000000000002</v>
      </c>
      <c r="I32" s="17"/>
      <c r="J32" s="17"/>
      <c r="K32" s="17"/>
      <c r="L32" s="17"/>
      <c r="M32" s="17">
        <v>0.079000000000000001</v>
      </c>
      <c r="N32" s="17"/>
      <c r="O32" s="17"/>
      <c r="P32" s="17"/>
      <c r="Q32" s="17"/>
      <c r="R32" s="17">
        <v>0.075999999999999998</v>
      </c>
      <c r="S32" s="17"/>
      <c r="T32" s="17"/>
      <c r="U32" s="17"/>
      <c r="V32" s="17"/>
      <c r="W32" s="17">
        <v>0.071999999999999995</v>
      </c>
      <c r="X32" s="17"/>
      <c r="Y32" s="17"/>
      <c r="Z32" s="17"/>
      <c r="AA32" s="17"/>
      <c r="AB32" s="17">
        <v>0.068500000000000005</v>
      </c>
      <c r="AC32" s="17"/>
      <c r="AD32" s="17"/>
      <c r="AE32" s="17"/>
      <c r="AF32" s="17"/>
      <c r="AG32" s="17">
        <v>0.065000000000000002</v>
      </c>
      <c r="AI32" s="10" t="s">
        <v>51</v>
      </c>
      <c r="AJ32" s="10"/>
      <c r="AM32" s="22">
        <v>0.079000000000000001</v>
      </c>
      <c r="AN32" s="22">
        <v>0.079000000000000001</v>
      </c>
      <c r="AO32" s="22">
        <v>0.078</v>
      </c>
      <c r="AP32" s="22">
        <v>0.080000000000000002</v>
      </c>
      <c r="AQ32" s="22">
        <v>0.070999999999999994</v>
      </c>
      <c r="AR32" s="22">
        <v>0.070999999999999994</v>
      </c>
      <c r="AS32" s="22">
        <v>0.069000000000000006</v>
      </c>
      <c r="AT32" s="22">
        <v>0.076999999999999999</v>
      </c>
      <c r="AU32" s="22">
        <v>0.064000000000000001</v>
      </c>
      <c r="AV32" s="22">
        <v>0.040000000000000001</v>
      </c>
    </row>
    <row r="37" ht="32.850000000000001" customHeight="1">
      <c r="B37" s="1" t="s">
        <v>52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9">
      <c r="A39" s="2" t="s">
        <v>53</v>
      </c>
    </row>
    <row r="40">
      <c r="C40" s="5">
        <v>2015</v>
      </c>
      <c r="D40" s="5">
        <f t="shared" si="6"/>
        <v>2016</v>
      </c>
      <c r="E40" s="5">
        <f>D40+1</f>
        <v>2017</v>
      </c>
      <c r="F40" s="5">
        <f>E40+1</f>
        <v>2018</v>
      </c>
      <c r="G40" s="5">
        <f>F40+1</f>
        <v>2019</v>
      </c>
      <c r="H40" s="5">
        <v>2016</v>
      </c>
      <c r="I40" s="5">
        <f>H40+1</f>
        <v>2017</v>
      </c>
      <c r="J40" s="5">
        <f>I40+1</f>
        <v>2018</v>
      </c>
      <c r="K40" s="5">
        <f>J40+1</f>
        <v>2019</v>
      </c>
      <c r="L40" s="5">
        <f>K40+1</f>
        <v>2020</v>
      </c>
      <c r="M40" s="5">
        <v>2017</v>
      </c>
      <c r="N40" s="5">
        <f>M40+1</f>
        <v>2018</v>
      </c>
      <c r="O40" s="5">
        <f>N40+1</f>
        <v>2019</v>
      </c>
      <c r="P40" s="5">
        <f>O40+1</f>
        <v>2020</v>
      </c>
      <c r="Q40" s="5">
        <f>P40+1</f>
        <v>2021</v>
      </c>
      <c r="R40" s="5">
        <v>2018</v>
      </c>
      <c r="S40" s="5">
        <f>R40+1</f>
        <v>2019</v>
      </c>
      <c r="T40" s="5">
        <f>S40+1</f>
        <v>2020</v>
      </c>
      <c r="U40" s="5">
        <f>T40+1</f>
        <v>2021</v>
      </c>
      <c r="V40" s="5">
        <f>U40+1</f>
        <v>2022</v>
      </c>
      <c r="W40" s="5">
        <v>2019</v>
      </c>
      <c r="X40" s="5">
        <f>W40+1</f>
        <v>2020</v>
      </c>
      <c r="Y40" s="5">
        <f>X40+1</f>
        <v>2021</v>
      </c>
      <c r="Z40" s="5">
        <f>Y40+1</f>
        <v>2022</v>
      </c>
      <c r="AA40" s="5">
        <f>Z40+1</f>
        <v>2023</v>
      </c>
      <c r="AB40" s="5">
        <v>2020</v>
      </c>
      <c r="AC40" s="5">
        <f>AB40+1</f>
        <v>2021</v>
      </c>
      <c r="AD40" s="5">
        <f>AC40+1</f>
        <v>2022</v>
      </c>
      <c r="AE40" s="5">
        <f>AD40+1</f>
        <v>2023</v>
      </c>
      <c r="AF40" s="5">
        <f>AE40+1</f>
        <v>2024</v>
      </c>
      <c r="AI40" t="s">
        <v>54</v>
      </c>
      <c r="AK40" s="24" t="s">
        <v>55</v>
      </c>
      <c r="AL40" s="24"/>
      <c r="AM40" s="24"/>
      <c r="AN40" s="24"/>
      <c r="AO40" s="24"/>
      <c r="AP40" s="24"/>
      <c r="AQ40" s="24"/>
      <c r="AR40" s="24"/>
      <c r="AU40" s="3" t="s">
        <v>32</v>
      </c>
      <c r="AV40" s="3"/>
      <c r="AW40" s="3"/>
      <c r="AX40" s="3"/>
      <c r="AY40" s="3" t="s">
        <v>33</v>
      </c>
      <c r="AZ40" s="3"/>
      <c r="BA40" s="3"/>
      <c r="BB40" s="3"/>
    </row>
    <row r="41">
      <c r="B41" t="s">
        <v>56</v>
      </c>
      <c r="AI41" t="s">
        <v>57</v>
      </c>
      <c r="AK41" s="25"/>
      <c r="AL41" s="25"/>
      <c r="AM41" s="26" t="s">
        <v>58</v>
      </c>
      <c r="AN41" s="26" t="s">
        <v>59</v>
      </c>
      <c r="AO41" s="26" t="s">
        <v>60</v>
      </c>
      <c r="AP41" s="26" t="s">
        <v>61</v>
      </c>
      <c r="AQ41" s="26" t="s">
        <v>62</v>
      </c>
      <c r="AR41" s="27" t="s">
        <v>63</v>
      </c>
      <c r="AU41" t="s">
        <v>36</v>
      </c>
      <c r="AV41" t="s">
        <v>37</v>
      </c>
      <c r="AW41" t="s">
        <v>38</v>
      </c>
      <c r="AX41" t="s">
        <v>39</v>
      </c>
      <c r="AY41" t="s">
        <v>36</v>
      </c>
      <c r="AZ41" t="s">
        <v>37</v>
      </c>
      <c r="BA41" t="s">
        <v>38</v>
      </c>
      <c r="BB41" t="s">
        <v>39</v>
      </c>
    </row>
    <row r="42">
      <c r="C42" s="28" t="s">
        <v>64</v>
      </c>
      <c r="D42" s="28"/>
      <c r="E42" s="28"/>
      <c r="F42" s="28"/>
      <c r="G42" s="28"/>
      <c r="H42" s="28" t="s">
        <v>65</v>
      </c>
      <c r="I42" s="28"/>
      <c r="J42" s="28"/>
      <c r="K42" s="28"/>
      <c r="L42" s="28"/>
      <c r="M42" s="28" t="s">
        <v>66</v>
      </c>
      <c r="N42" s="28"/>
      <c r="O42" s="28"/>
      <c r="P42" s="28"/>
      <c r="Q42" s="28"/>
      <c r="R42" s="28" t="s">
        <v>67</v>
      </c>
      <c r="S42" s="28"/>
      <c r="T42" s="28"/>
      <c r="U42" s="28"/>
      <c r="V42" s="28"/>
      <c r="W42" s="28" t="s">
        <v>68</v>
      </c>
      <c r="X42" s="28"/>
      <c r="Y42" s="28"/>
      <c r="Z42" s="28"/>
      <c r="AA42" s="28"/>
      <c r="AB42" s="28" t="s">
        <v>69</v>
      </c>
      <c r="AC42" s="28"/>
      <c r="AD42" s="28"/>
      <c r="AE42" s="28"/>
      <c r="AF42" s="28"/>
      <c r="AG42" s="28" t="s">
        <v>70</v>
      </c>
      <c r="AH42" s="28" t="s">
        <v>71</v>
      </c>
      <c r="AK42" s="25" t="s">
        <v>72</v>
      </c>
      <c r="AL42" s="25"/>
      <c r="AM42" s="26">
        <v>50</v>
      </c>
      <c r="AN42" s="26">
        <v>50</v>
      </c>
      <c r="AO42" s="26">
        <v>45</v>
      </c>
      <c r="AP42" s="26">
        <v>45</v>
      </c>
      <c r="AQ42" s="26">
        <v>40</v>
      </c>
      <c r="AR42" s="27">
        <v>40</v>
      </c>
      <c r="AT42" t="s">
        <v>73</v>
      </c>
      <c r="AU42">
        <v>13.5</v>
      </c>
      <c r="AV42">
        <v>22.399999999999999</v>
      </c>
      <c r="AW42">
        <v>22.399999999999999</v>
      </c>
      <c r="AX42">
        <v>28.5</v>
      </c>
      <c r="AY42">
        <v>9.5999999999999996</v>
      </c>
      <c r="AZ42">
        <v>9.6999999999999993</v>
      </c>
      <c r="BA42">
        <v>9.6999999999999993</v>
      </c>
      <c r="BB42">
        <v>9.5999999999999996</v>
      </c>
    </row>
    <row r="43" ht="23.449999999999999" customHeight="1">
      <c r="A43" s="29" t="s">
        <v>74</v>
      </c>
      <c r="B43" s="29" t="s">
        <v>75</v>
      </c>
      <c r="C43" s="30">
        <v>0.016799999999999999</v>
      </c>
      <c r="D43" s="28"/>
      <c r="E43" s="28"/>
      <c r="F43" s="28"/>
      <c r="G43" s="28"/>
      <c r="H43" s="30">
        <v>0.1094</v>
      </c>
      <c r="I43" s="28"/>
      <c r="J43" s="28"/>
      <c r="K43" s="28"/>
      <c r="L43" s="28"/>
      <c r="M43" s="30">
        <v>0</v>
      </c>
      <c r="N43" s="28"/>
      <c r="O43" s="28"/>
      <c r="P43" s="28"/>
      <c r="Q43" s="28"/>
      <c r="R43" s="30">
        <v>0.58609999999999995</v>
      </c>
      <c r="S43" s="28"/>
      <c r="T43" s="28"/>
      <c r="U43" s="28"/>
      <c r="V43" s="28"/>
      <c r="W43" s="30">
        <v>0.46889999999999998</v>
      </c>
      <c r="X43" s="28"/>
      <c r="Y43" s="28"/>
      <c r="Z43" s="28"/>
      <c r="AA43" s="28"/>
      <c r="AB43" s="30">
        <v>0</v>
      </c>
      <c r="AC43" s="28"/>
      <c r="AD43" s="28"/>
      <c r="AE43" s="28"/>
      <c r="AF43" s="28"/>
      <c r="AG43" s="30">
        <v>0.28649999999999998</v>
      </c>
      <c r="AH43" s="30">
        <v>0.0011999999999999999</v>
      </c>
      <c r="AI43" s="22"/>
      <c r="AK43" s="31" t="s">
        <v>76</v>
      </c>
      <c r="AL43" s="31"/>
      <c r="AM43" s="26">
        <v>25</v>
      </c>
      <c r="AN43" s="26">
        <v>25</v>
      </c>
      <c r="AO43" s="26">
        <v>22.5</v>
      </c>
      <c r="AP43" s="26">
        <v>22.5</v>
      </c>
      <c r="AQ43" s="26">
        <v>20</v>
      </c>
      <c r="AR43" s="27">
        <v>20</v>
      </c>
      <c r="AT43" t="s">
        <v>77</v>
      </c>
      <c r="AU43">
        <v>12.6</v>
      </c>
      <c r="AV43">
        <v>17.699999999999999</v>
      </c>
      <c r="AW43">
        <v>17.699999999999999</v>
      </c>
      <c r="AX43">
        <v>20.5</v>
      </c>
      <c r="AY43">
        <v>8.9000000000000004</v>
      </c>
      <c r="AZ43">
        <v>9</v>
      </c>
      <c r="BA43">
        <v>9</v>
      </c>
      <c r="BB43">
        <v>8.9000000000000004</v>
      </c>
    </row>
    <row r="44" ht="25.5">
      <c r="A44" s="29"/>
      <c r="B44" s="29" t="s">
        <v>78</v>
      </c>
      <c r="C44" s="30">
        <v>0</v>
      </c>
      <c r="D44" s="28"/>
      <c r="E44" s="28"/>
      <c r="F44" s="28"/>
      <c r="G44" s="28"/>
      <c r="H44" s="30">
        <v>0</v>
      </c>
      <c r="I44" s="28"/>
      <c r="J44" s="28"/>
      <c r="K44" s="28"/>
      <c r="L44" s="28"/>
      <c r="M44" s="30">
        <v>0.13139999999999999</v>
      </c>
      <c r="N44" s="28"/>
      <c r="O44" s="28"/>
      <c r="P44" s="28"/>
      <c r="Q44" s="28"/>
      <c r="R44" s="30">
        <v>0.17829999999999999</v>
      </c>
      <c r="S44" s="28"/>
      <c r="T44" s="28"/>
      <c r="U44" s="28"/>
      <c r="V44" s="28"/>
      <c r="W44" s="30">
        <v>0.062399999999999997</v>
      </c>
      <c r="X44" s="28"/>
      <c r="Y44" s="28"/>
      <c r="Z44" s="28"/>
      <c r="AA44" s="28"/>
      <c r="AB44" s="30">
        <v>0</v>
      </c>
      <c r="AC44" s="28"/>
      <c r="AD44" s="28"/>
      <c r="AE44" s="28"/>
      <c r="AF44" s="28"/>
      <c r="AG44" s="30">
        <v>0.69030000000000002</v>
      </c>
      <c r="AH44" s="30">
        <v>0</v>
      </c>
      <c r="AI44" s="22"/>
      <c r="AK44" s="32" t="s">
        <v>79</v>
      </c>
      <c r="AL44" s="32"/>
      <c r="AM44" s="26"/>
      <c r="AN44" s="26">
        <v>9</v>
      </c>
      <c r="AO44" s="26">
        <v>6</v>
      </c>
      <c r="AP44" s="26">
        <v>4</v>
      </c>
      <c r="AQ44" s="26">
        <v>2</v>
      </c>
      <c r="AR44" s="27">
        <v>0</v>
      </c>
    </row>
    <row r="45">
      <c r="B45" s="33"/>
      <c r="C45" s="28" t="s">
        <v>70</v>
      </c>
      <c r="D45" s="28"/>
      <c r="E45" s="28"/>
      <c r="F45" s="28"/>
      <c r="G45" s="28"/>
      <c r="H45" s="28" t="s">
        <v>80</v>
      </c>
      <c r="I45" s="28"/>
      <c r="J45" s="28"/>
      <c r="K45" s="28"/>
      <c r="L45" s="28"/>
      <c r="M45" s="28" t="s">
        <v>81</v>
      </c>
      <c r="N45" s="28"/>
      <c r="O45" s="28"/>
      <c r="P45" s="28"/>
      <c r="Q45" s="28"/>
      <c r="R45" s="28" t="s">
        <v>82</v>
      </c>
      <c r="S45" s="28"/>
      <c r="T45" s="28"/>
      <c r="U45" s="28"/>
      <c r="V45" s="28"/>
      <c r="W45" s="28" t="s">
        <v>83</v>
      </c>
      <c r="X45" s="28"/>
      <c r="Y45" s="28"/>
      <c r="Z45" s="28"/>
      <c r="AA45" s="28"/>
      <c r="AB45" s="28" t="s">
        <v>84</v>
      </c>
      <c r="AC45" s="28"/>
      <c r="AD45" s="28"/>
      <c r="AE45" s="28"/>
      <c r="AF45" s="28"/>
      <c r="AG45" s="28" t="s">
        <v>85</v>
      </c>
      <c r="AH45" s="22"/>
      <c r="AI45" s="22"/>
      <c r="AK45" s="25"/>
      <c r="AL45" s="25"/>
      <c r="AM45" s="26"/>
      <c r="AN45" s="26"/>
      <c r="AO45" s="26"/>
      <c r="AP45" s="26"/>
      <c r="AQ45" s="26"/>
      <c r="AR45" s="27"/>
    </row>
    <row r="46">
      <c r="A46" s="34" t="s">
        <v>86</v>
      </c>
      <c r="B46" s="28" t="s">
        <v>87</v>
      </c>
      <c r="C46" s="35">
        <v>0.20999999999999999</v>
      </c>
      <c r="D46" s="28"/>
      <c r="E46" s="28"/>
      <c r="F46" s="28"/>
      <c r="G46" s="28"/>
      <c r="H46" s="35">
        <v>0.040000000000000001</v>
      </c>
      <c r="I46" s="28"/>
      <c r="J46" s="28"/>
      <c r="K46" s="28"/>
      <c r="L46" s="28"/>
      <c r="M46" s="35">
        <v>0.56999999999999995</v>
      </c>
      <c r="N46" s="28"/>
      <c r="O46" s="28"/>
      <c r="P46" s="28"/>
      <c r="Q46" s="28"/>
      <c r="R46" s="35">
        <v>0</v>
      </c>
      <c r="S46" s="28"/>
      <c r="T46" s="28"/>
      <c r="U46" s="28"/>
      <c r="V46" s="28"/>
      <c r="W46" s="35">
        <v>0</v>
      </c>
      <c r="X46" s="28"/>
      <c r="Y46" s="28"/>
      <c r="Z46" s="28"/>
      <c r="AA46" s="28"/>
      <c r="AB46" s="35">
        <v>0.17000000000000001</v>
      </c>
      <c r="AC46" s="28"/>
      <c r="AD46" s="28"/>
      <c r="AE46" s="28"/>
      <c r="AF46" s="28"/>
      <c r="AG46" s="35">
        <v>0.01</v>
      </c>
      <c r="AK46" s="36" t="s">
        <v>88</v>
      </c>
      <c r="AL46" s="36"/>
      <c r="AM46" s="37" t="s">
        <v>89</v>
      </c>
      <c r="AN46" s="37" t="s">
        <v>89</v>
      </c>
      <c r="AO46" s="37">
        <v>30</v>
      </c>
      <c r="AP46" s="37">
        <v>25</v>
      </c>
      <c r="AQ46" s="37">
        <v>20</v>
      </c>
      <c r="AR46" s="38">
        <v>20</v>
      </c>
    </row>
    <row r="47">
      <c r="A47" s="34"/>
      <c r="B47" s="28" t="s">
        <v>90</v>
      </c>
      <c r="C47" s="35">
        <v>0.73999999999999999</v>
      </c>
      <c r="D47" s="28"/>
      <c r="E47" s="28"/>
      <c r="F47" s="28"/>
      <c r="G47" s="28"/>
      <c r="H47" s="35">
        <v>0.080000000000000002</v>
      </c>
      <c r="I47" s="28"/>
      <c r="J47" s="28"/>
      <c r="K47" s="28"/>
      <c r="L47" s="28"/>
      <c r="M47" s="35">
        <v>0.059999999999999998</v>
      </c>
      <c r="N47" s="28"/>
      <c r="O47" s="28"/>
      <c r="P47" s="28"/>
      <c r="Q47" s="28"/>
      <c r="R47" s="35">
        <v>0</v>
      </c>
      <c r="S47" s="28"/>
      <c r="T47" s="28"/>
      <c r="U47" s="28"/>
      <c r="V47" s="28"/>
      <c r="W47" s="35">
        <v>0.089999999999999997</v>
      </c>
      <c r="X47" s="28"/>
      <c r="Y47" s="28"/>
      <c r="Z47" s="28"/>
      <c r="AA47" s="28"/>
      <c r="AB47" s="35">
        <v>0.01</v>
      </c>
      <c r="AC47" s="28"/>
      <c r="AD47" s="28"/>
      <c r="AE47" s="28"/>
      <c r="AF47" s="28"/>
      <c r="AG47" s="35">
        <v>0.02</v>
      </c>
    </row>
    <row r="49">
      <c r="A49" s="2" t="s">
        <v>91</v>
      </c>
    </row>
    <row r="50">
      <c r="C50" s="5">
        <v>2020</v>
      </c>
      <c r="D50" s="5">
        <f t="shared" si="6"/>
        <v>2021</v>
      </c>
      <c r="E50" s="5">
        <f t="shared" si="6"/>
        <v>2022</v>
      </c>
      <c r="F50" s="5">
        <f t="shared" si="6"/>
        <v>2023</v>
      </c>
      <c r="G50" s="5">
        <f t="shared" si="6"/>
        <v>2024</v>
      </c>
      <c r="H50" s="5">
        <f t="shared" si="6"/>
        <v>2025</v>
      </c>
      <c r="I50" s="5">
        <f t="shared" si="6"/>
        <v>2026</v>
      </c>
      <c r="J50" s="5">
        <f t="shared" si="6"/>
        <v>2027</v>
      </c>
      <c r="K50" s="5">
        <f t="shared" si="6"/>
        <v>2028</v>
      </c>
      <c r="L50" s="5">
        <f t="shared" si="6"/>
        <v>2029</v>
      </c>
      <c r="M50" s="5">
        <f t="shared" si="6"/>
        <v>2030</v>
      </c>
      <c r="N50" s="5">
        <f t="shared" si="6"/>
        <v>2031</v>
      </c>
      <c r="O50" s="5">
        <f t="shared" si="6"/>
        <v>2032</v>
      </c>
      <c r="P50" s="5">
        <f t="shared" si="6"/>
        <v>2033</v>
      </c>
      <c r="Q50" s="5">
        <f t="shared" si="6"/>
        <v>2034</v>
      </c>
      <c r="R50" s="5">
        <f t="shared" si="6"/>
        <v>2035</v>
      </c>
      <c r="S50" s="5">
        <f t="shared" si="6"/>
        <v>2036</v>
      </c>
      <c r="T50" s="5">
        <f t="shared" si="6"/>
        <v>2037</v>
      </c>
      <c r="U50" s="5">
        <f t="shared" si="6"/>
        <v>2038</v>
      </c>
      <c r="V50" s="5">
        <f t="shared" si="6"/>
        <v>2039</v>
      </c>
      <c r="W50" s="5">
        <f t="shared" si="6"/>
        <v>2040</v>
      </c>
      <c r="X50" s="5">
        <f t="shared" si="6"/>
        <v>2041</v>
      </c>
      <c r="Y50" s="5">
        <f t="shared" si="6"/>
        <v>2042</v>
      </c>
      <c r="Z50" s="5">
        <f t="shared" si="6"/>
        <v>2043</v>
      </c>
      <c r="AA50" s="5">
        <f t="shared" si="6"/>
        <v>2044</v>
      </c>
      <c r="AB50" s="5">
        <f t="shared" si="6"/>
        <v>2045</v>
      </c>
      <c r="AC50" s="5">
        <f t="shared" si="6"/>
        <v>2046</v>
      </c>
      <c r="AD50" s="5">
        <f t="shared" si="6"/>
        <v>2047</v>
      </c>
      <c r="AE50" s="5">
        <f t="shared" si="6"/>
        <v>2048</v>
      </c>
      <c r="AF50" s="5">
        <f t="shared" si="6"/>
        <v>2049</v>
      </c>
      <c r="AG50" s="5">
        <f t="shared" si="6"/>
        <v>2050</v>
      </c>
    </row>
    <row r="51" ht="12.75" customHeight="1">
      <c r="A51" s="29" t="s">
        <v>56</v>
      </c>
      <c r="B51" s="28" t="s">
        <v>92</v>
      </c>
      <c r="C51" s="28">
        <v>27.5</v>
      </c>
      <c r="D51" s="28"/>
      <c r="E51" s="28"/>
      <c r="F51" s="28"/>
      <c r="G51" s="28"/>
      <c r="H51" s="28">
        <v>27.5</v>
      </c>
      <c r="I51" s="28"/>
      <c r="J51" s="28"/>
      <c r="K51" s="28"/>
      <c r="L51" s="28"/>
      <c r="M51" s="28">
        <v>27.5</v>
      </c>
      <c r="N51" s="28"/>
      <c r="O51" s="28"/>
      <c r="P51" s="28"/>
      <c r="Q51" s="28"/>
      <c r="R51" s="28">
        <v>27.5</v>
      </c>
      <c r="S51" s="28"/>
      <c r="T51" s="28"/>
      <c r="U51" s="28"/>
      <c r="V51" s="28"/>
      <c r="W51" s="28">
        <v>27.5</v>
      </c>
      <c r="X51" s="28"/>
      <c r="Y51" s="28"/>
      <c r="Z51" s="28"/>
      <c r="AA51" s="28"/>
      <c r="AB51" s="28">
        <v>27.5</v>
      </c>
      <c r="AC51" s="28"/>
      <c r="AD51" s="28"/>
      <c r="AE51" s="28"/>
      <c r="AF51" s="28"/>
      <c r="AG51" s="28">
        <v>27.5</v>
      </c>
      <c r="AH51" s="23"/>
      <c r="AI51" s="23" t="s">
        <v>93</v>
      </c>
    </row>
    <row r="52">
      <c r="A52" s="29"/>
      <c r="B52" s="28" t="s">
        <v>94</v>
      </c>
      <c r="C52" s="28">
        <v>37.5</v>
      </c>
      <c r="D52" s="28"/>
      <c r="E52" s="28"/>
      <c r="F52" s="28"/>
      <c r="G52" s="28"/>
      <c r="H52" s="28">
        <v>37.5</v>
      </c>
      <c r="I52" s="28"/>
      <c r="J52" s="28"/>
      <c r="K52" s="28"/>
      <c r="L52" s="28"/>
      <c r="M52" s="28">
        <v>37.5</v>
      </c>
      <c r="N52" s="28"/>
      <c r="O52" s="28"/>
      <c r="P52" s="28"/>
      <c r="Q52" s="28"/>
      <c r="R52" s="28">
        <v>37.5</v>
      </c>
      <c r="S52" s="28"/>
      <c r="T52" s="28"/>
      <c r="U52" s="28"/>
      <c r="V52" s="28"/>
      <c r="W52" s="28">
        <v>37.5</v>
      </c>
      <c r="X52" s="28"/>
      <c r="Y52" s="28"/>
      <c r="Z52" s="28"/>
      <c r="AA52" s="28"/>
      <c r="AB52" s="28">
        <v>37.5</v>
      </c>
      <c r="AC52" s="28"/>
      <c r="AD52" s="28"/>
      <c r="AE52" s="28"/>
      <c r="AF52" s="28"/>
      <c r="AG52" s="28">
        <v>37.5</v>
      </c>
      <c r="AH52" s="23"/>
      <c r="AI52" s="23" t="s">
        <v>95</v>
      </c>
    </row>
    <row r="53">
      <c r="A53" s="29"/>
      <c r="B53" s="28" t="s">
        <v>96</v>
      </c>
      <c r="C53" s="28">
        <v>35</v>
      </c>
      <c r="D53" s="28"/>
      <c r="E53" s="28"/>
      <c r="F53" s="28"/>
      <c r="G53" s="28"/>
      <c r="H53" s="28">
        <v>35</v>
      </c>
      <c r="I53" s="28"/>
      <c r="J53" s="28"/>
      <c r="K53" s="28"/>
      <c r="L53" s="28"/>
      <c r="M53" s="28">
        <v>35</v>
      </c>
      <c r="N53" s="28"/>
      <c r="O53" s="28"/>
      <c r="P53" s="28"/>
      <c r="Q53" s="28"/>
      <c r="R53" s="28">
        <v>35</v>
      </c>
      <c r="S53" s="28"/>
      <c r="T53" s="28"/>
      <c r="U53" s="28"/>
      <c r="V53" s="28"/>
      <c r="W53" s="28">
        <v>35</v>
      </c>
      <c r="X53" s="28"/>
      <c r="Y53" s="28"/>
      <c r="Z53" s="28"/>
      <c r="AA53" s="28"/>
      <c r="AB53" s="28">
        <v>35</v>
      </c>
      <c r="AC53" s="28"/>
      <c r="AD53" s="28"/>
      <c r="AE53" s="28"/>
      <c r="AF53" s="28"/>
      <c r="AG53" s="28">
        <v>35</v>
      </c>
      <c r="AH53" s="23"/>
      <c r="AM53" t="s">
        <v>97</v>
      </c>
      <c r="AN53" t="s">
        <v>98</v>
      </c>
      <c r="AO53" t="s">
        <v>99</v>
      </c>
    </row>
    <row r="54">
      <c r="A54" s="29"/>
      <c r="B54" s="28" t="s">
        <v>100</v>
      </c>
      <c r="C54" s="28">
        <v>42.5</v>
      </c>
      <c r="D54" s="28"/>
      <c r="E54" s="28"/>
      <c r="F54" s="28"/>
      <c r="G54" s="28"/>
      <c r="H54" s="28">
        <v>42.5</v>
      </c>
      <c r="I54" s="28"/>
      <c r="J54" s="28"/>
      <c r="K54" s="28"/>
      <c r="L54" s="28"/>
      <c r="M54" s="28">
        <v>42.5</v>
      </c>
      <c r="N54" s="28"/>
      <c r="O54" s="28"/>
      <c r="P54" s="28"/>
      <c r="Q54" s="28"/>
      <c r="R54" s="28">
        <v>42.5</v>
      </c>
      <c r="S54" s="28"/>
      <c r="T54" s="28"/>
      <c r="U54" s="28"/>
      <c r="V54" s="28"/>
      <c r="W54" s="28">
        <v>42.5</v>
      </c>
      <c r="X54" s="28"/>
      <c r="Y54" s="28"/>
      <c r="Z54" s="28"/>
      <c r="AA54" s="28"/>
      <c r="AB54" s="28">
        <v>42.5</v>
      </c>
      <c r="AC54" s="28"/>
      <c r="AD54" s="28"/>
      <c r="AE54" s="28"/>
      <c r="AF54" s="28"/>
      <c r="AG54" s="28">
        <v>42.5</v>
      </c>
      <c r="AH54" s="23"/>
      <c r="AI54" s="23"/>
      <c r="AJ54" s="23"/>
      <c r="AM54" t="s">
        <v>73</v>
      </c>
      <c r="AN54">
        <v>55</v>
      </c>
      <c r="AO54">
        <v>75</v>
      </c>
    </row>
    <row r="55">
      <c r="B55" s="39"/>
      <c r="AM55" t="s">
        <v>77</v>
      </c>
      <c r="AN55">
        <v>70</v>
      </c>
      <c r="AO55">
        <v>85</v>
      </c>
    </row>
    <row r="56">
      <c r="B56" s="39"/>
      <c r="C56" s="4" t="s">
        <v>70</v>
      </c>
      <c r="H56" s="4" t="s">
        <v>80</v>
      </c>
      <c r="M56" s="4" t="s">
        <v>81</v>
      </c>
      <c r="R56" s="4" t="s">
        <v>82</v>
      </c>
      <c r="W56" s="4" t="s">
        <v>83</v>
      </c>
      <c r="AB56" s="4" t="s">
        <v>84</v>
      </c>
      <c r="AG56" s="4" t="s">
        <v>85</v>
      </c>
      <c r="AI56" t="s">
        <v>101</v>
      </c>
    </row>
    <row r="57" ht="12.75" customHeight="1">
      <c r="A57" s="29" t="s">
        <v>102</v>
      </c>
      <c r="B57" s="28" t="s">
        <v>103</v>
      </c>
      <c r="C57" s="40">
        <v>0.02</v>
      </c>
      <c r="D57" s="40"/>
      <c r="E57" s="40"/>
      <c r="F57" s="40"/>
      <c r="G57" s="40"/>
      <c r="H57" s="40">
        <v>0.02</v>
      </c>
      <c r="I57" s="40"/>
      <c r="J57" s="40"/>
      <c r="K57" s="40"/>
      <c r="L57" s="40"/>
      <c r="M57" s="40">
        <v>0.75</v>
      </c>
      <c r="N57" s="40"/>
      <c r="O57" s="40"/>
      <c r="P57" s="40"/>
      <c r="Q57" s="40"/>
      <c r="R57" s="40">
        <v>0</v>
      </c>
      <c r="S57" s="40"/>
      <c r="T57" s="40"/>
      <c r="U57" s="40"/>
      <c r="V57" s="40"/>
      <c r="W57" s="41">
        <v>0</v>
      </c>
      <c r="X57" s="40"/>
      <c r="Y57" s="40"/>
      <c r="Z57" s="40"/>
      <c r="AA57" s="40"/>
      <c r="AB57" s="40">
        <v>0.17999999999999999</v>
      </c>
      <c r="AC57" s="40"/>
      <c r="AD57" s="40"/>
      <c r="AE57" s="40"/>
      <c r="AF57" s="40"/>
      <c r="AG57" s="40">
        <v>0.029999999999999999</v>
      </c>
      <c r="AH57" s="22"/>
      <c r="AI57" s="23"/>
    </row>
    <row r="58">
      <c r="A58" s="29"/>
      <c r="B58" s="28" t="s">
        <v>104</v>
      </c>
      <c r="C58" s="40">
        <v>0.02</v>
      </c>
      <c r="D58" s="40"/>
      <c r="E58" s="40"/>
      <c r="F58" s="40"/>
      <c r="G58" s="40"/>
      <c r="H58" s="40">
        <v>0.02</v>
      </c>
      <c r="I58" s="40"/>
      <c r="J58" s="40"/>
      <c r="K58" s="40"/>
      <c r="L58" s="40"/>
      <c r="M58" s="40">
        <v>0.75</v>
      </c>
      <c r="N58" s="40"/>
      <c r="O58" s="40"/>
      <c r="P58" s="40"/>
      <c r="Q58" s="40"/>
      <c r="R58" s="40">
        <v>0</v>
      </c>
      <c r="S58" s="40"/>
      <c r="T58" s="40"/>
      <c r="U58" s="40"/>
      <c r="V58" s="40"/>
      <c r="W58" s="41">
        <v>0</v>
      </c>
      <c r="X58" s="40"/>
      <c r="Y58" s="40"/>
      <c r="Z58" s="40"/>
      <c r="AA58" s="40"/>
      <c r="AB58" s="40">
        <v>0.17999999999999999</v>
      </c>
      <c r="AC58" s="40"/>
      <c r="AD58" s="40"/>
      <c r="AE58" s="40"/>
      <c r="AF58" s="40"/>
      <c r="AG58" s="40">
        <v>0.029999999999999999</v>
      </c>
      <c r="AH58" s="22"/>
      <c r="AI58" s="23" t="s">
        <v>105</v>
      </c>
    </row>
    <row r="59">
      <c r="A59" s="29"/>
      <c r="B59" s="28" t="s">
        <v>106</v>
      </c>
      <c r="C59" s="40">
        <v>0.02</v>
      </c>
      <c r="D59" s="40"/>
      <c r="E59" s="40"/>
      <c r="F59" s="40"/>
      <c r="G59" s="40"/>
      <c r="H59" s="40">
        <v>0.02</v>
      </c>
      <c r="I59" s="40"/>
      <c r="J59" s="40"/>
      <c r="K59" s="40"/>
      <c r="L59" s="40"/>
      <c r="M59" s="40">
        <v>0.75</v>
      </c>
      <c r="N59" s="40"/>
      <c r="O59" s="40"/>
      <c r="P59" s="40"/>
      <c r="Q59" s="40"/>
      <c r="R59" s="40">
        <v>0</v>
      </c>
      <c r="S59" s="40"/>
      <c r="T59" s="40"/>
      <c r="U59" s="40"/>
      <c r="V59" s="40"/>
      <c r="W59" s="41">
        <v>0</v>
      </c>
      <c r="X59" s="40"/>
      <c r="Y59" s="40"/>
      <c r="Z59" s="40"/>
      <c r="AA59" s="40"/>
      <c r="AB59" s="40">
        <v>0.17999999999999999</v>
      </c>
      <c r="AC59" s="40"/>
      <c r="AD59" s="40"/>
      <c r="AE59" s="40"/>
      <c r="AF59" s="40"/>
      <c r="AG59" s="40">
        <v>0.029999999999999999</v>
      </c>
      <c r="AH59" s="22"/>
      <c r="AI59" s="23" t="s">
        <v>107</v>
      </c>
    </row>
    <row r="60">
      <c r="A60" s="29"/>
      <c r="B60" s="28" t="s">
        <v>108</v>
      </c>
      <c r="C60" s="40">
        <v>0.02</v>
      </c>
      <c r="D60" s="40"/>
      <c r="E60" s="40"/>
      <c r="F60" s="40"/>
      <c r="G60" s="40"/>
      <c r="H60" s="40">
        <v>0.02</v>
      </c>
      <c r="I60" s="40"/>
      <c r="J60" s="40"/>
      <c r="K60" s="40"/>
      <c r="L60" s="40"/>
      <c r="M60" s="40">
        <v>0.75</v>
      </c>
      <c r="N60" s="40"/>
      <c r="O60" s="40"/>
      <c r="P60" s="40"/>
      <c r="Q60" s="40"/>
      <c r="R60" s="40">
        <v>0</v>
      </c>
      <c r="S60" s="40"/>
      <c r="T60" s="40"/>
      <c r="U60" s="40"/>
      <c r="V60" s="40"/>
      <c r="W60" s="41">
        <v>0</v>
      </c>
      <c r="X60" s="40"/>
      <c r="Y60" s="40"/>
      <c r="Z60" s="40"/>
      <c r="AA60" s="40"/>
      <c r="AB60" s="40">
        <v>0.17999999999999999</v>
      </c>
      <c r="AC60" s="40"/>
      <c r="AD60" s="40"/>
      <c r="AE60" s="40"/>
      <c r="AF60" s="40"/>
      <c r="AG60" s="40">
        <v>0.029999999999999999</v>
      </c>
      <c r="AH60" s="22"/>
      <c r="AI60" s="23" t="s">
        <v>109</v>
      </c>
    </row>
    <row r="61">
      <c r="A61" s="29"/>
      <c r="B61" s="28" t="s">
        <v>110</v>
      </c>
      <c r="C61" s="40">
        <v>0.73999999999999999</v>
      </c>
      <c r="D61" s="40"/>
      <c r="E61" s="40"/>
      <c r="F61" s="40"/>
      <c r="G61" s="40"/>
      <c r="H61" s="40">
        <v>0.02</v>
      </c>
      <c r="I61" s="40"/>
      <c r="J61" s="40"/>
      <c r="K61" s="40"/>
      <c r="L61" s="40"/>
      <c r="M61" s="40">
        <v>0.10000000000000001</v>
      </c>
      <c r="N61" s="40"/>
      <c r="O61" s="40"/>
      <c r="P61" s="40"/>
      <c r="Q61" s="40"/>
      <c r="R61" s="40">
        <v>0</v>
      </c>
      <c r="S61" s="40"/>
      <c r="T61" s="40"/>
      <c r="U61" s="40"/>
      <c r="V61" s="40"/>
      <c r="W61" s="41">
        <v>0.10000000000000001</v>
      </c>
      <c r="X61" s="40"/>
      <c r="Y61" s="40"/>
      <c r="Z61" s="40"/>
      <c r="AA61" s="40"/>
      <c r="AB61" s="40">
        <v>0.01</v>
      </c>
      <c r="AC61" s="40"/>
      <c r="AD61" s="40"/>
      <c r="AE61" s="40"/>
      <c r="AF61" s="40"/>
      <c r="AG61" s="40">
        <v>0.029999999999999999</v>
      </c>
      <c r="AH61" s="22"/>
      <c r="AI61" s="23" t="s">
        <v>111</v>
      </c>
    </row>
    <row r="62">
      <c r="A62" s="29"/>
      <c r="B62" s="28" t="s">
        <v>112</v>
      </c>
      <c r="C62" s="40">
        <v>0.20000000000000001</v>
      </c>
      <c r="D62" s="40"/>
      <c r="E62" s="40"/>
      <c r="F62" s="40"/>
      <c r="G62" s="40"/>
      <c r="H62" s="40">
        <v>0.02</v>
      </c>
      <c r="I62" s="40"/>
      <c r="J62" s="40"/>
      <c r="K62" s="40"/>
      <c r="L62" s="40"/>
      <c r="M62" s="40">
        <v>0.60999999999999999</v>
      </c>
      <c r="N62" s="40"/>
      <c r="O62" s="40"/>
      <c r="P62" s="40"/>
      <c r="Q62" s="40"/>
      <c r="R62" s="40">
        <v>0</v>
      </c>
      <c r="S62" s="40"/>
      <c r="T62" s="40"/>
      <c r="U62" s="40"/>
      <c r="V62" s="40"/>
      <c r="W62" s="41">
        <v>0.12</v>
      </c>
      <c r="X62" s="40"/>
      <c r="Y62" s="40"/>
      <c r="Z62" s="40"/>
      <c r="AA62" s="40"/>
      <c r="AB62" s="40">
        <v>0.02</v>
      </c>
      <c r="AC62" s="40"/>
      <c r="AD62" s="40"/>
      <c r="AE62" s="40"/>
      <c r="AF62" s="40"/>
      <c r="AG62" s="40">
        <v>0.029999999999999999</v>
      </c>
      <c r="AH62" s="22"/>
      <c r="AI62" s="23" t="s">
        <v>113</v>
      </c>
    </row>
    <row r="63">
      <c r="A63" s="29"/>
      <c r="B63" s="28" t="s">
        <v>114</v>
      </c>
      <c r="C63" s="40">
        <v>0.20000000000000001</v>
      </c>
      <c r="D63" s="40"/>
      <c r="E63" s="40"/>
      <c r="F63" s="40"/>
      <c r="G63" s="40"/>
      <c r="H63" s="40">
        <v>0.02</v>
      </c>
      <c r="I63" s="40"/>
      <c r="J63" s="40"/>
      <c r="K63" s="40"/>
      <c r="L63" s="40"/>
      <c r="M63" s="40">
        <v>0.60999999999999999</v>
      </c>
      <c r="N63" s="40"/>
      <c r="O63" s="40"/>
      <c r="P63" s="40"/>
      <c r="Q63" s="40"/>
      <c r="R63" s="40">
        <v>0</v>
      </c>
      <c r="S63" s="40"/>
      <c r="T63" s="40"/>
      <c r="U63" s="40"/>
      <c r="V63" s="40"/>
      <c r="W63" s="41">
        <v>0.12</v>
      </c>
      <c r="X63" s="40"/>
      <c r="Y63" s="40"/>
      <c r="Z63" s="40"/>
      <c r="AA63" s="40"/>
      <c r="AB63" s="40">
        <v>0.02</v>
      </c>
      <c r="AC63" s="40"/>
      <c r="AD63" s="40"/>
      <c r="AE63" s="40"/>
      <c r="AF63" s="40"/>
      <c r="AG63" s="40">
        <v>0.029999999999999999</v>
      </c>
      <c r="AH63" s="22"/>
      <c r="AI63" s="23" t="s">
        <v>115</v>
      </c>
    </row>
    <row r="64">
      <c r="A64" s="29"/>
      <c r="B64" s="28" t="s">
        <v>116</v>
      </c>
      <c r="C64" s="40">
        <v>0.20000000000000001</v>
      </c>
      <c r="D64" s="40"/>
      <c r="E64" s="40"/>
      <c r="F64" s="40"/>
      <c r="G64" s="40"/>
      <c r="H64" s="40">
        <v>0.02</v>
      </c>
      <c r="I64" s="40"/>
      <c r="J64" s="40"/>
      <c r="K64" s="40"/>
      <c r="L64" s="40"/>
      <c r="M64" s="40">
        <v>0.60999999999999999</v>
      </c>
      <c r="N64" s="40"/>
      <c r="O64" s="40"/>
      <c r="P64" s="40"/>
      <c r="Q64" s="40"/>
      <c r="R64" s="40">
        <v>0</v>
      </c>
      <c r="S64" s="40"/>
      <c r="T64" s="40"/>
      <c r="U64" s="40"/>
      <c r="V64" s="40"/>
      <c r="W64" s="41">
        <v>0.12</v>
      </c>
      <c r="X64" s="40"/>
      <c r="Y64" s="40"/>
      <c r="Z64" s="40"/>
      <c r="AA64" s="40"/>
      <c r="AB64" s="40">
        <v>0.02</v>
      </c>
      <c r="AC64" s="40"/>
      <c r="AD64" s="40"/>
      <c r="AE64" s="40"/>
      <c r="AF64" s="40"/>
      <c r="AG64" s="40">
        <v>0.029999999999999999</v>
      </c>
      <c r="AH64" s="22"/>
    </row>
    <row r="65">
      <c r="A65" s="29"/>
      <c r="B65" s="28" t="s">
        <v>117</v>
      </c>
      <c r="C65" s="40">
        <v>0.20000000000000001</v>
      </c>
      <c r="D65" s="40"/>
      <c r="E65" s="40"/>
      <c r="F65" s="40"/>
      <c r="G65" s="40"/>
      <c r="H65" s="40">
        <v>0.02</v>
      </c>
      <c r="I65" s="40"/>
      <c r="J65" s="40"/>
      <c r="K65" s="40"/>
      <c r="L65" s="40"/>
      <c r="M65" s="40">
        <v>0.60999999999999999</v>
      </c>
      <c r="N65" s="40"/>
      <c r="O65" s="40"/>
      <c r="P65" s="40"/>
      <c r="Q65" s="40"/>
      <c r="R65" s="40">
        <v>0</v>
      </c>
      <c r="S65" s="40"/>
      <c r="T65" s="40"/>
      <c r="U65" s="40"/>
      <c r="V65" s="40"/>
      <c r="W65" s="41">
        <v>0.12</v>
      </c>
      <c r="X65" s="40"/>
      <c r="Y65" s="40"/>
      <c r="Z65" s="40"/>
      <c r="AA65" s="40"/>
      <c r="AB65" s="40">
        <v>0.02</v>
      </c>
      <c r="AC65" s="40"/>
      <c r="AD65" s="40"/>
      <c r="AE65" s="40"/>
      <c r="AF65" s="40"/>
      <c r="AG65" s="40">
        <v>0.029999999999999999</v>
      </c>
      <c r="AH65" s="22"/>
      <c r="AI65" t="s">
        <v>118</v>
      </c>
    </row>
    <row r="66">
      <c r="B66" s="39"/>
      <c r="AH66" s="2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</row>
    <row r="67">
      <c r="A67" s="2" t="s">
        <v>119</v>
      </c>
      <c r="B67" s="39"/>
      <c r="AH67" s="22"/>
      <c r="AV67" s="43"/>
      <c r="AW67" s="43"/>
      <c r="AX67" s="43"/>
      <c r="BF67" s="43"/>
      <c r="BG67" s="43"/>
      <c r="BH67" s="43"/>
      <c r="BI67" s="43"/>
    </row>
    <row r="68">
      <c r="B68" s="39"/>
      <c r="C68" s="5">
        <v>2020</v>
      </c>
      <c r="D68" s="5">
        <f t="shared" si="6"/>
        <v>2021</v>
      </c>
      <c r="E68" s="5">
        <f t="shared" si="6"/>
        <v>2022</v>
      </c>
      <c r="F68" s="5">
        <f t="shared" si="6"/>
        <v>2023</v>
      </c>
      <c r="G68" s="5">
        <f t="shared" si="6"/>
        <v>2024</v>
      </c>
      <c r="H68" s="5">
        <f t="shared" si="6"/>
        <v>2025</v>
      </c>
      <c r="I68" s="5">
        <f t="shared" si="6"/>
        <v>2026</v>
      </c>
      <c r="J68" s="5">
        <f t="shared" si="6"/>
        <v>2027</v>
      </c>
      <c r="K68" s="5">
        <f t="shared" si="6"/>
        <v>2028</v>
      </c>
      <c r="L68" s="5">
        <f t="shared" si="6"/>
        <v>2029</v>
      </c>
      <c r="M68" s="5">
        <f t="shared" si="6"/>
        <v>2030</v>
      </c>
      <c r="N68" s="5">
        <f t="shared" si="6"/>
        <v>2031</v>
      </c>
      <c r="O68" s="5">
        <f t="shared" si="6"/>
        <v>2032</v>
      </c>
      <c r="P68" s="5">
        <f t="shared" si="6"/>
        <v>2033</v>
      </c>
      <c r="Q68" s="5">
        <f t="shared" si="6"/>
        <v>2034</v>
      </c>
      <c r="R68" s="5">
        <f t="shared" si="6"/>
        <v>2035</v>
      </c>
      <c r="S68" s="5">
        <f t="shared" si="6"/>
        <v>2036</v>
      </c>
      <c r="T68" s="5">
        <f t="shared" si="6"/>
        <v>2037</v>
      </c>
      <c r="U68" s="5">
        <f t="shared" si="6"/>
        <v>2038</v>
      </c>
      <c r="V68" s="5">
        <f t="shared" si="6"/>
        <v>2039</v>
      </c>
      <c r="W68" s="5">
        <f t="shared" si="6"/>
        <v>2040</v>
      </c>
      <c r="X68" s="5">
        <f t="shared" si="6"/>
        <v>2041</v>
      </c>
      <c r="Y68" s="5">
        <f t="shared" si="6"/>
        <v>2042</v>
      </c>
      <c r="Z68" s="5">
        <f t="shared" si="6"/>
        <v>2043</v>
      </c>
      <c r="AA68" s="5">
        <f t="shared" si="6"/>
        <v>2044</v>
      </c>
      <c r="AB68" s="5">
        <f t="shared" si="6"/>
        <v>2045</v>
      </c>
      <c r="AC68" s="5">
        <f t="shared" si="6"/>
        <v>2046</v>
      </c>
      <c r="AD68" s="5">
        <f t="shared" si="6"/>
        <v>2047</v>
      </c>
      <c r="AE68" s="5">
        <f t="shared" si="6"/>
        <v>2048</v>
      </c>
      <c r="AF68" s="5">
        <f t="shared" si="6"/>
        <v>2049</v>
      </c>
      <c r="AG68" s="5">
        <f t="shared" si="6"/>
        <v>2050</v>
      </c>
      <c r="AH68" s="22"/>
      <c r="AV68" s="43"/>
      <c r="AW68" s="43"/>
      <c r="AX68" s="43"/>
      <c r="BD68" s="44" t="s">
        <v>120</v>
      </c>
      <c r="BE68" s="45" t="s">
        <v>121</v>
      </c>
    </row>
    <row r="69" ht="12.75" customHeight="1">
      <c r="A69" s="29" t="s">
        <v>56</v>
      </c>
      <c r="B69" s="28" t="s">
        <v>92</v>
      </c>
      <c r="C69" s="28">
        <v>27.5</v>
      </c>
      <c r="D69" s="28"/>
      <c r="E69" s="28"/>
      <c r="F69" s="28"/>
      <c r="G69" s="28"/>
      <c r="H69" s="28">
        <v>27.5</v>
      </c>
      <c r="I69" s="28"/>
      <c r="J69" s="28"/>
      <c r="K69" s="28"/>
      <c r="L69" s="28"/>
      <c r="M69" s="28">
        <v>27.5</v>
      </c>
      <c r="N69" s="28"/>
      <c r="O69" s="28"/>
      <c r="P69" s="28"/>
      <c r="Q69" s="28"/>
      <c r="R69" s="46">
        <f t="shared" ref="R69:R72" si="14">(M69+W69)/2</f>
        <v>26.875</v>
      </c>
      <c r="S69" s="46"/>
      <c r="T69" s="46"/>
      <c r="U69" s="46"/>
      <c r="V69" s="46"/>
      <c r="W69" s="46">
        <f t="shared" ref="W69:W72" si="15">(M69+AG69)/2</f>
        <v>26.25</v>
      </c>
      <c r="X69" s="46"/>
      <c r="Y69" s="46"/>
      <c r="Z69" s="46"/>
      <c r="AA69" s="46"/>
      <c r="AB69" s="46">
        <f t="shared" ref="AB69:AB72" si="16">(W69+AG69)/2</f>
        <v>25.625</v>
      </c>
      <c r="AC69" s="28"/>
      <c r="AD69" s="28"/>
      <c r="AE69" s="28"/>
      <c r="AF69" s="28"/>
      <c r="AG69" s="28">
        <v>25</v>
      </c>
      <c r="AH69" s="22"/>
      <c r="AI69" t="s">
        <v>122</v>
      </c>
      <c r="AV69" s="43"/>
      <c r="AW69" s="43"/>
      <c r="AX69" s="43"/>
      <c r="BD69" s="47"/>
      <c r="BH69" s="48"/>
      <c r="BI69" s="48"/>
      <c r="BJ69" s="48"/>
      <c r="BK69" s="48"/>
    </row>
    <row r="70" ht="12.75" customHeight="1">
      <c r="A70" s="29"/>
      <c r="B70" s="28" t="s">
        <v>94</v>
      </c>
      <c r="C70" s="28">
        <v>37.5</v>
      </c>
      <c r="D70" s="28"/>
      <c r="E70" s="28"/>
      <c r="F70" s="28"/>
      <c r="G70" s="28"/>
      <c r="H70" s="28">
        <v>37.5</v>
      </c>
      <c r="I70" s="28"/>
      <c r="J70" s="28"/>
      <c r="K70" s="28"/>
      <c r="L70" s="28"/>
      <c r="M70" s="28">
        <v>37.5</v>
      </c>
      <c r="N70" s="28"/>
      <c r="O70" s="28"/>
      <c r="P70" s="28"/>
      <c r="Q70" s="28"/>
      <c r="R70" s="46">
        <f t="shared" si="14"/>
        <v>36.625</v>
      </c>
      <c r="S70" s="46"/>
      <c r="T70" s="46"/>
      <c r="U70" s="46"/>
      <c r="V70" s="46"/>
      <c r="W70" s="46">
        <f t="shared" si="15"/>
        <v>35.75</v>
      </c>
      <c r="X70" s="46"/>
      <c r="Y70" s="46"/>
      <c r="Z70" s="46"/>
      <c r="AA70" s="46"/>
      <c r="AB70" s="46">
        <f t="shared" si="16"/>
        <v>34.875</v>
      </c>
      <c r="AC70" s="28"/>
      <c r="AD70" s="28"/>
      <c r="AE70" s="28"/>
      <c r="AF70" s="28"/>
      <c r="AG70" s="28">
        <v>34</v>
      </c>
      <c r="AH70" s="22"/>
      <c r="AV70" s="43"/>
      <c r="AW70" s="43"/>
      <c r="AX70" s="43"/>
      <c r="BD70" s="47"/>
      <c r="BE70" s="49" t="s">
        <v>123</v>
      </c>
      <c r="BF70" t="s">
        <v>82</v>
      </c>
      <c r="BG70" t="s">
        <v>71</v>
      </c>
      <c r="BH70" s="48" t="s">
        <v>124</v>
      </c>
      <c r="BI70" s="48" t="s">
        <v>125</v>
      </c>
      <c r="BJ70" t="s">
        <v>126</v>
      </c>
      <c r="BK70" t="s">
        <v>84</v>
      </c>
      <c r="BL70" t="s">
        <v>127</v>
      </c>
      <c r="BM70" t="s">
        <v>128</v>
      </c>
      <c r="BN70" t="s">
        <v>129</v>
      </c>
    </row>
    <row r="71">
      <c r="A71" s="29"/>
      <c r="B71" s="28" t="s">
        <v>96</v>
      </c>
      <c r="C71" s="28">
        <v>35</v>
      </c>
      <c r="D71" s="28"/>
      <c r="E71" s="28"/>
      <c r="F71" s="28"/>
      <c r="G71" s="28"/>
      <c r="H71" s="28">
        <v>35</v>
      </c>
      <c r="I71" s="28"/>
      <c r="J71" s="28"/>
      <c r="K71" s="28"/>
      <c r="L71" s="28"/>
      <c r="M71" s="28">
        <v>35</v>
      </c>
      <c r="N71" s="28"/>
      <c r="O71" s="28"/>
      <c r="P71" s="28"/>
      <c r="Q71" s="28"/>
      <c r="R71" s="46">
        <f t="shared" si="14"/>
        <v>34.125</v>
      </c>
      <c r="S71" s="46"/>
      <c r="T71" s="46"/>
      <c r="U71" s="46"/>
      <c r="V71" s="46"/>
      <c r="W71" s="46">
        <f t="shared" si="15"/>
        <v>33.25</v>
      </c>
      <c r="X71" s="46"/>
      <c r="Y71" s="46"/>
      <c r="Z71" s="46"/>
      <c r="AA71" s="46"/>
      <c r="AB71" s="46">
        <f t="shared" si="16"/>
        <v>32.375</v>
      </c>
      <c r="AC71" s="28"/>
      <c r="AD71" s="28"/>
      <c r="AE71" s="28"/>
      <c r="AF71" s="28"/>
      <c r="AG71" s="28">
        <v>31.5</v>
      </c>
      <c r="AH71" s="22"/>
      <c r="AV71" s="43"/>
      <c r="AW71" s="43"/>
      <c r="AX71" s="43"/>
      <c r="BD71" s="50">
        <v>2015</v>
      </c>
      <c r="BE71" s="49" t="s">
        <v>130</v>
      </c>
      <c r="BF71" s="51">
        <v>0.112</v>
      </c>
      <c r="BG71" s="51">
        <v>0.025000000000000001</v>
      </c>
      <c r="BH71" s="51">
        <v>0.25900000000000001</v>
      </c>
      <c r="BI71" s="51">
        <v>0.438</v>
      </c>
      <c r="BJ71" s="51">
        <v>0.082000000000000003</v>
      </c>
      <c r="BK71" s="51">
        <v>0.078</v>
      </c>
      <c r="BL71" s="51">
        <v>0.0060000000000000001</v>
      </c>
      <c r="BM71" s="51">
        <v>0.001</v>
      </c>
      <c r="BN71" s="52">
        <v>1</v>
      </c>
      <c r="BO71" s="51"/>
      <c r="BP71" s="51"/>
    </row>
    <row r="72">
      <c r="A72" s="29"/>
      <c r="B72" s="28" t="s">
        <v>100</v>
      </c>
      <c r="C72" s="28">
        <v>42.5</v>
      </c>
      <c r="D72" s="28"/>
      <c r="E72" s="28"/>
      <c r="F72" s="28"/>
      <c r="G72" s="28"/>
      <c r="H72" s="28">
        <v>42.5</v>
      </c>
      <c r="I72" s="28"/>
      <c r="J72" s="28"/>
      <c r="K72" s="28"/>
      <c r="L72" s="28"/>
      <c r="M72" s="28">
        <v>42.5</v>
      </c>
      <c r="N72" s="28"/>
      <c r="O72" s="28"/>
      <c r="P72" s="28"/>
      <c r="Q72" s="28"/>
      <c r="R72" s="46">
        <f t="shared" si="14"/>
        <v>41.375</v>
      </c>
      <c r="S72" s="46"/>
      <c r="T72" s="46"/>
      <c r="U72" s="46"/>
      <c r="V72" s="46"/>
      <c r="W72" s="46">
        <f t="shared" si="15"/>
        <v>40.25</v>
      </c>
      <c r="X72" s="46"/>
      <c r="Y72" s="46"/>
      <c r="Z72" s="46"/>
      <c r="AA72" s="46"/>
      <c r="AB72" s="46">
        <f t="shared" si="16"/>
        <v>39.125</v>
      </c>
      <c r="AC72" s="28"/>
      <c r="AD72" s="28"/>
      <c r="AE72" s="28"/>
      <c r="AF72" s="28"/>
      <c r="AG72" s="28">
        <v>38</v>
      </c>
      <c r="AH72" s="22"/>
      <c r="AK72" s="26" t="s">
        <v>131</v>
      </c>
      <c r="AL72" s="26"/>
      <c r="AM72" s="26"/>
      <c r="AN72" s="26"/>
      <c r="AO72" s="26"/>
      <c r="AP72" s="26"/>
      <c r="AQ72" s="26"/>
      <c r="AR72" s="26"/>
      <c r="AS72" s="26"/>
      <c r="AT72" s="26"/>
      <c r="AV72" s="43"/>
      <c r="AW72" s="43"/>
      <c r="AX72" s="43"/>
      <c r="BD72" s="53"/>
      <c r="BE72" s="54" t="s">
        <v>132</v>
      </c>
      <c r="BF72" s="55">
        <v>0.028000000000000001</v>
      </c>
      <c r="BG72" s="55">
        <v>0.001</v>
      </c>
      <c r="BH72" s="55">
        <v>0.436</v>
      </c>
      <c r="BI72" s="55">
        <v>0.443</v>
      </c>
      <c r="BJ72" s="55">
        <v>0.0040000000000000001</v>
      </c>
      <c r="BK72" s="55">
        <v>0.0060000000000000001</v>
      </c>
      <c r="BL72" s="55">
        <v>0.082000000000000003</v>
      </c>
      <c r="BM72" s="55">
        <v>0.001</v>
      </c>
      <c r="BN72" s="56">
        <v>1</v>
      </c>
      <c r="BO72" s="55"/>
      <c r="BP72" s="55"/>
    </row>
    <row r="73">
      <c r="AH73" s="22"/>
      <c r="AK73" s="20"/>
      <c r="AL73" s="20"/>
      <c r="AM73" s="4"/>
      <c r="AN73" s="4" t="s">
        <v>70</v>
      </c>
      <c r="AO73" s="4" t="s">
        <v>80</v>
      </c>
      <c r="AP73" s="4" t="s">
        <v>81</v>
      </c>
      <c r="AQ73" s="4" t="s">
        <v>82</v>
      </c>
      <c r="AR73" s="4" t="s">
        <v>84</v>
      </c>
      <c r="AS73" s="4" t="s">
        <v>83</v>
      </c>
      <c r="AT73" s="4" t="s">
        <v>85</v>
      </c>
      <c r="BD73" s="53">
        <v>2020</v>
      </c>
      <c r="BE73" s="54" t="s">
        <v>130</v>
      </c>
      <c r="BF73" s="55">
        <v>0.096000000000000002</v>
      </c>
      <c r="BG73" s="55">
        <v>0.021999999999999999</v>
      </c>
      <c r="BH73" s="55">
        <v>0.254</v>
      </c>
      <c r="BI73" s="55">
        <v>0.41899999999999998</v>
      </c>
      <c r="BJ73" s="55">
        <v>0.11700000000000001</v>
      </c>
      <c r="BK73" s="55">
        <v>0.080000000000000002</v>
      </c>
      <c r="BL73" s="55">
        <v>0.01</v>
      </c>
      <c r="BM73" s="55">
        <v>0.001</v>
      </c>
      <c r="BN73" s="56">
        <v>1</v>
      </c>
      <c r="BO73" s="55"/>
      <c r="BP73" s="55"/>
    </row>
    <row r="74">
      <c r="C74" s="4" t="s">
        <v>70</v>
      </c>
      <c r="H74" s="4" t="s">
        <v>80</v>
      </c>
      <c r="M74" s="4" t="s">
        <v>81</v>
      </c>
      <c r="R74" s="4" t="s">
        <v>82</v>
      </c>
      <c r="W74" s="4" t="s">
        <v>83</v>
      </c>
      <c r="AB74" s="4" t="s">
        <v>84</v>
      </c>
      <c r="AG74" s="4" t="s">
        <v>85</v>
      </c>
      <c r="AH74" s="22"/>
      <c r="AI74" t="s">
        <v>133</v>
      </c>
      <c r="AK74" s="34" t="s">
        <v>58</v>
      </c>
      <c r="AL74" s="34"/>
      <c r="AM74" s="57" t="s">
        <v>73</v>
      </c>
      <c r="AN74" s="58">
        <v>0.20999999999999999</v>
      </c>
      <c r="AO74" s="58">
        <v>0.059999999999999998</v>
      </c>
      <c r="AP74" s="58">
        <v>0.56000000000000005</v>
      </c>
      <c r="AQ74" s="58">
        <v>0</v>
      </c>
      <c r="AR74" s="58">
        <v>0.16</v>
      </c>
      <c r="AS74" s="58">
        <v>0.01</v>
      </c>
      <c r="AT74" s="58">
        <v>0</v>
      </c>
      <c r="AX74" s="3"/>
      <c r="AY74" s="3"/>
      <c r="AZ74" s="3"/>
      <c r="BA74" s="3"/>
      <c r="BB74" s="3"/>
      <c r="BC74" s="3"/>
      <c r="BD74" s="53"/>
      <c r="BE74" s="54" t="s">
        <v>132</v>
      </c>
      <c r="BF74" s="55">
        <v>0.02</v>
      </c>
      <c r="BG74" s="55">
        <v>0.001</v>
      </c>
      <c r="BH74" s="55">
        <v>0.46000000000000002</v>
      </c>
      <c r="BI74" s="55">
        <v>0.41099999999999998</v>
      </c>
      <c r="BJ74" s="55">
        <v>0.0050000000000000001</v>
      </c>
      <c r="BK74" s="55">
        <v>0.0050000000000000001</v>
      </c>
      <c r="BL74" s="55">
        <v>0.098000000000000004</v>
      </c>
      <c r="BM74" s="55">
        <v>0.001</v>
      </c>
      <c r="BN74" s="56">
        <v>1</v>
      </c>
      <c r="BO74" s="55"/>
      <c r="BP74" s="55"/>
    </row>
    <row r="75" ht="12.75" customHeight="1">
      <c r="A75" s="29" t="s">
        <v>102</v>
      </c>
      <c r="B75" s="28" t="s">
        <v>103</v>
      </c>
      <c r="C75" s="58">
        <v>0.02</v>
      </c>
      <c r="D75" s="58"/>
      <c r="E75" s="58"/>
      <c r="F75" s="58"/>
      <c r="G75" s="58"/>
      <c r="H75" s="58">
        <v>0.02</v>
      </c>
      <c r="I75" s="58"/>
      <c r="J75" s="58"/>
      <c r="K75" s="58"/>
      <c r="L75" s="58"/>
      <c r="M75" s="58">
        <v>0.75</v>
      </c>
      <c r="N75" s="58"/>
      <c r="O75" s="58"/>
      <c r="P75" s="58"/>
      <c r="Q75" s="58"/>
      <c r="R75" s="58">
        <v>0</v>
      </c>
      <c r="S75" s="58"/>
      <c r="T75" s="58"/>
      <c r="U75" s="58"/>
      <c r="V75" s="58"/>
      <c r="W75" s="59">
        <v>0.0050000000000000001</v>
      </c>
      <c r="X75" s="58"/>
      <c r="Y75" s="58"/>
      <c r="Z75" s="58"/>
      <c r="AA75" s="58"/>
      <c r="AB75" s="58">
        <v>0.17499999999999999</v>
      </c>
      <c r="AC75" s="58"/>
      <c r="AD75" s="58"/>
      <c r="AE75" s="58"/>
      <c r="AF75" s="58"/>
      <c r="AG75" s="58">
        <v>0.029999999999999999</v>
      </c>
      <c r="AH75" s="22"/>
      <c r="AI75" s="22"/>
      <c r="AK75" s="34" t="s">
        <v>59</v>
      </c>
      <c r="AL75" s="34"/>
      <c r="AM75" s="57" t="s">
        <v>73</v>
      </c>
      <c r="AN75" s="58">
        <v>0.10000000000000001</v>
      </c>
      <c r="AO75" s="58">
        <v>0.050000000000000003</v>
      </c>
      <c r="AP75" s="58">
        <v>0.59999999999999998</v>
      </c>
      <c r="AQ75" s="58">
        <v>0</v>
      </c>
      <c r="AR75" s="58">
        <v>0.17999999999999999</v>
      </c>
      <c r="AS75" s="58">
        <v>0.050000000000000003</v>
      </c>
      <c r="AT75" s="58">
        <v>0.02</v>
      </c>
      <c r="AX75" s="48"/>
      <c r="AY75" s="48"/>
      <c r="BD75" s="53">
        <v>2030</v>
      </c>
      <c r="BE75" s="54" t="s">
        <v>130</v>
      </c>
      <c r="BF75" s="55">
        <v>0.081000000000000003</v>
      </c>
      <c r="BG75" s="55">
        <v>0.017999999999999999</v>
      </c>
      <c r="BH75" s="55">
        <v>0.23699999999999999</v>
      </c>
      <c r="BI75" s="55">
        <v>0.372</v>
      </c>
      <c r="BJ75" s="55">
        <v>0.17799999999999999</v>
      </c>
      <c r="BK75" s="55">
        <v>0.10100000000000001</v>
      </c>
      <c r="BL75" s="55">
        <v>0.012</v>
      </c>
      <c r="BM75" s="55">
        <v>0.001</v>
      </c>
      <c r="BN75" s="56">
        <v>1</v>
      </c>
      <c r="BO75" s="55"/>
      <c r="BP75" s="55"/>
    </row>
    <row r="76">
      <c r="A76" s="29"/>
      <c r="B76" s="28" t="s">
        <v>104</v>
      </c>
      <c r="C76" s="58">
        <v>0.02</v>
      </c>
      <c r="D76" s="58"/>
      <c r="E76" s="58"/>
      <c r="F76" s="58"/>
      <c r="G76" s="58"/>
      <c r="H76" s="58">
        <v>0.02</v>
      </c>
      <c r="I76" s="58"/>
      <c r="J76" s="58"/>
      <c r="K76" s="58"/>
      <c r="L76" s="58"/>
      <c r="M76" s="58">
        <v>0.75</v>
      </c>
      <c r="N76" s="58"/>
      <c r="O76" s="58"/>
      <c r="P76" s="58"/>
      <c r="Q76" s="58"/>
      <c r="R76" s="58">
        <v>0</v>
      </c>
      <c r="S76" s="58"/>
      <c r="T76" s="58"/>
      <c r="U76" s="58"/>
      <c r="V76" s="58"/>
      <c r="W76" s="59">
        <v>0.01</v>
      </c>
      <c r="X76" s="58"/>
      <c r="Y76" s="58"/>
      <c r="Z76" s="58"/>
      <c r="AA76" s="58"/>
      <c r="AB76" s="58">
        <v>0.17000000000000001</v>
      </c>
      <c r="AC76" s="58"/>
      <c r="AD76" s="58"/>
      <c r="AE76" s="58"/>
      <c r="AF76" s="58"/>
      <c r="AG76" s="58">
        <v>0.029999999999999999</v>
      </c>
      <c r="AH76" s="22"/>
      <c r="AI76" s="23" t="s">
        <v>134</v>
      </c>
      <c r="AK76" s="34" t="s">
        <v>60</v>
      </c>
      <c r="AL76" s="34"/>
      <c r="AM76" s="57" t="s">
        <v>73</v>
      </c>
      <c r="AN76" s="58">
        <v>0.070000000000000007</v>
      </c>
      <c r="AO76" s="58">
        <v>0.050000000000000003</v>
      </c>
      <c r="AP76" s="58">
        <v>0.65000000000000002</v>
      </c>
      <c r="AQ76" s="58">
        <v>0</v>
      </c>
      <c r="AR76" s="58">
        <v>0.12</v>
      </c>
      <c r="AS76" s="58">
        <v>0.059999999999999998</v>
      </c>
      <c r="AT76" s="58">
        <v>0.050000000000000003</v>
      </c>
      <c r="AX76" s="48"/>
      <c r="AY76" s="48"/>
      <c r="BD76" s="53"/>
      <c r="BE76" s="54" t="s">
        <v>132</v>
      </c>
      <c r="BF76" s="55">
        <v>0.017000000000000001</v>
      </c>
      <c r="BG76" s="55">
        <v>0</v>
      </c>
      <c r="BH76" s="55">
        <v>0.40300000000000002</v>
      </c>
      <c r="BI76" s="55">
        <v>0.36499999999999999</v>
      </c>
      <c r="BJ76" s="55">
        <v>0.080000000000000002</v>
      </c>
      <c r="BK76" s="55">
        <v>0.028000000000000001</v>
      </c>
      <c r="BL76" s="55">
        <v>0.106</v>
      </c>
      <c r="BM76" s="55">
        <v>0.001</v>
      </c>
      <c r="BN76" s="56">
        <v>1</v>
      </c>
      <c r="BO76" s="55"/>
      <c r="BP76" s="55"/>
    </row>
    <row r="77">
      <c r="A77" s="29"/>
      <c r="B77" s="28" t="s">
        <v>106</v>
      </c>
      <c r="C77" s="58">
        <v>0.02</v>
      </c>
      <c r="D77" s="28"/>
      <c r="E77" s="28"/>
      <c r="F77" s="28"/>
      <c r="G77" s="28"/>
      <c r="H77" s="58">
        <v>0.02</v>
      </c>
      <c r="I77" s="28"/>
      <c r="J77" s="28"/>
      <c r="K77" s="28"/>
      <c r="L77" s="28"/>
      <c r="M77" s="58">
        <v>0.755</v>
      </c>
      <c r="N77" s="28"/>
      <c r="O77" s="28"/>
      <c r="P77" s="28"/>
      <c r="Q77" s="28"/>
      <c r="R77" s="58">
        <v>0</v>
      </c>
      <c r="S77" s="28"/>
      <c r="T77" s="28"/>
      <c r="U77" s="28"/>
      <c r="V77" s="28"/>
      <c r="W77" s="59">
        <v>0.014999999999999999</v>
      </c>
      <c r="X77" s="28"/>
      <c r="Y77" s="28"/>
      <c r="Z77" s="28"/>
      <c r="AA77" s="28"/>
      <c r="AB77" s="58">
        <v>0.14999999999999999</v>
      </c>
      <c r="AC77" s="28"/>
      <c r="AD77" s="28"/>
      <c r="AE77" s="28"/>
      <c r="AF77" s="28"/>
      <c r="AG77" s="58">
        <v>0.040000000000000001</v>
      </c>
      <c r="AH77" s="22"/>
      <c r="AI77" s="23" t="s">
        <v>135</v>
      </c>
      <c r="AK77" s="34" t="s">
        <v>61</v>
      </c>
      <c r="AL77" s="34"/>
      <c r="AM77" s="57" t="s">
        <v>73</v>
      </c>
      <c r="AN77" s="58">
        <v>0.050000000000000003</v>
      </c>
      <c r="AO77" s="58">
        <v>0.050000000000000003</v>
      </c>
      <c r="AP77" s="58">
        <v>0.68000000000000005</v>
      </c>
      <c r="AQ77" s="58">
        <v>0</v>
      </c>
      <c r="AR77" s="58">
        <v>0.089999999999999997</v>
      </c>
      <c r="AS77" s="58">
        <v>0.080000000000000002</v>
      </c>
      <c r="AT77" s="58">
        <v>0.050000000000000003</v>
      </c>
      <c r="AX77" s="48"/>
      <c r="AY77" s="48"/>
      <c r="BD77" s="53">
        <v>2040</v>
      </c>
      <c r="BE77" s="54" t="s">
        <v>130</v>
      </c>
      <c r="BF77" s="55">
        <v>0.014999999999999999</v>
      </c>
      <c r="BG77" s="55">
        <v>0.0030000000000000001</v>
      </c>
      <c r="BH77" s="55">
        <v>0.16600000000000001</v>
      </c>
      <c r="BI77" s="55">
        <v>0.16800000000000001</v>
      </c>
      <c r="BJ77" s="55">
        <v>0.439</v>
      </c>
      <c r="BK77" s="55">
        <v>0.189</v>
      </c>
      <c r="BL77" s="55">
        <v>0.017999999999999999</v>
      </c>
      <c r="BM77" s="55">
        <v>0</v>
      </c>
      <c r="BN77" s="56">
        <v>1</v>
      </c>
      <c r="BO77" s="55"/>
      <c r="BP77" s="55"/>
    </row>
    <row r="78">
      <c r="A78" s="29"/>
      <c r="B78" s="28" t="s">
        <v>108</v>
      </c>
      <c r="C78" s="58">
        <v>0.02</v>
      </c>
      <c r="D78" s="28"/>
      <c r="E78" s="28"/>
      <c r="F78" s="28"/>
      <c r="G78" s="28"/>
      <c r="H78" s="58">
        <v>0.02</v>
      </c>
      <c r="I78" s="28"/>
      <c r="J78" s="28"/>
      <c r="K78" s="28"/>
      <c r="L78" s="28"/>
      <c r="M78" s="58">
        <v>0.77000000000000002</v>
      </c>
      <c r="N78" s="28"/>
      <c r="O78" s="28"/>
      <c r="P78" s="28"/>
      <c r="Q78" s="28"/>
      <c r="R78" s="58">
        <v>0</v>
      </c>
      <c r="S78" s="28"/>
      <c r="T78" s="28"/>
      <c r="U78" s="28"/>
      <c r="V78" s="28"/>
      <c r="W78" s="59">
        <v>0.02</v>
      </c>
      <c r="X78" s="28"/>
      <c r="Y78" s="28"/>
      <c r="Z78" s="28"/>
      <c r="AA78" s="28"/>
      <c r="AB78" s="58">
        <v>0.12</v>
      </c>
      <c r="AC78" s="28"/>
      <c r="AD78" s="28"/>
      <c r="AE78" s="28"/>
      <c r="AF78" s="28"/>
      <c r="AG78" s="58">
        <v>0.050000000000000003</v>
      </c>
      <c r="AH78" s="22"/>
      <c r="AI78" s="23" t="s">
        <v>136</v>
      </c>
      <c r="AK78" s="34" t="s">
        <v>62</v>
      </c>
      <c r="AL78" s="34"/>
      <c r="AM78" s="57" t="s">
        <v>73</v>
      </c>
      <c r="AN78" s="58">
        <v>0.050000000000000003</v>
      </c>
      <c r="AO78" s="58">
        <v>0.050000000000000003</v>
      </c>
      <c r="AP78" s="58">
        <v>0.69999999999999996</v>
      </c>
      <c r="AQ78" s="58">
        <v>0</v>
      </c>
      <c r="AR78" s="58">
        <v>0.050000000000000003</v>
      </c>
      <c r="AS78" s="58">
        <v>0.10000000000000001</v>
      </c>
      <c r="AT78" s="58">
        <v>0.050000000000000003</v>
      </c>
      <c r="AX78" s="48"/>
      <c r="AY78" s="48"/>
      <c r="BD78" s="53"/>
      <c r="BE78" s="54" t="s">
        <v>132</v>
      </c>
      <c r="BF78" s="55">
        <v>0.0030000000000000001</v>
      </c>
      <c r="BG78" s="55">
        <v>0</v>
      </c>
      <c r="BH78" s="55">
        <v>0.157</v>
      </c>
      <c r="BI78" s="55">
        <v>0.16600000000000001</v>
      </c>
      <c r="BJ78" s="55">
        <v>0.40500000000000003</v>
      </c>
      <c r="BK78" s="55">
        <v>0.127</v>
      </c>
      <c r="BL78" s="55">
        <v>0.14199999999999999</v>
      </c>
      <c r="BM78" s="55">
        <v>0</v>
      </c>
      <c r="BN78" s="56">
        <v>1</v>
      </c>
      <c r="BO78" s="55"/>
      <c r="BP78" s="55"/>
    </row>
    <row r="79">
      <c r="A79" s="29"/>
      <c r="B79" t="s">
        <v>110</v>
      </c>
      <c r="C79" s="58">
        <v>0.73999999999999999</v>
      </c>
      <c r="D79" s="58"/>
      <c r="E79" s="58"/>
      <c r="F79" s="58"/>
      <c r="G79" s="58"/>
      <c r="H79" s="58">
        <v>0.02</v>
      </c>
      <c r="I79" s="58"/>
      <c r="J79" s="58"/>
      <c r="K79" s="58"/>
      <c r="L79" s="58"/>
      <c r="M79" s="58">
        <v>0.10000000000000001</v>
      </c>
      <c r="N79" s="58"/>
      <c r="O79" s="58"/>
      <c r="P79" s="58"/>
      <c r="Q79" s="58"/>
      <c r="R79" s="58">
        <v>0</v>
      </c>
      <c r="S79" s="58"/>
      <c r="T79" s="58"/>
      <c r="U79" s="58"/>
      <c r="V79" s="58"/>
      <c r="W79" s="58">
        <v>0.10000000000000001</v>
      </c>
      <c r="X79" s="58"/>
      <c r="Y79" s="58"/>
      <c r="Z79" s="58"/>
      <c r="AA79" s="58"/>
      <c r="AB79" s="58">
        <v>0.01</v>
      </c>
      <c r="AC79" s="58"/>
      <c r="AD79" s="58"/>
      <c r="AE79" s="58"/>
      <c r="AF79" s="58"/>
      <c r="AG79" s="58">
        <v>0.029999999999999999</v>
      </c>
      <c r="AH79" s="22"/>
      <c r="AI79" s="23"/>
      <c r="AK79" s="34" t="s">
        <v>58</v>
      </c>
      <c r="AL79" s="34"/>
      <c r="AM79" s="57" t="s">
        <v>77</v>
      </c>
      <c r="AN79" s="58">
        <v>0.68999999999999995</v>
      </c>
      <c r="AO79" s="58">
        <v>0.11</v>
      </c>
      <c r="AP79" s="58">
        <v>0.029999999999999999</v>
      </c>
      <c r="AQ79" s="58">
        <v>0</v>
      </c>
      <c r="AR79" s="58">
        <v>0.01</v>
      </c>
      <c r="AS79" s="58">
        <v>0.16</v>
      </c>
      <c r="AT79" s="58">
        <v>0</v>
      </c>
      <c r="AX79" s="48"/>
      <c r="AY79" s="48"/>
      <c r="BD79" s="53">
        <v>2050</v>
      </c>
      <c r="BE79" s="54" t="s">
        <v>130</v>
      </c>
      <c r="BF79" s="55">
        <v>0</v>
      </c>
      <c r="BG79" s="55">
        <v>0</v>
      </c>
      <c r="BH79" s="55">
        <v>0.14999999999999999</v>
      </c>
      <c r="BI79" s="55">
        <v>0.12</v>
      </c>
      <c r="BJ79" s="55">
        <v>0.5</v>
      </c>
      <c r="BK79" s="55">
        <v>0.20999999999999999</v>
      </c>
      <c r="BL79" s="55">
        <v>0.02</v>
      </c>
      <c r="BM79" s="55">
        <v>0</v>
      </c>
      <c r="BN79" s="56">
        <v>1</v>
      </c>
      <c r="BO79" s="55"/>
      <c r="BP79" s="55"/>
    </row>
    <row r="80">
      <c r="A80" s="29"/>
      <c r="B80" s="28" t="s">
        <v>112</v>
      </c>
      <c r="C80" s="58">
        <v>0.20999999999999999</v>
      </c>
      <c r="D80" s="28"/>
      <c r="E80" s="28"/>
      <c r="F80" s="28"/>
      <c r="G80" s="28"/>
      <c r="H80" s="58">
        <v>0.02</v>
      </c>
      <c r="I80" s="28"/>
      <c r="J80" s="28"/>
      <c r="K80" s="28"/>
      <c r="L80" s="28"/>
      <c r="M80" s="58">
        <v>0.58999999999999997</v>
      </c>
      <c r="N80" s="28"/>
      <c r="O80" s="28"/>
      <c r="P80" s="28"/>
      <c r="Q80" s="28"/>
      <c r="R80" s="58">
        <v>0</v>
      </c>
      <c r="S80" s="28"/>
      <c r="T80" s="28"/>
      <c r="U80" s="28"/>
      <c r="V80" s="28"/>
      <c r="W80" s="58">
        <v>0.13</v>
      </c>
      <c r="X80" s="28"/>
      <c r="Y80" s="28"/>
      <c r="Z80" s="28"/>
      <c r="AA80" s="28"/>
      <c r="AB80" s="58">
        <v>0.02</v>
      </c>
      <c r="AC80" s="28"/>
      <c r="AD80" s="28"/>
      <c r="AE80" s="28"/>
      <c r="AF80" s="28"/>
      <c r="AG80" s="58">
        <v>0.029999999999999999</v>
      </c>
      <c r="AH80" s="22"/>
      <c r="AI80" s="23"/>
      <c r="AK80" s="34" t="s">
        <v>59</v>
      </c>
      <c r="AL80" s="34"/>
      <c r="AM80" s="57" t="s">
        <v>77</v>
      </c>
      <c r="AN80" s="58">
        <v>0.37</v>
      </c>
      <c r="AO80" s="58">
        <v>0.20000000000000001</v>
      </c>
      <c r="AP80" s="58">
        <v>0.050000000000000003</v>
      </c>
      <c r="AQ80" s="58">
        <v>0</v>
      </c>
      <c r="AR80" s="58">
        <v>0.10000000000000001</v>
      </c>
      <c r="AS80" s="58">
        <v>0.27000000000000002</v>
      </c>
      <c r="AT80" s="58">
        <v>0.01</v>
      </c>
      <c r="AX80" s="48"/>
      <c r="AY80" s="48"/>
      <c r="BD80" s="60"/>
      <c r="BE80" s="61" t="s">
        <v>132</v>
      </c>
      <c r="BF80" s="62">
        <v>0</v>
      </c>
      <c r="BG80" s="62">
        <v>0</v>
      </c>
      <c r="BH80" s="62">
        <v>0.10000000000000001</v>
      </c>
      <c r="BI80" s="62">
        <v>0.12</v>
      </c>
      <c r="BJ80" s="62">
        <v>0.47999999999999998</v>
      </c>
      <c r="BK80" s="62">
        <v>0.14999999999999999</v>
      </c>
      <c r="BL80" s="62">
        <v>0.14999999999999999</v>
      </c>
      <c r="BM80" s="62">
        <v>0</v>
      </c>
      <c r="BN80" s="63">
        <v>1</v>
      </c>
      <c r="BO80" s="62"/>
      <c r="BP80" s="62"/>
    </row>
    <row r="81">
      <c r="A81" s="29"/>
      <c r="B81" s="28" t="s">
        <v>114</v>
      </c>
      <c r="C81" s="58">
        <v>0.16</v>
      </c>
      <c r="D81" s="28"/>
      <c r="E81" s="28"/>
      <c r="F81" s="28"/>
      <c r="G81" s="28"/>
      <c r="H81" s="58">
        <v>0.02</v>
      </c>
      <c r="I81" s="28"/>
      <c r="J81" s="28"/>
      <c r="K81" s="28"/>
      <c r="L81" s="28"/>
      <c r="M81" s="58">
        <v>0.59999999999999998</v>
      </c>
      <c r="N81" s="28"/>
      <c r="O81" s="28"/>
      <c r="P81" s="28"/>
      <c r="Q81" s="28"/>
      <c r="R81" s="58">
        <v>0</v>
      </c>
      <c r="S81" s="28"/>
      <c r="T81" s="28"/>
      <c r="U81" s="28"/>
      <c r="V81" s="28"/>
      <c r="W81" s="58">
        <v>0.17000000000000001</v>
      </c>
      <c r="X81" s="28"/>
      <c r="Y81" s="28"/>
      <c r="Z81" s="28"/>
      <c r="AA81" s="28"/>
      <c r="AB81" s="58">
        <v>0.02</v>
      </c>
      <c r="AC81" s="28"/>
      <c r="AD81" s="28"/>
      <c r="AE81" s="28"/>
      <c r="AF81" s="28"/>
      <c r="AG81" s="58">
        <v>0.029999999999999999</v>
      </c>
      <c r="AH81" s="22"/>
      <c r="AI81" s="23"/>
      <c r="AK81" s="34" t="s">
        <v>60</v>
      </c>
      <c r="AL81" s="34"/>
      <c r="AM81" s="57" t="s">
        <v>77</v>
      </c>
      <c r="AN81" s="58">
        <v>0.12</v>
      </c>
      <c r="AO81" s="58">
        <v>0.20000000000000001</v>
      </c>
      <c r="AP81" s="58">
        <v>0.10000000000000001</v>
      </c>
      <c r="AQ81" s="58">
        <v>0</v>
      </c>
      <c r="AR81" s="58">
        <v>0.14999999999999999</v>
      </c>
      <c r="AS81" s="58">
        <v>0.40000000000000002</v>
      </c>
      <c r="AT81" s="58">
        <v>0.029999999999999999</v>
      </c>
      <c r="AX81" s="48"/>
      <c r="AY81" s="48"/>
      <c r="BK81" s="48"/>
      <c r="BL81" s="48"/>
      <c r="BM81" s="48"/>
      <c r="BN81" s="48"/>
    </row>
    <row r="82">
      <c r="A82" s="29"/>
      <c r="B82" s="28" t="s">
        <v>116</v>
      </c>
      <c r="C82" s="58">
        <v>0.089999999999999997</v>
      </c>
      <c r="D82" s="28"/>
      <c r="E82" s="28"/>
      <c r="F82" s="28"/>
      <c r="G82" s="28"/>
      <c r="H82" s="58">
        <v>0.014999999999999999</v>
      </c>
      <c r="I82" s="28"/>
      <c r="J82" s="28"/>
      <c r="K82" s="28"/>
      <c r="L82" s="28"/>
      <c r="M82" s="58">
        <v>0.60999999999999999</v>
      </c>
      <c r="N82" s="28"/>
      <c r="O82" s="28"/>
      <c r="P82" s="28"/>
      <c r="Q82" s="28"/>
      <c r="R82" s="58">
        <v>0</v>
      </c>
      <c r="S82" s="28"/>
      <c r="T82" s="28"/>
      <c r="U82" s="28"/>
      <c r="V82" s="28"/>
      <c r="W82" s="58">
        <v>0.23000000000000001</v>
      </c>
      <c r="X82" s="28"/>
      <c r="Y82" s="28"/>
      <c r="Z82" s="28"/>
      <c r="AA82" s="28"/>
      <c r="AB82" s="58">
        <v>0.014999999999999999</v>
      </c>
      <c r="AC82" s="28"/>
      <c r="AD82" s="28"/>
      <c r="AE82" s="28"/>
      <c r="AF82" s="28"/>
      <c r="AG82" s="58">
        <v>0.040000000000000001</v>
      </c>
      <c r="AH82" s="22"/>
      <c r="AI82" s="22"/>
      <c r="AK82" s="34" t="s">
        <v>61</v>
      </c>
      <c r="AL82" s="34"/>
      <c r="AM82" s="57" t="s">
        <v>77</v>
      </c>
      <c r="AN82" s="58">
        <v>0.050000000000000003</v>
      </c>
      <c r="AO82" s="58">
        <v>0.11</v>
      </c>
      <c r="AP82" s="58">
        <v>0.14999999999999999</v>
      </c>
      <c r="AQ82" s="58">
        <v>0</v>
      </c>
      <c r="AR82" s="58">
        <v>0.14999999999999999</v>
      </c>
      <c r="AS82" s="58">
        <v>0.5</v>
      </c>
      <c r="AT82" s="58">
        <v>0.040000000000000001</v>
      </c>
      <c r="AX82" s="48"/>
      <c r="AY82" s="48"/>
      <c r="BK82" s="48"/>
      <c r="BL82" s="48"/>
      <c r="BM82" s="48"/>
      <c r="BN82" s="48"/>
    </row>
    <row r="83">
      <c r="A83" s="29"/>
      <c r="B83" s="28" t="s">
        <v>117</v>
      </c>
      <c r="C83" s="58">
        <v>0.050000000000000003</v>
      </c>
      <c r="D83" s="28"/>
      <c r="E83" s="28"/>
      <c r="F83" s="28"/>
      <c r="G83" s="28"/>
      <c r="H83" s="58">
        <v>0.01</v>
      </c>
      <c r="I83" s="28"/>
      <c r="J83" s="28"/>
      <c r="K83" s="28"/>
      <c r="L83" s="28"/>
      <c r="M83" s="58">
        <v>0.60999999999999999</v>
      </c>
      <c r="N83" s="28"/>
      <c r="O83" s="28"/>
      <c r="P83" s="28"/>
      <c r="Q83" s="28"/>
      <c r="R83" s="58">
        <v>0</v>
      </c>
      <c r="S83" s="28"/>
      <c r="T83" s="28"/>
      <c r="U83" s="28"/>
      <c r="V83" s="28"/>
      <c r="W83" s="58">
        <v>0.27000000000000002</v>
      </c>
      <c r="X83" s="28"/>
      <c r="Y83" s="28"/>
      <c r="Z83" s="28"/>
      <c r="AA83" s="28"/>
      <c r="AB83" s="58">
        <v>0.01</v>
      </c>
      <c r="AC83" s="28"/>
      <c r="AD83" s="28"/>
      <c r="AE83" s="28"/>
      <c r="AF83" s="28"/>
      <c r="AG83" s="58">
        <v>0.050000000000000003</v>
      </c>
      <c r="AH83" s="22"/>
      <c r="AK83" s="34" t="s">
        <v>62</v>
      </c>
      <c r="AL83" s="34"/>
      <c r="AM83" s="57" t="s">
        <v>77</v>
      </c>
      <c r="AN83" s="58">
        <v>0.050000000000000003</v>
      </c>
      <c r="AO83" s="58">
        <v>0.050000000000000003</v>
      </c>
      <c r="AP83" s="58">
        <v>0.20000000000000001</v>
      </c>
      <c r="AQ83" s="58">
        <v>0</v>
      </c>
      <c r="AR83" s="58">
        <v>0.14999999999999999</v>
      </c>
      <c r="AS83" s="58">
        <v>0.5</v>
      </c>
      <c r="AT83" s="58">
        <v>0.050000000000000003</v>
      </c>
      <c r="AX83" s="48"/>
      <c r="AY83" s="48"/>
      <c r="BK83" s="48"/>
      <c r="BL83" s="48"/>
      <c r="BM83" s="48"/>
      <c r="BN83" s="48"/>
    </row>
    <row r="86" ht="18">
      <c r="B86" s="1" t="s">
        <v>137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AB86" t="s">
        <v>138</v>
      </c>
    </row>
    <row r="88">
      <c r="B88" s="2" t="s">
        <v>139</v>
      </c>
      <c r="H88" s="22"/>
      <c r="M88" s="22"/>
      <c r="R88" s="22"/>
      <c r="W88" s="22"/>
      <c r="AB88" s="22"/>
      <c r="AG88" s="22"/>
      <c r="AH88" s="22"/>
    </row>
    <row r="89">
      <c r="A89" s="64"/>
      <c r="C89" s="7"/>
      <c r="H89" t="s">
        <v>140</v>
      </c>
      <c r="AK89" s="2" t="s">
        <v>141</v>
      </c>
      <c r="AM89" s="34" t="s">
        <v>36</v>
      </c>
      <c r="AN89" s="34"/>
      <c r="AO89" s="34" t="s">
        <v>37</v>
      </c>
      <c r="AP89" s="34"/>
      <c r="AQ89" s="34" t="s">
        <v>38</v>
      </c>
      <c r="AR89" s="34"/>
      <c r="AS89" s="34" t="s">
        <v>39</v>
      </c>
      <c r="AT89" s="34"/>
    </row>
    <row r="90">
      <c r="B90" s="28" t="s">
        <v>1</v>
      </c>
      <c r="C90" s="28"/>
      <c r="D90" s="28"/>
      <c r="E90" s="28"/>
      <c r="F90" s="28"/>
      <c r="G90" s="28"/>
      <c r="H90" s="65">
        <v>2020</v>
      </c>
      <c r="I90" s="65">
        <f t="shared" ref="I90:AG90" si="17">H90+1</f>
        <v>2021</v>
      </c>
      <c r="J90" s="65">
        <f t="shared" si="17"/>
        <v>2022</v>
      </c>
      <c r="K90" s="65">
        <f t="shared" si="17"/>
        <v>2023</v>
      </c>
      <c r="L90" s="65">
        <f t="shared" si="17"/>
        <v>2024</v>
      </c>
      <c r="M90" s="65">
        <f t="shared" si="17"/>
        <v>2025</v>
      </c>
      <c r="N90" s="65">
        <f t="shared" si="17"/>
        <v>2026</v>
      </c>
      <c r="O90" s="65">
        <f t="shared" si="17"/>
        <v>2027</v>
      </c>
      <c r="P90" s="65">
        <f t="shared" si="17"/>
        <v>2028</v>
      </c>
      <c r="Q90" s="65">
        <f t="shared" si="17"/>
        <v>2029</v>
      </c>
      <c r="R90" s="65">
        <f t="shared" si="17"/>
        <v>2030</v>
      </c>
      <c r="S90" s="65">
        <f t="shared" si="17"/>
        <v>2031</v>
      </c>
      <c r="T90" s="65">
        <f t="shared" si="17"/>
        <v>2032</v>
      </c>
      <c r="U90" s="65">
        <f t="shared" si="17"/>
        <v>2033</v>
      </c>
      <c r="V90" s="65">
        <f t="shared" si="17"/>
        <v>2034</v>
      </c>
      <c r="W90" s="65">
        <f t="shared" si="17"/>
        <v>2035</v>
      </c>
      <c r="X90" s="65">
        <f t="shared" si="17"/>
        <v>2036</v>
      </c>
      <c r="Y90" s="65">
        <f t="shared" si="17"/>
        <v>2037</v>
      </c>
      <c r="Z90" s="65">
        <f t="shared" si="17"/>
        <v>2038</v>
      </c>
      <c r="AA90" s="65">
        <f t="shared" si="17"/>
        <v>2039</v>
      </c>
      <c r="AB90" s="65">
        <f t="shared" si="17"/>
        <v>2040</v>
      </c>
      <c r="AC90" s="65">
        <f t="shared" si="17"/>
        <v>2041</v>
      </c>
      <c r="AD90" s="65">
        <f t="shared" si="17"/>
        <v>2042</v>
      </c>
      <c r="AE90" s="65">
        <f t="shared" si="17"/>
        <v>2043</v>
      </c>
      <c r="AF90" s="65">
        <f t="shared" si="17"/>
        <v>2044</v>
      </c>
      <c r="AG90" s="65">
        <f t="shared" si="17"/>
        <v>2045</v>
      </c>
      <c r="AH90" s="65">
        <v>2050</v>
      </c>
      <c r="AI90" s="23" t="s">
        <v>142</v>
      </c>
      <c r="AJ90" s="2"/>
      <c r="AL90" s="4">
        <v>2014</v>
      </c>
      <c r="AM90" s="4" t="s">
        <v>143</v>
      </c>
      <c r="AN90" s="4" t="s">
        <v>144</v>
      </c>
      <c r="AO90" s="4" t="s">
        <v>143</v>
      </c>
      <c r="AP90" s="4" t="s">
        <v>144</v>
      </c>
      <c r="AQ90" s="4" t="s">
        <v>143</v>
      </c>
      <c r="AR90" s="4" t="s">
        <v>144</v>
      </c>
      <c r="AS90" s="4" t="s">
        <v>143</v>
      </c>
      <c r="AT90" s="4" t="s">
        <v>144</v>
      </c>
    </row>
    <row r="91">
      <c r="B91" s="66" t="s">
        <v>145</v>
      </c>
      <c r="C91" s="57" t="s">
        <v>146</v>
      </c>
      <c r="D91" s="28"/>
      <c r="E91" s="28"/>
      <c r="F91" s="28"/>
      <c r="G91" s="28"/>
      <c r="H91" s="40">
        <v>0.050000000000000003</v>
      </c>
      <c r="I91" s="40"/>
      <c r="J91" s="40"/>
      <c r="K91" s="40"/>
      <c r="L91" s="40"/>
      <c r="M91" s="40">
        <v>0.10000000000000001</v>
      </c>
      <c r="N91" s="40"/>
      <c r="O91" s="40"/>
      <c r="P91" s="40"/>
      <c r="Q91" s="40"/>
      <c r="R91" s="40">
        <v>0.25</v>
      </c>
      <c r="S91" s="40"/>
      <c r="T91" s="40"/>
      <c r="U91" s="40"/>
      <c r="V91" s="40"/>
      <c r="W91" s="40">
        <v>0.25</v>
      </c>
      <c r="X91" s="40"/>
      <c r="Y91" s="40"/>
      <c r="Z91" s="40"/>
      <c r="AA91" s="40"/>
      <c r="AB91" s="40">
        <v>0.25</v>
      </c>
      <c r="AC91" s="40">
        <v>0.25</v>
      </c>
      <c r="AD91" s="40">
        <v>0.25</v>
      </c>
      <c r="AE91" s="40">
        <v>0.25</v>
      </c>
      <c r="AF91" s="40">
        <v>0.25</v>
      </c>
      <c r="AG91" s="40">
        <v>0.25</v>
      </c>
      <c r="AH91" s="40">
        <v>0.25</v>
      </c>
      <c r="AI91" t="s">
        <v>147</v>
      </c>
      <c r="AK91" s="28" t="s">
        <v>145</v>
      </c>
      <c r="AL91" s="17">
        <v>0.097000000000000003</v>
      </c>
      <c r="AM91" s="17">
        <v>0.23300000000000001</v>
      </c>
      <c r="AN91" s="17">
        <v>0.55000000000000004</v>
      </c>
      <c r="AO91" s="17">
        <v>0.192</v>
      </c>
      <c r="AP91" s="17">
        <v>0.40000000000000002</v>
      </c>
      <c r="AQ91" s="17">
        <v>0.16</v>
      </c>
      <c r="AR91" s="17">
        <v>0.28999999999999998</v>
      </c>
      <c r="AS91" s="17">
        <v>0.113</v>
      </c>
      <c r="AT91" s="17">
        <v>0.14000000000000001</v>
      </c>
    </row>
    <row r="92">
      <c r="B92" s="66" t="s">
        <v>148</v>
      </c>
      <c r="C92" s="57" t="s">
        <v>146</v>
      </c>
      <c r="D92" s="28"/>
      <c r="E92" s="28"/>
      <c r="F92" s="28"/>
      <c r="G92" s="28"/>
      <c r="H92" s="40">
        <v>0</v>
      </c>
      <c r="I92" s="40"/>
      <c r="J92" s="40"/>
      <c r="K92" s="40"/>
      <c r="L92" s="40"/>
      <c r="M92" s="40">
        <v>0.01</v>
      </c>
      <c r="N92" s="40"/>
      <c r="O92" s="40"/>
      <c r="P92" s="40"/>
      <c r="Q92" s="40"/>
      <c r="R92" s="40">
        <v>0.02</v>
      </c>
      <c r="S92" s="40"/>
      <c r="T92" s="40"/>
      <c r="U92" s="40"/>
      <c r="V92" s="40"/>
      <c r="W92" s="40">
        <v>0.02</v>
      </c>
      <c r="X92" s="40">
        <v>0.02</v>
      </c>
      <c r="Y92" s="40">
        <v>0.02</v>
      </c>
      <c r="Z92" s="40">
        <v>0.02</v>
      </c>
      <c r="AA92" s="40">
        <v>0.02</v>
      </c>
      <c r="AB92" s="40">
        <v>0.02</v>
      </c>
      <c r="AC92" s="40">
        <v>0.02</v>
      </c>
      <c r="AD92" s="40">
        <v>0.02</v>
      </c>
      <c r="AE92" s="40">
        <v>0.02</v>
      </c>
      <c r="AF92" s="40">
        <v>0.02</v>
      </c>
      <c r="AG92" s="40">
        <v>0.02</v>
      </c>
      <c r="AH92" s="40">
        <v>0.02</v>
      </c>
      <c r="AK92" s="28" t="s">
        <v>148</v>
      </c>
      <c r="AL92" s="17">
        <v>0</v>
      </c>
      <c r="AM92" s="17">
        <v>0.023</v>
      </c>
      <c r="AN92" s="17">
        <v>0.070000000000000007</v>
      </c>
      <c r="AO92" s="17">
        <v>0.023</v>
      </c>
      <c r="AP92" s="17">
        <v>0.070000000000000007</v>
      </c>
      <c r="AQ92" s="17">
        <v>0.023</v>
      </c>
      <c r="AR92" s="17">
        <v>0.070000000000000007</v>
      </c>
      <c r="AS92" s="17">
        <v>0.023</v>
      </c>
      <c r="AT92" s="17">
        <v>0.070000000000000007</v>
      </c>
    </row>
    <row r="93">
      <c r="B93" s="66" t="s">
        <v>149</v>
      </c>
      <c r="C93" s="57" t="s">
        <v>146</v>
      </c>
      <c r="D93" s="28"/>
      <c r="E93" s="28"/>
      <c r="F93" s="28"/>
      <c r="G93" s="28"/>
      <c r="H93" s="40">
        <v>0.01</v>
      </c>
      <c r="I93" s="40"/>
      <c r="J93" s="40"/>
      <c r="K93" s="40"/>
      <c r="L93" s="40"/>
      <c r="M93" s="40">
        <v>0.029999999999999999</v>
      </c>
      <c r="N93" s="40"/>
      <c r="O93" s="40"/>
      <c r="P93" s="40"/>
      <c r="Q93" s="40"/>
      <c r="R93" s="40">
        <v>0.050000000000000003</v>
      </c>
      <c r="S93" s="40"/>
      <c r="T93" s="40"/>
      <c r="U93" s="40"/>
      <c r="V93" s="40"/>
      <c r="W93" s="40">
        <v>0.050000000000000003</v>
      </c>
      <c r="X93" s="40"/>
      <c r="Y93" s="40"/>
      <c r="Z93" s="40"/>
      <c r="AA93" s="40"/>
      <c r="AB93" s="40">
        <v>0.050000000000000003</v>
      </c>
      <c r="AC93" s="40">
        <v>0.050000000000000003</v>
      </c>
      <c r="AD93" s="40">
        <v>0.050000000000000003</v>
      </c>
      <c r="AE93" s="40">
        <v>0.050000000000000003</v>
      </c>
      <c r="AF93" s="40">
        <v>0.050000000000000003</v>
      </c>
      <c r="AG93" s="40">
        <v>0.050000000000000003</v>
      </c>
      <c r="AH93" s="40">
        <v>0.050000000000000003</v>
      </c>
      <c r="AK93" s="28" t="s">
        <v>149</v>
      </c>
      <c r="AL93" s="17">
        <v>0.033000000000000002</v>
      </c>
      <c r="AM93" s="17">
        <v>0.154</v>
      </c>
      <c r="AN93" s="17">
        <v>0.45000000000000001</v>
      </c>
      <c r="AO93" s="17">
        <v>0.13300000000000001</v>
      </c>
      <c r="AP93" s="17">
        <v>0.37</v>
      </c>
      <c r="AQ93" s="17">
        <v>0.099000000000000005</v>
      </c>
      <c r="AR93" s="17">
        <v>0.25</v>
      </c>
      <c r="AS93" s="17">
        <v>0.058999999999999997</v>
      </c>
      <c r="AT93" s="17">
        <v>0.12</v>
      </c>
    </row>
    <row r="94">
      <c r="B94" s="66" t="s">
        <v>150</v>
      </c>
      <c r="C94" s="57" t="s">
        <v>146</v>
      </c>
      <c r="D94" s="28"/>
      <c r="E94" s="28"/>
      <c r="F94" s="28"/>
      <c r="G94" s="28"/>
      <c r="H94" s="40">
        <v>0.01</v>
      </c>
      <c r="I94" s="40"/>
      <c r="J94" s="40"/>
      <c r="K94" s="40"/>
      <c r="L94" s="40"/>
      <c r="M94" s="40">
        <v>0.10000000000000001</v>
      </c>
      <c r="N94" s="40"/>
      <c r="O94" s="40"/>
      <c r="P94" s="40"/>
      <c r="Q94" s="40"/>
      <c r="R94" s="40">
        <v>0.20000000000000001</v>
      </c>
      <c r="S94" s="40"/>
      <c r="T94" s="40"/>
      <c r="U94" s="40"/>
      <c r="V94" s="40"/>
      <c r="W94" s="40">
        <v>0.20000000000000001</v>
      </c>
      <c r="X94" s="40"/>
      <c r="Y94" s="40"/>
      <c r="Z94" s="40"/>
      <c r="AA94" s="40"/>
      <c r="AB94" s="40">
        <v>0.20000000000000001</v>
      </c>
      <c r="AC94" s="40">
        <v>0.20000000000000001</v>
      </c>
      <c r="AD94" s="40">
        <v>0.20000000000000001</v>
      </c>
      <c r="AE94" s="40">
        <v>0.20000000000000001</v>
      </c>
      <c r="AF94" s="40">
        <v>0.20000000000000001</v>
      </c>
      <c r="AG94" s="40">
        <v>0.20000000000000001</v>
      </c>
      <c r="AH94" s="40">
        <v>0.20000000000000001</v>
      </c>
      <c r="AK94" s="28"/>
      <c r="AL94" s="17"/>
      <c r="AM94" s="17"/>
      <c r="AN94" s="17"/>
      <c r="AO94" s="17"/>
      <c r="AP94" s="17"/>
      <c r="AQ94" s="17"/>
      <c r="AR94" s="17"/>
      <c r="AS94" s="17"/>
      <c r="AT94" s="17"/>
    </row>
    <row r="95">
      <c r="B95" s="66" t="s">
        <v>151</v>
      </c>
      <c r="C95" s="57" t="s">
        <v>146</v>
      </c>
      <c r="D95" s="28"/>
      <c r="E95" s="28"/>
      <c r="F95" s="28"/>
      <c r="G95" s="28"/>
      <c r="H95" s="40">
        <v>0</v>
      </c>
      <c r="I95" s="40"/>
      <c r="J95" s="40"/>
      <c r="K95" s="40"/>
      <c r="L95" s="40"/>
      <c r="M95" s="40">
        <v>0.01</v>
      </c>
      <c r="N95" s="40"/>
      <c r="O95" s="40"/>
      <c r="P95" s="40"/>
      <c r="Q95" s="40"/>
      <c r="R95" s="40">
        <v>0.02</v>
      </c>
      <c r="S95" s="40"/>
      <c r="T95" s="40"/>
      <c r="U95" s="40"/>
      <c r="V95" s="40"/>
      <c r="W95" s="40">
        <v>0.02</v>
      </c>
      <c r="X95" s="40">
        <v>0.02</v>
      </c>
      <c r="Y95" s="40">
        <v>0.02</v>
      </c>
      <c r="Z95" s="40">
        <v>0.02</v>
      </c>
      <c r="AA95" s="40">
        <v>0.02</v>
      </c>
      <c r="AB95" s="40">
        <v>0.02</v>
      </c>
      <c r="AC95" s="40">
        <v>0.02</v>
      </c>
      <c r="AD95" s="40">
        <v>0.02</v>
      </c>
      <c r="AE95" s="40">
        <v>0.02</v>
      </c>
      <c r="AF95" s="40">
        <v>0.02</v>
      </c>
      <c r="AG95" s="40">
        <v>0.02</v>
      </c>
      <c r="AH95" s="40">
        <v>0.02</v>
      </c>
      <c r="AK95" s="28" t="s">
        <v>151</v>
      </c>
      <c r="AL95" s="17">
        <v>0</v>
      </c>
      <c r="AM95" s="17">
        <v>0.023</v>
      </c>
      <c r="AN95" s="17">
        <v>0.070000000000000007</v>
      </c>
      <c r="AO95" s="17">
        <v>0.023</v>
      </c>
      <c r="AP95" s="17">
        <v>0.070000000000000007</v>
      </c>
      <c r="AQ95" s="17">
        <v>0.023</v>
      </c>
      <c r="AR95" s="17">
        <v>0.070000000000000007</v>
      </c>
      <c r="AS95" s="17">
        <v>0.023</v>
      </c>
      <c r="AT95" s="17">
        <v>0.070000000000000007</v>
      </c>
    </row>
    <row r="96">
      <c r="B96" s="66" t="s">
        <v>152</v>
      </c>
      <c r="C96" s="57" t="s">
        <v>146</v>
      </c>
      <c r="D96" s="28"/>
      <c r="E96" s="28"/>
      <c r="F96" s="28"/>
      <c r="G96" s="28"/>
      <c r="H96" s="40">
        <v>0.01</v>
      </c>
      <c r="I96" s="40"/>
      <c r="J96" s="40"/>
      <c r="K96" s="40"/>
      <c r="L96" s="40"/>
      <c r="M96" s="40">
        <v>0.029999999999999999</v>
      </c>
      <c r="N96" s="40"/>
      <c r="O96" s="40"/>
      <c r="P96" s="40"/>
      <c r="Q96" s="40"/>
      <c r="R96" s="40">
        <v>0.050000000000000003</v>
      </c>
      <c r="S96" s="40"/>
      <c r="T96" s="40"/>
      <c r="U96" s="40"/>
      <c r="V96" s="40"/>
      <c r="W96" s="40">
        <v>0.050000000000000003</v>
      </c>
      <c r="X96" s="40"/>
      <c r="Y96" s="40"/>
      <c r="Z96" s="40"/>
      <c r="AA96" s="40"/>
      <c r="AB96" s="40">
        <v>0.050000000000000003</v>
      </c>
      <c r="AC96" s="40">
        <v>0.050000000000000003</v>
      </c>
      <c r="AD96" s="40">
        <v>0.050000000000000003</v>
      </c>
      <c r="AE96" s="40">
        <v>0.050000000000000003</v>
      </c>
      <c r="AF96" s="40">
        <v>0.050000000000000003</v>
      </c>
      <c r="AG96" s="40">
        <v>0.050000000000000003</v>
      </c>
      <c r="AH96" s="40">
        <v>0.050000000000000003</v>
      </c>
      <c r="AI96" t="s">
        <v>153</v>
      </c>
      <c r="AK96" s="28" t="s">
        <v>152</v>
      </c>
      <c r="AL96" s="17">
        <v>0.02</v>
      </c>
      <c r="AM96" s="17">
        <v>0.152</v>
      </c>
      <c r="AN96" s="17">
        <v>0.46999999999999997</v>
      </c>
      <c r="AO96" s="17">
        <v>0.128</v>
      </c>
      <c r="AP96" s="17">
        <v>0.38</v>
      </c>
      <c r="AQ96" s="17">
        <v>0.097000000000000003</v>
      </c>
      <c r="AR96" s="17">
        <v>0.27000000000000002</v>
      </c>
      <c r="AS96" s="17">
        <v>0.062</v>
      </c>
      <c r="AT96" s="17">
        <v>0.14999999999999999</v>
      </c>
    </row>
    <row r="97">
      <c r="B97" s="66" t="s">
        <v>154</v>
      </c>
      <c r="C97" s="57" t="s">
        <v>146</v>
      </c>
      <c r="D97" s="28"/>
      <c r="E97" s="28"/>
      <c r="F97" s="28"/>
      <c r="G97" s="28"/>
      <c r="H97" s="40">
        <v>0.01</v>
      </c>
      <c r="I97" s="40"/>
      <c r="J97" s="40"/>
      <c r="K97" s="40"/>
      <c r="L97" s="40"/>
      <c r="M97" s="40">
        <v>0.10000000000000001</v>
      </c>
      <c r="N97" s="40"/>
      <c r="O97" s="40"/>
      <c r="P97" s="40"/>
      <c r="Q97" s="40"/>
      <c r="R97" s="40">
        <v>0.20000000000000001</v>
      </c>
      <c r="S97" s="40"/>
      <c r="T97" s="40"/>
      <c r="U97" s="40"/>
      <c r="V97" s="40"/>
      <c r="W97" s="40">
        <v>0.20000000000000001</v>
      </c>
      <c r="X97" s="40"/>
      <c r="Y97" s="40"/>
      <c r="Z97" s="40"/>
      <c r="AA97" s="40"/>
      <c r="AB97" s="40">
        <v>0.20000000000000001</v>
      </c>
      <c r="AC97" s="40">
        <v>0.20000000000000001</v>
      </c>
      <c r="AD97" s="40">
        <v>0.20000000000000001</v>
      </c>
      <c r="AE97" s="40">
        <v>0.20000000000000001</v>
      </c>
      <c r="AF97" s="40">
        <v>0.20000000000000001</v>
      </c>
      <c r="AG97" s="40">
        <v>0.20000000000000001</v>
      </c>
      <c r="AH97" s="40">
        <v>0.20000000000000001</v>
      </c>
      <c r="AI97" t="s">
        <v>153</v>
      </c>
      <c r="AK97" s="28"/>
      <c r="AL97" s="17"/>
      <c r="AM97" s="17"/>
      <c r="AN97" s="17"/>
      <c r="AO97" s="17"/>
      <c r="AP97" s="17"/>
      <c r="AQ97" s="17"/>
      <c r="AR97" s="17"/>
      <c r="AS97" s="17"/>
      <c r="AT97" s="17"/>
    </row>
    <row r="98">
      <c r="B98" s="66" t="s">
        <v>155</v>
      </c>
      <c r="C98" s="57" t="s">
        <v>146</v>
      </c>
      <c r="D98" s="28"/>
      <c r="E98" s="28"/>
      <c r="F98" s="28"/>
      <c r="G98" s="28"/>
      <c r="H98" s="40">
        <v>0</v>
      </c>
      <c r="I98" s="40"/>
      <c r="J98" s="40"/>
      <c r="K98" s="40"/>
      <c r="L98" s="40"/>
      <c r="M98" s="40">
        <v>0.01</v>
      </c>
      <c r="N98" s="40"/>
      <c r="O98" s="40"/>
      <c r="P98" s="40"/>
      <c r="Q98" s="40"/>
      <c r="R98" s="40">
        <v>0.02</v>
      </c>
      <c r="S98" s="40"/>
      <c r="T98" s="40"/>
      <c r="U98" s="40"/>
      <c r="V98" s="40"/>
      <c r="W98" s="40">
        <v>0.02</v>
      </c>
      <c r="X98" s="40">
        <v>0.02</v>
      </c>
      <c r="Y98" s="40">
        <v>0.02</v>
      </c>
      <c r="Z98" s="40">
        <v>0.02</v>
      </c>
      <c r="AA98" s="40">
        <v>0.02</v>
      </c>
      <c r="AB98" s="40">
        <v>0.02</v>
      </c>
      <c r="AC98" s="40">
        <v>0.02</v>
      </c>
      <c r="AD98" s="40">
        <v>0.02</v>
      </c>
      <c r="AE98" s="40">
        <v>0.02</v>
      </c>
      <c r="AF98" s="40">
        <v>0.02</v>
      </c>
      <c r="AG98" s="40">
        <v>0.02</v>
      </c>
      <c r="AH98" s="40">
        <v>0.02</v>
      </c>
      <c r="AK98" s="28" t="s">
        <v>155</v>
      </c>
      <c r="AL98" s="17">
        <v>0</v>
      </c>
      <c r="AM98" s="17">
        <v>0.023</v>
      </c>
      <c r="AN98" s="17">
        <v>0.070000000000000007</v>
      </c>
      <c r="AO98" s="17">
        <v>0.023</v>
      </c>
      <c r="AP98" s="17">
        <v>0.070000000000000007</v>
      </c>
      <c r="AQ98" s="17">
        <v>0.023</v>
      </c>
      <c r="AR98" s="17">
        <v>0.070000000000000007</v>
      </c>
      <c r="AS98" s="17">
        <v>0.023</v>
      </c>
      <c r="AT98" s="17">
        <v>0.070000000000000007</v>
      </c>
    </row>
    <row r="99">
      <c r="B99" s="66" t="s">
        <v>156</v>
      </c>
      <c r="C99" s="57" t="s">
        <v>146</v>
      </c>
      <c r="D99" s="28"/>
      <c r="E99" s="28"/>
      <c r="F99" s="28"/>
      <c r="G99" s="28"/>
      <c r="H99" s="40">
        <v>0.01</v>
      </c>
      <c r="I99" s="40"/>
      <c r="J99" s="40"/>
      <c r="K99" s="40"/>
      <c r="L99" s="40"/>
      <c r="M99" s="40">
        <v>0.029999999999999999</v>
      </c>
      <c r="N99" s="40"/>
      <c r="O99" s="40"/>
      <c r="P99" s="40"/>
      <c r="Q99" s="40"/>
      <c r="R99" s="40">
        <v>0.050000000000000003</v>
      </c>
      <c r="S99" s="40"/>
      <c r="T99" s="40"/>
      <c r="U99" s="40"/>
      <c r="V99" s="40"/>
      <c r="W99" s="40">
        <v>0.050000000000000003</v>
      </c>
      <c r="X99" s="40"/>
      <c r="Y99" s="40"/>
      <c r="Z99" s="40"/>
      <c r="AA99" s="40"/>
      <c r="AB99" s="40">
        <v>0.050000000000000003</v>
      </c>
      <c r="AC99" s="40">
        <v>0.050000000000000003</v>
      </c>
      <c r="AD99" s="40">
        <v>0.050000000000000003</v>
      </c>
      <c r="AE99" s="40">
        <v>0.050000000000000003</v>
      </c>
      <c r="AF99" s="40">
        <v>0.050000000000000003</v>
      </c>
      <c r="AG99" s="40">
        <v>0.050000000000000003</v>
      </c>
      <c r="AH99" s="40">
        <v>0.050000000000000003</v>
      </c>
      <c r="AI99" t="s">
        <v>153</v>
      </c>
      <c r="AK99" s="28" t="s">
        <v>156</v>
      </c>
      <c r="AL99" s="17">
        <v>0.15740000000000001</v>
      </c>
      <c r="AM99" s="17">
        <v>0.189</v>
      </c>
      <c r="AN99" s="17">
        <v>0.25</v>
      </c>
      <c r="AO99" s="17">
        <v>0.189</v>
      </c>
      <c r="AP99" s="17">
        <v>0.25</v>
      </c>
      <c r="AQ99" s="17">
        <v>0.189</v>
      </c>
      <c r="AR99" s="17">
        <v>0.25</v>
      </c>
      <c r="AS99" s="17">
        <v>0.189</v>
      </c>
      <c r="AT99" s="17">
        <v>0.25</v>
      </c>
    </row>
    <row r="100">
      <c r="B100" s="66" t="s">
        <v>157</v>
      </c>
      <c r="C100" s="57" t="s">
        <v>146</v>
      </c>
      <c r="D100" s="28"/>
      <c r="E100" s="28"/>
      <c r="F100" s="28"/>
      <c r="G100" s="28"/>
      <c r="H100" s="40">
        <v>0.01</v>
      </c>
      <c r="I100" s="40"/>
      <c r="J100" s="40"/>
      <c r="K100" s="40"/>
      <c r="L100" s="40"/>
      <c r="M100" s="40">
        <v>0.070000000000000007</v>
      </c>
      <c r="N100" s="40"/>
      <c r="O100" s="40"/>
      <c r="P100" s="40"/>
      <c r="Q100" s="40"/>
      <c r="R100" s="40">
        <v>0.12</v>
      </c>
      <c r="S100" s="40"/>
      <c r="T100" s="40"/>
      <c r="U100" s="40"/>
      <c r="V100" s="40"/>
      <c r="W100" s="40">
        <v>0.12</v>
      </c>
      <c r="X100" s="40"/>
      <c r="Y100" s="40"/>
      <c r="Z100" s="40"/>
      <c r="AA100" s="40"/>
      <c r="AB100" s="40">
        <v>0.12</v>
      </c>
      <c r="AC100" s="40">
        <v>0.12</v>
      </c>
      <c r="AD100" s="40">
        <v>0.12</v>
      </c>
      <c r="AE100" s="40">
        <v>0.12</v>
      </c>
      <c r="AF100" s="40">
        <v>0.12</v>
      </c>
      <c r="AG100" s="40">
        <v>0.12</v>
      </c>
      <c r="AH100" s="40">
        <v>0.12</v>
      </c>
      <c r="AI100" s="23" t="s">
        <v>158</v>
      </c>
      <c r="AK100" s="28" t="s">
        <v>159</v>
      </c>
      <c r="AL100" s="17"/>
      <c r="AM100" s="17"/>
      <c r="AN100" s="17"/>
      <c r="AO100" s="17"/>
      <c r="AP100" s="17"/>
      <c r="AQ100" s="17"/>
      <c r="AR100" s="17"/>
      <c r="AS100" s="17"/>
      <c r="AT100" s="17"/>
    </row>
    <row r="101">
      <c r="B101" s="66" t="s">
        <v>160</v>
      </c>
      <c r="C101" s="57" t="s">
        <v>146</v>
      </c>
      <c r="D101" s="28"/>
      <c r="E101" s="28"/>
      <c r="F101" s="28"/>
      <c r="G101" s="28"/>
      <c r="H101" s="40">
        <v>0</v>
      </c>
      <c r="I101" s="40"/>
      <c r="J101" s="40"/>
      <c r="K101" s="40"/>
      <c r="L101" s="40"/>
      <c r="M101" s="40">
        <v>0.01</v>
      </c>
      <c r="N101" s="40"/>
      <c r="O101" s="40"/>
      <c r="P101" s="40"/>
      <c r="Q101" s="40"/>
      <c r="R101" s="40">
        <v>0.02</v>
      </c>
      <c r="S101" s="40"/>
      <c r="T101" s="40"/>
      <c r="U101" s="40"/>
      <c r="V101" s="40"/>
      <c r="W101" s="40">
        <v>0.02</v>
      </c>
      <c r="X101" s="40">
        <v>0.02</v>
      </c>
      <c r="Y101" s="40">
        <v>0.02</v>
      </c>
      <c r="Z101" s="40">
        <v>0.02</v>
      </c>
      <c r="AA101" s="40">
        <v>0.02</v>
      </c>
      <c r="AB101" s="40">
        <v>0.02</v>
      </c>
      <c r="AC101" s="40">
        <v>0.02</v>
      </c>
      <c r="AD101" s="40">
        <v>0.02</v>
      </c>
      <c r="AE101" s="40">
        <v>0.02</v>
      </c>
      <c r="AF101" s="40">
        <v>0.02</v>
      </c>
      <c r="AG101" s="40">
        <v>0.02</v>
      </c>
      <c r="AH101" s="40">
        <v>0.02</v>
      </c>
      <c r="AK101" s="28" t="s">
        <v>160</v>
      </c>
      <c r="AL101" s="17">
        <v>0</v>
      </c>
      <c r="AM101" s="17">
        <v>0.023</v>
      </c>
      <c r="AN101" s="17">
        <v>0.070000000000000007</v>
      </c>
      <c r="AO101" s="17">
        <v>0.023</v>
      </c>
      <c r="AP101" s="17">
        <v>0.070000000000000007</v>
      </c>
      <c r="AQ101" s="17">
        <v>0.023</v>
      </c>
      <c r="AR101" s="17">
        <v>0.070000000000000007</v>
      </c>
      <c r="AS101" s="17">
        <v>0.023</v>
      </c>
      <c r="AT101" s="17">
        <v>0.070000000000000007</v>
      </c>
    </row>
    <row r="103">
      <c r="B103" s="28" t="s">
        <v>30</v>
      </c>
      <c r="C103" s="28"/>
      <c r="D103" s="28"/>
      <c r="E103" s="28"/>
      <c r="F103" s="28"/>
      <c r="G103" s="28"/>
      <c r="H103" s="65">
        <v>2020</v>
      </c>
      <c r="I103" s="65">
        <f t="shared" ref="I103:AG103" si="18">H103+1</f>
        <v>2021</v>
      </c>
      <c r="J103" s="65">
        <f t="shared" si="18"/>
        <v>2022</v>
      </c>
      <c r="K103" s="65">
        <f t="shared" si="18"/>
        <v>2023</v>
      </c>
      <c r="L103" s="65">
        <f t="shared" si="18"/>
        <v>2024</v>
      </c>
      <c r="M103" s="65">
        <f t="shared" si="18"/>
        <v>2025</v>
      </c>
      <c r="N103" s="65">
        <f t="shared" si="18"/>
        <v>2026</v>
      </c>
      <c r="O103" s="65">
        <f t="shared" si="18"/>
        <v>2027</v>
      </c>
      <c r="P103" s="65">
        <f t="shared" si="18"/>
        <v>2028</v>
      </c>
      <c r="Q103" s="65">
        <f t="shared" si="18"/>
        <v>2029</v>
      </c>
      <c r="R103" s="65">
        <f t="shared" si="18"/>
        <v>2030</v>
      </c>
      <c r="S103" s="65">
        <f t="shared" si="18"/>
        <v>2031</v>
      </c>
      <c r="T103" s="65">
        <f t="shared" si="18"/>
        <v>2032</v>
      </c>
      <c r="U103" s="65">
        <f t="shared" si="18"/>
        <v>2033</v>
      </c>
      <c r="V103" s="65">
        <f t="shared" si="18"/>
        <v>2034</v>
      </c>
      <c r="W103" s="65">
        <f t="shared" si="18"/>
        <v>2035</v>
      </c>
      <c r="X103" s="65">
        <f t="shared" si="18"/>
        <v>2036</v>
      </c>
      <c r="Y103" s="65">
        <f t="shared" si="18"/>
        <v>2037</v>
      </c>
      <c r="Z103" s="65">
        <f t="shared" si="18"/>
        <v>2038</v>
      </c>
      <c r="AA103" s="65">
        <f t="shared" si="18"/>
        <v>2039</v>
      </c>
      <c r="AB103" s="65">
        <f t="shared" si="18"/>
        <v>2040</v>
      </c>
      <c r="AC103" s="65">
        <f t="shared" si="18"/>
        <v>2041</v>
      </c>
      <c r="AD103" s="65">
        <f t="shared" si="18"/>
        <v>2042</v>
      </c>
      <c r="AE103" s="65">
        <f t="shared" si="18"/>
        <v>2043</v>
      </c>
      <c r="AF103" s="65">
        <f t="shared" si="18"/>
        <v>2044</v>
      </c>
      <c r="AG103" s="65">
        <f t="shared" si="18"/>
        <v>2045</v>
      </c>
      <c r="AH103" s="65">
        <v>2050</v>
      </c>
      <c r="AI103" s="23" t="s">
        <v>161</v>
      </c>
      <c r="AK103" s="65" t="s">
        <v>162</v>
      </c>
      <c r="AL103" s="65"/>
      <c r="AM103" s="4">
        <v>2015</v>
      </c>
      <c r="AN103" s="4">
        <v>2020</v>
      </c>
      <c r="AO103" s="4">
        <v>2025</v>
      </c>
      <c r="AP103" s="4">
        <v>2030</v>
      </c>
      <c r="AQ103" s="4">
        <v>2035</v>
      </c>
      <c r="AR103" s="4">
        <v>2040</v>
      </c>
      <c r="AS103" s="4">
        <v>2045</v>
      </c>
      <c r="AT103" s="4">
        <v>2050</v>
      </c>
    </row>
    <row r="104">
      <c r="B104" s="66" t="s">
        <v>145</v>
      </c>
      <c r="C104" s="57" t="s">
        <v>146</v>
      </c>
      <c r="D104" s="28"/>
      <c r="E104" s="28"/>
      <c r="F104" s="28"/>
      <c r="G104" s="28"/>
      <c r="H104" s="40">
        <v>0.050000000000000003</v>
      </c>
      <c r="I104" s="40"/>
      <c r="J104" s="40"/>
      <c r="K104" s="40"/>
      <c r="L104" s="40"/>
      <c r="M104" s="40">
        <v>0.10000000000000001</v>
      </c>
      <c r="N104" s="40"/>
      <c r="O104" s="40"/>
      <c r="P104" s="40"/>
      <c r="Q104" s="40"/>
      <c r="R104" s="40">
        <v>0.25</v>
      </c>
      <c r="S104" s="40"/>
      <c r="T104" s="40"/>
      <c r="U104" s="40"/>
      <c r="V104" s="40"/>
      <c r="W104" s="40">
        <f t="shared" ref="W104:W114" si="19">(R104+AB104)/2</f>
        <v>0.28749999999999998</v>
      </c>
      <c r="X104" s="40"/>
      <c r="Y104" s="40"/>
      <c r="Z104" s="40"/>
      <c r="AA104" s="40"/>
      <c r="AB104" s="40">
        <f t="shared" ref="AB104:AB114" si="20">(R104+AH104)/2</f>
        <v>0.32500000000000001</v>
      </c>
      <c r="AC104" s="40">
        <v>0.25</v>
      </c>
      <c r="AD104" s="40">
        <v>0.25</v>
      </c>
      <c r="AE104" s="40">
        <v>0.25</v>
      </c>
      <c r="AF104" s="40">
        <v>0.25</v>
      </c>
      <c r="AG104" s="40">
        <f t="shared" ref="AG104:AG114" si="21">(AB104+AH104)/2</f>
        <v>0.36250000000000004</v>
      </c>
      <c r="AH104" s="17">
        <v>0.40000000000000002</v>
      </c>
      <c r="AI104" t="s">
        <v>163</v>
      </c>
      <c r="AK104" s="28" t="s">
        <v>145</v>
      </c>
      <c r="AL104" s="28" t="s">
        <v>146</v>
      </c>
      <c r="AM104" s="17">
        <v>0.091999999999999998</v>
      </c>
      <c r="AN104" s="17">
        <v>0.21199999999999999</v>
      </c>
      <c r="AO104" s="17">
        <v>0.50600000000000001</v>
      </c>
      <c r="AP104" s="17">
        <v>0.80000000000000004</v>
      </c>
      <c r="AQ104" s="17">
        <v>0.83799999999999997</v>
      </c>
      <c r="AR104" s="17">
        <v>0.875</v>
      </c>
      <c r="AS104" s="17">
        <v>0.91300000000000003</v>
      </c>
      <c r="AT104" s="17">
        <v>0.94999999999999996</v>
      </c>
    </row>
    <row r="105">
      <c r="B105" s="66" t="s">
        <v>148</v>
      </c>
      <c r="C105" s="57" t="s">
        <v>146</v>
      </c>
      <c r="D105" s="28"/>
      <c r="E105" s="28"/>
      <c r="F105" s="28"/>
      <c r="G105" s="28"/>
      <c r="H105" s="40">
        <v>0</v>
      </c>
      <c r="I105" s="40"/>
      <c r="J105" s="40"/>
      <c r="K105" s="40"/>
      <c r="L105" s="40"/>
      <c r="M105" s="40">
        <v>0.01</v>
      </c>
      <c r="N105" s="40"/>
      <c r="O105" s="40"/>
      <c r="P105" s="40"/>
      <c r="Q105" s="40"/>
      <c r="R105" s="40">
        <v>0.02</v>
      </c>
      <c r="S105" s="40"/>
      <c r="T105" s="40"/>
      <c r="U105" s="40"/>
      <c r="V105" s="40"/>
      <c r="W105" s="40">
        <f t="shared" si="19"/>
        <v>0.032500000000000001</v>
      </c>
      <c r="X105" s="40"/>
      <c r="Y105" s="40"/>
      <c r="Z105" s="40"/>
      <c r="AA105" s="40"/>
      <c r="AB105" s="40">
        <f t="shared" si="20"/>
        <v>0.045000000000000005</v>
      </c>
      <c r="AC105" s="40"/>
      <c r="AD105" s="40"/>
      <c r="AE105" s="40"/>
      <c r="AF105" s="40"/>
      <c r="AG105" s="40">
        <f t="shared" si="21"/>
        <v>0.057500000000000009</v>
      </c>
      <c r="AH105" s="17">
        <v>0.070000000000000007</v>
      </c>
      <c r="AK105" s="28" t="s">
        <v>148</v>
      </c>
      <c r="AL105" s="28" t="s">
        <v>146</v>
      </c>
      <c r="AM105" s="17">
        <v>0</v>
      </c>
      <c r="AN105" s="17">
        <v>0.012999999999999999</v>
      </c>
      <c r="AO105" s="17">
        <v>0.032000000000000001</v>
      </c>
      <c r="AP105" s="17">
        <v>0.050000000000000003</v>
      </c>
      <c r="AQ105" s="17">
        <v>0.074999999999999997</v>
      </c>
      <c r="AR105" s="17">
        <v>0.10000000000000001</v>
      </c>
      <c r="AS105" s="17">
        <v>0.125</v>
      </c>
      <c r="AT105" s="17">
        <v>0.14999999999999999</v>
      </c>
    </row>
    <row r="106">
      <c r="B106" s="66" t="s">
        <v>149</v>
      </c>
      <c r="C106" s="57" t="s">
        <v>146</v>
      </c>
      <c r="D106" s="28"/>
      <c r="E106" s="28"/>
      <c r="F106" s="28"/>
      <c r="G106" s="28"/>
      <c r="H106" s="40">
        <v>0.01</v>
      </c>
      <c r="I106" s="40"/>
      <c r="J106" s="40"/>
      <c r="K106" s="40"/>
      <c r="L106" s="40"/>
      <c r="M106" s="40">
        <v>0.029999999999999999</v>
      </c>
      <c r="N106" s="40"/>
      <c r="O106" s="40"/>
      <c r="P106" s="40"/>
      <c r="Q106" s="40"/>
      <c r="R106" s="40">
        <v>0.050000000000000003</v>
      </c>
      <c r="S106" s="40"/>
      <c r="T106" s="40"/>
      <c r="U106" s="40"/>
      <c r="V106" s="40"/>
      <c r="W106" s="40">
        <f t="shared" si="19"/>
        <v>0.075000000000000011</v>
      </c>
      <c r="X106" s="40"/>
      <c r="Y106" s="40"/>
      <c r="Z106" s="40"/>
      <c r="AA106" s="40"/>
      <c r="AB106" s="40">
        <f t="shared" si="20"/>
        <v>0.10000000000000001</v>
      </c>
      <c r="AC106" s="40">
        <v>0.050000000000000003</v>
      </c>
      <c r="AD106" s="40">
        <v>0.050000000000000003</v>
      </c>
      <c r="AE106" s="40">
        <v>0.050000000000000003</v>
      </c>
      <c r="AF106" s="40">
        <v>0.050000000000000003</v>
      </c>
      <c r="AG106" s="40">
        <f t="shared" si="21"/>
        <v>0.125</v>
      </c>
      <c r="AH106" s="17">
        <v>0.14999999999999999</v>
      </c>
      <c r="AK106" s="28" t="s">
        <v>149</v>
      </c>
      <c r="AL106" s="28" t="s">
        <v>146</v>
      </c>
      <c r="AM106" s="17">
        <v>0.036999999999999998</v>
      </c>
      <c r="AN106" s="17">
        <v>0.069000000000000006</v>
      </c>
      <c r="AO106" s="17">
        <v>0.13500000000000001</v>
      </c>
      <c r="AP106" s="17">
        <v>0.20000000000000001</v>
      </c>
      <c r="AQ106" s="17">
        <v>0.25</v>
      </c>
      <c r="AR106" s="17">
        <v>0.29999999999999999</v>
      </c>
      <c r="AS106" s="17">
        <v>0.34999999999999998</v>
      </c>
      <c r="AT106" s="17">
        <v>0.40000000000000002</v>
      </c>
    </row>
    <row r="107">
      <c r="B107" s="66" t="s">
        <v>150</v>
      </c>
      <c r="C107" s="57" t="s">
        <v>146</v>
      </c>
      <c r="D107" s="28"/>
      <c r="E107" s="28"/>
      <c r="F107" s="28"/>
      <c r="G107" s="28"/>
      <c r="H107" s="40">
        <v>0.01</v>
      </c>
      <c r="I107" s="40"/>
      <c r="J107" s="40"/>
      <c r="K107" s="40"/>
      <c r="L107" s="40"/>
      <c r="M107" s="40">
        <v>0.10000000000000001</v>
      </c>
      <c r="N107" s="40"/>
      <c r="O107" s="40"/>
      <c r="P107" s="40"/>
      <c r="Q107" s="40"/>
      <c r="R107" s="40">
        <v>0.20000000000000001</v>
      </c>
      <c r="S107" s="40"/>
      <c r="T107" s="40"/>
      <c r="U107" s="40"/>
      <c r="V107" s="40"/>
      <c r="W107" s="40">
        <f t="shared" si="19"/>
        <v>0.26500000000000001</v>
      </c>
      <c r="X107" s="40"/>
      <c r="Y107" s="40"/>
      <c r="Z107" s="40"/>
      <c r="AA107" s="40"/>
      <c r="AB107" s="40">
        <f t="shared" si="20"/>
        <v>0.33000000000000002</v>
      </c>
      <c r="AC107" s="40">
        <v>0.20000000000000001</v>
      </c>
      <c r="AD107" s="40">
        <v>0.20000000000000001</v>
      </c>
      <c r="AE107" s="40">
        <v>0.20000000000000001</v>
      </c>
      <c r="AF107" s="40">
        <v>0.20000000000000001</v>
      </c>
      <c r="AG107" s="40">
        <f t="shared" si="21"/>
        <v>0.39500000000000002</v>
      </c>
      <c r="AH107" s="17">
        <v>0.46000000000000002</v>
      </c>
      <c r="AK107" s="28" t="s">
        <v>151</v>
      </c>
      <c r="AL107" s="28" t="s">
        <v>146</v>
      </c>
      <c r="AM107" s="17">
        <v>0</v>
      </c>
      <c r="AN107" s="17">
        <v>0.01</v>
      </c>
      <c r="AO107" s="17">
        <v>0.02</v>
      </c>
      <c r="AP107" s="17">
        <v>0.029999999999999999</v>
      </c>
      <c r="AQ107" s="17">
        <v>0.040000000000000001</v>
      </c>
      <c r="AR107" s="17">
        <v>0.050000000000000003</v>
      </c>
      <c r="AS107" s="17">
        <v>0.059999999999999998</v>
      </c>
      <c r="AT107" s="17">
        <v>0.070000000000000007</v>
      </c>
    </row>
    <row r="108">
      <c r="B108" s="66" t="s">
        <v>151</v>
      </c>
      <c r="C108" s="57" t="s">
        <v>146</v>
      </c>
      <c r="D108" s="28"/>
      <c r="E108" s="28"/>
      <c r="F108" s="28"/>
      <c r="G108" s="28"/>
      <c r="H108" s="40">
        <v>0</v>
      </c>
      <c r="I108" s="40"/>
      <c r="J108" s="40"/>
      <c r="K108" s="40"/>
      <c r="L108" s="40"/>
      <c r="M108" s="40">
        <v>0.01</v>
      </c>
      <c r="N108" s="40"/>
      <c r="O108" s="40"/>
      <c r="P108" s="40"/>
      <c r="Q108" s="40"/>
      <c r="R108" s="40">
        <v>0.02</v>
      </c>
      <c r="S108" s="40"/>
      <c r="T108" s="40"/>
      <c r="U108" s="40"/>
      <c r="V108" s="40"/>
      <c r="W108" s="40">
        <f t="shared" si="19"/>
        <v>0.032500000000000001</v>
      </c>
      <c r="X108" s="40"/>
      <c r="Y108" s="40"/>
      <c r="Z108" s="40"/>
      <c r="AA108" s="40"/>
      <c r="AB108" s="40">
        <f t="shared" si="20"/>
        <v>0.045000000000000005</v>
      </c>
      <c r="AC108" s="40"/>
      <c r="AD108" s="40"/>
      <c r="AE108" s="40"/>
      <c r="AF108" s="40"/>
      <c r="AG108" s="40">
        <f t="shared" si="21"/>
        <v>0.057500000000000009</v>
      </c>
      <c r="AH108" s="17">
        <v>0.070000000000000007</v>
      </c>
      <c r="AK108" s="28" t="s">
        <v>152</v>
      </c>
      <c r="AL108" s="28" t="s">
        <v>146</v>
      </c>
      <c r="AM108" s="17">
        <v>0.039</v>
      </c>
      <c r="AN108" s="17">
        <v>0.114</v>
      </c>
      <c r="AO108" s="17">
        <v>0.157</v>
      </c>
      <c r="AP108" s="17">
        <v>0.20000000000000001</v>
      </c>
      <c r="AQ108" s="17">
        <v>0.25</v>
      </c>
      <c r="AR108" s="17">
        <v>0.29999999999999999</v>
      </c>
      <c r="AS108" s="17">
        <v>0.34999999999999998</v>
      </c>
      <c r="AT108" s="17">
        <v>0.40000000000000002</v>
      </c>
    </row>
    <row r="109">
      <c r="B109" s="66" t="s">
        <v>152</v>
      </c>
      <c r="C109" s="57" t="s">
        <v>146</v>
      </c>
      <c r="D109" s="28"/>
      <c r="E109" s="28"/>
      <c r="F109" s="28"/>
      <c r="G109" s="28"/>
      <c r="H109" s="40">
        <v>0.01</v>
      </c>
      <c r="I109" s="40"/>
      <c r="J109" s="40"/>
      <c r="K109" s="40"/>
      <c r="L109" s="40"/>
      <c r="M109" s="40">
        <v>0.029999999999999999</v>
      </c>
      <c r="N109" s="40"/>
      <c r="O109" s="40"/>
      <c r="P109" s="40"/>
      <c r="Q109" s="40"/>
      <c r="R109" s="40">
        <v>0.050000000000000003</v>
      </c>
      <c r="S109" s="40"/>
      <c r="T109" s="40"/>
      <c r="U109" s="40"/>
      <c r="V109" s="40"/>
      <c r="W109" s="40">
        <f t="shared" si="19"/>
        <v>0.0625</v>
      </c>
      <c r="X109" s="40"/>
      <c r="Y109" s="40"/>
      <c r="Z109" s="40"/>
      <c r="AA109" s="40"/>
      <c r="AB109" s="40">
        <f t="shared" si="20"/>
        <v>0.075000000000000011</v>
      </c>
      <c r="AC109" s="40">
        <v>0.050000000000000003</v>
      </c>
      <c r="AD109" s="40">
        <v>0.050000000000000003</v>
      </c>
      <c r="AE109" s="40">
        <v>0.050000000000000003</v>
      </c>
      <c r="AF109" s="40">
        <v>0.050000000000000003</v>
      </c>
      <c r="AG109" s="40">
        <f t="shared" si="21"/>
        <v>0.087500000000000008</v>
      </c>
      <c r="AH109" s="17">
        <v>0.10000000000000001</v>
      </c>
      <c r="AK109" s="28" t="s">
        <v>155</v>
      </c>
      <c r="AL109" s="28" t="s">
        <v>146</v>
      </c>
      <c r="AM109" s="17">
        <v>0</v>
      </c>
      <c r="AN109" s="17">
        <v>0.01</v>
      </c>
      <c r="AO109" s="17">
        <v>0.02</v>
      </c>
      <c r="AP109" s="17">
        <v>0.029999999999999999</v>
      </c>
      <c r="AQ109" s="17">
        <v>0.040000000000000001</v>
      </c>
      <c r="AR109" s="17">
        <v>0.050000000000000003</v>
      </c>
      <c r="AS109" s="17">
        <v>0.059999999999999998</v>
      </c>
      <c r="AT109" s="17">
        <v>0.070000000000000007</v>
      </c>
    </row>
    <row r="110">
      <c r="B110" s="66" t="s">
        <v>154</v>
      </c>
      <c r="C110" s="57" t="s">
        <v>146</v>
      </c>
      <c r="D110" s="28"/>
      <c r="E110" s="28"/>
      <c r="F110" s="28"/>
      <c r="G110" s="28"/>
      <c r="H110" s="40">
        <v>0.01</v>
      </c>
      <c r="I110" s="40"/>
      <c r="J110" s="40"/>
      <c r="K110" s="40"/>
      <c r="L110" s="40"/>
      <c r="M110" s="40">
        <v>0.10000000000000001</v>
      </c>
      <c r="N110" s="40"/>
      <c r="O110" s="40"/>
      <c r="P110" s="40"/>
      <c r="Q110" s="40"/>
      <c r="R110" s="40">
        <v>0.20000000000000001</v>
      </c>
      <c r="S110" s="40"/>
      <c r="T110" s="40"/>
      <c r="U110" s="40"/>
      <c r="V110" s="40"/>
      <c r="W110" s="40">
        <f t="shared" si="19"/>
        <v>0.22500000000000001</v>
      </c>
      <c r="X110" s="40"/>
      <c r="Y110" s="40"/>
      <c r="Z110" s="40"/>
      <c r="AA110" s="40"/>
      <c r="AB110" s="40">
        <f t="shared" si="20"/>
        <v>0.25</v>
      </c>
      <c r="AC110" s="40">
        <v>0.20000000000000001</v>
      </c>
      <c r="AD110" s="40">
        <v>0.20000000000000001</v>
      </c>
      <c r="AE110" s="40">
        <v>0.20000000000000001</v>
      </c>
      <c r="AF110" s="40">
        <v>0.20000000000000001</v>
      </c>
      <c r="AG110" s="40">
        <f t="shared" si="21"/>
        <v>0.27500000000000002</v>
      </c>
      <c r="AH110" s="17">
        <v>0.29999999999999999</v>
      </c>
      <c r="AK110" s="28" t="s">
        <v>156</v>
      </c>
      <c r="AL110" s="28" t="s">
        <v>146</v>
      </c>
      <c r="AM110" s="17">
        <v>0.13100000000000001</v>
      </c>
      <c r="AN110" s="17">
        <v>0.193</v>
      </c>
      <c r="AO110" s="17">
        <v>0.246</v>
      </c>
      <c r="AP110" s="17">
        <v>0.29999999999999999</v>
      </c>
      <c r="AQ110" s="17">
        <v>0.34999999999999998</v>
      </c>
      <c r="AR110" s="17">
        <v>0.40000000000000002</v>
      </c>
      <c r="AS110" s="17">
        <v>0.45000000000000001</v>
      </c>
      <c r="AT110" s="17">
        <v>0.5</v>
      </c>
    </row>
    <row r="111">
      <c r="B111" s="66" t="s">
        <v>155</v>
      </c>
      <c r="C111" s="57" t="s">
        <v>146</v>
      </c>
      <c r="D111" s="28"/>
      <c r="E111" s="28"/>
      <c r="F111" s="28"/>
      <c r="G111" s="28"/>
      <c r="H111" s="40">
        <v>0</v>
      </c>
      <c r="I111" s="40"/>
      <c r="J111" s="40"/>
      <c r="K111" s="40"/>
      <c r="L111" s="40"/>
      <c r="M111" s="40">
        <v>0.01</v>
      </c>
      <c r="N111" s="40"/>
      <c r="O111" s="40"/>
      <c r="P111" s="40"/>
      <c r="Q111" s="40"/>
      <c r="R111" s="40">
        <v>0.02</v>
      </c>
      <c r="S111" s="40"/>
      <c r="T111" s="40"/>
      <c r="U111" s="40"/>
      <c r="V111" s="40"/>
      <c r="W111" s="40">
        <f t="shared" si="19"/>
        <v>0.032500000000000001</v>
      </c>
      <c r="X111" s="40"/>
      <c r="Y111" s="40"/>
      <c r="Z111" s="40"/>
      <c r="AA111" s="40"/>
      <c r="AB111" s="40">
        <f t="shared" si="20"/>
        <v>0.045000000000000005</v>
      </c>
      <c r="AC111" s="40"/>
      <c r="AD111" s="40"/>
      <c r="AE111" s="40"/>
      <c r="AF111" s="40"/>
      <c r="AG111" s="40">
        <f t="shared" si="21"/>
        <v>0.057500000000000009</v>
      </c>
      <c r="AH111" s="17">
        <v>0.070000000000000007</v>
      </c>
      <c r="AK111" s="28" t="s">
        <v>160</v>
      </c>
      <c r="AL111" s="28" t="s">
        <v>146</v>
      </c>
      <c r="AM111" s="17">
        <v>0</v>
      </c>
      <c r="AN111" s="17">
        <v>0.01</v>
      </c>
      <c r="AO111" s="17">
        <v>0.02</v>
      </c>
      <c r="AP111" s="17">
        <v>0.029999999999999999</v>
      </c>
      <c r="AQ111" s="17">
        <v>0.040000000000000001</v>
      </c>
      <c r="AR111" s="17">
        <v>0.050000000000000003</v>
      </c>
      <c r="AS111" s="17">
        <v>0.059999999999999998</v>
      </c>
      <c r="AT111" s="17">
        <v>0.070000000000000007</v>
      </c>
    </row>
    <row r="112">
      <c r="B112" s="66" t="s">
        <v>156</v>
      </c>
      <c r="C112" s="57" t="s">
        <v>146</v>
      </c>
      <c r="D112" s="28"/>
      <c r="E112" s="28"/>
      <c r="F112" s="28"/>
      <c r="G112" s="28"/>
      <c r="H112" s="40">
        <v>0.01</v>
      </c>
      <c r="I112" s="40"/>
      <c r="J112" s="40"/>
      <c r="K112" s="40"/>
      <c r="L112" s="40"/>
      <c r="M112" s="40">
        <v>0.029999999999999999</v>
      </c>
      <c r="N112" s="40"/>
      <c r="O112" s="40"/>
      <c r="P112" s="40"/>
      <c r="Q112" s="40"/>
      <c r="R112" s="40">
        <v>0.050000000000000003</v>
      </c>
      <c r="S112" s="40"/>
      <c r="T112" s="40"/>
      <c r="U112" s="40"/>
      <c r="V112" s="40"/>
      <c r="W112" s="40">
        <f t="shared" si="19"/>
        <v>0.0625</v>
      </c>
      <c r="X112" s="40"/>
      <c r="Y112" s="40"/>
      <c r="Z112" s="40"/>
      <c r="AA112" s="40"/>
      <c r="AB112" s="40">
        <f t="shared" si="20"/>
        <v>0.075000000000000011</v>
      </c>
      <c r="AC112" s="40">
        <v>0.050000000000000003</v>
      </c>
      <c r="AD112" s="40">
        <v>0.050000000000000003</v>
      </c>
      <c r="AE112" s="40">
        <v>0.050000000000000003</v>
      </c>
      <c r="AF112" s="40">
        <v>0.050000000000000003</v>
      </c>
      <c r="AG112" s="40">
        <f t="shared" si="21"/>
        <v>0.087500000000000008</v>
      </c>
      <c r="AH112" s="17">
        <v>0.10000000000000001</v>
      </c>
    </row>
    <row r="113">
      <c r="B113" s="66" t="s">
        <v>157</v>
      </c>
      <c r="C113" s="57" t="s">
        <v>146</v>
      </c>
      <c r="D113" s="28"/>
      <c r="E113" s="28"/>
      <c r="F113" s="28"/>
      <c r="G113" s="28"/>
      <c r="H113" s="40">
        <v>0.01</v>
      </c>
      <c r="I113" s="40"/>
      <c r="J113" s="40"/>
      <c r="K113" s="40"/>
      <c r="L113" s="40"/>
      <c r="M113" s="40">
        <v>0.070000000000000007</v>
      </c>
      <c r="N113" s="40"/>
      <c r="O113" s="40"/>
      <c r="P113" s="40"/>
      <c r="Q113" s="40"/>
      <c r="R113" s="40">
        <v>0.12</v>
      </c>
      <c r="S113" s="40"/>
      <c r="T113" s="40"/>
      <c r="U113" s="40"/>
      <c r="V113" s="40"/>
      <c r="W113" s="40">
        <f t="shared" si="19"/>
        <v>0.14999999999999999</v>
      </c>
      <c r="X113" s="40"/>
      <c r="Y113" s="40"/>
      <c r="Z113" s="40"/>
      <c r="AA113" s="40"/>
      <c r="AB113" s="40">
        <f t="shared" si="20"/>
        <v>0.17999999999999999</v>
      </c>
      <c r="AC113" s="40">
        <v>0.12</v>
      </c>
      <c r="AD113" s="40">
        <v>0.12</v>
      </c>
      <c r="AE113" s="40">
        <v>0.12</v>
      </c>
      <c r="AF113" s="40">
        <v>0.12</v>
      </c>
      <c r="AG113" s="40">
        <f t="shared" si="21"/>
        <v>0.20999999999999999</v>
      </c>
      <c r="AH113" s="17">
        <v>0.23999999999999999</v>
      </c>
    </row>
    <row r="114">
      <c r="B114" s="66" t="s">
        <v>160</v>
      </c>
      <c r="C114" s="57" t="s">
        <v>146</v>
      </c>
      <c r="D114" s="28"/>
      <c r="E114" s="28"/>
      <c r="F114" s="28"/>
      <c r="G114" s="28"/>
      <c r="H114" s="40">
        <v>0</v>
      </c>
      <c r="I114" s="40"/>
      <c r="J114" s="40"/>
      <c r="K114" s="40"/>
      <c r="L114" s="40"/>
      <c r="M114" s="40">
        <v>0.01</v>
      </c>
      <c r="N114" s="40"/>
      <c r="O114" s="40"/>
      <c r="P114" s="40"/>
      <c r="Q114" s="40"/>
      <c r="R114" s="40">
        <v>0.02</v>
      </c>
      <c r="S114" s="40"/>
      <c r="T114" s="40"/>
      <c r="U114" s="40"/>
      <c r="V114" s="40"/>
      <c r="W114" s="40">
        <f t="shared" si="19"/>
        <v>0.032500000000000001</v>
      </c>
      <c r="X114" s="40"/>
      <c r="Y114" s="40"/>
      <c r="Z114" s="40"/>
      <c r="AA114" s="40"/>
      <c r="AB114" s="40">
        <f t="shared" si="20"/>
        <v>0.045000000000000005</v>
      </c>
      <c r="AC114" s="40"/>
      <c r="AD114" s="40"/>
      <c r="AE114" s="40"/>
      <c r="AF114" s="40"/>
      <c r="AG114" s="40">
        <f t="shared" si="21"/>
        <v>0.057500000000000009</v>
      </c>
      <c r="AH114" s="17">
        <v>0.070000000000000007</v>
      </c>
    </row>
  </sheetData>
  <mergeCells count="66">
    <mergeCell ref="B4:R4"/>
    <mergeCell ref="AK7:AL7"/>
    <mergeCell ref="AI8:AJ8"/>
    <mergeCell ref="A9:A10"/>
    <mergeCell ref="AI9:AJ9"/>
    <mergeCell ref="AI10:AJ10"/>
    <mergeCell ref="AI11:AJ11"/>
    <mergeCell ref="A12:A14"/>
    <mergeCell ref="AI12:AJ12"/>
    <mergeCell ref="AI13:AJ13"/>
    <mergeCell ref="AI14:AJ14"/>
    <mergeCell ref="AI15:AJ15"/>
    <mergeCell ref="AI16:AJ16"/>
    <mergeCell ref="AI17:AJ17"/>
    <mergeCell ref="AK22:AL22"/>
    <mergeCell ref="AM22:AP22"/>
    <mergeCell ref="AQ22:AT22"/>
    <mergeCell ref="AI23:AJ23"/>
    <mergeCell ref="A24:A25"/>
    <mergeCell ref="AI24:AJ24"/>
    <mergeCell ref="AI25:AJ25"/>
    <mergeCell ref="AI26:AJ26"/>
    <mergeCell ref="A27:A29"/>
    <mergeCell ref="AI27:AJ27"/>
    <mergeCell ref="AI28:AJ28"/>
    <mergeCell ref="AU28:AV28"/>
    <mergeCell ref="AI29:AJ29"/>
    <mergeCell ref="AU29:AV29"/>
    <mergeCell ref="AI30:AJ30"/>
    <mergeCell ref="AI31:AJ31"/>
    <mergeCell ref="AI32:AJ32"/>
    <mergeCell ref="B37:R37"/>
    <mergeCell ref="AK40:AR40"/>
    <mergeCell ref="AU40:AX40"/>
    <mergeCell ref="AY40:BB40"/>
    <mergeCell ref="AK41:AL41"/>
    <mergeCell ref="AK42:AL42"/>
    <mergeCell ref="A43:A44"/>
    <mergeCell ref="AK43:AL43"/>
    <mergeCell ref="AK44:AL44"/>
    <mergeCell ref="A46:A47"/>
    <mergeCell ref="AK46:AL46"/>
    <mergeCell ref="A51:A54"/>
    <mergeCell ref="A57:A65"/>
    <mergeCell ref="A69:A72"/>
    <mergeCell ref="AK72:AT72"/>
    <mergeCell ref="AK73:AL73"/>
    <mergeCell ref="AK74:AL74"/>
    <mergeCell ref="A75:A83"/>
    <mergeCell ref="AK75:AL75"/>
    <mergeCell ref="AK76:AL76"/>
    <mergeCell ref="AK77:AL77"/>
    <mergeCell ref="AK78:AL78"/>
    <mergeCell ref="AK79:AL79"/>
    <mergeCell ref="AK80:AL80"/>
    <mergeCell ref="AK81:AL81"/>
    <mergeCell ref="AK82:AL82"/>
    <mergeCell ref="AK83:AL83"/>
    <mergeCell ref="B86:R86"/>
    <mergeCell ref="AM89:AN89"/>
    <mergeCell ref="AO89:AP89"/>
    <mergeCell ref="AQ89:AR89"/>
    <mergeCell ref="AS89:AT89"/>
    <mergeCell ref="B90:C90"/>
    <mergeCell ref="B103:C103"/>
    <mergeCell ref="AK103:AL103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rstPageNumber="4294967295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&amp;C&amp;"Arial,Normal"&amp;10&amp;A</oddHeader>
    <oddFooter>&amp;C&amp;"Arial,Normal"&amp;10Page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6" workbookViewId="0">
      <selection activeCell="T38" activeCellId="0" sqref="T38"/>
    </sheetView>
  </sheetViews>
  <sheetFormatPr baseColWidth="10" defaultColWidth="9.140625" defaultRowHeight="15"/>
  <cols>
    <col customWidth="1" min="1" max="4" width="8.7109375"/>
    <col customWidth="1" min="5" max="13" width="10.5703125"/>
    <col customWidth="1" min="14" max="14" width="10.7109375"/>
    <col customWidth="1" min="15" max="16" width="10.5703125"/>
    <col customWidth="1" min="17" max="21" width="8.7109375"/>
    <col customWidth="1" min="22" max="22" width="9.85546875"/>
    <col customWidth="1" min="23" max="1025" width="8.7109375"/>
  </cols>
  <sheetData>
    <row r="3">
      <c r="C3" t="s">
        <v>1</v>
      </c>
    </row>
    <row r="5">
      <c r="E5">
        <v>2015</v>
      </c>
      <c r="F5">
        <v>2017</v>
      </c>
      <c r="G5">
        <v>2018</v>
      </c>
      <c r="H5">
        <v>2019</v>
      </c>
      <c r="I5">
        <v>2020</v>
      </c>
      <c r="J5">
        <v>2022</v>
      </c>
      <c r="K5">
        <v>2025</v>
      </c>
      <c r="L5">
        <v>2030</v>
      </c>
      <c r="M5">
        <v>2035</v>
      </c>
      <c r="N5">
        <v>2040</v>
      </c>
      <c r="O5">
        <v>2045</v>
      </c>
      <c r="P5">
        <v>2050</v>
      </c>
      <c r="T5" s="233" t="s">
        <v>502</v>
      </c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 t="s">
        <v>24</v>
      </c>
      <c r="AG5" s="233"/>
      <c r="AH5" s="233"/>
      <c r="AI5" s="233"/>
      <c r="AK5" t="s">
        <v>503</v>
      </c>
    </row>
    <row r="6">
      <c r="D6" t="s">
        <v>504</v>
      </c>
      <c r="E6">
        <f t="shared" ref="E6:P6" si="79">SUM(E8:E46)-E7</f>
        <v>0</v>
      </c>
      <c r="F6">
        <f t="shared" si="79"/>
        <v>0</v>
      </c>
      <c r="G6">
        <f t="shared" si="79"/>
        <v>0</v>
      </c>
      <c r="H6">
        <f t="shared" si="79"/>
        <v>0</v>
      </c>
      <c r="I6">
        <f t="shared" si="79"/>
        <v>0</v>
      </c>
      <c r="J6">
        <f t="shared" si="79"/>
        <v>0</v>
      </c>
      <c r="K6">
        <f t="shared" si="79"/>
        <v>0</v>
      </c>
      <c r="L6">
        <f t="shared" si="79"/>
        <v>0</v>
      </c>
      <c r="M6">
        <f t="shared" si="79"/>
        <v>0</v>
      </c>
      <c r="N6">
        <f t="shared" si="79"/>
        <v>0</v>
      </c>
      <c r="O6">
        <f t="shared" si="79"/>
        <v>0</v>
      </c>
      <c r="P6">
        <f t="shared" si="79"/>
        <v>0</v>
      </c>
      <c r="S6" t="s">
        <v>505</v>
      </c>
      <c r="T6" s="233" t="s">
        <v>73</v>
      </c>
      <c r="U6" s="233"/>
      <c r="V6" s="233"/>
      <c r="W6" s="233"/>
      <c r="X6" s="233"/>
      <c r="Y6" s="233"/>
      <c r="Z6" s="233" t="s">
        <v>77</v>
      </c>
      <c r="AA6" s="233"/>
      <c r="AB6" s="233"/>
      <c r="AC6" s="233"/>
      <c r="AD6" s="233"/>
      <c r="AE6" s="233"/>
      <c r="AF6" s="233" t="s">
        <v>506</v>
      </c>
      <c r="AG6" s="233"/>
      <c r="AH6" s="233"/>
      <c r="AI6" s="233"/>
    </row>
    <row r="7">
      <c r="D7" t="s">
        <v>507</v>
      </c>
      <c r="E7" s="69">
        <f>'parc résidentiel'!D10</f>
        <v>15865322.079735959</v>
      </c>
      <c r="F7" s="69">
        <f>E7+($I7-$E7)/4</f>
        <v>16030020.05980197</v>
      </c>
      <c r="G7" s="69">
        <f>F7+($I7-$E7)/4</f>
        <v>16194718.039867979</v>
      </c>
      <c r="H7" s="69">
        <f>G7+($I7-$E7)/4</f>
        <v>16359416.019933987</v>
      </c>
      <c r="I7" s="69">
        <f>'parc résidentiel'!E10</f>
        <v>16524113.999999998</v>
      </c>
      <c r="J7" s="69">
        <f>I7+(L7-I7)*2/10</f>
        <v>16664294.282864958</v>
      </c>
      <c r="K7" s="69">
        <f>(I7+L7)/2</f>
        <v>16874564.707162395</v>
      </c>
      <c r="L7" s="69">
        <f>'parc résidentiel'!F10</f>
        <v>17225015.414324794</v>
      </c>
      <c r="M7" s="69">
        <f>(L7+N7)/2</f>
        <v>17551921.393657669</v>
      </c>
      <c r="N7" s="69">
        <f>'parc résidentiel'!G10</f>
        <v>17878827.372990549</v>
      </c>
      <c r="O7" s="69">
        <f>(N7+P7)/2</f>
        <v>17946547.55584396</v>
      </c>
      <c r="P7" s="69">
        <f>'parc résidentiel'!H10</f>
        <v>18014267.738697372</v>
      </c>
      <c r="T7" s="66" t="s">
        <v>506</v>
      </c>
      <c r="U7" s="66"/>
      <c r="V7" s="66" t="s">
        <v>508</v>
      </c>
      <c r="W7" s="66"/>
      <c r="X7" s="66" t="s">
        <v>509</v>
      </c>
      <c r="Y7" s="66"/>
      <c r="Z7" s="66" t="s">
        <v>506</v>
      </c>
      <c r="AA7" s="66"/>
      <c r="AB7" s="66" t="s">
        <v>508</v>
      </c>
      <c r="AC7" s="66"/>
      <c r="AD7" s="66" t="s">
        <v>509</v>
      </c>
      <c r="AE7" s="66"/>
      <c r="AF7" s="66" t="s">
        <v>73</v>
      </c>
      <c r="AG7" s="66"/>
      <c r="AH7" s="66" t="s">
        <v>77</v>
      </c>
      <c r="AI7" s="66"/>
    </row>
    <row r="8">
      <c r="A8" t="s">
        <v>510</v>
      </c>
      <c r="B8" t="s">
        <v>511</v>
      </c>
      <c r="C8" t="s">
        <v>506</v>
      </c>
      <c r="D8" t="s">
        <v>463</v>
      </c>
      <c r="E8" s="69">
        <f t="shared" ref="E8:E20" si="80">E$7*T$27*T9</f>
        <v>3210113.9952305565</v>
      </c>
      <c r="F8" s="70">
        <f t="shared" ref="F8:F20" si="81">F$7*($T9+($U9-$T9)*2/35)*($T$27+($U$27-$T$27)*2/35)</f>
        <v>3248617.5675854404</v>
      </c>
      <c r="G8" s="70">
        <f t="shared" ref="G8:G20" si="82">G$7*($T9+($U9-$T9)*3/35)*($T$27+($U$27-$T$27)*3/35)</f>
        <v>3284611.2795722573</v>
      </c>
      <c r="H8" s="70">
        <f t="shared" ref="H8:H20" si="83">H$7*($T9+($U9-$T9)*4/35)*($T$27+($U$27-$T$27)*4/35)</f>
        <v>3320658.2061443757</v>
      </c>
      <c r="I8" s="70">
        <f t="shared" ref="I8:I20" si="84">I$7*($T9+($U9-$T9)*5/35)*($T$27+($U$27-$T$27)*5/35)</f>
        <v>3356758.347301797</v>
      </c>
      <c r="J8" s="70">
        <f t="shared" ref="J8:J20" si="85">J$7*($T9+($U9-$T9)*7/35)*($T$27+($U$27-$T$27)*7/35)</f>
        <v>3390619.2937499075</v>
      </c>
      <c r="K8" s="70">
        <f t="shared" ref="K8:K20" si="86">K$7*($T9+($U9-$T9)*10/35)*($T$27+($U$27-$T$27)*10/35)</f>
        <v>3441580.5614892095</v>
      </c>
      <c r="L8" s="70">
        <f>L$7*($T9+($U9-$T9)*15/35)*($T$27+($U$27-$T$27)*15/35)</f>
        <v>3526968.9359004139</v>
      </c>
      <c r="M8" s="70">
        <f t="shared" ref="M8:M20" si="87">M$7*($T9+($U9-$T9)*20/35)*($T$27+($U$27-$T$27)*20/35)</f>
        <v>3608083.4680458796</v>
      </c>
      <c r="N8" s="70">
        <f t="shared" ref="N8:N20" si="88">N$7*($T9+($U9-$T9)*25/35)*($T$27+($U$27-$T$27)*25/35)</f>
        <v>3689726.1234298931</v>
      </c>
      <c r="O8" s="70">
        <f t="shared" ref="O8:O20" si="89">O$7*($T9+($U9-$T9)*30/35)*($T$27+($U$27-$T$27)*30/35)</f>
        <v>3718198.317992276</v>
      </c>
      <c r="P8" s="70">
        <f t="shared" ref="P8:P20" si="90">P$7*U$27*U9</f>
        <v>3746779.9158832766</v>
      </c>
      <c r="T8" s="66">
        <v>2015</v>
      </c>
      <c r="U8" s="66">
        <v>2050</v>
      </c>
      <c r="V8" s="66">
        <v>2015</v>
      </c>
      <c r="W8" s="66">
        <v>2050</v>
      </c>
      <c r="X8" s="66">
        <v>2015</v>
      </c>
      <c r="Y8" s="66">
        <v>2050</v>
      </c>
      <c r="Z8" s="66">
        <v>2015</v>
      </c>
      <c r="AA8" s="66">
        <v>2050</v>
      </c>
      <c r="AB8" s="66">
        <v>2015</v>
      </c>
      <c r="AC8" s="66">
        <v>2050</v>
      </c>
      <c r="AD8" s="66">
        <v>2015</v>
      </c>
      <c r="AE8" s="66">
        <v>2050</v>
      </c>
      <c r="AF8" s="66">
        <v>2015</v>
      </c>
      <c r="AG8" s="66">
        <v>2050</v>
      </c>
      <c r="AH8" s="66">
        <v>2015</v>
      </c>
      <c r="AI8" s="66">
        <v>2050</v>
      </c>
    </row>
    <row r="9">
      <c r="A9" t="s">
        <v>510</v>
      </c>
      <c r="B9" t="s">
        <v>511</v>
      </c>
      <c r="C9" t="s">
        <v>506</v>
      </c>
      <c r="D9" t="s">
        <v>464</v>
      </c>
      <c r="E9" s="69">
        <f t="shared" si="80"/>
        <v>1562882.1363553093</v>
      </c>
      <c r="F9" s="70">
        <f t="shared" si="81"/>
        <v>1581628.0579981913</v>
      </c>
      <c r="G9" s="70">
        <f t="shared" si="82"/>
        <v>1599152.0243024703</v>
      </c>
      <c r="H9" s="70">
        <f t="shared" si="83"/>
        <v>1616701.8987598196</v>
      </c>
      <c r="I9" s="70">
        <f t="shared" si="84"/>
        <v>1634277.6813702392</v>
      </c>
      <c r="J9" s="70">
        <f t="shared" si="85"/>
        <v>1650763.2854336658</v>
      </c>
      <c r="K9" s="70">
        <f t="shared" si="86"/>
        <v>1675574.3840781723</v>
      </c>
      <c r="L9" s="70">
        <f t="shared" ref="L9:L20" si="91">L$7*(T10+(U10-T10)*15/35)*(T$27+(U$27-T$27)*15/35)</f>
        <v>1717146.728617328</v>
      </c>
      <c r="M9" s="70">
        <f t="shared" si="87"/>
        <v>1756638.3022740015</v>
      </c>
      <c r="N9" s="70">
        <f t="shared" si="88"/>
        <v>1796386.999003733</v>
      </c>
      <c r="O9" s="70">
        <f t="shared" si="89"/>
        <v>1810249.0251904966</v>
      </c>
      <c r="P9" s="70">
        <f t="shared" si="90"/>
        <v>1824164.3156875642</v>
      </c>
      <c r="S9" s="66" t="s">
        <v>463</v>
      </c>
      <c r="T9" s="30">
        <v>0.2475272997438</v>
      </c>
      <c r="U9" s="30">
        <v>0.2475272997438</v>
      </c>
      <c r="V9" s="30">
        <v>0.22693164507163999</v>
      </c>
      <c r="W9" s="30">
        <v>0.22388050362723</v>
      </c>
      <c r="X9" s="30">
        <v>0.41763307475025502</v>
      </c>
      <c r="Y9" s="30">
        <v>0.415107680387303</v>
      </c>
      <c r="Z9" s="30">
        <v>0.41113045286053002</v>
      </c>
      <c r="AA9" s="30">
        <v>0.41037311594798598</v>
      </c>
      <c r="AB9" s="30">
        <v>0.33586507706505497</v>
      </c>
      <c r="AC9" s="30">
        <v>0.27408922002610397</v>
      </c>
      <c r="AD9" s="30">
        <v>0.43939277451877001</v>
      </c>
      <c r="AE9" s="30">
        <v>0.43605040405721701</v>
      </c>
      <c r="AF9" s="30">
        <v>0.093354125734896695</v>
      </c>
      <c r="AG9" s="30">
        <v>0.092986977774421095</v>
      </c>
      <c r="AH9" s="30">
        <v>0.148273829640866</v>
      </c>
      <c r="AI9" s="30">
        <v>0.147911810057441</v>
      </c>
    </row>
    <row r="10">
      <c r="A10" t="s">
        <v>510</v>
      </c>
      <c r="B10" t="s">
        <v>511</v>
      </c>
      <c r="C10" t="s">
        <v>506</v>
      </c>
      <c r="D10" t="s">
        <v>465</v>
      </c>
      <c r="E10" s="69">
        <f t="shared" si="80"/>
        <v>1934216.0980749123</v>
      </c>
      <c r="F10" s="70">
        <f t="shared" si="81"/>
        <v>1957415.9687314869</v>
      </c>
      <c r="G10" s="70">
        <f t="shared" si="82"/>
        <v>1979103.5528041429</v>
      </c>
      <c r="H10" s="70">
        <f t="shared" si="83"/>
        <v>2000823.2006937528</v>
      </c>
      <c r="I10" s="70">
        <f t="shared" si="84"/>
        <v>2022574.9124003164</v>
      </c>
      <c r="J10" s="70">
        <f t="shared" si="85"/>
        <v>2042977.4239040501</v>
      </c>
      <c r="K10" s="70">
        <f t="shared" si="86"/>
        <v>2073683.5310971641</v>
      </c>
      <c r="L10" s="70">
        <f t="shared" si="91"/>
        <v>2125133.2829190576</v>
      </c>
      <c r="M10" s="70">
        <f t="shared" si="87"/>
        <v>2174007.8817951963</v>
      </c>
      <c r="N10" s="70">
        <f t="shared" si="88"/>
        <v>2223200.6950622532</v>
      </c>
      <c r="O10" s="70">
        <f t="shared" si="89"/>
        <v>2240356.2780577186</v>
      </c>
      <c r="P10" s="70">
        <f t="shared" si="90"/>
        <v>2257577.7807307122</v>
      </c>
      <c r="S10" s="66" t="s">
        <v>464</v>
      </c>
      <c r="T10" s="30">
        <v>0.120511606629741</v>
      </c>
      <c r="U10" s="30">
        <v>0.120511606629741</v>
      </c>
      <c r="V10" s="30">
        <v>0.092604534403814998</v>
      </c>
      <c r="W10" s="30">
        <v>0.091359447881084702</v>
      </c>
      <c r="X10" s="30">
        <v>0.098135697789838897</v>
      </c>
      <c r="Y10" s="30">
        <v>0.097542278942083602</v>
      </c>
      <c r="Z10" s="30">
        <v>0.079819969145395395</v>
      </c>
      <c r="AA10" s="30">
        <v>0.079672934041156995</v>
      </c>
      <c r="AB10" s="30">
        <v>0.104852410998242</v>
      </c>
      <c r="AC10" s="30">
        <v>0.110677663474818</v>
      </c>
      <c r="AD10" s="30">
        <v>0.10500153088804701</v>
      </c>
      <c r="AE10" s="30">
        <v>0.10420280583927399</v>
      </c>
      <c r="AF10" s="30">
        <v>0.063724776941370007</v>
      </c>
      <c r="AG10" s="30">
        <v>0.0634741568246735</v>
      </c>
      <c r="AH10" s="30">
        <v>0.018891875699731799</v>
      </c>
      <c r="AI10" s="30">
        <v>0.018845750034889201</v>
      </c>
    </row>
    <row r="11">
      <c r="A11" t="s">
        <v>510</v>
      </c>
      <c r="B11" t="s">
        <v>511</v>
      </c>
      <c r="C11" t="s">
        <v>506</v>
      </c>
      <c r="D11" t="s">
        <v>466</v>
      </c>
      <c r="E11" s="69">
        <f t="shared" si="80"/>
        <v>993259.32266698731</v>
      </c>
      <c r="F11" s="70">
        <f t="shared" si="81"/>
        <v>1005172.9283066288</v>
      </c>
      <c r="G11" s="70">
        <f t="shared" si="82"/>
        <v>1016309.9440142997</v>
      </c>
      <c r="H11" s="70">
        <f t="shared" si="83"/>
        <v>1027463.4251443918</v>
      </c>
      <c r="I11" s="70">
        <f t="shared" si="84"/>
        <v>1038633.3716969059</v>
      </c>
      <c r="J11" s="70">
        <f t="shared" si="85"/>
        <v>1049110.4764925248</v>
      </c>
      <c r="K11" s="70">
        <f t="shared" si="86"/>
        <v>1064878.6873262199</v>
      </c>
      <c r="L11" s="70">
        <f t="shared" si="91"/>
        <v>1091299.1817564238</v>
      </c>
      <c r="M11" s="70">
        <f t="shared" si="87"/>
        <v>1116397.2827512661</v>
      </c>
      <c r="N11" s="70">
        <f t="shared" si="88"/>
        <v>1141658.7933106865</v>
      </c>
      <c r="O11" s="70">
        <f t="shared" si="89"/>
        <v>1150468.5342506946</v>
      </c>
      <c r="P11" s="70">
        <f t="shared" si="90"/>
        <v>1159312.1262864086</v>
      </c>
      <c r="S11" s="66" t="s">
        <v>465</v>
      </c>
      <c r="T11" s="30">
        <v>0.149144637414375</v>
      </c>
      <c r="U11" s="30">
        <v>0.149144637414375</v>
      </c>
      <c r="V11" s="30">
        <v>0.115895334053694</v>
      </c>
      <c r="W11" s="30">
        <v>0.114337098062265</v>
      </c>
      <c r="X11" s="30">
        <v>0.085311128288317398</v>
      </c>
      <c r="Y11" s="30">
        <v>0.084795258603893503</v>
      </c>
      <c r="Z11" s="30">
        <v>0.182861619327471</v>
      </c>
      <c r="AA11" s="30">
        <v>0.18252477282719201</v>
      </c>
      <c r="AB11" s="30">
        <v>0.16007928382485201</v>
      </c>
      <c r="AC11" s="30">
        <v>0.14830030669954</v>
      </c>
      <c r="AD11" s="30">
        <v>0.14655873518707899</v>
      </c>
      <c r="AE11" s="30">
        <v>0.14544389303267999</v>
      </c>
      <c r="AF11" s="30">
        <v>0.16629674894830501</v>
      </c>
      <c r="AG11" s="30">
        <v>0.16564272844594999</v>
      </c>
      <c r="AH11" s="30">
        <v>0.224760382089815</v>
      </c>
      <c r="AI11" s="30">
        <v>0.22421161593133901</v>
      </c>
    </row>
    <row r="12">
      <c r="A12" t="s">
        <v>510</v>
      </c>
      <c r="B12" t="s">
        <v>511</v>
      </c>
      <c r="C12" t="s">
        <v>506</v>
      </c>
      <c r="D12" t="s">
        <v>467</v>
      </c>
      <c r="E12" s="69">
        <f t="shared" si="80"/>
        <v>1809633.889886746</v>
      </c>
      <c r="F12" s="70">
        <f t="shared" si="81"/>
        <v>1831339.4646789893</v>
      </c>
      <c r="G12" s="70">
        <f t="shared" si="82"/>
        <v>1851630.158757437</v>
      </c>
      <c r="H12" s="70">
        <f t="shared" si="83"/>
        <v>1871950.8514331749</v>
      </c>
      <c r="I12" s="70">
        <f t="shared" si="84"/>
        <v>1892301.5427062032</v>
      </c>
      <c r="J12" s="70">
        <f t="shared" si="85"/>
        <v>1911389.9353075821</v>
      </c>
      <c r="K12" s="70">
        <f t="shared" si="86"/>
        <v>1940118.272466216</v>
      </c>
      <c r="L12" s="70">
        <f t="shared" si="91"/>
        <v>1988254.1630814513</v>
      </c>
      <c r="M12" s="70">
        <f t="shared" si="87"/>
        <v>2033980.7654858616</v>
      </c>
      <c r="N12" s="70">
        <f t="shared" si="88"/>
        <v>2080005.0861993211</v>
      </c>
      <c r="O12" s="70">
        <f t="shared" si="89"/>
        <v>2096055.6838653511</v>
      </c>
      <c r="P12" s="70">
        <f t="shared" si="90"/>
        <v>2112167.9553446556</v>
      </c>
      <c r="S12" s="66" t="s">
        <v>466</v>
      </c>
      <c r="T12" s="30">
        <v>0.076588806020721101</v>
      </c>
      <c r="U12" s="30">
        <v>0.076588806020721101</v>
      </c>
      <c r="V12" s="30">
        <v>0.071578242385423901</v>
      </c>
      <c r="W12" s="30">
        <v>0.070615858572486701</v>
      </c>
      <c r="X12" s="30">
        <v>0.075195811148264499</v>
      </c>
      <c r="Y12" s="30">
        <v>0.074741107991181097</v>
      </c>
      <c r="Z12" s="30">
        <v>0.030242781734008801</v>
      </c>
      <c r="AA12" s="30">
        <v>0.0301870719835249</v>
      </c>
      <c r="AB12" s="30">
        <v>0.040139110702203898</v>
      </c>
      <c r="AC12" s="30">
        <v>0.056575265281573597</v>
      </c>
      <c r="AD12" s="30">
        <v>0.038646261395263802</v>
      </c>
      <c r="AE12" s="30">
        <v>0.038352287233584803</v>
      </c>
      <c r="AF12" s="30">
        <v>0.120692727608887</v>
      </c>
      <c r="AG12" s="30">
        <v>0.120218060973246</v>
      </c>
      <c r="AH12" s="30">
        <v>0.042741058509447503</v>
      </c>
      <c r="AI12" s="30">
        <v>0.042636703612604201</v>
      </c>
    </row>
    <row r="13">
      <c r="A13" t="s">
        <v>510</v>
      </c>
      <c r="B13" t="s">
        <v>511</v>
      </c>
      <c r="C13" t="s">
        <v>506</v>
      </c>
      <c r="D13" t="s">
        <v>468</v>
      </c>
      <c r="E13" s="69">
        <f t="shared" si="80"/>
        <v>1513729.0753960742</v>
      </c>
      <c r="F13" s="70">
        <f t="shared" si="81"/>
        <v>1531885.4327923534</v>
      </c>
      <c r="G13" s="70">
        <f t="shared" si="82"/>
        <v>1548858.2656720667</v>
      </c>
      <c r="H13" s="70">
        <f t="shared" si="83"/>
        <v>1565856.1918865109</v>
      </c>
      <c r="I13" s="70">
        <f t="shared" si="84"/>
        <v>1582879.2114356861</v>
      </c>
      <c r="J13" s="70">
        <f t="shared" si="85"/>
        <v>1598846.3388445845</v>
      </c>
      <c r="K13" s="70">
        <f t="shared" si="86"/>
        <v>1622877.1218045165</v>
      </c>
      <c r="L13" s="70">
        <f t="shared" si="91"/>
        <v>1663142.0049952965</v>
      </c>
      <c r="M13" s="70">
        <f t="shared" si="87"/>
        <v>1701391.558104055</v>
      </c>
      <c r="N13" s="70">
        <f t="shared" si="88"/>
        <v>1739890.147696493</v>
      </c>
      <c r="O13" s="70">
        <f t="shared" si="89"/>
        <v>1753316.2094542529</v>
      </c>
      <c r="P13" s="70">
        <f t="shared" si="90"/>
        <v>1766793.8603455191</v>
      </c>
      <c r="S13" s="66" t="s">
        <v>467</v>
      </c>
      <c r="T13" s="30">
        <v>0.13953828149220099</v>
      </c>
      <c r="U13" s="30">
        <v>0.13953828149220099</v>
      </c>
      <c r="V13" s="30">
        <v>0.15152559953097999</v>
      </c>
      <c r="W13" s="30">
        <v>0.14948830748000999</v>
      </c>
      <c r="X13" s="30">
        <v>0.15298843442978899</v>
      </c>
      <c r="Y13" s="30">
        <v>0.152063325396849</v>
      </c>
      <c r="Z13" s="30">
        <v>0.041560386943365099</v>
      </c>
      <c r="AA13" s="30">
        <v>0.0414838292111104</v>
      </c>
      <c r="AB13" s="30">
        <v>0.066374728408034697</v>
      </c>
      <c r="AC13" s="30">
        <v>0.10127930409470701</v>
      </c>
      <c r="AD13" s="30">
        <v>0.073640223337252605</v>
      </c>
      <c r="AE13" s="30">
        <v>0.073080057304631504</v>
      </c>
      <c r="AF13" s="30">
        <v>0.15598956102148201</v>
      </c>
      <c r="AG13" s="30">
        <v>0.15537607716381999</v>
      </c>
      <c r="AH13" s="30">
        <v>0.062966816428843594</v>
      </c>
      <c r="AI13" s="30">
        <v>0.062813079112498699</v>
      </c>
    </row>
    <row r="14">
      <c r="A14" t="s">
        <v>510</v>
      </c>
      <c r="B14" t="s">
        <v>511</v>
      </c>
      <c r="C14" t="s">
        <v>506</v>
      </c>
      <c r="D14" t="s">
        <v>469</v>
      </c>
      <c r="E14" s="69">
        <f t="shared" si="80"/>
        <v>373906.45063266414</v>
      </c>
      <c r="F14" s="70">
        <f t="shared" si="81"/>
        <v>378391.25525246345</v>
      </c>
      <c r="G14" s="70">
        <f t="shared" si="82"/>
        <v>382583.71730025392</v>
      </c>
      <c r="H14" s="70">
        <f t="shared" si="83"/>
        <v>386782.37765649747</v>
      </c>
      <c r="I14" s="70">
        <f t="shared" si="84"/>
        <v>390987.23632119421</v>
      </c>
      <c r="J14" s="70">
        <f t="shared" si="85"/>
        <v>394931.27890668705</v>
      </c>
      <c r="K14" s="70">
        <f t="shared" si="86"/>
        <v>400867.12628421135</v>
      </c>
      <c r="L14" s="70">
        <f t="shared" si="91"/>
        <v>410812.96124484594</v>
      </c>
      <c r="M14" s="70">
        <f t="shared" si="87"/>
        <v>420260.98921341711</v>
      </c>
      <c r="N14" s="70">
        <f t="shared" si="88"/>
        <v>429770.53172194399</v>
      </c>
      <c r="O14" s="70">
        <f t="shared" si="89"/>
        <v>433086.90529196698</v>
      </c>
      <c r="P14" s="70">
        <f t="shared" si="90"/>
        <v>436416.02190175466</v>
      </c>
      <c r="S14" s="66" t="s">
        <v>468</v>
      </c>
      <c r="T14" s="30">
        <v>0.116721484387522</v>
      </c>
      <c r="U14" s="30">
        <v>0.116721484387522</v>
      </c>
      <c r="V14" s="30">
        <v>0.13738691840949899</v>
      </c>
      <c r="W14" s="30">
        <v>0.135539723759557</v>
      </c>
      <c r="X14" s="30">
        <v>0.080904765242974894</v>
      </c>
      <c r="Y14" s="30">
        <v>0.080415540489397294</v>
      </c>
      <c r="Z14" s="30">
        <v>0.059217968128169797</v>
      </c>
      <c r="AA14" s="30">
        <v>0.059108883644553203</v>
      </c>
      <c r="AB14" s="30">
        <v>0.10066386659468</v>
      </c>
      <c r="AC14" s="30">
        <v>0.118905245492422</v>
      </c>
      <c r="AD14" s="30">
        <v>0.060119633135370998</v>
      </c>
      <c r="AE14" s="30">
        <v>0.059662315451503502</v>
      </c>
      <c r="AF14" s="30">
        <v>0.14265493077733701</v>
      </c>
      <c r="AG14" s="30">
        <v>0.142093890046953</v>
      </c>
      <c r="AH14" s="30">
        <v>0.094140366306867299</v>
      </c>
      <c r="AI14" s="30">
        <v>0.093910516870345406</v>
      </c>
    </row>
    <row r="15">
      <c r="A15" t="s">
        <v>510</v>
      </c>
      <c r="B15" t="s">
        <v>511</v>
      </c>
      <c r="C15" t="s">
        <v>506</v>
      </c>
      <c r="D15" t="s">
        <v>470</v>
      </c>
      <c r="E15" s="69">
        <f t="shared" si="80"/>
        <v>1190224.7348726299</v>
      </c>
      <c r="F15" s="70">
        <f t="shared" si="81"/>
        <v>1204500.8335612835</v>
      </c>
      <c r="G15" s="70">
        <f t="shared" si="82"/>
        <v>1217846.3429015258</v>
      </c>
      <c r="H15" s="70">
        <f t="shared" si="83"/>
        <v>1231211.5827920772</v>
      </c>
      <c r="I15" s="70">
        <f t="shared" si="84"/>
        <v>1244596.5532329385</v>
      </c>
      <c r="J15" s="70">
        <f t="shared" si="85"/>
        <v>1257151.2899396778</v>
      </c>
      <c r="K15" s="70">
        <f t="shared" si="86"/>
        <v>1276046.3701374226</v>
      </c>
      <c r="L15" s="70">
        <f t="shared" si="91"/>
        <v>1307706.1041673603</v>
      </c>
      <c r="M15" s="70">
        <f t="shared" si="87"/>
        <v>1337781.2113631158</v>
      </c>
      <c r="N15" s="70">
        <f t="shared" si="88"/>
        <v>1368052.1325837048</v>
      </c>
      <c r="O15" s="70">
        <f t="shared" si="89"/>
        <v>1378608.8636763094</v>
      </c>
      <c r="P15" s="70">
        <f t="shared" si="90"/>
        <v>1389206.1586080766</v>
      </c>
      <c r="S15" s="66" t="s">
        <v>469</v>
      </c>
      <c r="T15" s="30">
        <v>0.028831391726088701</v>
      </c>
      <c r="U15" s="30">
        <v>0.028831391726088701</v>
      </c>
      <c r="V15" s="30">
        <v>0.035247093649205301</v>
      </c>
      <c r="W15" s="30">
        <v>0.034773189411679797</v>
      </c>
      <c r="X15" s="30">
        <v>0.019735773547125801</v>
      </c>
      <c r="Y15" s="30">
        <v>0.0196164328763846</v>
      </c>
      <c r="Z15" s="30">
        <v>0.014739130211986501</v>
      </c>
      <c r="AA15" s="30">
        <v>0.014711979493058599</v>
      </c>
      <c r="AB15" s="30">
        <v>0.0225826348962638</v>
      </c>
      <c r="AC15" s="30">
        <v>0.0273540885196705</v>
      </c>
      <c r="AD15" s="30">
        <v>0.016588551079078501</v>
      </c>
      <c r="AE15" s="30">
        <v>0.016462365382949599</v>
      </c>
      <c r="AF15" s="30">
        <v>0.056268210754257399</v>
      </c>
      <c r="AG15" s="30">
        <v>0.056046916208832703</v>
      </c>
      <c r="AH15" s="30">
        <v>0.0236694710339115</v>
      </c>
      <c r="AI15" s="30">
        <v>0.023611680579153999</v>
      </c>
    </row>
    <row r="16">
      <c r="A16" t="s">
        <v>510</v>
      </c>
      <c r="B16" t="s">
        <v>511</v>
      </c>
      <c r="C16" t="s">
        <v>506</v>
      </c>
      <c r="D16" t="s">
        <v>471</v>
      </c>
      <c r="E16" s="69">
        <f t="shared" si="80"/>
        <v>78668.873731403801</v>
      </c>
      <c r="F16" s="70">
        <f t="shared" si="81"/>
        <v>79612.464107413718</v>
      </c>
      <c r="G16" s="70">
        <f t="shared" si="82"/>
        <v>80494.546422129788</v>
      </c>
      <c r="H16" s="70">
        <f t="shared" si="83"/>
        <v>81377.932843646428</v>
      </c>
      <c r="I16" s="70">
        <f t="shared" si="84"/>
        <v>82262.623371963651</v>
      </c>
      <c r="J16" s="70">
        <f t="shared" si="85"/>
        <v>83092.438925090421</v>
      </c>
      <c r="K16" s="70">
        <f t="shared" si="86"/>
        <v>84341.32464781923</v>
      </c>
      <c r="L16" s="70">
        <f t="shared" si="91"/>
        <v>86433.900567137156</v>
      </c>
      <c r="M16" s="70">
        <f t="shared" si="87"/>
        <v>88421.739284582814</v>
      </c>
      <c r="N16" s="70">
        <f t="shared" si="88"/>
        <v>90422.520489563089</v>
      </c>
      <c r="O16" s="70">
        <f t="shared" si="89"/>
        <v>91120.276233506156</v>
      </c>
      <c r="P16" s="70">
        <f t="shared" si="90"/>
        <v>91820.713077452994</v>
      </c>
      <c r="S16" s="66" t="s">
        <v>470</v>
      </c>
      <c r="T16" s="30">
        <v>0.091776527297480801</v>
      </c>
      <c r="U16" s="30">
        <v>0.091776527297480801</v>
      </c>
      <c r="V16" s="30">
        <v>0.111861510944939</v>
      </c>
      <c r="W16" s="30">
        <v>0.110357510513573</v>
      </c>
      <c r="X16" s="30">
        <v>0.047016385299403697</v>
      </c>
      <c r="Y16" s="30">
        <v>0.046732080914573898</v>
      </c>
      <c r="Z16" s="30">
        <v>0.17216395961550801</v>
      </c>
      <c r="AA16" s="30">
        <v>0.17184681910519201</v>
      </c>
      <c r="AB16" s="30">
        <v>0.149109340806654</v>
      </c>
      <c r="AC16" s="30">
        <v>0.12977446126081399</v>
      </c>
      <c r="AD16" s="30">
        <v>0.087852235504431705</v>
      </c>
      <c r="AE16" s="30">
        <v>0.087183961618378394</v>
      </c>
      <c r="AF16" s="30">
        <v>0.187682655741434</v>
      </c>
      <c r="AG16" s="30">
        <v>0.18694452763269101</v>
      </c>
      <c r="AH16" s="30">
        <v>0.376221215702149</v>
      </c>
      <c r="AI16" s="30">
        <v>0.375302648695995</v>
      </c>
    </row>
    <row r="17">
      <c r="A17" t="s">
        <v>510</v>
      </c>
      <c r="B17" t="s">
        <v>511</v>
      </c>
      <c r="C17" t="s">
        <v>506</v>
      </c>
      <c r="D17" t="s">
        <v>472</v>
      </c>
      <c r="E17" s="69">
        <f t="shared" si="80"/>
        <v>92666.067411622324</v>
      </c>
      <c r="F17" s="70">
        <f t="shared" si="81"/>
        <v>93777.54651695225</v>
      </c>
      <c r="G17" s="70">
        <f t="shared" si="82"/>
        <v>94816.573712347948</v>
      </c>
      <c r="H17" s="70">
        <f t="shared" si="83"/>
        <v>95857.137048315664</v>
      </c>
      <c r="I17" s="70">
        <f t="shared" si="84"/>
        <v>96899.236524855412</v>
      </c>
      <c r="J17" s="70">
        <f t="shared" si="85"/>
        <v>97876.697372303155</v>
      </c>
      <c r="K17" s="70">
        <f t="shared" si="86"/>
        <v>99347.791632110806</v>
      </c>
      <c r="L17" s="70">
        <f t="shared" si="91"/>
        <v>101812.6900348198</v>
      </c>
      <c r="M17" s="70">
        <f t="shared" si="87"/>
        <v>104154.21582331878</v>
      </c>
      <c r="N17" s="70">
        <f t="shared" si="88"/>
        <v>106510.98689709352</v>
      </c>
      <c r="O17" s="70">
        <f t="shared" si="89"/>
        <v>107332.89113619365</v>
      </c>
      <c r="P17" s="70">
        <f t="shared" si="90"/>
        <v>108157.95351118545</v>
      </c>
      <c r="S17" s="66" t="s">
        <v>471</v>
      </c>
      <c r="T17" s="30">
        <v>0.0060660443577866697</v>
      </c>
      <c r="U17" s="30">
        <v>0.0060660443577866697</v>
      </c>
      <c r="V17" s="30">
        <v>0.0099626097225678292</v>
      </c>
      <c r="W17" s="30">
        <v>0.011276583536481401</v>
      </c>
      <c r="X17" s="30">
        <v>0.00079468549553641805</v>
      </c>
      <c r="Y17" s="30">
        <v>0.00090624240495952796</v>
      </c>
      <c r="Z17" s="30">
        <v>0.0028713068816615698</v>
      </c>
      <c r="AA17" s="30">
        <v>0.0032882291671827799</v>
      </c>
      <c r="AB17" s="30">
        <v>0.00447884536231773</v>
      </c>
      <c r="AC17" s="30">
        <v>0.0059438585628224403</v>
      </c>
      <c r="AD17" s="30">
        <v>0.0073609681731225301</v>
      </c>
      <c r="AE17" s="30">
        <v>0.0083811175597917498</v>
      </c>
      <c r="AF17" s="30">
        <v>0.0031563385018001898</v>
      </c>
      <c r="AG17" s="30">
        <v>0.0039237455739457999</v>
      </c>
      <c r="AH17" s="30">
        <v>0.0031215323832785901</v>
      </c>
      <c r="AI17" s="30">
        <v>0.0038862867420285099</v>
      </c>
    </row>
    <row r="18">
      <c r="A18" t="s">
        <v>510</v>
      </c>
      <c r="B18" t="s">
        <v>511</v>
      </c>
      <c r="C18" t="s">
        <v>506</v>
      </c>
      <c r="D18" t="s">
        <v>473</v>
      </c>
      <c r="E18" s="69">
        <f t="shared" si="80"/>
        <v>29270.211516827898</v>
      </c>
      <c r="F18" s="70">
        <f t="shared" si="81"/>
        <v>29621.291792685821</v>
      </c>
      <c r="G18" s="70">
        <f t="shared" si="82"/>
        <v>29949.48685513383</v>
      </c>
      <c r="H18" s="70">
        <f t="shared" si="83"/>
        <v>30278.167134670661</v>
      </c>
      <c r="I18" s="70">
        <f t="shared" si="84"/>
        <v>30607.332631296325</v>
      </c>
      <c r="J18" s="70">
        <f t="shared" si="85"/>
        <v>30916.080877049826</v>
      </c>
      <c r="K18" s="70">
        <f t="shared" si="86"/>
        <v>31380.751941102779</v>
      </c>
      <c r="L18" s="70">
        <f t="shared" si="91"/>
        <v>32159.333568984985</v>
      </c>
      <c r="M18" s="70">
        <f t="shared" si="87"/>
        <v>32898.945781047805</v>
      </c>
      <c r="N18" s="70">
        <f t="shared" si="88"/>
        <v>33643.373485308795</v>
      </c>
      <c r="O18" s="70">
        <f t="shared" si="89"/>
        <v>33902.986433144128</v>
      </c>
      <c r="P18" s="70">
        <f t="shared" si="90"/>
        <v>34163.596933893154</v>
      </c>
      <c r="S18" s="66" t="s">
        <v>472</v>
      </c>
      <c r="T18" s="30">
        <v>0.0071453479466321596</v>
      </c>
      <c r="U18" s="30">
        <v>0.0071453479466321596</v>
      </c>
      <c r="V18" s="30">
        <v>0.012604163822385399</v>
      </c>
      <c r="W18" s="30">
        <v>0.014266533589954901</v>
      </c>
      <c r="X18" s="30">
        <v>0.0035367777015818799</v>
      </c>
      <c r="Y18" s="30">
        <v>0.0040332659248112704</v>
      </c>
      <c r="Z18" s="30">
        <v>0.00141361062291295</v>
      </c>
      <c r="AA18" s="30">
        <v>0.0016188710830560499</v>
      </c>
      <c r="AB18" s="30">
        <v>0.00242202698196484</v>
      </c>
      <c r="AC18" s="30">
        <v>0.0050568080851424602</v>
      </c>
      <c r="AD18" s="30">
        <v>0.0068332169563831398</v>
      </c>
      <c r="AE18" s="30">
        <v>0.0077802258175931598</v>
      </c>
      <c r="AF18" s="30">
        <v>0.0066464102790245302</v>
      </c>
      <c r="AG18" s="30">
        <v>0.0082623656810182303</v>
      </c>
      <c r="AH18" s="30">
        <v>0.0032884936211025899</v>
      </c>
      <c r="AI18" s="30">
        <v>0.0040941523558737803</v>
      </c>
    </row>
    <row r="19">
      <c r="A19" t="s">
        <v>510</v>
      </c>
      <c r="B19" t="s">
        <v>511</v>
      </c>
      <c r="C19" t="s">
        <v>506</v>
      </c>
      <c r="D19" t="s">
        <v>474</v>
      </c>
      <c r="E19" s="69">
        <f t="shared" si="80"/>
        <v>28524.615223758432</v>
      </c>
      <c r="F19" s="70">
        <f t="shared" si="81"/>
        <v>28866.752477387119</v>
      </c>
      <c r="G19" s="70">
        <f t="shared" si="82"/>
        <v>29186.58746967218</v>
      </c>
      <c r="H19" s="70">
        <f t="shared" si="83"/>
        <v>29506.895319174244</v>
      </c>
      <c r="I19" s="70">
        <f t="shared" si="84"/>
        <v>29827.676025893299</v>
      </c>
      <c r="J19" s="70">
        <f t="shared" si="85"/>
        <v>30128.559567717577</v>
      </c>
      <c r="K19" s="70">
        <f t="shared" si="86"/>
        <v>30581.394126159517</v>
      </c>
      <c r="L19" s="70">
        <f t="shared" si="91"/>
        <v>31340.143045444205</v>
      </c>
      <c r="M19" s="70">
        <f t="shared" si="87"/>
        <v>32060.915211772957</v>
      </c>
      <c r="N19" s="70">
        <f t="shared" si="88"/>
        <v>32786.380205893089</v>
      </c>
      <c r="O19" s="70">
        <f t="shared" si="89"/>
        <v>33039.380066855862</v>
      </c>
      <c r="P19" s="70">
        <f t="shared" si="90"/>
        <v>33293.352070196641</v>
      </c>
      <c r="S19" s="66" t="s">
        <v>473</v>
      </c>
      <c r="T19" s="30">
        <v>0.00225698415397548</v>
      </c>
      <c r="U19" s="30">
        <v>0.00225698415397548</v>
      </c>
      <c r="V19" s="30">
        <v>0.0066681699644304303</v>
      </c>
      <c r="W19" s="30">
        <v>0.0075476383932838297</v>
      </c>
      <c r="X19" s="30">
        <v>0.00453169134750314</v>
      </c>
      <c r="Y19" s="30">
        <v>0.0051678442457583898</v>
      </c>
      <c r="Z19" s="30">
        <v>0.00065184529591322</v>
      </c>
      <c r="AA19" s="30">
        <v>0.00074649516852492699</v>
      </c>
      <c r="AB19" s="30">
        <v>0.00264007323148183</v>
      </c>
      <c r="AC19" s="30">
        <v>0.0036966704205782701</v>
      </c>
      <c r="AD19" s="30">
        <v>0.0025310247590065401</v>
      </c>
      <c r="AE19" s="30">
        <v>0.0028817970072785798</v>
      </c>
      <c r="AF19" s="30">
        <v>0.00041492256881403599</v>
      </c>
      <c r="AG19" s="30">
        <v>0.00051580354641485803</v>
      </c>
      <c r="AH19" s="30">
        <v>7.3989127689115696e-05</v>
      </c>
      <c r="AI19" s="30">
        <v>9.2115964432332506e-05</v>
      </c>
    </row>
    <row r="20">
      <c r="A20" t="s">
        <v>510</v>
      </c>
      <c r="B20" t="s">
        <v>511</v>
      </c>
      <c r="C20" t="s">
        <v>506</v>
      </c>
      <c r="D20" t="s">
        <v>475</v>
      </c>
      <c r="E20" s="69">
        <f t="shared" si="80"/>
        <v>151631.60901609587</v>
      </c>
      <c r="F20" s="70">
        <f t="shared" si="81"/>
        <v>153450.34773930415</v>
      </c>
      <c r="G20" s="70">
        <f t="shared" si="82"/>
        <v>155150.53174246787</v>
      </c>
      <c r="H20" s="70">
        <f t="shared" si="83"/>
        <v>156853.22936764141</v>
      </c>
      <c r="I20" s="70">
        <f t="shared" si="84"/>
        <v>158558.44061482479</v>
      </c>
      <c r="J20" s="70">
        <f t="shared" si="85"/>
        <v>160157.8821924022</v>
      </c>
      <c r="K20" s="70">
        <f t="shared" si="86"/>
        <v>162565.06743139724</v>
      </c>
      <c r="L20" s="70">
        <f t="shared" si="91"/>
        <v>166598.4371567331</v>
      </c>
      <c r="M20" s="70">
        <f t="shared" si="87"/>
        <v>170429.92944706258</v>
      </c>
      <c r="N20" s="70">
        <f t="shared" si="88"/>
        <v>174286.36794694691</v>
      </c>
      <c r="O20" s="70">
        <f t="shared" si="89"/>
        <v>175631.26868259927</v>
      </c>
      <c r="P20" s="70">
        <f t="shared" si="90"/>
        <v>176981.33714836169</v>
      </c>
      <c r="S20" s="66" t="s">
        <v>474</v>
      </c>
      <c r="T20" s="30">
        <v>0.0021994922900115598</v>
      </c>
      <c r="U20" s="30">
        <v>0.0021994922900115598</v>
      </c>
      <c r="V20" s="30">
        <v>0.0043912263398986698</v>
      </c>
      <c r="W20" s="30">
        <v>0.0057882630780288803</v>
      </c>
      <c r="X20" s="30">
        <v>0.0022508215441106</v>
      </c>
      <c r="Y20" s="30">
        <v>0.00298915318412893</v>
      </c>
      <c r="Z20" s="30">
        <v>0.00052676790732747599</v>
      </c>
      <c r="AA20" s="30">
        <v>0.00070252177283001895</v>
      </c>
      <c r="AB20" s="30">
        <v>0.0017088213063178601</v>
      </c>
      <c r="AC20" s="30">
        <v>0.0029049465302154001</v>
      </c>
      <c r="AD20" s="30">
        <v>0.0024501734704029899</v>
      </c>
      <c r="AE20" s="30">
        <v>0.0032487915024180798</v>
      </c>
      <c r="AF20" s="30">
        <v>0.00049377484559187895</v>
      </c>
      <c r="AG20" s="30">
        <v>0.00071483242267640298</v>
      </c>
      <c r="AH20" s="30">
        <v>0.000293068928118425</v>
      </c>
      <c r="AI20" s="30">
        <v>0.00042490788181229699</v>
      </c>
    </row>
    <row r="21">
      <c r="A21" t="s">
        <v>510</v>
      </c>
      <c r="B21" t="s">
        <v>511</v>
      </c>
      <c r="C21" t="s">
        <v>508</v>
      </c>
      <c r="D21" t="s">
        <v>463</v>
      </c>
      <c r="E21" s="69">
        <f t="shared" ref="E21:E33" si="92">E$7*T$28*X9</f>
        <v>950985.31752621301</v>
      </c>
      <c r="F21" s="70">
        <f t="shared" ref="F21:F33" si="93">F$7*($V9+($W9-$V9)*15/35)*($T$28+($U$28-$T$28)*2/35)</f>
        <v>515428.12172315316</v>
      </c>
      <c r="G21" s="70">
        <f t="shared" ref="G21:G33" si="94">G$7*($V9+($W9-$V9)*15/35)*($T$28+($U$28-$T$28)*3/35)</f>
        <v>518869.97897388518</v>
      </c>
      <c r="H21" s="70">
        <f t="shared" ref="H21:H33" si="95">H$7*($V9+($W9-$V9)*15/35)*($T$28+($U$28-$T$28)*4/35)</f>
        <v>522274.12985250686</v>
      </c>
      <c r="I21" s="70">
        <f t="shared" ref="I21:I33" si="96">I$7*($V9+($W9-$V9)*15/35)*($T$28+($U$28-$T$28)*5/35)</f>
        <v>525640.57435901836</v>
      </c>
      <c r="J21" s="70">
        <f t="shared" ref="J21:J33" si="97">J$7*($V9+($W9-$V9)*15/35)*($T$28+($U$28-$T$28)*7/35)</f>
        <v>526284.61565324187</v>
      </c>
      <c r="K21" s="70">
        <f t="shared" ref="K21:K33" si="98">K$7*($V9+($W9-$V9)*15/35)*($T$28+($U$28-$T$28)*10/35)</f>
        <v>527130.32798769104</v>
      </c>
      <c r="L21" s="70">
        <f t="shared" ref="L21:L33" si="99">L$7*($V9+($W9-$V9)*15/35)*($T$28+($U$28-$T$28)*15/35)</f>
        <v>528218.91626007669</v>
      </c>
      <c r="M21" s="70">
        <f t="shared" ref="M21:M33" si="100">M$7*($V9+($W9-$V9)*15/35)*($T$28+($U$28-$T$28)*20/35)</f>
        <v>528197.79718262947</v>
      </c>
      <c r="N21" s="70">
        <f t="shared" ref="N21:N33" si="101">N$7*($V9+($W9-$V9)*15/35)*($T$28+($U$28-$T$28)*25/35)</f>
        <v>527802.46469658811</v>
      </c>
      <c r="O21" s="70">
        <f t="shared" ref="O21:O33" si="102">O$7*($V9+($W9-$V9)*15/35)*($T$28+($U$28-$T$28)*30/35)</f>
        <v>519529.81831228459</v>
      </c>
      <c r="P21" s="70">
        <f t="shared" ref="P21:P33" si="103">P$7*U$28*W9</f>
        <v>507229.51139035745</v>
      </c>
      <c r="S21" s="66" t="s">
        <v>475</v>
      </c>
      <c r="T21" s="30">
        <v>0.011692096539663899</v>
      </c>
      <c r="U21" s="30">
        <v>0.011692096539663899</v>
      </c>
      <c r="V21" s="30">
        <v>0.023342951701522299</v>
      </c>
      <c r="W21" s="30">
        <v>0.030769342094365999</v>
      </c>
      <c r="X21" s="30">
        <v>0.0119649534152986</v>
      </c>
      <c r="Y21" s="30">
        <v>0.015889788638675201</v>
      </c>
      <c r="Z21" s="30">
        <v>0.0028002013257510598</v>
      </c>
      <c r="AA21" s="30">
        <v>0.0037344765546331099</v>
      </c>
      <c r="AB21" s="30">
        <v>0.0090837798219325101</v>
      </c>
      <c r="AC21" s="30">
        <v>0.0154421615515924</v>
      </c>
      <c r="AD21" s="30">
        <v>0.013024671595791199</v>
      </c>
      <c r="AE21" s="30">
        <v>0.017269978192700298</v>
      </c>
      <c r="AF21" s="30">
        <v>0.0026248162767997601</v>
      </c>
      <c r="AG21" s="30">
        <v>0.0037999177053584699</v>
      </c>
      <c r="AH21" s="30">
        <v>0.00155790052817983</v>
      </c>
      <c r="AI21" s="30">
        <v>0.0022587321615877998</v>
      </c>
    </row>
    <row r="22">
      <c r="A22" t="s">
        <v>510</v>
      </c>
      <c r="B22" t="s">
        <v>511</v>
      </c>
      <c r="C22" t="s">
        <v>508</v>
      </c>
      <c r="D22" t="s">
        <v>464</v>
      </c>
      <c r="E22" s="69">
        <f t="shared" si="92"/>
        <v>223463.16267966857</v>
      </c>
      <c r="F22" s="70">
        <f t="shared" si="93"/>
        <v>210331.97558558814</v>
      </c>
      <c r="G22" s="70">
        <f t="shared" si="94"/>
        <v>211736.50243369615</v>
      </c>
      <c r="H22" s="70">
        <f t="shared" si="95"/>
        <v>213125.64235314447</v>
      </c>
      <c r="I22" s="70">
        <f t="shared" si="96"/>
        <v>214499.39534393323</v>
      </c>
      <c r="J22" s="70">
        <f t="shared" si="97"/>
        <v>214762.21080173145</v>
      </c>
      <c r="K22" s="70">
        <f t="shared" si="98"/>
        <v>215107.3226390272</v>
      </c>
      <c r="L22" s="70">
        <f t="shared" si="99"/>
        <v>215551.5454361162</v>
      </c>
      <c r="M22" s="70">
        <f t="shared" si="100"/>
        <v>215542.92732411416</v>
      </c>
      <c r="N22" s="70">
        <f t="shared" si="101"/>
        <v>215381.60305929865</v>
      </c>
      <c r="O22" s="70">
        <f t="shared" si="102"/>
        <v>212005.76463683444</v>
      </c>
      <c r="P22" s="70">
        <f t="shared" si="103"/>
        <v>206986.34923018451</v>
      </c>
    </row>
    <row r="23">
      <c r="A23" t="s">
        <v>510</v>
      </c>
      <c r="B23" t="s">
        <v>511</v>
      </c>
      <c r="C23" t="s">
        <v>508</v>
      </c>
      <c r="D23" t="s">
        <v>465</v>
      </c>
      <c r="E23" s="69">
        <f t="shared" si="92"/>
        <v>194260.54910114725</v>
      </c>
      <c r="F23" s="70">
        <f t="shared" si="93"/>
        <v>263232.19191803364</v>
      </c>
      <c r="G23" s="70">
        <f t="shared" si="94"/>
        <v>264989.96878389467</v>
      </c>
      <c r="H23" s="70">
        <f t="shared" si="95"/>
        <v>266728.48878238356</v>
      </c>
      <c r="I23" s="70">
        <f t="shared" si="96"/>
        <v>268447.75191350043</v>
      </c>
      <c r="J23" s="70">
        <f t="shared" si="97"/>
        <v>268776.66761370993</v>
      </c>
      <c r="K23" s="70">
        <f t="shared" si="98"/>
        <v>269208.57790759316</v>
      </c>
      <c r="L23" s="70">
        <f t="shared" si="99"/>
        <v>269764.52638025</v>
      </c>
      <c r="M23" s="70">
        <f t="shared" si="100"/>
        <v>269753.74074242113</v>
      </c>
      <c r="N23" s="70">
        <f t="shared" si="101"/>
        <v>269551.84210233693</v>
      </c>
      <c r="O23" s="70">
        <f t="shared" si="102"/>
        <v>265326.95263875293</v>
      </c>
      <c r="P23" s="70">
        <f t="shared" si="103"/>
        <v>259045.11310407944</v>
      </c>
      <c r="T23" s="22">
        <f t="shared" ref="T23:AI23" si="104">SUM(T9:T21)</f>
        <v>0.99999999999999933</v>
      </c>
      <c r="U23" s="22">
        <f t="shared" si="104"/>
        <v>0.99999999999999933</v>
      </c>
      <c r="V23" s="22">
        <f t="shared" si="104"/>
        <v>1.0000000000000007</v>
      </c>
      <c r="W23" s="22">
        <f t="shared" si="104"/>
        <v>1.0000000000000013</v>
      </c>
      <c r="X23" s="22">
        <f t="shared" si="104"/>
        <v>0.99999999999999956</v>
      </c>
      <c r="Y23" s="22">
        <f t="shared" si="104"/>
        <v>0.99999999999999911</v>
      </c>
      <c r="Z23" s="22">
        <f t="shared" si="104"/>
        <v>1.0000000000000009</v>
      </c>
      <c r="AA23" s="22">
        <f t="shared" si="104"/>
        <v>1.0000000000000009</v>
      </c>
      <c r="AB23" s="22">
        <f t="shared" si="104"/>
        <v>1</v>
      </c>
      <c r="AC23" s="22">
        <f t="shared" si="104"/>
        <v>1.0000000000000002</v>
      </c>
      <c r="AD23" s="22">
        <f t="shared" si="104"/>
        <v>1</v>
      </c>
      <c r="AE23" s="22">
        <f t="shared" si="104"/>
        <v>1.0000000000000007</v>
      </c>
      <c r="AF23" s="22">
        <f t="shared" si="104"/>
        <v>0.99999999999999967</v>
      </c>
      <c r="AG23" s="22">
        <f t="shared" si="104"/>
        <v>1.0000000000000011</v>
      </c>
      <c r="AH23" s="22">
        <f t="shared" si="104"/>
        <v>1.0000000000000002</v>
      </c>
      <c r="AI23" s="22">
        <f t="shared" si="104"/>
        <v>1.0000000000000011</v>
      </c>
    </row>
    <row r="24">
      <c r="A24" t="s">
        <v>510</v>
      </c>
      <c r="B24" t="s">
        <v>511</v>
      </c>
      <c r="C24" t="s">
        <v>508</v>
      </c>
      <c r="D24" t="s">
        <v>466</v>
      </c>
      <c r="E24" s="69">
        <f t="shared" si="92"/>
        <v>171227.12894383803</v>
      </c>
      <c r="F24" s="70">
        <f t="shared" si="93"/>
        <v>162575.11823578761</v>
      </c>
      <c r="G24" s="70">
        <f t="shared" si="94"/>
        <v>163660.74070360675</v>
      </c>
      <c r="H24" s="70">
        <f t="shared" si="95"/>
        <v>164734.46991677844</v>
      </c>
      <c r="I24" s="70">
        <f t="shared" si="96"/>
        <v>165796.30587530285</v>
      </c>
      <c r="J24" s="70">
        <f t="shared" si="97"/>
        <v>165999.44785600633</v>
      </c>
      <c r="K24" s="70">
        <f t="shared" si="98"/>
        <v>166266.20043890164</v>
      </c>
      <c r="L24" s="70">
        <f t="shared" si="99"/>
        <v>166609.56037530082</v>
      </c>
      <c r="M24" s="70">
        <f t="shared" si="100"/>
        <v>166602.89904587713</v>
      </c>
      <c r="N24" s="70">
        <f t="shared" si="101"/>
        <v>166478.20420880508</v>
      </c>
      <c r="O24" s="70">
        <f t="shared" si="102"/>
        <v>163868.86566601327</v>
      </c>
      <c r="P24" s="70">
        <f t="shared" si="103"/>
        <v>159989.13196913368</v>
      </c>
    </row>
    <row r="25">
      <c r="A25" t="s">
        <v>510</v>
      </c>
      <c r="B25" t="s">
        <v>511</v>
      </c>
      <c r="C25" t="s">
        <v>508</v>
      </c>
      <c r="D25" t="s">
        <v>467</v>
      </c>
      <c r="E25" s="69">
        <f t="shared" si="92"/>
        <v>348367.4155382787</v>
      </c>
      <c r="F25" s="70">
        <f t="shared" si="93"/>
        <v>344158.94325611676</v>
      </c>
      <c r="G25" s="70">
        <f t="shared" si="94"/>
        <v>346457.12200175878</v>
      </c>
      <c r="H25" s="70">
        <f t="shared" si="95"/>
        <v>348730.12364775757</v>
      </c>
      <c r="I25" s="70">
        <f t="shared" si="96"/>
        <v>350977.94819411333</v>
      </c>
      <c r="J25" s="70">
        <f t="shared" si="97"/>
        <v>351407.98404565413</v>
      </c>
      <c r="K25" s="70">
        <f t="shared" si="98"/>
        <v>351972.6786190694</v>
      </c>
      <c r="L25" s="70">
        <f t="shared" si="99"/>
        <v>352699.54503103922</v>
      </c>
      <c r="M25" s="70">
        <f t="shared" si="100"/>
        <v>352685.44351218437</v>
      </c>
      <c r="N25" s="70">
        <f t="shared" si="101"/>
        <v>352421.47419251298</v>
      </c>
      <c r="O25" s="70">
        <f t="shared" si="102"/>
        <v>346897.70643992088</v>
      </c>
      <c r="P25" s="70">
        <f t="shared" si="103"/>
        <v>338684.6104648239</v>
      </c>
      <c r="T25" t="s">
        <v>73</v>
      </c>
      <c r="V25" t="s">
        <v>77</v>
      </c>
    </row>
    <row r="26">
      <c r="A26" t="s">
        <v>510</v>
      </c>
      <c r="B26" t="s">
        <v>511</v>
      </c>
      <c r="C26" t="s">
        <v>508</v>
      </c>
      <c r="D26" t="s">
        <v>468</v>
      </c>
      <c r="E26" s="69">
        <f t="shared" si="92"/>
        <v>184226.89321238254</v>
      </c>
      <c r="F26" s="70">
        <f t="shared" si="93"/>
        <v>312045.86421953322</v>
      </c>
      <c r="G26" s="70">
        <f t="shared" si="94"/>
        <v>314129.60252378864</v>
      </c>
      <c r="H26" s="70">
        <f t="shared" si="95"/>
        <v>316190.51297489461</v>
      </c>
      <c r="I26" s="70">
        <f t="shared" si="96"/>
        <v>318228.59557285131</v>
      </c>
      <c r="J26" s="70">
        <f t="shared" si="97"/>
        <v>318618.50526884769</v>
      </c>
      <c r="K26" s="70">
        <f t="shared" si="98"/>
        <v>319130.50883474166</v>
      </c>
      <c r="L26" s="70">
        <f t="shared" si="99"/>
        <v>319789.55216963036</v>
      </c>
      <c r="M26" s="70">
        <f t="shared" si="100"/>
        <v>319776.76644743985</v>
      </c>
      <c r="N26" s="70">
        <f t="shared" si="101"/>
        <v>319537.42780435539</v>
      </c>
      <c r="O26" s="70">
        <f t="shared" si="102"/>
        <v>314529.07652980235</v>
      </c>
      <c r="P26" s="70">
        <f t="shared" si="103"/>
        <v>307082.33518634213</v>
      </c>
      <c r="T26">
        <v>2015</v>
      </c>
      <c r="U26">
        <v>2050</v>
      </c>
      <c r="V26">
        <v>2015</v>
      </c>
      <c r="W26">
        <v>2050</v>
      </c>
    </row>
    <row r="27">
      <c r="A27" t="s">
        <v>510</v>
      </c>
      <c r="B27" t="s">
        <v>511</v>
      </c>
      <c r="C27" t="s">
        <v>508</v>
      </c>
      <c r="D27" t="s">
        <v>469</v>
      </c>
      <c r="E27" s="69">
        <f t="shared" si="92"/>
        <v>44940.00118300593</v>
      </c>
      <c r="F27" s="70">
        <f t="shared" si="93"/>
        <v>80056.456075461552</v>
      </c>
      <c r="G27" s="70">
        <f t="shared" si="94"/>
        <v>80591.04641347038</v>
      </c>
      <c r="H27" s="70">
        <f t="shared" si="95"/>
        <v>81119.78018604283</v>
      </c>
      <c r="I27" s="70">
        <f t="shared" si="96"/>
        <v>81642.657393178946</v>
      </c>
      <c r="J27" s="70">
        <f t="shared" si="97"/>
        <v>81742.690087183742</v>
      </c>
      <c r="K27" s="70">
        <f t="shared" si="98"/>
        <v>81874.046389841329</v>
      </c>
      <c r="L27" s="70">
        <f t="shared" si="99"/>
        <v>82043.126258671837</v>
      </c>
      <c r="M27" s="70">
        <f t="shared" si="100"/>
        <v>82039.846036998337</v>
      </c>
      <c r="N27" s="70">
        <f t="shared" si="101"/>
        <v>81978.442872386047</v>
      </c>
      <c r="O27" s="70">
        <f t="shared" si="102"/>
        <v>80693.532864607012</v>
      </c>
      <c r="P27" s="70">
        <f t="shared" si="103"/>
        <v>78783.04537021523</v>
      </c>
      <c r="S27" t="s">
        <v>506</v>
      </c>
      <c r="T27" s="136">
        <v>0.8174260197705</v>
      </c>
      <c r="U27">
        <v>0.84026924141983605</v>
      </c>
      <c r="V27">
        <v>0.26144575976300299</v>
      </c>
      <c r="W27">
        <v>0.26564550606062998</v>
      </c>
    </row>
    <row r="28">
      <c r="A28" t="s">
        <v>510</v>
      </c>
      <c r="B28" t="s">
        <v>511</v>
      </c>
      <c r="C28" t="s">
        <v>508</v>
      </c>
      <c r="D28" t="s">
        <v>470</v>
      </c>
      <c r="E28" s="69">
        <f t="shared" si="92"/>
        <v>107060.22776004022</v>
      </c>
      <c r="F28" s="70">
        <f t="shared" si="93"/>
        <v>254070.20013124368</v>
      </c>
      <c r="G28" s="70">
        <f t="shared" si="94"/>
        <v>255766.79626882574</v>
      </c>
      <c r="H28" s="70">
        <f t="shared" si="95"/>
        <v>257444.8057885952</v>
      </c>
      <c r="I28" s="70">
        <f t="shared" si="96"/>
        <v>259104.22869055218</v>
      </c>
      <c r="J28" s="70">
        <f t="shared" si="97"/>
        <v>259421.69623572443</v>
      </c>
      <c r="K28" s="70">
        <f t="shared" si="98"/>
        <v>259838.57357130441</v>
      </c>
      <c r="L28" s="70">
        <f t="shared" si="99"/>
        <v>260375.17184479581</v>
      </c>
      <c r="M28" s="70">
        <f t="shared" si="100"/>
        <v>260364.7616090957</v>
      </c>
      <c r="N28" s="70">
        <f t="shared" si="101"/>
        <v>260169.89020101051</v>
      </c>
      <c r="O28" s="70">
        <f t="shared" si="102"/>
        <v>256092.05115053672</v>
      </c>
      <c r="P28" s="70">
        <f t="shared" si="103"/>
        <v>250028.85570267934</v>
      </c>
      <c r="S28" t="s">
        <v>512</v>
      </c>
      <c r="T28" s="136">
        <v>0.143525818790324</v>
      </c>
      <c r="U28">
        <v>0.12576842582807299</v>
      </c>
      <c r="V28">
        <v>0.44641357385242803</v>
      </c>
      <c r="W28">
        <v>0.43579673699425597</v>
      </c>
    </row>
    <row r="29">
      <c r="A29" t="s">
        <v>510</v>
      </c>
      <c r="B29" t="s">
        <v>511</v>
      </c>
      <c r="C29" t="s">
        <v>508</v>
      </c>
      <c r="D29" t="s">
        <v>471</v>
      </c>
      <c r="E29" s="69">
        <f t="shared" si="92"/>
        <v>1809.5651039087511</v>
      </c>
      <c r="F29" s="70">
        <f t="shared" si="93"/>
        <v>24045.592597703493</v>
      </c>
      <c r="G29" s="70">
        <f t="shared" si="94"/>
        <v>24206.16105282362</v>
      </c>
      <c r="H29" s="70">
        <f t="shared" si="95"/>
        <v>24364.970441986934</v>
      </c>
      <c r="I29" s="70">
        <f t="shared" si="96"/>
        <v>24522.020765193458</v>
      </c>
      <c r="J29" s="70">
        <f t="shared" si="97"/>
        <v>24552.066379556185</v>
      </c>
      <c r="K29" s="70">
        <f t="shared" si="98"/>
        <v>24591.520288630898</v>
      </c>
      <c r="L29" s="70">
        <f t="shared" si="99"/>
        <v>24642.304770503782</v>
      </c>
      <c r="M29" s="70">
        <f t="shared" si="100"/>
        <v>24641.31952986414</v>
      </c>
      <c r="N29" s="70">
        <f t="shared" si="101"/>
        <v>24622.876601550088</v>
      </c>
      <c r="O29" s="70">
        <f t="shared" si="102"/>
        <v>24236.943672634981</v>
      </c>
      <c r="P29" s="70">
        <f t="shared" si="103"/>
        <v>25548.521933315518</v>
      </c>
      <c r="S29" t="s">
        <v>509</v>
      </c>
      <c r="T29">
        <v>0.0390481614391762</v>
      </c>
      <c r="U29">
        <v>0.033962332752091103</v>
      </c>
      <c r="V29">
        <f>V30-V27-V28</f>
        <v>0.29214066638456898</v>
      </c>
      <c r="W29">
        <v>0.29855775694511399</v>
      </c>
    </row>
    <row r="30">
      <c r="A30" t="s">
        <v>510</v>
      </c>
      <c r="B30" t="s">
        <v>511</v>
      </c>
      <c r="C30" t="s">
        <v>508</v>
      </c>
      <c r="D30" t="s">
        <v>472</v>
      </c>
      <c r="E30" s="69">
        <f t="shared" si="92"/>
        <v>8053.5375881563132</v>
      </c>
      <c r="F30" s="70">
        <f t="shared" si="93"/>
        <v>30421.204558605918</v>
      </c>
      <c r="G30" s="70">
        <f t="shared" si="94"/>
        <v>30624.347225979196</v>
      </c>
      <c r="H30" s="70">
        <f t="shared" si="95"/>
        <v>30825.264416684069</v>
      </c>
      <c r="I30" s="70">
        <f t="shared" si="96"/>
        <v>31023.956130720555</v>
      </c>
      <c r="J30" s="70">
        <f t="shared" si="97"/>
        <v>31061.968243622479</v>
      </c>
      <c r="K30" s="70">
        <f t="shared" si="98"/>
        <v>31111.883230484276</v>
      </c>
      <c r="L30" s="70">
        <f t="shared" si="99"/>
        <v>31176.133055277754</v>
      </c>
      <c r="M30" s="70">
        <f t="shared" si="100"/>
        <v>31174.886581234077</v>
      </c>
      <c r="N30" s="70">
        <f t="shared" si="101"/>
        <v>31151.553569472278</v>
      </c>
      <c r="O30" s="70">
        <f t="shared" si="102"/>
        <v>30663.291758966941</v>
      </c>
      <c r="P30" s="70">
        <f t="shared" si="103"/>
        <v>32322.630800026491</v>
      </c>
      <c r="T30" s="22">
        <f>SUM(T27:T29)</f>
        <v>1.0000000000000002</v>
      </c>
      <c r="U30" s="22">
        <f>SUM(U27:U29)</f>
        <v>1.0000000000000002</v>
      </c>
      <c r="V30" s="234">
        <v>1</v>
      </c>
      <c r="W30" s="22">
        <f>SUM(W27:W29)</f>
        <v>0.99999999999999989</v>
      </c>
    </row>
    <row r="31">
      <c r="A31" t="s">
        <v>510</v>
      </c>
      <c r="B31" t="s">
        <v>511</v>
      </c>
      <c r="C31" t="s">
        <v>508</v>
      </c>
      <c r="D31" t="s">
        <v>473</v>
      </c>
      <c r="E31" s="69">
        <f t="shared" si="92"/>
        <v>10319.038877879091</v>
      </c>
      <c r="F31" s="70">
        <f t="shared" si="93"/>
        <v>16094.186443309731</v>
      </c>
      <c r="G31" s="70">
        <f t="shared" si="94"/>
        <v>16201.658057623961</v>
      </c>
      <c r="H31" s="70">
        <f t="shared" si="95"/>
        <v>16307.952294613848</v>
      </c>
      <c r="I31" s="70">
        <f t="shared" si="96"/>
        <v>16413.069154279397</v>
      </c>
      <c r="J31" s="70">
        <f t="shared" si="97"/>
        <v>16433.179272896468</v>
      </c>
      <c r="K31" s="70">
        <f t="shared" si="98"/>
        <v>16459.586547576255</v>
      </c>
      <c r="L31" s="70">
        <f t="shared" si="99"/>
        <v>16493.577596720417</v>
      </c>
      <c r="M31" s="70">
        <f t="shared" si="100"/>
        <v>16492.918155848605</v>
      </c>
      <c r="N31" s="70">
        <f t="shared" si="101"/>
        <v>16480.573942428167</v>
      </c>
      <c r="O31" s="70">
        <f t="shared" si="102"/>
        <v>16222.261468433844</v>
      </c>
      <c r="P31" s="70">
        <f t="shared" si="103"/>
        <v>17100.12650655313</v>
      </c>
      <c r="S31" t="s">
        <v>24</v>
      </c>
      <c r="T31">
        <v>0.59088685355293302</v>
      </c>
      <c r="U31">
        <v>0.59124846114652996</v>
      </c>
      <c r="V31">
        <f>1-T31</f>
        <v>0.40911314644706698</v>
      </c>
      <c r="W31">
        <f>1-U31</f>
        <v>0.40875153885347004</v>
      </c>
    </row>
    <row r="32">
      <c r="A32" t="s">
        <v>510</v>
      </c>
      <c r="B32" t="s">
        <v>511</v>
      </c>
      <c r="C32" t="s">
        <v>508</v>
      </c>
      <c r="D32" t="s">
        <v>474</v>
      </c>
      <c r="E32" s="69">
        <f t="shared" si="92"/>
        <v>5125.3082436080522</v>
      </c>
      <c r="F32" s="70">
        <f t="shared" si="93"/>
        <v>11399.335580768424</v>
      </c>
      <c r="G32" s="70">
        <f t="shared" si="94"/>
        <v>11475.456545396872</v>
      </c>
      <c r="H32" s="70">
        <f t="shared" si="95"/>
        <v>11550.743586591374</v>
      </c>
      <c r="I32" s="70">
        <f t="shared" si="96"/>
        <v>11625.196704351936</v>
      </c>
      <c r="J32" s="70">
        <f t="shared" si="97"/>
        <v>11639.440480605708</v>
      </c>
      <c r="K32" s="70">
        <f t="shared" si="98"/>
        <v>11658.144463370465</v>
      </c>
      <c r="L32" s="70">
        <f t="shared" si="99"/>
        <v>11682.219950335993</v>
      </c>
      <c r="M32" s="70">
        <f t="shared" si="100"/>
        <v>11681.752875605627</v>
      </c>
      <c r="N32" s="70">
        <f t="shared" si="101"/>
        <v>11673.009604750911</v>
      </c>
      <c r="O32" s="70">
        <f t="shared" si="102"/>
        <v>11490.049715095607</v>
      </c>
      <c r="P32" s="70">
        <f t="shared" si="103"/>
        <v>13114.039879756372</v>
      </c>
    </row>
    <row r="33">
      <c r="A33" t="s">
        <v>510</v>
      </c>
      <c r="B33" t="s">
        <v>511</v>
      </c>
      <c r="C33" t="s">
        <v>508</v>
      </c>
      <c r="D33" t="s">
        <v>475</v>
      </c>
      <c r="E33" s="69">
        <f t="shared" si="92"/>
        <v>27245.196108182852</v>
      </c>
      <c r="F33" s="70">
        <f t="shared" si="93"/>
        <v>60596.771674826079</v>
      </c>
      <c r="G33" s="70">
        <f t="shared" si="94"/>
        <v>61001.416724581402</v>
      </c>
      <c r="H33" s="70">
        <f t="shared" si="95"/>
        <v>61401.628790715593</v>
      </c>
      <c r="I33" s="70">
        <f t="shared" si="96"/>
        <v>61797.407873228709</v>
      </c>
      <c r="J33" s="70">
        <f t="shared" si="97"/>
        <v>61873.12516844488</v>
      </c>
      <c r="K33" s="70">
        <f t="shared" si="98"/>
        <v>61972.552101266992</v>
      </c>
      <c r="L33" s="70">
        <f t="shared" si="99"/>
        <v>62100.532962631558</v>
      </c>
      <c r="M33" s="70">
        <f t="shared" si="100"/>
        <v>62098.050079257308</v>
      </c>
      <c r="N33" s="70">
        <f t="shared" si="101"/>
        <v>62051.572459231065</v>
      </c>
      <c r="O33" s="70">
        <f t="shared" si="102"/>
        <v>61078.991331099525</v>
      </c>
      <c r="P33" s="70">
        <f t="shared" si="103"/>
        <v>69711.824403944076</v>
      </c>
    </row>
    <row r="34">
      <c r="A34" t="s">
        <v>510</v>
      </c>
      <c r="B34" t="s">
        <v>511</v>
      </c>
      <c r="C34" t="s">
        <v>513</v>
      </c>
      <c r="D34" t="s">
        <v>463</v>
      </c>
      <c r="E34" s="69">
        <f t="shared" ref="E34:E46" si="105">E$7*T$29*X9</f>
        <v>258728.55851321758</v>
      </c>
      <c r="F34" s="70">
        <f t="shared" ref="F34:F46" si="106">F$7*($X9+($Y9-$X9)*15/35)*($T$29+($U$29-$T$29)*2/35)</f>
        <v>258796.40175266578</v>
      </c>
      <c r="G34" s="70">
        <f t="shared" ref="G34:G46" si="107">G$7*($X9+($Y9-$X9)*15/35)*($T$29+($U$29-$T$29)*3/35)</f>
        <v>260475.11980992471</v>
      </c>
      <c r="H34" s="70">
        <f t="shared" ref="H34:H46" si="108">H$7*($X9+($Y9-$X9)*15/35)*($T$29+($U$29-$T$29)*4/35)</f>
        <v>262133.89994551355</v>
      </c>
      <c r="I34" s="70">
        <f t="shared" ref="I34:I46" si="109">I$7*($X9+($Y9-$X9)*15/35)*($T$29+($U$29-$T$29)*5/35)</f>
        <v>263772.74215943227</v>
      </c>
      <c r="J34" s="70">
        <f t="shared" ref="J34:J46" si="110">J$7*($X9+($Y9-$X9)*15/35)*($T$29+($U$29-$T$29)*7/35)</f>
        <v>263993.08828590956</v>
      </c>
      <c r="K34" s="70">
        <f t="shared" ref="K34:K46" si="111">K$7*($X9+($Y9-$X9)*15/35)*($T$29+($U$29-$T$29)*10/35)</f>
        <v>264259.97045883402</v>
      </c>
      <c r="L34" s="70">
        <f t="shared" ref="L34:L46" si="112">L$7*($X9+($Y9-$X9)*15/35)*($T$29+($U$29-$T$29)*15/35)</f>
        <v>264535.07536893128</v>
      </c>
      <c r="M34" s="70">
        <f t="shared" ref="M34:M46" si="113">M$7*($X9+($Y9-$X9)*15/35)*($T$29+($U$29-$T$29)*20/35)</f>
        <v>264243.59179670014</v>
      </c>
      <c r="N34" s="70">
        <f t="shared" ref="N34:N46" si="114">N$7*($X9+($Y9-$X9)*15/35)*($T$29+($U$29-$T$29)*25/35)</f>
        <v>263754.23616171454</v>
      </c>
      <c r="O34" s="70">
        <f t="shared" ref="O34:O46" si="115">O$7*($X9+($Y9-$X9)*15/35)*($T$29+($U$29-$T$29)*30/35)</f>
        <v>259321.85682428477</v>
      </c>
      <c r="P34" s="70">
        <f t="shared" ref="P34:P46" si="116">P$7*U$29*Y9</f>
        <v>253965.59998598482</v>
      </c>
    </row>
    <row r="35">
      <c r="A35" t="s">
        <v>510</v>
      </c>
      <c r="B35" t="s">
        <v>511</v>
      </c>
      <c r="C35" t="s">
        <v>513</v>
      </c>
      <c r="D35" t="s">
        <v>464</v>
      </c>
      <c r="E35" s="69">
        <f t="shared" si="105"/>
        <v>60796.208832447759</v>
      </c>
      <c r="F35" s="70">
        <f t="shared" si="106"/>
        <v>60812.150681994914</v>
      </c>
      <c r="G35" s="70">
        <f t="shared" si="107"/>
        <v>61206.616968076356</v>
      </c>
      <c r="H35" s="70">
        <f t="shared" si="108"/>
        <v>61596.398228057442</v>
      </c>
      <c r="I35" s="70">
        <f t="shared" si="109"/>
        <v>61981.4944619382</v>
      </c>
      <c r="J35" s="70">
        <f t="shared" si="110"/>
        <v>62033.271541351904</v>
      </c>
      <c r="K35" s="70">
        <f t="shared" si="111"/>
        <v>62095.983691923975</v>
      </c>
      <c r="L35" s="70">
        <f t="shared" si="112"/>
        <v>62160.628026748149</v>
      </c>
      <c r="M35" s="70">
        <f t="shared" si="113"/>
        <v>62092.135022997703</v>
      </c>
      <c r="N35" s="70">
        <f t="shared" si="114"/>
        <v>61977.145910280953</v>
      </c>
      <c r="O35" s="70">
        <f t="shared" si="115"/>
        <v>60935.622464351647</v>
      </c>
      <c r="P35" s="70">
        <f t="shared" si="116"/>
        <v>59677.005668537546</v>
      </c>
    </row>
    <row r="36">
      <c r="A36" t="s">
        <v>510</v>
      </c>
      <c r="B36" t="s">
        <v>511</v>
      </c>
      <c r="C36" t="s">
        <v>513</v>
      </c>
      <c r="D36" t="s">
        <v>465</v>
      </c>
      <c r="E36" s="69">
        <f t="shared" si="105"/>
        <v>52851.238519295606</v>
      </c>
      <c r="F36" s="70">
        <f t="shared" si="106"/>
        <v>52865.09705602075</v>
      </c>
      <c r="G36" s="70">
        <f t="shared" si="107"/>
        <v>53208.013697927941</v>
      </c>
      <c r="H36" s="70">
        <f t="shared" si="108"/>
        <v>53546.857562327219</v>
      </c>
      <c r="I36" s="70">
        <f t="shared" si="109"/>
        <v>53881.628649218597</v>
      </c>
      <c r="J36" s="70">
        <f t="shared" si="110"/>
        <v>53926.63939621218</v>
      </c>
      <c r="K36" s="70">
        <f t="shared" si="111"/>
        <v>53981.156197367942</v>
      </c>
      <c r="L36" s="70">
        <f t="shared" si="112"/>
        <v>54037.352681068587</v>
      </c>
      <c r="M36" s="70">
        <f t="shared" si="113"/>
        <v>53977.810480203821</v>
      </c>
      <c r="N36" s="70">
        <f t="shared" si="114"/>
        <v>53877.84837499979</v>
      </c>
      <c r="O36" s="70">
        <f t="shared" si="115"/>
        <v>52972.433298609874</v>
      </c>
      <c r="P36" s="70">
        <f t="shared" si="116"/>
        <v>51878.295066022234</v>
      </c>
    </row>
    <row r="37">
      <c r="A37" t="s">
        <v>510</v>
      </c>
      <c r="B37" t="s">
        <v>511</v>
      </c>
      <c r="C37" t="s">
        <v>513</v>
      </c>
      <c r="D37" t="s">
        <v>466</v>
      </c>
      <c r="E37" s="69">
        <f t="shared" si="105"/>
        <v>46584.68162814188</v>
      </c>
      <c r="F37" s="70">
        <f t="shared" si="106"/>
        <v>46596.896961959246</v>
      </c>
      <c r="G37" s="70">
        <f t="shared" si="107"/>
        <v>46899.154071457364</v>
      </c>
      <c r="H37" s="70">
        <f t="shared" si="108"/>
        <v>47197.82131156238</v>
      </c>
      <c r="I37" s="70">
        <f t="shared" si="109"/>
        <v>47492.898682274295</v>
      </c>
      <c r="J37" s="70">
        <f t="shared" si="110"/>
        <v>47532.572517311775</v>
      </c>
      <c r="K37" s="70">
        <f t="shared" si="111"/>
        <v>47580.625276270264</v>
      </c>
      <c r="L37" s="70">
        <f t="shared" si="112"/>
        <v>47630.15855827387</v>
      </c>
      <c r="M37" s="70">
        <f t="shared" si="113"/>
        <v>47577.676259874912</v>
      </c>
      <c r="N37" s="70">
        <f t="shared" si="114"/>
        <v>47489.566634135328</v>
      </c>
      <c r="O37" s="70">
        <f t="shared" si="115"/>
        <v>46691.50637563174</v>
      </c>
      <c r="P37" s="70">
        <f t="shared" si="116"/>
        <v>45727.09981392623</v>
      </c>
    </row>
    <row r="38">
      <c r="A38" t="s">
        <v>510</v>
      </c>
      <c r="B38" t="s">
        <v>511</v>
      </c>
      <c r="C38" t="s">
        <v>513</v>
      </c>
      <c r="D38" t="s">
        <v>467</v>
      </c>
      <c r="E38" s="69">
        <f t="shared" si="105"/>
        <v>94778.118646095187</v>
      </c>
      <c r="F38" s="70">
        <f t="shared" si="106"/>
        <v>94802.971158066386</v>
      </c>
      <c r="G38" s="70">
        <f t="shared" si="107"/>
        <v>95417.923524046113</v>
      </c>
      <c r="H38" s="70">
        <f t="shared" si="108"/>
        <v>96025.572178690447</v>
      </c>
      <c r="I38" s="70">
        <f t="shared" si="109"/>
        <v>96625.917121999388</v>
      </c>
      <c r="J38" s="70">
        <f t="shared" si="110"/>
        <v>96706.634888288798</v>
      </c>
      <c r="K38" s="70">
        <f t="shared" si="111"/>
        <v>96804.39986017796</v>
      </c>
      <c r="L38" s="70">
        <f t="shared" si="112"/>
        <v>96905.177006539976</v>
      </c>
      <c r="M38" s="70">
        <f t="shared" si="113"/>
        <v>96798.399986055389</v>
      </c>
      <c r="N38" s="70">
        <f t="shared" si="114"/>
        <v>96619.137956771418</v>
      </c>
      <c r="O38" s="70">
        <f t="shared" si="115"/>
        <v>94995.457226891886</v>
      </c>
      <c r="P38" s="70">
        <f t="shared" si="116"/>
        <v>93033.339287393348</v>
      </c>
    </row>
    <row r="39">
      <c r="A39" t="s">
        <v>510</v>
      </c>
      <c r="B39" t="s">
        <v>511</v>
      </c>
      <c r="C39" t="s">
        <v>513</v>
      </c>
      <c r="D39" t="s">
        <v>468</v>
      </c>
      <c r="E39" s="69">
        <f t="shared" si="105"/>
        <v>50121.445243968621</v>
      </c>
      <c r="F39" s="70">
        <f t="shared" si="106"/>
        <v>50134.587980242963</v>
      </c>
      <c r="G39" s="70">
        <f t="shared" si="107"/>
        <v>50459.792803670542</v>
      </c>
      <c r="H39" s="70">
        <f t="shared" si="108"/>
        <v>50781.135210614193</v>
      </c>
      <c r="I39" s="70">
        <f t="shared" si="109"/>
        <v>51098.61520107391</v>
      </c>
      <c r="J39" s="70">
        <f t="shared" si="110"/>
        <v>51141.301120156117</v>
      </c>
      <c r="K39" s="70">
        <f t="shared" si="111"/>
        <v>51193.002100881611</v>
      </c>
      <c r="L39" s="70">
        <f t="shared" si="112"/>
        <v>51246.296007696626</v>
      </c>
      <c r="M39" s="70">
        <f t="shared" si="113"/>
        <v>51189.82919170594</v>
      </c>
      <c r="N39" s="70">
        <f t="shared" si="114"/>
        <v>51095.030179935835</v>
      </c>
      <c r="O39" s="70">
        <f t="shared" si="115"/>
        <v>50236.380251462106</v>
      </c>
      <c r="P39" s="70">
        <f t="shared" si="116"/>
        <v>49198.754813527456</v>
      </c>
    </row>
    <row r="40">
      <c r="A40" t="s">
        <v>510</v>
      </c>
      <c r="B40" t="s">
        <v>511</v>
      </c>
      <c r="C40" t="s">
        <v>513</v>
      </c>
      <c r="D40" t="s">
        <v>469</v>
      </c>
      <c r="E40" s="69">
        <f t="shared" si="105"/>
        <v>12226.541789212137</v>
      </c>
      <c r="F40" s="70">
        <f t="shared" si="106"/>
        <v>12229.747806387035</v>
      </c>
      <c r="G40" s="70">
        <f t="shared" si="107"/>
        <v>12309.077728825157</v>
      </c>
      <c r="H40" s="70">
        <f t="shared" si="108"/>
        <v>12387.465459825698</v>
      </c>
      <c r="I40" s="70">
        <f t="shared" si="109"/>
        <v>12464.910999388656</v>
      </c>
      <c r="J40" s="70">
        <f t="shared" si="110"/>
        <v>12475.323731322645</v>
      </c>
      <c r="K40" s="70">
        <f t="shared" si="111"/>
        <v>12487.935582363783</v>
      </c>
      <c r="L40" s="70">
        <f t="shared" si="112"/>
        <v>12500.936009139436</v>
      </c>
      <c r="M40" s="70">
        <f t="shared" si="113"/>
        <v>12487.161588189416</v>
      </c>
      <c r="N40" s="70">
        <f t="shared" si="114"/>
        <v>12464.036475309262</v>
      </c>
      <c r="O40" s="70">
        <f t="shared" si="115"/>
        <v>12254.578843317868</v>
      </c>
      <c r="P40" s="70">
        <f t="shared" si="116"/>
        <v>12001.462223940571</v>
      </c>
    </row>
    <row r="41">
      <c r="A41" t="s">
        <v>510</v>
      </c>
      <c r="B41" t="s">
        <v>511</v>
      </c>
      <c r="C41" t="s">
        <v>513</v>
      </c>
      <c r="D41" t="s">
        <v>470</v>
      </c>
      <c r="E41" s="69">
        <f t="shared" si="105"/>
        <v>29127.198803138672</v>
      </c>
      <c r="F41" s="70">
        <f t="shared" si="106"/>
        <v>29134.83647380874</v>
      </c>
      <c r="G41" s="70">
        <f t="shared" si="107"/>
        <v>29323.823553044149</v>
      </c>
      <c r="H41" s="70">
        <f t="shared" si="108"/>
        <v>29510.566056684402</v>
      </c>
      <c r="I41" s="70">
        <f t="shared" si="109"/>
        <v>29695.063984729513</v>
      </c>
      <c r="J41" s="70">
        <f t="shared" si="110"/>
        <v>29719.87015791846</v>
      </c>
      <c r="K41" s="70">
        <f t="shared" si="111"/>
        <v>29749.915276062573</v>
      </c>
      <c r="L41" s="70">
        <f t="shared" si="112"/>
        <v>29780.886095264632</v>
      </c>
      <c r="M41" s="70">
        <f t="shared" si="113"/>
        <v>29748.071395546078</v>
      </c>
      <c r="N41" s="70">
        <f t="shared" si="114"/>
        <v>29692.980612574265</v>
      </c>
      <c r="O41" s="70">
        <f t="shared" si="115"/>
        <v>29193.991266851743</v>
      </c>
      <c r="P41" s="70">
        <f t="shared" si="116"/>
        <v>28590.993442930212</v>
      </c>
    </row>
    <row r="42">
      <c r="A42" t="s">
        <v>510</v>
      </c>
      <c r="B42" t="s">
        <v>511</v>
      </c>
      <c r="C42" t="s">
        <v>513</v>
      </c>
      <c r="D42" t="s">
        <v>471</v>
      </c>
      <c r="E42" s="69">
        <f t="shared" si="105"/>
        <v>492.31692881233874</v>
      </c>
      <c r="F42" s="70">
        <f t="shared" si="106"/>
        <v>523.429193010576</v>
      </c>
      <c r="G42" s="70">
        <f t="shared" si="107"/>
        <v>526.82448765939068</v>
      </c>
      <c r="H42" s="70">
        <f t="shared" si="108"/>
        <v>530.17945682385005</v>
      </c>
      <c r="I42" s="70">
        <f t="shared" si="109"/>
        <v>533.4941005039542</v>
      </c>
      <c r="J42" s="70">
        <f t="shared" si="110"/>
        <v>533.9397620138667</v>
      </c>
      <c r="K42" s="70">
        <f t="shared" si="111"/>
        <v>534.4795450999402</v>
      </c>
      <c r="L42" s="70">
        <f t="shared" si="112"/>
        <v>535.03595909994272</v>
      </c>
      <c r="M42" s="70">
        <f t="shared" si="113"/>
        <v>534.44641840325789</v>
      </c>
      <c r="N42" s="70">
        <f t="shared" si="114"/>
        <v>533.45667116032485</v>
      </c>
      <c r="O42" s="70">
        <f t="shared" si="115"/>
        <v>524.49195324309153</v>
      </c>
      <c r="P42" s="70">
        <f t="shared" si="116"/>
        <v>554.44504397883009</v>
      </c>
    </row>
    <row r="43">
      <c r="A43" t="s">
        <v>510</v>
      </c>
      <c r="B43" t="s">
        <v>511</v>
      </c>
      <c r="C43" t="s">
        <v>513</v>
      </c>
      <c r="D43" t="s">
        <v>472</v>
      </c>
      <c r="E43" s="69">
        <f t="shared" si="105"/>
        <v>2191.07501736825</v>
      </c>
      <c r="F43" s="70">
        <f t="shared" si="106"/>
        <v>2329.5413199245513</v>
      </c>
      <c r="G43" s="70">
        <f t="shared" si="107"/>
        <v>2344.6522065226791</v>
      </c>
      <c r="H43" s="70">
        <f t="shared" si="108"/>
        <v>2359.583623035252</v>
      </c>
      <c r="I43" s="70">
        <f t="shared" si="109"/>
        <v>2374.3355694622701</v>
      </c>
      <c r="J43" s="70">
        <f t="shared" si="110"/>
        <v>2376.3190027821997</v>
      </c>
      <c r="K43" s="70">
        <f t="shared" si="111"/>
        <v>2378.7213277185915</v>
      </c>
      <c r="L43" s="70">
        <f t="shared" si="112"/>
        <v>2381.1976691632385</v>
      </c>
      <c r="M43" s="70">
        <f t="shared" si="113"/>
        <v>2378.5738961084621</v>
      </c>
      <c r="N43" s="70">
        <f t="shared" si="114"/>
        <v>2374.1689887599964</v>
      </c>
      <c r="O43" s="70">
        <f t="shared" si="115"/>
        <v>2334.2711743306031</v>
      </c>
      <c r="P43" s="70">
        <f t="shared" si="116"/>
        <v>2467.57853177282</v>
      </c>
    </row>
    <row r="44">
      <c r="A44" t="s">
        <v>510</v>
      </c>
      <c r="B44" t="s">
        <v>511</v>
      </c>
      <c r="C44" t="s">
        <v>513</v>
      </c>
      <c r="D44" t="s">
        <v>473</v>
      </c>
      <c r="E44" s="69">
        <f t="shared" si="105"/>
        <v>2807.4356195745531</v>
      </c>
      <c r="F44" s="70">
        <f t="shared" si="106"/>
        <v>2984.8532008193383</v>
      </c>
      <c r="G44" s="70">
        <f t="shared" si="107"/>
        <v>3004.2148570577865</v>
      </c>
      <c r="H44" s="70">
        <f t="shared" si="108"/>
        <v>3023.3465573582403</v>
      </c>
      <c r="I44" s="70">
        <f t="shared" si="109"/>
        <v>3042.2483017206996</v>
      </c>
      <c r="J44" s="70">
        <f t="shared" si="110"/>
        <v>3044.7896849719727</v>
      </c>
      <c r="K44" s="70">
        <f t="shared" si="111"/>
        <v>3047.8677961926091</v>
      </c>
      <c r="L44" s="70">
        <f t="shared" si="112"/>
        <v>3051.040745143614</v>
      </c>
      <c r="M44" s="70">
        <f t="shared" si="113"/>
        <v>3047.6788913169448</v>
      </c>
      <c r="N44" s="70">
        <f t="shared" si="114"/>
        <v>3042.0348610153887</v>
      </c>
      <c r="O44" s="70">
        <f t="shared" si="115"/>
        <v>2990.9135874467675</v>
      </c>
      <c r="P44" s="70">
        <f t="shared" si="116"/>
        <v>3161.720985946597</v>
      </c>
    </row>
    <row r="45">
      <c r="A45" t="s">
        <v>510</v>
      </c>
      <c r="B45" t="s">
        <v>511</v>
      </c>
      <c r="C45" t="s">
        <v>513</v>
      </c>
      <c r="D45" t="s">
        <v>474</v>
      </c>
      <c r="E45" s="69">
        <f t="shared" si="105"/>
        <v>1394.4101863255851</v>
      </c>
      <c r="F45" s="70">
        <f t="shared" si="106"/>
        <v>1594.9914480919385</v>
      </c>
      <c r="G45" s="70">
        <f t="shared" si="107"/>
        <v>1605.3375770448613</v>
      </c>
      <c r="H45" s="70">
        <f t="shared" si="108"/>
        <v>1615.5608263350791</v>
      </c>
      <c r="I45" s="70">
        <f t="shared" si="109"/>
        <v>1625.661195962593</v>
      </c>
      <c r="J45" s="70">
        <f t="shared" si="110"/>
        <v>1627.0192140222387</v>
      </c>
      <c r="K45" s="70">
        <f t="shared" si="111"/>
        <v>1628.6640389911329</v>
      </c>
      <c r="L45" s="70">
        <f t="shared" si="112"/>
        <v>1630.3595416177598</v>
      </c>
      <c r="M45" s="70">
        <f t="shared" si="113"/>
        <v>1628.5630954468727</v>
      </c>
      <c r="N45" s="70">
        <f t="shared" si="114"/>
        <v>1625.5471414089041</v>
      </c>
      <c r="O45" s="70">
        <f t="shared" si="115"/>
        <v>1598.2298870343384</v>
      </c>
      <c r="P45" s="70">
        <f t="shared" si="116"/>
        <v>1828.7835126274399</v>
      </c>
    </row>
    <row r="46">
      <c r="A46" t="s">
        <v>510</v>
      </c>
      <c r="B46" t="s">
        <v>511</v>
      </c>
      <c r="C46" t="s">
        <v>513</v>
      </c>
      <c r="D46" t="s">
        <v>475</v>
      </c>
      <c r="E46" s="69">
        <f t="shared" si="105"/>
        <v>7412.4281264581905</v>
      </c>
      <c r="F46" s="70">
        <f t="shared" si="106"/>
        <v>8478.6812282626342</v>
      </c>
      <c r="G46" s="70">
        <f t="shared" si="107"/>
        <v>8533.6793471825004</v>
      </c>
      <c r="H46" s="70">
        <f t="shared" si="108"/>
        <v>8588.0242604122959</v>
      </c>
      <c r="I46" s="70">
        <f t="shared" si="109"/>
        <v>8641.7159679520209</v>
      </c>
      <c r="J46" s="70">
        <f t="shared" si="110"/>
        <v>8648.9349422253526</v>
      </c>
      <c r="K46" s="70">
        <f t="shared" si="111"/>
        <v>8657.6785292861005</v>
      </c>
      <c r="L46" s="70">
        <f t="shared" si="112"/>
        <v>8666.6915094560245</v>
      </c>
      <c r="M46" s="70">
        <f t="shared" si="113"/>
        <v>8657.1419319677516</v>
      </c>
      <c r="N46" s="70">
        <f t="shared" si="114"/>
        <v>8641.1096749185908</v>
      </c>
      <c r="O46" s="70">
        <f t="shared" si="115"/>
        <v>8495.8961741500552</v>
      </c>
      <c r="P46" s="70">
        <f t="shared" si="116"/>
        <v>9721.4768503114065</v>
      </c>
    </row>
    <row r="47">
      <c r="D47" t="s">
        <v>514</v>
      </c>
      <c r="E47" s="235">
        <f t="shared" ref="E47:P47" si="117">SUM(E49:E87)-E48</f>
        <v>0</v>
      </c>
      <c r="F47" s="235">
        <f t="shared" si="117"/>
        <v>0</v>
      </c>
      <c r="G47" s="235">
        <f t="shared" si="117"/>
        <v>0</v>
      </c>
      <c r="H47" s="235">
        <f t="shared" si="117"/>
        <v>0</v>
      </c>
      <c r="I47" s="235">
        <f t="shared" si="117"/>
        <v>-7761.0627621393651</v>
      </c>
      <c r="J47" s="235">
        <f t="shared" si="117"/>
        <v>0</v>
      </c>
      <c r="K47" s="235">
        <f t="shared" si="117"/>
        <v>0</v>
      </c>
      <c r="L47" s="235">
        <f t="shared" si="117"/>
        <v>0</v>
      </c>
      <c r="M47" s="235">
        <f t="shared" si="117"/>
        <v>0</v>
      </c>
      <c r="N47" s="235">
        <f t="shared" si="117"/>
        <v>0</v>
      </c>
      <c r="O47" s="235">
        <f t="shared" si="117"/>
        <v>0</v>
      </c>
      <c r="P47" s="235">
        <f t="shared" si="117"/>
        <v>0</v>
      </c>
    </row>
    <row r="48">
      <c r="D48" t="s">
        <v>515</v>
      </c>
      <c r="E48" s="69">
        <f>'parc résidentiel'!D11</f>
        <v>12175190.609793838</v>
      </c>
      <c r="F48" s="69">
        <f>E48+($I48-$E48)/4</f>
        <v>12365364.457345378</v>
      </c>
      <c r="G48" s="69">
        <f>F48+($I48-$E48)/4</f>
        <v>12555538.304896917</v>
      </c>
      <c r="H48" s="69">
        <f>G48+($I48-$E48)/4</f>
        <v>12745712.152448457</v>
      </c>
      <c r="I48" s="69">
        <f>'parc résidentiel'!E11</f>
        <v>12935886</v>
      </c>
      <c r="J48" s="69">
        <f>I48+(L48-I48)*2/10</f>
        <v>13070569.016870255</v>
      </c>
      <c r="K48" s="69">
        <f>(I48+L48)/2</f>
        <v>13272593.542175638</v>
      </c>
      <c r="L48" s="69">
        <f>'parc résidentiel'!F11</f>
        <v>13609301.084351275</v>
      </c>
      <c r="M48" s="69">
        <f>(L48+N48)/2</f>
        <v>13923387.221357372</v>
      </c>
      <c r="N48" s="69">
        <f>'parc résidentiel'!G11</f>
        <v>14237473.35836347</v>
      </c>
      <c r="O48" s="69">
        <f>(N48+P48)/2</f>
        <v>14302537.84777165</v>
      </c>
      <c r="P48" s="69">
        <f>'parc résidentiel'!H11</f>
        <v>14367602.33717983</v>
      </c>
    </row>
    <row r="49">
      <c r="A49" t="s">
        <v>510</v>
      </c>
      <c r="B49" t="s">
        <v>516</v>
      </c>
      <c r="C49" t="s">
        <v>506</v>
      </c>
      <c r="D49" t="s">
        <v>463</v>
      </c>
      <c r="E49" s="69">
        <f t="shared" ref="E49:E61" si="118">E$48*V$27*Z9</f>
        <v>1308690.7065249623</v>
      </c>
      <c r="F49" s="70">
        <f t="shared" ref="F49:F61" si="119">F$48*($Z9+($AA9-$Z9)*2/35)*($V$27+($W$27-$V$27)*2/35)</f>
        <v>1330212.1702101396</v>
      </c>
      <c r="G49" s="70">
        <f t="shared" ref="G49:G61" si="120">G$48*($Z9+($AA9-$Z9)*3/35)*($V$27+($W$27-$V$27)*3/35)</f>
        <v>1351218.4521648576</v>
      </c>
      <c r="H49" s="70">
        <f t="shared" ref="H49:H61" si="121">H$48*($Z9+($AA9-$Z9)*4/35)*($V$27+($W$27-$V$27)*4/35)</f>
        <v>1372241.2748554801</v>
      </c>
      <c r="I49" s="70">
        <f t="shared" ref="I49:I61" si="122">I$48 *($Z9+($AA9-$Z9)*5/35)*($V$27+($W$27-$W$27)*5/35)</f>
        <v>1390090.6657483359</v>
      </c>
      <c r="J49" s="70">
        <f t="shared" ref="J49:J61" si="123">J$48*($Z9+($AA9-$Z9)*7/35)*($V$27+($W$27-$V$27)*7/35)</f>
        <v>1408927.8003708888</v>
      </c>
      <c r="K49" s="70">
        <f t="shared" ref="K49:K61" si="124">K$48*($Z9+($AA9-$Z9)*10/35)*($V$27+($W$27-$V$27)*10/35)</f>
        <v>1432442.117125459</v>
      </c>
      <c r="L49" s="70">
        <f t="shared" ref="L49:L61" si="125">L$48*($Z9+($AA9-$Z9)*15/35)*($V$27+($W$27-$V$27)*15/35)</f>
        <v>1471748.7595836096</v>
      </c>
      <c r="M49" s="70">
        <f t="shared" ref="M49:M61" si="126">M$48*($Z9+($AA9-$Z9)*20/35)*($V$27+($W$27-$V$27)*20/35)</f>
        <v>1508749.1583539385</v>
      </c>
      <c r="N49" s="70">
        <f t="shared" ref="N49:N61" si="127">N$48*($Z9+($AA9-$Z9)*25/35)*($V$27+($W$27-$V$27)*25/35)</f>
        <v>1545884.6019334604</v>
      </c>
      <c r="O49" s="70">
        <f t="shared" ref="O49:O61" si="128">O$48*($Z9+($AA9-$Z9)*30/35)*($V$27+($W$27-$V$27)*30/35)</f>
        <v>1556062.3489096786</v>
      </c>
      <c r="P49" s="70">
        <f t="shared" ref="P49:P61" si="129">P$48*W$27*AA9</f>
        <v>1566266.5549646569</v>
      </c>
    </row>
    <row r="50">
      <c r="A50" t="s">
        <v>510</v>
      </c>
      <c r="B50" t="s">
        <v>516</v>
      </c>
      <c r="C50" t="s">
        <v>506</v>
      </c>
      <c r="D50" t="s">
        <v>464</v>
      </c>
      <c r="E50" s="69">
        <f t="shared" si="118"/>
        <v>254079.09117139663</v>
      </c>
      <c r="F50" s="70">
        <f t="shared" si="119"/>
        <v>258257.43056552895</v>
      </c>
      <c r="G50" s="70">
        <f t="shared" si="120"/>
        <v>262335.74869015079</v>
      </c>
      <c r="H50" s="70">
        <f t="shared" si="121"/>
        <v>266417.27815808303</v>
      </c>
      <c r="I50" s="70">
        <f t="shared" si="122"/>
        <v>269882.69362516637</v>
      </c>
      <c r="J50" s="70">
        <f t="shared" si="123"/>
        <v>273539.87711497681</v>
      </c>
      <c r="K50" s="70">
        <f t="shared" si="124"/>
        <v>278105.12404515635</v>
      </c>
      <c r="L50" s="70">
        <f t="shared" si="125"/>
        <v>285736.41228077386</v>
      </c>
      <c r="M50" s="70">
        <f t="shared" si="126"/>
        <v>292919.94896035147</v>
      </c>
      <c r="N50" s="70">
        <f t="shared" si="127"/>
        <v>300129.70425844315</v>
      </c>
      <c r="O50" s="70">
        <f t="shared" si="128"/>
        <v>302105.6888734455</v>
      </c>
      <c r="P50" s="70">
        <f t="shared" si="129"/>
        <v>304086.81045369961</v>
      </c>
    </row>
    <row r="51">
      <c r="A51" t="s">
        <v>510</v>
      </c>
      <c r="B51" t="s">
        <v>516</v>
      </c>
      <c r="C51" t="s">
        <v>506</v>
      </c>
      <c r="D51" t="s">
        <v>465</v>
      </c>
      <c r="E51" s="69">
        <f t="shared" si="118"/>
        <v>582076.32183147687</v>
      </c>
      <c r="F51" s="70">
        <f t="shared" si="119"/>
        <v>591648.58696627081</v>
      </c>
      <c r="G51" s="70">
        <f t="shared" si="120"/>
        <v>600991.71080339595</v>
      </c>
      <c r="H51" s="70">
        <f t="shared" si="121"/>
        <v>610342.19158946793</v>
      </c>
      <c r="I51" s="70">
        <f t="shared" si="122"/>
        <v>618281.2009719325</v>
      </c>
      <c r="J51" s="70">
        <f t="shared" si="123"/>
        <v>626659.53664763621</v>
      </c>
      <c r="K51" s="70">
        <f t="shared" si="124"/>
        <v>637118.1782033823</v>
      </c>
      <c r="L51" s="70">
        <f t="shared" si="125"/>
        <v>654600.89260756609</v>
      </c>
      <c r="M51" s="70">
        <f t="shared" si="126"/>
        <v>671057.84146121808</v>
      </c>
      <c r="N51" s="70">
        <f t="shared" si="127"/>
        <v>687574.85522205231</v>
      </c>
      <c r="O51" s="70">
        <f t="shared" si="128"/>
        <v>692101.68917518656</v>
      </c>
      <c r="P51" s="70">
        <f t="shared" si="129"/>
        <v>696640.29153407726</v>
      </c>
    </row>
    <row r="52">
      <c r="A52" t="s">
        <v>510</v>
      </c>
      <c r="B52" t="s">
        <v>516</v>
      </c>
      <c r="C52" t="s">
        <v>506</v>
      </c>
      <c r="D52" t="s">
        <v>466</v>
      </c>
      <c r="E52" s="69">
        <f t="shared" si="118"/>
        <v>96267.36992938495</v>
      </c>
      <c r="F52" s="70">
        <f t="shared" si="119"/>
        <v>97850.490139280984</v>
      </c>
      <c r="G52" s="70">
        <f t="shared" si="120"/>
        <v>99395.713548978398</v>
      </c>
      <c r="H52" s="70">
        <f t="shared" si="121"/>
        <v>100942.15369623972</v>
      </c>
      <c r="I52" s="70">
        <f t="shared" si="122"/>
        <v>102255.15600268957</v>
      </c>
      <c r="J52" s="70">
        <f t="shared" si="123"/>
        <v>103640.81679945193</v>
      </c>
      <c r="K52" s="70">
        <f t="shared" si="124"/>
        <v>105370.53140532681</v>
      </c>
      <c r="L52" s="70">
        <f t="shared" si="125"/>
        <v>108261.93047413243</v>
      </c>
      <c r="M52" s="70">
        <f t="shared" si="126"/>
        <v>110983.68211353708</v>
      </c>
      <c r="N52" s="70">
        <f t="shared" si="127"/>
        <v>113715.36765752199</v>
      </c>
      <c r="O52" s="70">
        <f t="shared" si="128"/>
        <v>114464.04335936822</v>
      </c>
      <c r="P52" s="70">
        <f t="shared" si="129"/>
        <v>115214.665392697</v>
      </c>
    </row>
    <row r="53">
      <c r="A53" t="s">
        <v>510</v>
      </c>
      <c r="B53" t="s">
        <v>516</v>
      </c>
      <c r="C53" t="s">
        <v>506</v>
      </c>
      <c r="D53" t="s">
        <v>467</v>
      </c>
      <c r="E53" s="69">
        <f t="shared" si="118"/>
        <v>132293.02712541752</v>
      </c>
      <c r="F53" s="70">
        <f t="shared" si="119"/>
        <v>134468.59050711372</v>
      </c>
      <c r="G53" s="70">
        <f t="shared" si="120"/>
        <v>136592.07515828765</v>
      </c>
      <c r="H53" s="70">
        <f t="shared" si="121"/>
        <v>138717.23188064896</v>
      </c>
      <c r="I53" s="70">
        <f t="shared" si="122"/>
        <v>140521.59248456202</v>
      </c>
      <c r="J53" s="70">
        <f t="shared" si="123"/>
        <v>142425.80220284121</v>
      </c>
      <c r="K53" s="70">
        <f t="shared" si="124"/>
        <v>144802.81926939331</v>
      </c>
      <c r="L53" s="70">
        <f t="shared" si="125"/>
        <v>148776.252175273</v>
      </c>
      <c r="M53" s="70">
        <f t="shared" si="126"/>
        <v>152516.55134127836</v>
      </c>
      <c r="N53" s="70">
        <f t="shared" si="127"/>
        <v>156270.50192737614</v>
      </c>
      <c r="O53" s="70">
        <f t="shared" si="128"/>
        <v>157299.35079906689</v>
      </c>
      <c r="P53" s="70">
        <f t="shared" si="129"/>
        <v>158330.87436815308</v>
      </c>
    </row>
    <row r="54">
      <c r="A54" t="s">
        <v>510</v>
      </c>
      <c r="B54" t="s">
        <v>516</v>
      </c>
      <c r="C54" t="s">
        <v>506</v>
      </c>
      <c r="D54" t="s">
        <v>468</v>
      </c>
      <c r="E54" s="69">
        <f t="shared" si="118"/>
        <v>188499.79126921375</v>
      </c>
      <c r="F54" s="70">
        <f t="shared" si="119"/>
        <v>191599.67682065631</v>
      </c>
      <c r="G54" s="70">
        <f t="shared" si="120"/>
        <v>194625.35717741607</v>
      </c>
      <c r="H54" s="70">
        <f t="shared" si="121"/>
        <v>197653.42001099008</v>
      </c>
      <c r="I54" s="70">
        <f t="shared" si="122"/>
        <v>200224.39147186349</v>
      </c>
      <c r="J54" s="70">
        <f t="shared" si="123"/>
        <v>202937.63450687355</v>
      </c>
      <c r="K54" s="70">
        <f t="shared" si="124"/>
        <v>206324.56449573577</v>
      </c>
      <c r="L54" s="70">
        <f t="shared" si="125"/>
        <v>211986.17259145554</v>
      </c>
      <c r="M54" s="70">
        <f t="shared" si="126"/>
        <v>217315.59642728651</v>
      </c>
      <c r="N54" s="70">
        <f t="shared" si="127"/>
        <v>222664.47170280296</v>
      </c>
      <c r="O54" s="70">
        <f t="shared" si="128"/>
        <v>224130.44312832196</v>
      </c>
      <c r="P54" s="70">
        <f t="shared" si="129"/>
        <v>225600.22563830783</v>
      </c>
    </row>
    <row r="55">
      <c r="A55" t="s">
        <v>510</v>
      </c>
      <c r="B55" t="s">
        <v>516</v>
      </c>
      <c r="C55" t="s">
        <v>506</v>
      </c>
      <c r="D55" t="s">
        <v>469</v>
      </c>
      <c r="E55" s="69">
        <f t="shared" si="118"/>
        <v>46916.891211733055</v>
      </c>
      <c r="F55" s="70">
        <f t="shared" si="119"/>
        <v>47688.441101558354</v>
      </c>
      <c r="G55" s="70">
        <f t="shared" si="120"/>
        <v>48441.521596681225</v>
      </c>
      <c r="H55" s="70">
        <f t="shared" si="121"/>
        <v>49195.195081349368</v>
      </c>
      <c r="I55" s="70">
        <f t="shared" si="122"/>
        <v>49835.100237350292</v>
      </c>
      <c r="J55" s="70">
        <f t="shared" si="123"/>
        <v>50510.41625466491</v>
      </c>
      <c r="K55" s="70">
        <f t="shared" si="124"/>
        <v>51353.410428606781</v>
      </c>
      <c r="L55" s="70">
        <f t="shared" si="125"/>
        <v>52762.563453773764</v>
      </c>
      <c r="M55" s="70">
        <f t="shared" si="126"/>
        <v>54089.037062276599</v>
      </c>
      <c r="N55" s="70">
        <f t="shared" si="127"/>
        <v>55420.352061178266</v>
      </c>
      <c r="O55" s="70">
        <f t="shared" si="128"/>
        <v>55785.226851900778</v>
      </c>
      <c r="P55" s="70">
        <f t="shared" si="129"/>
        <v>56151.050207256296</v>
      </c>
    </row>
    <row r="56">
      <c r="A56" t="s">
        <v>510</v>
      </c>
      <c r="B56" t="s">
        <v>516</v>
      </c>
      <c r="C56" t="s">
        <v>506</v>
      </c>
      <c r="D56" t="s">
        <v>470</v>
      </c>
      <c r="E56" s="69">
        <f t="shared" si="118"/>
        <v>548024.04536009196</v>
      </c>
      <c r="F56" s="70">
        <f t="shared" si="119"/>
        <v>557036.31963698287</v>
      </c>
      <c r="G56" s="70">
        <f t="shared" si="120"/>
        <v>565832.85770163196</v>
      </c>
      <c r="H56" s="70">
        <f t="shared" si="121"/>
        <v>574636.32232345629</v>
      </c>
      <c r="I56" s="70">
        <f t="shared" si="122"/>
        <v>582110.88858693256</v>
      </c>
      <c r="J56" s="70">
        <f t="shared" si="123"/>
        <v>589999.07994289906</v>
      </c>
      <c r="K56" s="70">
        <f t="shared" si="124"/>
        <v>599845.87638415757</v>
      </c>
      <c r="L56" s="70">
        <f t="shared" si="125"/>
        <v>616305.82761788904</v>
      </c>
      <c r="M56" s="70">
        <f t="shared" si="126"/>
        <v>631800.022016117</v>
      </c>
      <c r="N56" s="70">
        <f t="shared" si="127"/>
        <v>647350.76744070277</v>
      </c>
      <c r="O56" s="70">
        <f t="shared" si="128"/>
        <v>651612.77529538446</v>
      </c>
      <c r="P56" s="70">
        <f t="shared" si="129"/>
        <v>655885.86308767588</v>
      </c>
    </row>
    <row r="57">
      <c r="A57" t="s">
        <v>510</v>
      </c>
      <c r="B57" t="s">
        <v>516</v>
      </c>
      <c r="C57" t="s">
        <v>506</v>
      </c>
      <c r="D57" t="s">
        <v>471</v>
      </c>
      <c r="E57" s="69">
        <f t="shared" si="118"/>
        <v>9139.8061259315054</v>
      </c>
      <c r="F57" s="70">
        <f t="shared" si="119"/>
        <v>9368.1796157601566</v>
      </c>
      <c r="G57" s="70">
        <f t="shared" si="120"/>
        <v>9555.7761037135806</v>
      </c>
      <c r="H57" s="70">
        <f t="shared" si="121"/>
        <v>9744.7273291305373</v>
      </c>
      <c r="I57" s="70">
        <f t="shared" si="122"/>
        <v>9912.2882786239952</v>
      </c>
      <c r="J57" s="70">
        <f t="shared" si="123"/>
        <v>10129.342170281994</v>
      </c>
      <c r="K57" s="70">
        <f t="shared" si="124"/>
        <v>10424.598845297272</v>
      </c>
      <c r="L57" s="70">
        <f t="shared" si="125"/>
        <v>10926.853949942009</v>
      </c>
      <c r="M57" s="70">
        <f t="shared" si="126"/>
        <v>11423.312907991614</v>
      </c>
      <c r="N57" s="70">
        <f t="shared" si="127"/>
        <v>11931.810430379752</v>
      </c>
      <c r="O57" s="70">
        <f t="shared" si="128"/>
        <v>12239.315007026984</v>
      </c>
      <c r="P57" s="70">
        <f t="shared" si="129"/>
        <v>12550.148071274871</v>
      </c>
    </row>
    <row r="58">
      <c r="A58" t="s">
        <v>510</v>
      </c>
      <c r="B58" t="s">
        <v>516</v>
      </c>
      <c r="C58" t="s">
        <v>506</v>
      </c>
      <c r="D58" t="s">
        <v>472</v>
      </c>
      <c r="E58" s="69">
        <f t="shared" si="118"/>
        <v>4499.7374239234932</v>
      </c>
      <c r="F58" s="70">
        <f t="shared" si="119"/>
        <v>4612.17096186238</v>
      </c>
      <c r="G58" s="70">
        <f t="shared" si="120"/>
        <v>4704.5290409955505</v>
      </c>
      <c r="H58" s="70">
        <f t="shared" si="121"/>
        <v>4797.5540886377103</v>
      </c>
      <c r="I58" s="70">
        <f t="shared" si="122"/>
        <v>4880.0482099391093</v>
      </c>
      <c r="J58" s="70">
        <f t="shared" si="123"/>
        <v>4986.9088485395987</v>
      </c>
      <c r="K58" s="70">
        <f t="shared" si="124"/>
        <v>5132.2705216346103</v>
      </c>
      <c r="L58" s="70">
        <f t="shared" si="125"/>
        <v>5379.5422973798704</v>
      </c>
      <c r="M58" s="70">
        <f t="shared" si="126"/>
        <v>5623.9604964311275</v>
      </c>
      <c r="N58" s="70">
        <f t="shared" si="127"/>
        <v>5874.305558452782</v>
      </c>
      <c r="O58" s="70">
        <f t="shared" si="128"/>
        <v>6025.6971560974462</v>
      </c>
      <c r="P58" s="70">
        <f t="shared" si="129"/>
        <v>6178.7274449807828</v>
      </c>
    </row>
    <row r="59">
      <c r="A59" t="s">
        <v>510</v>
      </c>
      <c r="B59" t="s">
        <v>516</v>
      </c>
      <c r="C59" t="s">
        <v>506</v>
      </c>
      <c r="D59" t="s">
        <v>473</v>
      </c>
      <c r="E59" s="69">
        <f t="shared" si="118"/>
        <v>2074.9226308055422</v>
      </c>
      <c r="F59" s="70">
        <f t="shared" si="119"/>
        <v>2126.7680765176869</v>
      </c>
      <c r="G59" s="70">
        <f t="shared" si="120"/>
        <v>2169.3563101137829</v>
      </c>
      <c r="H59" s="70">
        <f t="shared" si="121"/>
        <v>2212.2520967786368</v>
      </c>
      <c r="I59" s="70">
        <f t="shared" si="122"/>
        <v>2250.2918540068354</v>
      </c>
      <c r="J59" s="70">
        <f t="shared" si="123"/>
        <v>2299.5675197813862</v>
      </c>
      <c r="K59" s="70">
        <f t="shared" si="124"/>
        <v>2366.5968143248915</v>
      </c>
      <c r="L59" s="70">
        <f t="shared" si="125"/>
        <v>2480.6189794240167</v>
      </c>
      <c r="M59" s="70">
        <f t="shared" si="126"/>
        <v>2593.3253008853235</v>
      </c>
      <c r="N59" s="70">
        <f t="shared" si="127"/>
        <v>2708.7646222860444</v>
      </c>
      <c r="O59" s="70">
        <f t="shared" si="128"/>
        <v>2778.5744406093609</v>
      </c>
      <c r="P59" s="70">
        <f t="shared" si="129"/>
        <v>2849.1398935877019</v>
      </c>
    </row>
    <row r="60">
      <c r="A60" t="s">
        <v>510</v>
      </c>
      <c r="B60" t="s">
        <v>516</v>
      </c>
      <c r="C60" t="s">
        <v>506</v>
      </c>
      <c r="D60" t="s">
        <v>474</v>
      </c>
      <c r="E60" s="69">
        <f t="shared" si="118"/>
        <v>1676.7822962725927</v>
      </c>
      <c r="F60" s="70">
        <f t="shared" si="119"/>
        <v>1737.0342513790006</v>
      </c>
      <c r="G60" s="70">
        <f t="shared" si="120"/>
        <v>1781.0641777399053</v>
      </c>
      <c r="H60" s="70">
        <f t="shared" si="121"/>
        <v>1825.633994253302</v>
      </c>
      <c r="I60" s="70">
        <f t="shared" si="122"/>
        <v>1866.4612472656249</v>
      </c>
      <c r="J60" s="70">
        <f t="shared" si="123"/>
        <v>1926.3828039330549</v>
      </c>
      <c r="K60" s="70">
        <f t="shared" si="124"/>
        <v>2011.3576894419336</v>
      </c>
      <c r="L60" s="70">
        <f t="shared" si="125"/>
        <v>2157.0447619965921</v>
      </c>
      <c r="M60" s="70">
        <f t="shared" si="126"/>
        <v>2304.0925664071442</v>
      </c>
      <c r="N60" s="70">
        <f t="shared" si="127"/>
        <v>2455.957587417367</v>
      </c>
      <c r="O60" s="70">
        <f t="shared" si="128"/>
        <v>2567.9574762867428</v>
      </c>
      <c r="P60" s="70">
        <f t="shared" si="129"/>
        <v>2681.307118221659</v>
      </c>
    </row>
    <row r="61">
      <c r="A61" t="s">
        <v>510</v>
      </c>
      <c r="B61" t="s">
        <v>516</v>
      </c>
      <c r="C61" t="s">
        <v>506</v>
      </c>
      <c r="D61" t="s">
        <v>475</v>
      </c>
      <c r="E61" s="69">
        <f t="shared" si="118"/>
        <v>8913.4663363223335</v>
      </c>
      <c r="F61" s="70">
        <f t="shared" si="119"/>
        <v>9233.7546496784671</v>
      </c>
      <c r="G61" s="70">
        <f t="shared" si="120"/>
        <v>9467.8096413617022</v>
      </c>
      <c r="H61" s="70">
        <f t="shared" si="121"/>
        <v>9704.7345898128751</v>
      </c>
      <c r="I61" s="70">
        <f t="shared" si="122"/>
        <v>9921.7647589283388</v>
      </c>
      <c r="J61" s="70">
        <f t="shared" si="123"/>
        <v>10240.296734941247</v>
      </c>
      <c r="K61" s="70">
        <f t="shared" si="124"/>
        <v>10692.00759991158</v>
      </c>
      <c r="L61" s="70">
        <f t="shared" si="125"/>
        <v>11466.453286593734</v>
      </c>
      <c r="M61" s="70">
        <f t="shared" si="126"/>
        <v>12248.132373591015</v>
      </c>
      <c r="N61" s="70">
        <f t="shared" si="127"/>
        <v>13055.418898173601</v>
      </c>
      <c r="O61" s="70">
        <f t="shared" si="128"/>
        <v>13650.78971126497</v>
      </c>
      <c r="P61" s="70">
        <f t="shared" si="129"/>
        <v>14253.335563440894</v>
      </c>
    </row>
    <row r="62">
      <c r="A62" t="s">
        <v>510</v>
      </c>
      <c r="B62" t="s">
        <v>516</v>
      </c>
      <c r="C62" t="s">
        <v>508</v>
      </c>
      <c r="D62" t="s">
        <v>463</v>
      </c>
      <c r="E62" s="69">
        <f t="shared" ref="E62:E74" si="130">E$48*V$28*AB9</f>
        <v>1825483.9092881912</v>
      </c>
      <c r="F62" s="70">
        <f t="shared" ref="F62:F74" si="131">F$48*($AB9+($AC9-$AB9)*2/35)*($V$28+($W$28-$V$28)*2/35)</f>
        <v>1832018.3659315365</v>
      </c>
      <c r="G62" s="70">
        <f t="shared" ref="G62:G74" si="132">G$48*($AB9+($AC9-$AB9)*3/35)*($V$28+($W$28-$V$28)*3/35)</f>
        <v>1849055.5473479584</v>
      </c>
      <c r="H62" s="70">
        <f t="shared" ref="H62:H74" si="133">H$48*($AB9+($AC9-$AB9)*4/35)*($V$28+($W$28-$V$28)*4/35)</f>
        <v>1865768.9572562682</v>
      </c>
      <c r="I62" s="70">
        <f t="shared" ref="I62:I74" si="134">I$48*($AB9+($AC9-$AB9)*5/35)*($V$28+($W$28-$V$28)*5/35)</f>
        <v>1882159.2065701843</v>
      </c>
      <c r="J62" s="70">
        <f t="shared" ref="J62:J74" si="135">J$48*($AB9+($AC9-$AB9)*7/35)*($V$28+($W$28-$V$28)*7/35)</f>
        <v>1878662.722068144</v>
      </c>
      <c r="K62" s="70">
        <f t="shared" ref="K62:K74" si="136">K$48*($AB9+($AC9-$AB9)*10/35)*($V$28+($W$28-$V$28)*10/35)</f>
        <v>1872632.2583849188</v>
      </c>
      <c r="L62" s="70">
        <f t="shared" ref="L62:L74" si="137">L$48*($AB9+($AC9-$AB9)*15/35)*($V$28+($W$28-$V$28)*15/35)</f>
        <v>1860500.6089388693</v>
      </c>
      <c r="M62" s="70">
        <f t="shared" ref="M62:M74" si="138">M$48*($AB9+($AC9-$AB9)*20/35)*($V$28+($W$28-$V$28)*20/35)</f>
        <v>1842797.2960976069</v>
      </c>
      <c r="N62" s="70">
        <f t="shared" ref="N62:N74" si="139">N$48*($AB9+($AC9-$AB9)*25/35)*($V$28+($W$28-$V$28)*25/35)</f>
        <v>1822739.2016125182</v>
      </c>
      <c r="O62" s="70">
        <f t="shared" ref="O62:O74" si="140">O$48*($AB9+($AC9-$AB9)*30/35)*($V$28+($W$28-$V$28)*30/35)</f>
        <v>1769542.033430869</v>
      </c>
      <c r="P62" s="70">
        <f t="shared" ref="P62:P74" si="141">P$48*W$28*AC9</f>
        <v>1716169.693637565</v>
      </c>
    </row>
    <row r="63">
      <c r="A63" t="s">
        <v>510</v>
      </c>
      <c r="B63" t="s">
        <v>516</v>
      </c>
      <c r="C63" t="s">
        <v>508</v>
      </c>
      <c r="D63" t="s">
        <v>464</v>
      </c>
      <c r="E63" s="69">
        <f t="shared" si="130"/>
        <v>569890.71564081882</v>
      </c>
      <c r="F63" s="70">
        <f t="shared" si="131"/>
        <v>579840.68245097785</v>
      </c>
      <c r="G63" s="70">
        <f t="shared" si="132"/>
        <v>589288.73497237219</v>
      </c>
      <c r="H63" s="70">
        <f t="shared" si="133"/>
        <v>598751.56680017675</v>
      </c>
      <c r="I63" s="70">
        <f t="shared" si="134"/>
        <v>608229.12032731285</v>
      </c>
      <c r="J63" s="70">
        <f t="shared" si="135"/>
        <v>615656.73666650581</v>
      </c>
      <c r="K63" s="70">
        <f t="shared" si="136"/>
        <v>626830.421536232</v>
      </c>
      <c r="L63" s="70">
        <f t="shared" si="137"/>
        <v>645537.89735133841</v>
      </c>
      <c r="M63" s="70">
        <f t="shared" si="138"/>
        <v>663271.37718350103</v>
      </c>
      <c r="N63" s="70">
        <f t="shared" si="139"/>
        <v>681096.8331995873</v>
      </c>
      <c r="O63" s="70">
        <f t="shared" si="140"/>
        <v>687049.65751392709</v>
      </c>
      <c r="P63" s="70">
        <f t="shared" si="141"/>
        <v>692992.0549228827</v>
      </c>
    </row>
    <row r="64">
      <c r="A64" t="s">
        <v>510</v>
      </c>
      <c r="B64" t="s">
        <v>516</v>
      </c>
      <c r="C64" t="s">
        <v>508</v>
      </c>
      <c r="D64" t="s">
        <v>465</v>
      </c>
      <c r="E64" s="69">
        <f t="shared" si="130"/>
        <v>870058.17748667905</v>
      </c>
      <c r="F64" s="70">
        <f t="shared" si="131"/>
        <v>878736.99818436953</v>
      </c>
      <c r="G64" s="70">
        <f t="shared" si="132"/>
        <v>889762.01373166824</v>
      </c>
      <c r="H64" s="70">
        <f t="shared" si="133"/>
        <v>900714.21445592307</v>
      </c>
      <c r="I64" s="70">
        <f t="shared" si="134"/>
        <v>911593.71684177802</v>
      </c>
      <c r="J64" s="70">
        <f t="shared" si="135"/>
        <v>915920.13990801934</v>
      </c>
      <c r="K64" s="70">
        <f t="shared" si="136"/>
        <v>922230.52865357499</v>
      </c>
      <c r="L64" s="70">
        <f t="shared" si="137"/>
        <v>932272.60413893464</v>
      </c>
      <c r="M64" s="70">
        <f t="shared" si="138"/>
        <v>940197.55504064471</v>
      </c>
      <c r="N64" s="70">
        <f t="shared" si="139"/>
        <v>947582.0126259859</v>
      </c>
      <c r="O64" s="70">
        <f t="shared" si="140"/>
        <v>938097.55929612799</v>
      </c>
      <c r="P64" s="70">
        <f t="shared" si="141"/>
        <v>928560.75073170476</v>
      </c>
    </row>
    <row r="65">
      <c r="A65" t="s">
        <v>510</v>
      </c>
      <c r="B65" t="s">
        <v>516</v>
      </c>
      <c r="C65" t="s">
        <v>508</v>
      </c>
      <c r="D65" t="s">
        <v>466</v>
      </c>
      <c r="E65" s="69">
        <f t="shared" si="130"/>
        <v>218162.90446243109</v>
      </c>
      <c r="F65" s="70">
        <f t="shared" si="131"/>
        <v>226446.89686335469</v>
      </c>
      <c r="G65" s="70">
        <f t="shared" si="132"/>
        <v>232399.8500356451</v>
      </c>
      <c r="H65" s="70">
        <f t="shared" si="133"/>
        <v>238424.00532004898</v>
      </c>
      <c r="I65" s="70">
        <f t="shared" si="134"/>
        <v>244519.20017616943</v>
      </c>
      <c r="J65" s="70">
        <f t="shared" si="135"/>
        <v>252182.22912812742</v>
      </c>
      <c r="K65" s="70">
        <f t="shared" si="136"/>
        <v>263846.14675374236</v>
      </c>
      <c r="L65" s="70">
        <f t="shared" si="137"/>
        <v>283733.83689919848</v>
      </c>
      <c r="M65" s="70">
        <f t="shared" si="138"/>
        <v>303681.68273670797</v>
      </c>
      <c r="N65" s="70">
        <f t="shared" si="139"/>
        <v>324132.66443593858</v>
      </c>
      <c r="O65" s="70">
        <f t="shared" si="140"/>
        <v>339174.69635125325</v>
      </c>
      <c r="P65" s="70">
        <f t="shared" si="141"/>
        <v>354237.7758472045</v>
      </c>
    </row>
    <row r="66">
      <c r="A66" t="s">
        <v>510</v>
      </c>
      <c r="B66" t="s">
        <v>516</v>
      </c>
      <c r="C66" t="s">
        <v>508</v>
      </c>
      <c r="D66" t="s">
        <v>467</v>
      </c>
      <c r="E66" s="69">
        <f t="shared" si="130"/>
        <v>360757.95599544287</v>
      </c>
      <c r="F66" s="70">
        <f t="shared" si="131"/>
        <v>376890.05960607121</v>
      </c>
      <c r="G66" s="70">
        <f t="shared" si="132"/>
        <v>388004.3596371481</v>
      </c>
      <c r="H66" s="70">
        <f t="shared" si="133"/>
        <v>399272.04446404631</v>
      </c>
      <c r="I66" s="70">
        <f t="shared" si="134"/>
        <v>410692.76890848513</v>
      </c>
      <c r="J66" s="70">
        <f t="shared" si="135"/>
        <v>425985.45074537507</v>
      </c>
      <c r="K66" s="70">
        <f t="shared" si="136"/>
        <v>449289.94522896822</v>
      </c>
      <c r="L66" s="70">
        <f t="shared" si="137"/>
        <v>489097.21202018921</v>
      </c>
      <c r="M66" s="70">
        <f t="shared" si="138"/>
        <v>529239.4323444569</v>
      </c>
      <c r="N66" s="70">
        <f t="shared" si="139"/>
        <v>570468.11014874594</v>
      </c>
      <c r="O66" s="70">
        <f t="shared" si="140"/>
        <v>602282.64335948275</v>
      </c>
      <c r="P66" s="70">
        <f t="shared" si="141"/>
        <v>634145.59778558742</v>
      </c>
    </row>
    <row r="67">
      <c r="A67" t="s">
        <v>510</v>
      </c>
      <c r="B67" t="s">
        <v>516</v>
      </c>
      <c r="C67" t="s">
        <v>508</v>
      </c>
      <c r="D67" t="s">
        <v>468</v>
      </c>
      <c r="E67" s="69">
        <f t="shared" si="130"/>
        <v>547125.26327864744</v>
      </c>
      <c r="F67" s="70">
        <f t="shared" si="131"/>
        <v>560662.18592929246</v>
      </c>
      <c r="G67" s="70">
        <f t="shared" si="132"/>
        <v>571812.81936741888</v>
      </c>
      <c r="H67" s="70">
        <f t="shared" si="133"/>
        <v>583036.00087845663</v>
      </c>
      <c r="I67" s="70">
        <f t="shared" si="134"/>
        <v>594331.55006978707</v>
      </c>
      <c r="J67" s="70">
        <f t="shared" si="135"/>
        <v>605753.73399892391</v>
      </c>
      <c r="K67" s="70">
        <f t="shared" si="136"/>
        <v>623057.79239689978</v>
      </c>
      <c r="L67" s="70">
        <f t="shared" si="137"/>
        <v>652349.05120981613</v>
      </c>
      <c r="M67" s="70">
        <f t="shared" si="138"/>
        <v>681090.76978093223</v>
      </c>
      <c r="N67" s="70">
        <f t="shared" si="139"/>
        <v>710337.42058822594</v>
      </c>
      <c r="O67" s="70">
        <f t="shared" si="140"/>
        <v>727416.49848864053</v>
      </c>
      <c r="P67" s="70">
        <f t="shared" si="141"/>
        <v>744507.86028430716</v>
      </c>
    </row>
    <row r="68">
      <c r="A68" t="s">
        <v>510</v>
      </c>
      <c r="B68" t="s">
        <v>516</v>
      </c>
      <c r="C68" t="s">
        <v>508</v>
      </c>
      <c r="D68" t="s">
        <v>469</v>
      </c>
      <c r="E68" s="69">
        <f t="shared" si="130"/>
        <v>122740.46766843428</v>
      </c>
      <c r="F68" s="70">
        <f t="shared" si="131"/>
        <v>125991.26297293963</v>
      </c>
      <c r="G68" s="70">
        <f t="shared" si="132"/>
        <v>128604.45841620139</v>
      </c>
      <c r="H68" s="70">
        <f t="shared" si="133"/>
        <v>131237.06294109169</v>
      </c>
      <c r="I68" s="70">
        <f t="shared" si="134"/>
        <v>133889.02936175794</v>
      </c>
      <c r="J68" s="70">
        <f t="shared" si="135"/>
        <v>136681.88819852067</v>
      </c>
      <c r="K68" s="70">
        <f t="shared" si="136"/>
        <v>140916.99707787129</v>
      </c>
      <c r="L68" s="70">
        <f t="shared" si="137"/>
        <v>148096.5862916171</v>
      </c>
      <c r="M68" s="70">
        <f t="shared" si="138"/>
        <v>155173.59699797351</v>
      </c>
      <c r="N68" s="70">
        <f t="shared" si="139"/>
        <v>162386.25557235317</v>
      </c>
      <c r="O68" s="70">
        <f t="shared" si="140"/>
        <v>166827.97007541382</v>
      </c>
      <c r="P68" s="70">
        <f t="shared" si="141"/>
        <v>171273.6375041194</v>
      </c>
    </row>
    <row r="69">
      <c r="A69" t="s">
        <v>510</v>
      </c>
      <c r="B69" t="s">
        <v>516</v>
      </c>
      <c r="C69" t="s">
        <v>508</v>
      </c>
      <c r="D69" t="s">
        <v>470</v>
      </c>
      <c r="E69" s="69">
        <f t="shared" si="130"/>
        <v>810434.66842607502</v>
      </c>
      <c r="F69" s="70">
        <f t="shared" si="131"/>
        <v>815884.33960585634</v>
      </c>
      <c r="G69" s="70">
        <f t="shared" si="132"/>
        <v>824778.58412518504</v>
      </c>
      <c r="H69" s="70">
        <f t="shared" si="133"/>
        <v>833566.4180489463</v>
      </c>
      <c r="I69" s="70">
        <f t="shared" si="134"/>
        <v>842248.03258360329</v>
      </c>
      <c r="J69" s="70">
        <f t="shared" si="135"/>
        <v>843440.68551335949</v>
      </c>
      <c r="K69" s="70">
        <f t="shared" si="136"/>
        <v>844970.26294863573</v>
      </c>
      <c r="L69" s="70">
        <f t="shared" si="137"/>
        <v>846832.3339266713</v>
      </c>
      <c r="M69" s="70">
        <f t="shared" si="138"/>
        <v>846467.44851048407</v>
      </c>
      <c r="N69" s="70">
        <f t="shared" si="139"/>
        <v>845323.64313282038</v>
      </c>
      <c r="O69" s="70">
        <f t="shared" si="140"/>
        <v>828975.51062847767</v>
      </c>
      <c r="P69" s="70">
        <f t="shared" si="141"/>
        <v>812563.87027092883</v>
      </c>
    </row>
    <row r="70">
      <c r="A70" t="s">
        <v>510</v>
      </c>
      <c r="B70" t="s">
        <v>516</v>
      </c>
      <c r="C70" t="s">
        <v>508</v>
      </c>
      <c r="D70" t="s">
        <v>471</v>
      </c>
      <c r="E70" s="69">
        <f t="shared" si="130"/>
        <v>24343.287526489104</v>
      </c>
      <c r="F70" s="70">
        <f t="shared" si="131"/>
        <v>25151.409710781503</v>
      </c>
      <c r="G70" s="70">
        <f t="shared" si="132"/>
        <v>25754.982027450245</v>
      </c>
      <c r="H70" s="70">
        <f t="shared" si="133"/>
        <v>26364.796879009002</v>
      </c>
      <c r="I70" s="70">
        <f t="shared" si="134"/>
        <v>26980.839777651279</v>
      </c>
      <c r="J70" s="70">
        <f t="shared" si="135"/>
        <v>27710.721683486066</v>
      </c>
      <c r="K70" s="70">
        <f t="shared" si="136"/>
        <v>28820.365363964127</v>
      </c>
      <c r="L70" s="70">
        <f t="shared" si="137"/>
        <v>30708.951675724817</v>
      </c>
      <c r="M70" s="70">
        <f t="shared" si="138"/>
        <v>32593.003402259572</v>
      </c>
      <c r="N70" s="70">
        <f t="shared" si="139"/>
        <v>34521.042906612995</v>
      </c>
      <c r="O70" s="70">
        <f t="shared" si="140"/>
        <v>35867.974292271763</v>
      </c>
      <c r="P70" s="70">
        <f t="shared" si="141"/>
        <v>37216.603877425405</v>
      </c>
    </row>
    <row r="71">
      <c r="A71" t="s">
        <v>510</v>
      </c>
      <c r="B71" t="s">
        <v>516</v>
      </c>
      <c r="C71" t="s">
        <v>508</v>
      </c>
      <c r="D71" t="s">
        <v>472</v>
      </c>
      <c r="E71" s="69">
        <f t="shared" si="130"/>
        <v>13164.129245215523</v>
      </c>
      <c r="F71" s="70">
        <f t="shared" si="131"/>
        <v>14181.546398330864</v>
      </c>
      <c r="G71" s="70">
        <f t="shared" si="132"/>
        <v>14810.932883468326</v>
      </c>
      <c r="H71" s="70">
        <f t="shared" si="133"/>
        <v>15452.196281350331</v>
      </c>
      <c r="I71" s="70">
        <f t="shared" si="134"/>
        <v>16105.310536103278</v>
      </c>
      <c r="J71" s="70">
        <f t="shared" si="135"/>
        <v>17125.116461193658</v>
      </c>
      <c r="K71" s="70">
        <f t="shared" si="136"/>
        <v>18683.206152463703</v>
      </c>
      <c r="L71" s="70">
        <f t="shared" si="137"/>
        <v>21355.089346614604</v>
      </c>
      <c r="M71" s="70">
        <f t="shared" si="138"/>
        <v>24080.682784061151</v>
      </c>
      <c r="N71" s="70">
        <f t="shared" si="139"/>
        <v>26890.753723784161</v>
      </c>
      <c r="O71" s="70">
        <f t="shared" si="140"/>
        <v>29274.527212749719</v>
      </c>
      <c r="P71" s="70">
        <f t="shared" si="141"/>
        <v>31662.466628335045</v>
      </c>
    </row>
    <row r="72">
      <c r="A72" t="s">
        <v>510</v>
      </c>
      <c r="B72" t="s">
        <v>516</v>
      </c>
      <c r="C72" t="s">
        <v>508</v>
      </c>
      <c r="D72" t="s">
        <v>473</v>
      </c>
      <c r="E72" s="69">
        <f t="shared" si="130"/>
        <v>14349.247756053746</v>
      </c>
      <c r="F72" s="70">
        <f t="shared" si="131"/>
        <v>14886.406696951208</v>
      </c>
      <c r="G72" s="70">
        <f t="shared" si="132"/>
        <v>15273.928638165651</v>
      </c>
      <c r="H72" s="70">
        <f t="shared" si="133"/>
        <v>15666.020911160691</v>
      </c>
      <c r="I72" s="70">
        <f t="shared" si="134"/>
        <v>16062.673067036885</v>
      </c>
      <c r="J72" s="70">
        <f t="shared" si="135"/>
        <v>16558.395956720829</v>
      </c>
      <c r="K72" s="70">
        <f t="shared" si="136"/>
        <v>17312.850198453001</v>
      </c>
      <c r="L72" s="70">
        <f t="shared" si="137"/>
        <v>18599.01368672762</v>
      </c>
      <c r="M72" s="70">
        <f t="shared" si="138"/>
        <v>19888.388255186641</v>
      </c>
      <c r="N72" s="70">
        <f t="shared" si="139"/>
        <v>21210.049971484397</v>
      </c>
      <c r="O72" s="70">
        <f t="shared" si="140"/>
        <v>22177.435822463838</v>
      </c>
      <c r="P72" s="70">
        <f t="shared" si="141"/>
        <v>23146.162926650861</v>
      </c>
    </row>
    <row r="73">
      <c r="A73" t="s">
        <v>510</v>
      </c>
      <c r="B73" t="s">
        <v>516</v>
      </c>
      <c r="C73" t="s">
        <v>508</v>
      </c>
      <c r="D73" t="s">
        <v>474</v>
      </c>
      <c r="E73" s="69">
        <f t="shared" si="130"/>
        <v>9287.7349017381384</v>
      </c>
      <c r="F73" s="70">
        <f t="shared" si="131"/>
        <v>9796.7719945684985</v>
      </c>
      <c r="G73" s="70">
        <f t="shared" si="132"/>
        <v>10131.832697552609</v>
      </c>
      <c r="H73" s="70">
        <f t="shared" si="133"/>
        <v>10472.214928934129</v>
      </c>
      <c r="I73" s="70">
        <f t="shared" si="134"/>
        <v>10817.906859993171</v>
      </c>
      <c r="J73" s="70">
        <f t="shared" si="135"/>
        <v>11312.55023932623</v>
      </c>
      <c r="K73" s="70">
        <f t="shared" si="136"/>
        <v>12067.212799648341</v>
      </c>
      <c r="L73" s="70">
        <f t="shared" si="137"/>
        <v>13358.56446979582</v>
      </c>
      <c r="M73" s="70">
        <f t="shared" si="138"/>
        <v>14667.607749914094</v>
      </c>
      <c r="N73" s="70">
        <f t="shared" si="139"/>
        <v>16014.421230773003</v>
      </c>
      <c r="O73" s="70">
        <f t="shared" si="140"/>
        <v>17100.774730794332</v>
      </c>
      <c r="P73" s="70">
        <f t="shared" si="141"/>
        <v>18188.899207048231</v>
      </c>
    </row>
    <row r="74">
      <c r="A74" t="s">
        <v>510</v>
      </c>
      <c r="B74" t="s">
        <v>516</v>
      </c>
      <c r="C74" t="s">
        <v>508</v>
      </c>
      <c r="D74" t="s">
        <v>475</v>
      </c>
      <c r="E74" s="69">
        <f t="shared" si="130"/>
        <v>49371.890776374647</v>
      </c>
      <c r="F74" s="70">
        <f t="shared" si="131"/>
        <v>52077.838352854305</v>
      </c>
      <c r="G74" s="70">
        <f t="shared" si="132"/>
        <v>53858.959434173179</v>
      </c>
      <c r="H74" s="70">
        <f t="shared" si="133"/>
        <v>55668.368781854071</v>
      </c>
      <c r="I74" s="70">
        <f t="shared" si="134"/>
        <v>57506.003516597309</v>
      </c>
      <c r="J74" s="70">
        <f t="shared" si="135"/>
        <v>60135.436759046825</v>
      </c>
      <c r="K74" s="70">
        <f t="shared" si="136"/>
        <v>64147.084151595656</v>
      </c>
      <c r="L74" s="70">
        <f t="shared" si="137"/>
        <v>71011.672157922032</v>
      </c>
      <c r="M74" s="70">
        <f t="shared" si="138"/>
        <v>77970.305509467405</v>
      </c>
      <c r="N74" s="70">
        <f t="shared" si="139"/>
        <v>85129.718302426365</v>
      </c>
      <c r="O74" s="70">
        <f t="shared" si="140"/>
        <v>90904.573734351725</v>
      </c>
      <c r="P74" s="70">
        <f t="shared" si="141"/>
        <v>96688.843350257084</v>
      </c>
    </row>
    <row r="75">
      <c r="A75" t="s">
        <v>510</v>
      </c>
      <c r="B75" t="s">
        <v>516</v>
      </c>
      <c r="C75" t="s">
        <v>513</v>
      </c>
      <c r="D75" t="s">
        <v>463</v>
      </c>
      <c r="E75" s="69">
        <f t="shared" ref="E75:E87" si="142">E$48*V$29*AD9</f>
        <v>1562862.2301019123</v>
      </c>
      <c r="F75" s="70">
        <f t="shared" ref="F75:F87" si="143">F$48*($AD9+($AE9-$AD9)*2/35)*($V$29+($W$29-$V$29)*2/35)</f>
        <v>1588575.3118973838</v>
      </c>
      <c r="G75" s="70">
        <f t="shared" ref="G75:G87" si="144">G$48*($AD9+($AE9-$AD9)*3/35)*($V$29+($W$29-$V$29)*3/35)</f>
        <v>1613667.0035344998</v>
      </c>
      <c r="H75" s="70">
        <f t="shared" ref="H75:H87" si="145">H$48*($AD9+($AE9-$AD9)*4/35)*($V$29+($W$29-$V$29)*4/35)</f>
        <v>1638778.2455385774</v>
      </c>
      <c r="I75" s="70">
        <f t="shared" ref="I75:I87" si="146">I$48*($AD9+($AE9-$AD9)*5/35)*($V$29+($W$29-$V$29)*5/35)</f>
        <v>1663909.0179313088</v>
      </c>
      <c r="J75" s="70">
        <f t="shared" ref="J75:J87" si="147">J$48*($AD9+($AE9-$AD9)*7/35)*($V$29+($W$29-$V$29)*7/35)</f>
        <v>1682604.1007588711</v>
      </c>
      <c r="K75" s="70">
        <f t="shared" ref="K75:K87" si="148">K$48*($AD9+($AE9-$AD9)*10/35)*($V$29+($W$29-$V$29)*10/35)</f>
        <v>1710696.2223497059</v>
      </c>
      <c r="L75" s="70">
        <f t="shared" ref="L75:L87" si="149">L$48*($AD9+($AE9-$AD9)*15/35)*($V$29+($W$29-$V$29)*15/35)</f>
        <v>1757647.9463051672</v>
      </c>
      <c r="M75" s="70">
        <f t="shared" ref="M75:M87" si="150">M$48*($AD9+($AE9-$AD9)*20/35)*($V$29+($W$29-$V$29)*20/35)</f>
        <v>1801835.8526977894</v>
      </c>
      <c r="N75" s="70">
        <f t="shared" ref="N75:N87" si="151">N$48*($AD9+($AE9-$AD9)*25/35)*($V$29+($W$29-$V$29)*25/35)</f>
        <v>1846174.7753012981</v>
      </c>
      <c r="O75" s="70">
        <f t="shared" ref="O75:O87" si="152">O$48*($AD9+($AE9-$AD9)*30/35)*($V$29+($W$29-$V$29)*30/35)</f>
        <v>1858308.8528520023</v>
      </c>
      <c r="P75" s="70">
        <f t="shared" ref="P75:P87" si="153">P$48*W$29*AE9</f>
        <v>1870463.9903236018</v>
      </c>
    </row>
    <row r="76">
      <c r="A76" t="s">
        <v>510</v>
      </c>
      <c r="B76" t="s">
        <v>516</v>
      </c>
      <c r="C76" t="s">
        <v>513</v>
      </c>
      <c r="D76" t="s">
        <v>464</v>
      </c>
      <c r="E76" s="69">
        <f t="shared" si="142"/>
        <v>373476.61646811583</v>
      </c>
      <c r="F76" s="70">
        <f t="shared" si="143"/>
        <v>379621.26223597367</v>
      </c>
      <c r="G76" s="70">
        <f t="shared" si="144"/>
        <v>385617.4146245821</v>
      </c>
      <c r="H76" s="70">
        <f t="shared" si="145"/>
        <v>391618.23895724473</v>
      </c>
      <c r="I76" s="70">
        <f t="shared" si="146"/>
        <v>397623.73045975267</v>
      </c>
      <c r="J76" s="70">
        <f t="shared" si="147"/>
        <v>402091.28757678263</v>
      </c>
      <c r="K76" s="70">
        <f t="shared" si="148"/>
        <v>408804.45161586232</v>
      </c>
      <c r="L76" s="70">
        <f t="shared" si="149"/>
        <v>420024.48794567183</v>
      </c>
      <c r="M76" s="70">
        <f t="shared" si="150"/>
        <v>430584.05580166291</v>
      </c>
      <c r="N76" s="70">
        <f t="shared" si="151"/>
        <v>441179.71194642776</v>
      </c>
      <c r="O76" s="70">
        <f t="shared" si="152"/>
        <v>444079.38802811492</v>
      </c>
      <c r="P76" s="70">
        <f t="shared" si="153"/>
        <v>446984.09679140861</v>
      </c>
    </row>
    <row r="77">
      <c r="A77" t="s">
        <v>510</v>
      </c>
      <c r="B77" t="s">
        <v>516</v>
      </c>
      <c r="C77" t="s">
        <v>513</v>
      </c>
      <c r="D77" t="s">
        <v>465</v>
      </c>
      <c r="E77" s="69">
        <f t="shared" si="142"/>
        <v>521290.11899718718</v>
      </c>
      <c r="F77" s="70">
        <f t="shared" si="143"/>
        <v>529866.67501778516</v>
      </c>
      <c r="G77" s="70">
        <f t="shared" si="144"/>
        <v>538235.96737601177</v>
      </c>
      <c r="H77" s="70">
        <f t="shared" si="145"/>
        <v>546611.78072689113</v>
      </c>
      <c r="I77" s="70">
        <f t="shared" si="146"/>
        <v>554994.10840669181</v>
      </c>
      <c r="J77" s="70">
        <f t="shared" si="147"/>
        <v>561229.82244733814</v>
      </c>
      <c r="K77" s="70">
        <f t="shared" si="148"/>
        <v>570599.9032675873</v>
      </c>
      <c r="L77" s="70">
        <f t="shared" si="149"/>
        <v>586260.57334870461</v>
      </c>
      <c r="M77" s="70">
        <f t="shared" si="150"/>
        <v>600999.37664049875</v>
      </c>
      <c r="N77" s="70">
        <f t="shared" si="151"/>
        <v>615788.55114034133</v>
      </c>
      <c r="O77" s="70">
        <f t="shared" si="152"/>
        <v>619835.85269290046</v>
      </c>
      <c r="P77" s="70">
        <f t="shared" si="153"/>
        <v>623890.17874733708</v>
      </c>
    </row>
    <row r="78">
      <c r="A78" t="s">
        <v>510</v>
      </c>
      <c r="B78" t="s">
        <v>516</v>
      </c>
      <c r="C78" t="s">
        <v>513</v>
      </c>
      <c r="D78" t="s">
        <v>466</v>
      </c>
      <c r="E78" s="69">
        <f t="shared" si="142"/>
        <v>137459.66199706661</v>
      </c>
      <c r="F78" s="70">
        <f t="shared" si="143"/>
        <v>139721.22508588599</v>
      </c>
      <c r="G78" s="70">
        <f t="shared" si="144"/>
        <v>141928.13455297812</v>
      </c>
      <c r="H78" s="70">
        <f t="shared" si="145"/>
        <v>144136.76354901059</v>
      </c>
      <c r="I78" s="70">
        <f t="shared" si="146"/>
        <v>146347.11031681547</v>
      </c>
      <c r="J78" s="70">
        <f t="shared" si="147"/>
        <v>147991.41377299168</v>
      </c>
      <c r="K78" s="70">
        <f t="shared" si="148"/>
        <v>150462.22243691655</v>
      </c>
      <c r="L78" s="70">
        <f t="shared" si="149"/>
        <v>154591.80467442216</v>
      </c>
      <c r="M78" s="70">
        <f t="shared" si="150"/>
        <v>158478.29867248359</v>
      </c>
      <c r="N78" s="70">
        <f t="shared" si="151"/>
        <v>162378.07511918611</v>
      </c>
      <c r="O78" s="70">
        <f t="shared" si="152"/>
        <v>163445.3132714942</v>
      </c>
      <c r="P78" s="70">
        <f t="shared" si="153"/>
        <v>164514.40372373772</v>
      </c>
    </row>
    <row r="79">
      <c r="A79" t="s">
        <v>510</v>
      </c>
      <c r="B79" t="s">
        <v>516</v>
      </c>
      <c r="C79" t="s">
        <v>513</v>
      </c>
      <c r="D79" t="s">
        <v>467</v>
      </c>
      <c r="E79" s="69">
        <f t="shared" si="142"/>
        <v>261928.57585359563</v>
      </c>
      <c r="F79" s="70">
        <f t="shared" si="143"/>
        <v>266237.97099142277</v>
      </c>
      <c r="G79" s="70">
        <f t="shared" si="144"/>
        <v>270443.22397513513</v>
      </c>
      <c r="H79" s="70">
        <f t="shared" si="145"/>
        <v>274651.75351110974</v>
      </c>
      <c r="I79" s="70">
        <f t="shared" si="146"/>
        <v>278863.55625107343</v>
      </c>
      <c r="J79" s="70">
        <f t="shared" si="147"/>
        <v>281996.76679655386</v>
      </c>
      <c r="K79" s="70">
        <f t="shared" si="148"/>
        <v>286704.87814461155</v>
      </c>
      <c r="L79" s="70">
        <f t="shared" si="149"/>
        <v>294573.77276158822</v>
      </c>
      <c r="M79" s="70">
        <f t="shared" si="150"/>
        <v>301979.46417087968</v>
      </c>
      <c r="N79" s="70">
        <f t="shared" si="151"/>
        <v>309410.46520778019</v>
      </c>
      <c r="O79" s="70">
        <f t="shared" si="152"/>
        <v>311444.08121752011</v>
      </c>
      <c r="P79" s="70">
        <f t="shared" si="153"/>
        <v>313481.22677387099</v>
      </c>
    </row>
    <row r="80">
      <c r="A80" t="s">
        <v>510</v>
      </c>
      <c r="B80" t="s">
        <v>516</v>
      </c>
      <c r="C80" t="s">
        <v>513</v>
      </c>
      <c r="D80" t="s">
        <v>468</v>
      </c>
      <c r="E80" s="69">
        <f t="shared" si="142"/>
        <v>213837.61719286305</v>
      </c>
      <c r="F80" s="70">
        <f t="shared" si="143"/>
        <v>217355.79303454957</v>
      </c>
      <c r="G80" s="70">
        <f t="shared" si="144"/>
        <v>220788.94756837504</v>
      </c>
      <c r="H80" s="70">
        <f t="shared" si="145"/>
        <v>224224.7770685576</v>
      </c>
      <c r="I80" s="70">
        <f t="shared" si="146"/>
        <v>227663.27880157821</v>
      </c>
      <c r="J80" s="70">
        <f t="shared" si="147"/>
        <v>230221.22145837176</v>
      </c>
      <c r="K80" s="70">
        <f t="shared" si="148"/>
        <v>234064.90788649963</v>
      </c>
      <c r="L80" s="70">
        <f t="shared" si="149"/>
        <v>240489.04725102842</v>
      </c>
      <c r="M80" s="70">
        <f t="shared" si="150"/>
        <v>246535.0290591137</v>
      </c>
      <c r="N80" s="70">
        <f t="shared" si="151"/>
        <v>252601.67356290654</v>
      </c>
      <c r="O80" s="70">
        <f t="shared" si="152"/>
        <v>254261.91090200125</v>
      </c>
      <c r="P80" s="70">
        <f t="shared" si="153"/>
        <v>255925.02975119694</v>
      </c>
    </row>
    <row r="81">
      <c r="A81" t="s">
        <v>510</v>
      </c>
      <c r="B81" t="s">
        <v>516</v>
      </c>
      <c r="C81" t="s">
        <v>513</v>
      </c>
      <c r="D81" t="s">
        <v>469</v>
      </c>
      <c r="E81" s="69">
        <f t="shared" si="142"/>
        <v>59003.291444658505</v>
      </c>
      <c r="F81" s="70">
        <f t="shared" si="143"/>
        <v>59974.046530997512</v>
      </c>
      <c r="G81" s="70">
        <f t="shared" si="144"/>
        <v>60921.34205454967</v>
      </c>
      <c r="H81" s="70">
        <f t="shared" si="145"/>
        <v>61869.375670031761</v>
      </c>
      <c r="I81" s="70">
        <f t="shared" si="146"/>
        <v>62818.146623195709</v>
      </c>
      <c r="J81" s="70">
        <f t="shared" si="147"/>
        <v>63523.948708248834</v>
      </c>
      <c r="K81" s="70">
        <f t="shared" si="148"/>
        <v>64584.520526799177</v>
      </c>
      <c r="L81" s="70">
        <f t="shared" si="149"/>
        <v>66357.105594769382</v>
      </c>
      <c r="M81" s="70">
        <f t="shared" si="150"/>
        <v>68025.347279158421</v>
      </c>
      <c r="N81" s="70">
        <f t="shared" si="151"/>
        <v>69699.290332057222</v>
      </c>
      <c r="O81" s="70">
        <f t="shared" si="152"/>
        <v>70157.392460540825</v>
      </c>
      <c r="P81" s="70">
        <f t="shared" si="153"/>
        <v>70616.289671678824</v>
      </c>
    </row>
    <row r="82">
      <c r="A82" t="s">
        <v>510</v>
      </c>
      <c r="B82" t="s">
        <v>516</v>
      </c>
      <c r="C82" t="s">
        <v>513</v>
      </c>
      <c r="D82" t="s">
        <v>470</v>
      </c>
      <c r="E82" s="69">
        <f t="shared" si="142"/>
        <v>312478.83138330781</v>
      </c>
      <c r="F82" s="70">
        <f t="shared" si="143"/>
        <v>317619.90754213755</v>
      </c>
      <c r="G82" s="70">
        <f t="shared" si="144"/>
        <v>322636.74289024435</v>
      </c>
      <c r="H82" s="70">
        <f t="shared" si="145"/>
        <v>327657.4871406866</v>
      </c>
      <c r="I82" s="70">
        <f t="shared" si="146"/>
        <v>332682.13629899954</v>
      </c>
      <c r="J82" s="70">
        <f t="shared" si="147"/>
        <v>336420.03303874593</v>
      </c>
      <c r="K82" s="70">
        <f t="shared" si="148"/>
        <v>342036.77465339837</v>
      </c>
      <c r="L82" s="70">
        <f t="shared" si="149"/>
        <v>351424.30706057505</v>
      </c>
      <c r="M82" s="70">
        <f t="shared" si="150"/>
        <v>360259.24150642275</v>
      </c>
      <c r="N82" s="70">
        <f t="shared" si="151"/>
        <v>369124.37014865503</v>
      </c>
      <c r="O82" s="70">
        <f t="shared" si="152"/>
        <v>371550.45883384329</v>
      </c>
      <c r="P82" s="70">
        <f t="shared" si="153"/>
        <v>373980.75824173237</v>
      </c>
    </row>
    <row r="83">
      <c r="A83" t="s">
        <v>510</v>
      </c>
      <c r="B83" t="s">
        <v>516</v>
      </c>
      <c r="C83" t="s">
        <v>513</v>
      </c>
      <c r="D83" t="s">
        <v>471</v>
      </c>
      <c r="E83" s="69">
        <f t="shared" si="142"/>
        <v>26181.994338334389</v>
      </c>
      <c r="F83" s="70">
        <f t="shared" si="143"/>
        <v>26835.176003544901</v>
      </c>
      <c r="G83" s="70">
        <f t="shared" si="144"/>
        <v>27372.080773572699</v>
      </c>
      <c r="H83" s="70">
        <f t="shared" si="145"/>
        <v>27912.883933383462</v>
      </c>
      <c r="I83" s="70">
        <f t="shared" si="146"/>
        <v>28457.591580703072</v>
      </c>
      <c r="J83" s="70">
        <f t="shared" si="147"/>
        <v>29013.429913860957</v>
      </c>
      <c r="K83" s="70">
        <f t="shared" si="148"/>
        <v>29858.280637163552</v>
      </c>
      <c r="L83" s="70">
        <f t="shared" si="149"/>
        <v>31296.091054520446</v>
      </c>
      <c r="M83" s="70">
        <f t="shared" si="150"/>
        <v>32718.135399410399</v>
      </c>
      <c r="N83" s="70">
        <f t="shared" si="151"/>
        <v>34175.554989262841</v>
      </c>
      <c r="O83" s="70">
        <f t="shared" si="152"/>
        <v>35058.2028307324</v>
      </c>
      <c r="P83" s="70">
        <f t="shared" si="153"/>
        <v>35951.299318604135</v>
      </c>
    </row>
    <row r="84">
      <c r="A84" t="s">
        <v>510</v>
      </c>
      <c r="B84" t="s">
        <v>516</v>
      </c>
      <c r="C84" t="s">
        <v>513</v>
      </c>
      <c r="D84" t="s">
        <v>472</v>
      </c>
      <c r="E84" s="69">
        <f t="shared" si="142"/>
        <v>24304.852766228072</v>
      </c>
      <c r="F84" s="70">
        <f t="shared" si="143"/>
        <v>24911.203985978242</v>
      </c>
      <c r="G84" s="70">
        <f t="shared" si="144"/>
        <v>25409.614886858504</v>
      </c>
      <c r="H84" s="70">
        <f t="shared" si="145"/>
        <v>25911.644678968976</v>
      </c>
      <c r="I84" s="70">
        <f t="shared" si="146"/>
        <v>26417.2990228536</v>
      </c>
      <c r="J84" s="70">
        <f t="shared" si="147"/>
        <v>26933.286028069939</v>
      </c>
      <c r="K84" s="70">
        <f t="shared" si="148"/>
        <v>27717.56442084485</v>
      </c>
      <c r="L84" s="70">
        <f t="shared" si="149"/>
        <v>29052.289730461249</v>
      </c>
      <c r="M84" s="70">
        <f t="shared" si="150"/>
        <v>30372.379330320062</v>
      </c>
      <c r="N84" s="70">
        <f t="shared" si="151"/>
        <v>31725.30791521844</v>
      </c>
      <c r="O84" s="70">
        <f t="shared" si="152"/>
        <v>32544.673527865332</v>
      </c>
      <c r="P84" s="70">
        <f t="shared" si="153"/>
        <v>33373.738661837044</v>
      </c>
    </row>
    <row r="85">
      <c r="A85" t="s">
        <v>510</v>
      </c>
      <c r="B85" t="s">
        <v>516</v>
      </c>
      <c r="C85" t="s">
        <v>513</v>
      </c>
      <c r="D85" t="s">
        <v>473</v>
      </c>
      <c r="E85" s="69">
        <f t="shared" si="142"/>
        <v>9002.5217270274861</v>
      </c>
      <c r="F85" s="70">
        <f t="shared" si="143"/>
        <v>9227.1143251606227</v>
      </c>
      <c r="G85" s="70">
        <f t="shared" si="144"/>
        <v>9411.725810254522</v>
      </c>
      <c r="H85" s="70">
        <f t="shared" si="145"/>
        <v>9597.6777332947458</v>
      </c>
      <c r="I85" s="70">
        <f t="shared" si="146"/>
        <v>9784.9721909477648</v>
      </c>
      <c r="J85" s="70">
        <f t="shared" si="147"/>
        <v>9976.0938681701173</v>
      </c>
      <c r="K85" s="70">
        <f t="shared" si="148"/>
        <v>10266.590722395254</v>
      </c>
      <c r="L85" s="70">
        <f t="shared" si="149"/>
        <v>10760.973211152041</v>
      </c>
      <c r="M85" s="70">
        <f t="shared" si="150"/>
        <v>11249.934630447906</v>
      </c>
      <c r="N85" s="70">
        <f t="shared" si="151"/>
        <v>11751.059615561502</v>
      </c>
      <c r="O85" s="70">
        <f t="shared" si="152"/>
        <v>12054.552782180572</v>
      </c>
      <c r="P85" s="70">
        <f t="shared" si="153"/>
        <v>12361.63865319939</v>
      </c>
    </row>
    <row r="86">
      <c r="A86" t="s">
        <v>510</v>
      </c>
      <c r="B86" t="s">
        <v>516</v>
      </c>
      <c r="C86" t="s">
        <v>513</v>
      </c>
      <c r="D86" t="s">
        <v>474</v>
      </c>
      <c r="E86" s="69">
        <f t="shared" si="142"/>
        <v>8714.9443417326347</v>
      </c>
      <c r="F86" s="70">
        <f t="shared" si="143"/>
        <v>9027.2407460148515</v>
      </c>
      <c r="G86" s="70">
        <f t="shared" si="144"/>
        <v>9255.6734460851676</v>
      </c>
      <c r="H86" s="70">
        <f t="shared" si="145"/>
        <v>9486.9269934546119</v>
      </c>
      <c r="I86" s="70">
        <f t="shared" si="146"/>
        <v>9721.0061616925286</v>
      </c>
      <c r="J86" s="70">
        <f t="shared" si="147"/>
        <v>10009.52880823725</v>
      </c>
      <c r="K86" s="70">
        <f t="shared" si="148"/>
        <v>10450.383597967817</v>
      </c>
      <c r="L86" s="70">
        <f t="shared" si="149"/>
        <v>11206.776456936266</v>
      </c>
      <c r="M86" s="70">
        <f t="shared" si="150"/>
        <v>11970.94676745502</v>
      </c>
      <c r="N86" s="70">
        <f t="shared" si="151"/>
        <v>12760.902943359197</v>
      </c>
      <c r="O86" s="70">
        <f t="shared" si="152"/>
        <v>13344.500827942958</v>
      </c>
      <c r="P86" s="70">
        <f t="shared" si="153"/>
        <v>13935.88323918847</v>
      </c>
    </row>
    <row r="87">
      <c r="A87" t="s">
        <v>510</v>
      </c>
      <c r="B87" t="s">
        <v>516</v>
      </c>
      <c r="C87" t="s">
        <v>513</v>
      </c>
      <c r="D87" t="s">
        <v>475</v>
      </c>
      <c r="E87" s="69">
        <f t="shared" si="142"/>
        <v>46327.041492289507</v>
      </c>
      <c r="F87" s="70">
        <f t="shared" si="143"/>
        <v>47987.151747933262</v>
      </c>
      <c r="G87" s="70">
        <f t="shared" si="144"/>
        <v>49201.457974041557</v>
      </c>
      <c r="H87" s="70">
        <f t="shared" si="145"/>
        <v>50430.759305654363</v>
      </c>
      <c r="I87" s="70">
        <f t="shared" si="146"/>
        <v>51675.081118188456</v>
      </c>
      <c r="J87" s="70">
        <f t="shared" si="147"/>
        <v>53208.814449557613</v>
      </c>
      <c r="K87" s="70">
        <f t="shared" si="148"/>
        <v>55552.317441093866</v>
      </c>
      <c r="L87" s="70">
        <f t="shared" si="149"/>
        <v>59573.162783054584</v>
      </c>
      <c r="M87" s="70">
        <f t="shared" si="150"/>
        <v>63635.351627227908</v>
      </c>
      <c r="N87" s="70">
        <f t="shared" si="151"/>
        <v>67834.613389917155</v>
      </c>
      <c r="O87" s="70">
        <f t="shared" si="152"/>
        <v>70936.91242405519</v>
      </c>
      <c r="P87" s="70">
        <f t="shared" si="153"/>
        <v>74080.592570397232</v>
      </c>
    </row>
    <row r="88">
      <c r="D88" t="s">
        <v>517</v>
      </c>
      <c r="E88" s="235">
        <f t="shared" ref="E88:P88" si="154">SUM(E90:E128)-E89</f>
        <v>0</v>
      </c>
      <c r="F88" s="235">
        <f t="shared" si="154"/>
        <v>0</v>
      </c>
      <c r="G88" s="235">
        <f t="shared" si="154"/>
        <v>0</v>
      </c>
      <c r="H88" s="235">
        <f t="shared" si="154"/>
        <v>0</v>
      </c>
      <c r="I88" s="235">
        <f t="shared" si="154"/>
        <v>0</v>
      </c>
      <c r="J88" s="235">
        <f t="shared" si="154"/>
        <v>0</v>
      </c>
      <c r="K88" s="235">
        <f t="shared" si="154"/>
        <v>0</v>
      </c>
      <c r="L88" s="235">
        <f t="shared" si="154"/>
        <v>0</v>
      </c>
      <c r="M88" s="235">
        <f t="shared" si="154"/>
        <v>0</v>
      </c>
      <c r="N88" s="235">
        <f t="shared" si="154"/>
        <v>0</v>
      </c>
      <c r="O88" s="235">
        <f t="shared" si="154"/>
        <v>0</v>
      </c>
      <c r="P88" s="235">
        <f t="shared" si="154"/>
        <v>0</v>
      </c>
    </row>
    <row r="89">
      <c r="D89" t="s">
        <v>518</v>
      </c>
      <c r="E89" s="69">
        <f>'parc résidentiel'!D13</f>
        <v>3224604.7103705499</v>
      </c>
      <c r="F89" s="69">
        <f>E89+($I89-$E89)/4</f>
        <v>3317703.5327779124</v>
      </c>
      <c r="G89" s="69">
        <f>F89+($I89-$E89)/4</f>
        <v>3410802.355185275</v>
      </c>
      <c r="H89" s="69">
        <f>G89+($I89-$E89)/4</f>
        <v>3503901.1775926375</v>
      </c>
      <c r="I89" s="69">
        <f>'parc résidentiel'!E13</f>
        <v>3597000</v>
      </c>
      <c r="J89" s="69">
        <f>I89+(L89-I89)*2/10</f>
        <v>3722665.3385117301</v>
      </c>
      <c r="K89" s="69">
        <f>(I89+L89)/2</f>
        <v>3911163.346279325</v>
      </c>
      <c r="L89" s="69">
        <f>'parc résidentiel'!F13</f>
        <v>4225326.6925586499</v>
      </c>
      <c r="M89" s="69">
        <f>(L89+N89)/2</f>
        <v>4441845.540801255</v>
      </c>
      <c r="N89" s="69">
        <f>'parc résidentiel'!G13</f>
        <v>4658364.3890438601</v>
      </c>
      <c r="O89" s="69">
        <f>(N89+P89)/2</f>
        <v>4811212.8920507208</v>
      </c>
      <c r="P89" s="69">
        <f>'parc résidentiel'!H13</f>
        <v>4964061.3950575804</v>
      </c>
    </row>
    <row r="90">
      <c r="A90" t="s">
        <v>519</v>
      </c>
      <c r="B90" t="s">
        <v>511</v>
      </c>
      <c r="C90" t="s">
        <v>506</v>
      </c>
      <c r="D90" t="s">
        <v>463</v>
      </c>
      <c r="E90" s="69">
        <f t="shared" ref="E90:E102" si="155">E$89*T$31*AF9</f>
        <v>177874.76027183072</v>
      </c>
      <c r="F90" s="70">
        <f t="shared" ref="F90:F102" si="156">F$89*($AF9+($AG9-$AF9)*2/35)*($T$31+($U$31-$T$31)*2/35)</f>
        <v>182975.5216933199</v>
      </c>
      <c r="G90" s="70">
        <f t="shared" ref="G90:G102" si="157">G$89*($AF9+($AG9-$AF9)*3/35)*($T$31+($U$31-$T$31)*3/35)</f>
        <v>188092.18528267951</v>
      </c>
      <c r="H90" s="70">
        <f t="shared" ref="H90:H102" si="158">H$89*($AF9+($AG9-$AF9)*4/35)*($T$31+($U$31-$T$31)*4/35)</f>
        <v>193207.87347795125</v>
      </c>
      <c r="I90" s="70">
        <f t="shared" ref="I90:I102" si="159">I$89*($AF9+($AG9-$AF9)*5/35)*($T$31+($U$31-$T$31)*5/35)</f>
        <v>198322.58621859565</v>
      </c>
      <c r="J90" s="70">
        <f t="shared" ref="J90:J102" si="160">J$89*($AF9+($AG9-$AF9)*7/35)*($T$31+($U$31-$T$31)*7/35)</f>
        <v>205212.23667002225</v>
      </c>
      <c r="K90" s="70">
        <f t="shared" ref="K90:K102" si="161">K$89*($AF9+($AG9-$AF9)*10/35)*($T$31+($U$31-$T$31)*10/35)</f>
        <v>215541.77189569196</v>
      </c>
      <c r="L90" s="70">
        <f t="shared" ref="L90:L102" si="162">L$89*($AF9+($AG9-$AF9)*15/35)*($T$31+($U$31-$T$31)*15/35)</f>
        <v>232744.48667734017</v>
      </c>
      <c r="M90" s="70">
        <f t="shared" ref="M90:M102" si="163">M$89*($AF9+($AG9-$AF9)*20/35)*($T$31+($U$31-$T$31)*20/35)</f>
        <v>244554.71184629091</v>
      </c>
      <c r="N90" s="70">
        <f t="shared" ref="N90:N102" si="164">N$89*($AF9+($AG9-$AF9)*25/35)*($T$31+($U$31-$T$31)*25/35)</f>
        <v>256353.57125047623</v>
      </c>
      <c r="O90" s="70">
        <f t="shared" ref="O90:O102" si="165">O$89*($AF9+($AG9-$AF9)*30/35)*($T$31+($U$31-$T$31)*30/35)</f>
        <v>264638.89872973156</v>
      </c>
      <c r="P90" s="70">
        <f t="shared" ref="P90:P102" si="166">P$89*U$31*AG9</f>
        <v>272916.19031089183</v>
      </c>
    </row>
    <row r="91">
      <c r="A91" t="s">
        <v>519</v>
      </c>
      <c r="B91" t="s">
        <v>511</v>
      </c>
      <c r="C91" t="s">
        <v>506</v>
      </c>
      <c r="D91" t="s">
        <v>464</v>
      </c>
      <c r="E91" s="69">
        <f t="shared" si="155"/>
        <v>121419.69444404458</v>
      </c>
      <c r="F91" s="70">
        <f t="shared" si="156"/>
        <v>124901.54252795888</v>
      </c>
      <c r="G91" s="70">
        <f t="shared" si="157"/>
        <v>128394.24564471131</v>
      </c>
      <c r="H91" s="70">
        <f t="shared" si="158"/>
        <v>131886.28294439148</v>
      </c>
      <c r="I91" s="70">
        <f t="shared" si="159"/>
        <v>135377.65438567434</v>
      </c>
      <c r="J91" s="70">
        <f t="shared" si="160"/>
        <v>140080.62208811895</v>
      </c>
      <c r="K91" s="70">
        <f t="shared" si="161"/>
        <v>147131.70122342239</v>
      </c>
      <c r="L91" s="70">
        <f t="shared" si="162"/>
        <v>158874.50480726827</v>
      </c>
      <c r="M91" s="70">
        <f t="shared" si="163"/>
        <v>166936.3227354438</v>
      </c>
      <c r="N91" s="70">
        <f t="shared" si="164"/>
        <v>174990.3822403173</v>
      </c>
      <c r="O91" s="70">
        <f t="shared" si="165"/>
        <v>180646.0577805831</v>
      </c>
      <c r="P91" s="70">
        <f t="shared" si="166"/>
        <v>186296.24790914799</v>
      </c>
    </row>
    <row r="92">
      <c r="A92" t="s">
        <v>519</v>
      </c>
      <c r="B92" t="s">
        <v>511</v>
      </c>
      <c r="C92" t="s">
        <v>506</v>
      </c>
      <c r="D92" t="s">
        <v>465</v>
      </c>
      <c r="E92" s="69">
        <f t="shared" si="155"/>
        <v>316857.9226714056</v>
      </c>
      <c r="F92" s="70">
        <f t="shared" si="156"/>
        <v>325944.18463226839</v>
      </c>
      <c r="G92" s="70">
        <f t="shared" si="157"/>
        <v>335058.77398409811</v>
      </c>
      <c r="H92" s="70">
        <f t="shared" si="158"/>
        <v>344171.62581372983</v>
      </c>
      <c r="I92" s="70">
        <f t="shared" si="159"/>
        <v>353282.74001332099</v>
      </c>
      <c r="J92" s="70">
        <f t="shared" si="160"/>
        <v>365555.64667323732</v>
      </c>
      <c r="K92" s="70">
        <f t="shared" si="161"/>
        <v>383956.20596992999</v>
      </c>
      <c r="L92" s="70">
        <f t="shared" si="162"/>
        <v>414600.33143040421</v>
      </c>
      <c r="M92" s="70">
        <f t="shared" si="163"/>
        <v>435638.52373827581</v>
      </c>
      <c r="N92" s="70">
        <f t="shared" si="164"/>
        <v>456656.46959517454</v>
      </c>
      <c r="O92" s="70">
        <f t="shared" si="165"/>
        <v>471415.57116594957</v>
      </c>
      <c r="P92" s="70">
        <f t="shared" si="166"/>
        <v>486160.35795719468</v>
      </c>
    </row>
    <row r="93">
      <c r="A93" t="s">
        <v>519</v>
      </c>
      <c r="B93" t="s">
        <v>511</v>
      </c>
      <c r="C93" t="s">
        <v>506</v>
      </c>
      <c r="D93" t="s">
        <v>466</v>
      </c>
      <c r="E93" s="69">
        <f t="shared" si="155"/>
        <v>229965.09068006961</v>
      </c>
      <c r="F93" s="70">
        <f t="shared" si="156"/>
        <v>236559.60167779398</v>
      </c>
      <c r="G93" s="70">
        <f t="shared" si="157"/>
        <v>243174.67176704283</v>
      </c>
      <c r="H93" s="70">
        <f t="shared" si="158"/>
        <v>249788.48081965267</v>
      </c>
      <c r="I93" s="70">
        <f t="shared" si="159"/>
        <v>256401.02875735506</v>
      </c>
      <c r="J93" s="70">
        <f t="shared" si="160"/>
        <v>265308.30198934732</v>
      </c>
      <c r="K93" s="70">
        <f t="shared" si="161"/>
        <v>278662.82458279422</v>
      </c>
      <c r="L93" s="70">
        <f t="shared" si="162"/>
        <v>300903.32603819738</v>
      </c>
      <c r="M93" s="70">
        <f t="shared" si="163"/>
        <v>316172.15618464042</v>
      </c>
      <c r="N93" s="70">
        <f t="shared" si="164"/>
        <v>331426.29212083708</v>
      </c>
      <c r="O93" s="70">
        <f t="shared" si="165"/>
        <v>342137.96409818408</v>
      </c>
      <c r="P93" s="70">
        <f t="shared" si="166"/>
        <v>352839.24687792192</v>
      </c>
    </row>
    <row r="94">
      <c r="A94" t="s">
        <v>519</v>
      </c>
      <c r="B94" t="s">
        <v>511</v>
      </c>
      <c r="C94" t="s">
        <v>506</v>
      </c>
      <c r="D94" t="s">
        <v>467</v>
      </c>
      <c r="E94" s="69">
        <f t="shared" si="155"/>
        <v>297218.84869232157</v>
      </c>
      <c r="F94" s="70">
        <f t="shared" si="156"/>
        <v>305741.93783005187</v>
      </c>
      <c r="G94" s="70">
        <f t="shared" si="157"/>
        <v>314291.59860739502</v>
      </c>
      <c r="H94" s="70">
        <f t="shared" si="158"/>
        <v>322839.62955537188</v>
      </c>
      <c r="I94" s="70">
        <f t="shared" si="159"/>
        <v>331386.03057282424</v>
      </c>
      <c r="J94" s="70">
        <f t="shared" si="160"/>
        <v>342898.25395930238</v>
      </c>
      <c r="K94" s="70">
        <f t="shared" si="161"/>
        <v>360158.33381890983</v>
      </c>
      <c r="L94" s="70">
        <f t="shared" si="162"/>
        <v>388903.11511317635</v>
      </c>
      <c r="M94" s="70">
        <f t="shared" si="163"/>
        <v>408637.34565914178</v>
      </c>
      <c r="N94" s="70">
        <f t="shared" si="164"/>
        <v>428352.58464321872</v>
      </c>
      <c r="O94" s="70">
        <f t="shared" si="165"/>
        <v>442196.90685430611</v>
      </c>
      <c r="P94" s="70">
        <f t="shared" si="166"/>
        <v>456027.80152583477</v>
      </c>
    </row>
    <row r="95">
      <c r="A95" t="s">
        <v>519</v>
      </c>
      <c r="B95" t="s">
        <v>511</v>
      </c>
      <c r="C95" t="s">
        <v>506</v>
      </c>
      <c r="D95" t="s">
        <v>468</v>
      </c>
      <c r="E95" s="69">
        <f t="shared" si="155"/>
        <v>271811.35717206023</v>
      </c>
      <c r="F95" s="70">
        <f t="shared" si="156"/>
        <v>279605.85754112375</v>
      </c>
      <c r="G95" s="70">
        <f t="shared" si="157"/>
        <v>287424.65809658938</v>
      </c>
      <c r="H95" s="70">
        <f t="shared" si="158"/>
        <v>295241.96814721666</v>
      </c>
      <c r="I95" s="70">
        <f t="shared" si="159"/>
        <v>303057.78760049498</v>
      </c>
      <c r="J95" s="70">
        <f t="shared" si="160"/>
        <v>313585.89870957821</v>
      </c>
      <c r="K95" s="70">
        <f t="shared" si="161"/>
        <v>329370.51584331389</v>
      </c>
      <c r="L95" s="70">
        <f t="shared" si="162"/>
        <v>355658.07482412661</v>
      </c>
      <c r="M95" s="70">
        <f t="shared" si="163"/>
        <v>373705.34205177799</v>
      </c>
      <c r="N95" s="70">
        <f t="shared" si="164"/>
        <v>391735.24119448313</v>
      </c>
      <c r="O95" s="70">
        <f t="shared" si="165"/>
        <v>404396.09371402982</v>
      </c>
      <c r="P95" s="70">
        <f t="shared" si="166"/>
        <v>417044.6665354115</v>
      </c>
    </row>
    <row r="96">
      <c r="A96" t="s">
        <v>519</v>
      </c>
      <c r="B96" t="s">
        <v>511</v>
      </c>
      <c r="C96" t="s">
        <v>506</v>
      </c>
      <c r="D96" t="s">
        <v>469</v>
      </c>
      <c r="E96" s="69">
        <f t="shared" si="155"/>
        <v>107212.12822731232</v>
      </c>
      <c r="F96" s="70">
        <f t="shared" si="156"/>
        <v>110286.5581618455</v>
      </c>
      <c r="G96" s="70">
        <f t="shared" si="157"/>
        <v>113370.57295967355</v>
      </c>
      <c r="H96" s="70">
        <f t="shared" si="158"/>
        <v>116453.99984904366</v>
      </c>
      <c r="I96" s="70">
        <f t="shared" si="159"/>
        <v>119536.83879346629</v>
      </c>
      <c r="J96" s="70">
        <f t="shared" si="160"/>
        <v>123689.50264814074</v>
      </c>
      <c r="K96" s="70">
        <f t="shared" si="161"/>
        <v>129915.52062534344</v>
      </c>
      <c r="L96" s="70">
        <f t="shared" si="162"/>
        <v>140284.27479940059</v>
      </c>
      <c r="M96" s="70">
        <f t="shared" si="163"/>
        <v>147402.76296080116</v>
      </c>
      <c r="N96" s="70">
        <f t="shared" si="164"/>
        <v>154514.40052784214</v>
      </c>
      <c r="O96" s="70">
        <f t="shared" si="165"/>
        <v>159508.29393213242</v>
      </c>
      <c r="P96" s="70">
        <f t="shared" si="166"/>
        <v>164497.3437839385</v>
      </c>
    </row>
    <row r="97">
      <c r="A97" t="s">
        <v>519</v>
      </c>
      <c r="B97" t="s">
        <v>511</v>
      </c>
      <c r="C97" t="s">
        <v>506</v>
      </c>
      <c r="D97" t="s">
        <v>470</v>
      </c>
      <c r="E97" s="69">
        <f t="shared" si="155"/>
        <v>357606.12757480773</v>
      </c>
      <c r="F97" s="70">
        <f t="shared" si="156"/>
        <v>367860.89073982427</v>
      </c>
      <c r="G97" s="70">
        <f t="shared" si="157"/>
        <v>378147.62422296527</v>
      </c>
      <c r="H97" s="70">
        <f t="shared" si="158"/>
        <v>388432.39673703967</v>
      </c>
      <c r="I97" s="70">
        <f t="shared" si="159"/>
        <v>398715.20816033654</v>
      </c>
      <c r="J97" s="70">
        <f t="shared" si="160"/>
        <v>412566.42130892229</v>
      </c>
      <c r="K97" s="70">
        <f t="shared" si="161"/>
        <v>433333.30856180884</v>
      </c>
      <c r="L97" s="70">
        <f t="shared" si="162"/>
        <v>467918.29525378183</v>
      </c>
      <c r="M97" s="70">
        <f t="shared" si="163"/>
        <v>491662.01742100099</v>
      </c>
      <c r="N97" s="70">
        <f t="shared" si="164"/>
        <v>515382.8894260134</v>
      </c>
      <c r="O97" s="70">
        <f t="shared" si="165"/>
        <v>532040.02431697701</v>
      </c>
      <c r="P97" s="70">
        <f t="shared" si="166"/>
        <v>548681.00353529223</v>
      </c>
    </row>
    <row r="98">
      <c r="A98" t="s">
        <v>519</v>
      </c>
      <c r="B98" t="s">
        <v>511</v>
      </c>
      <c r="C98" t="s">
        <v>506</v>
      </c>
      <c r="D98" t="s">
        <v>471</v>
      </c>
      <c r="E98" s="69">
        <f t="shared" si="155"/>
        <v>6014.0133060513353</v>
      </c>
      <c r="F98" s="70">
        <f t="shared" si="156"/>
        <v>6273.8322021635831</v>
      </c>
      <c r="G98" s="70">
        <f t="shared" si="157"/>
        <v>6494.1881577170698</v>
      </c>
      <c r="H98" s="70">
        <f t="shared" si="158"/>
        <v>6716.9643110662591</v>
      </c>
      <c r="I98" s="70">
        <f t="shared" si="159"/>
        <v>6942.1607887496466</v>
      </c>
      <c r="J98" s="70">
        <f t="shared" si="160"/>
        <v>7281.4159421002305</v>
      </c>
      <c r="K98" s="70">
        <f t="shared" si="161"/>
        <v>7802.5559107708114</v>
      </c>
      <c r="L98" s="70">
        <f t="shared" si="162"/>
        <v>8703.8141883548287</v>
      </c>
      <c r="M98" s="70">
        <f t="shared" si="163"/>
        <v>9438.4618488032902</v>
      </c>
      <c r="N98" s="70">
        <f t="shared" si="164"/>
        <v>10201.301656198171</v>
      </c>
      <c r="O98" s="70">
        <f t="shared" si="165"/>
        <v>10848.771140491743</v>
      </c>
      <c r="P98" s="70">
        <f t="shared" si="166"/>
        <v>11516.168386376812</v>
      </c>
    </row>
    <row r="99">
      <c r="A99" t="s">
        <v>519</v>
      </c>
      <c r="B99" t="s">
        <v>511</v>
      </c>
      <c r="C99" t="s">
        <v>506</v>
      </c>
      <c r="D99" t="s">
        <v>472</v>
      </c>
      <c r="E99" s="69">
        <f t="shared" si="155"/>
        <v>12663.914162797319</v>
      </c>
      <c r="F99" s="70">
        <f t="shared" si="156"/>
        <v>13211.023726876187</v>
      </c>
      <c r="G99" s="70">
        <f t="shared" si="157"/>
        <v>13675.034823024354</v>
      </c>
      <c r="H99" s="70">
        <f t="shared" si="158"/>
        <v>14144.142212709305</v>
      </c>
      <c r="I99" s="70">
        <f t="shared" si="159"/>
        <v>14618.346162387495</v>
      </c>
      <c r="J99" s="70">
        <f t="shared" si="160"/>
        <v>15332.727378836662</v>
      </c>
      <c r="K99" s="70">
        <f t="shared" si="161"/>
        <v>16430.109691477461</v>
      </c>
      <c r="L99" s="70">
        <f t="shared" si="162"/>
        <v>18327.920169274417</v>
      </c>
      <c r="M99" s="70">
        <f t="shared" si="163"/>
        <v>19874.892954063227</v>
      </c>
      <c r="N99" s="70">
        <f t="shared" si="164"/>
        <v>21481.230909965841</v>
      </c>
      <c r="O99" s="70">
        <f t="shared" si="165"/>
        <v>22844.629618092091</v>
      </c>
      <c r="P99" s="70">
        <f t="shared" si="166"/>
        <v>24249.990897534484</v>
      </c>
    </row>
    <row r="100">
      <c r="A100" t="s">
        <v>519</v>
      </c>
      <c r="B100" t="s">
        <v>511</v>
      </c>
      <c r="C100" t="s">
        <v>506</v>
      </c>
      <c r="D100" t="s">
        <v>473</v>
      </c>
      <c r="E100" s="69">
        <f t="shared" si="155"/>
        <v>790.58372490954707</v>
      </c>
      <c r="F100" s="70">
        <f t="shared" si="156"/>
        <v>824.7387192930189</v>
      </c>
      <c r="G100" s="70">
        <f t="shared" si="157"/>
        <v>853.70603667028297</v>
      </c>
      <c r="H100" s="70">
        <f t="shared" si="158"/>
        <v>882.99150581924653</v>
      </c>
      <c r="I100" s="70">
        <f t="shared" si="159"/>
        <v>912.59514337427186</v>
      </c>
      <c r="J100" s="70">
        <f t="shared" si="160"/>
        <v>957.19258424803741</v>
      </c>
      <c r="K100" s="70">
        <f t="shared" si="161"/>
        <v>1025.7000445185813</v>
      </c>
      <c r="L100" s="70">
        <f t="shared" si="162"/>
        <v>1144.1766906345774</v>
      </c>
      <c r="M100" s="70">
        <f t="shared" si="163"/>
        <v>1240.7512165520752</v>
      </c>
      <c r="N100" s="70">
        <f t="shared" si="164"/>
        <v>1341.0317955512432</v>
      </c>
      <c r="O100" s="70">
        <f t="shared" si="165"/>
        <v>1426.1461460870196</v>
      </c>
      <c r="P100" s="70">
        <f t="shared" si="166"/>
        <v>1513.8801389791349</v>
      </c>
    </row>
    <row r="101">
      <c r="A101" t="s">
        <v>519</v>
      </c>
      <c r="B101" t="s">
        <v>511</v>
      </c>
      <c r="C101" t="s">
        <v>506</v>
      </c>
      <c r="D101" t="s">
        <v>474</v>
      </c>
      <c r="E101" s="69">
        <f t="shared" si="155"/>
        <v>940.82700251868937</v>
      </c>
      <c r="F101" s="70">
        <f t="shared" si="156"/>
        <v>992.78804526042666</v>
      </c>
      <c r="G101" s="70">
        <f t="shared" si="157"/>
        <v>1033.3945221440681</v>
      </c>
      <c r="H101" s="70">
        <f t="shared" si="158"/>
        <v>1074.6973566502563</v>
      </c>
      <c r="I101" s="70">
        <f t="shared" si="159"/>
        <v>1116.6965852293911</v>
      </c>
      <c r="J101" s="70">
        <f t="shared" si="160"/>
        <v>1183.5394567764299</v>
      </c>
      <c r="K101" s="70">
        <f t="shared" si="161"/>
        <v>1287.3305117745822</v>
      </c>
      <c r="L101" s="70">
        <f t="shared" si="162"/>
        <v>1469.7219039438987</v>
      </c>
      <c r="M101" s="70">
        <f t="shared" si="163"/>
        <v>1628.0838858999266</v>
      </c>
      <c r="N101" s="70">
        <f t="shared" si="164"/>
        <v>1794.557541881486</v>
      </c>
      <c r="O101" s="70">
        <f t="shared" si="165"/>
        <v>1943.4261923429631</v>
      </c>
      <c r="P101" s="70">
        <f t="shared" si="166"/>
        <v>2098.0286291357925</v>
      </c>
    </row>
    <row r="102">
      <c r="A102" t="s">
        <v>519</v>
      </c>
      <c r="B102" t="s">
        <v>511</v>
      </c>
      <c r="C102" t="s">
        <v>506</v>
      </c>
      <c r="D102" t="s">
        <v>475</v>
      </c>
      <c r="E102" s="69">
        <f t="shared" si="155"/>
        <v>5001.2633326909199</v>
      </c>
      <c r="F102" s="70">
        <f t="shared" si="156"/>
        <v>5277.4786805677713</v>
      </c>
      <c r="G102" s="70">
        <f t="shared" si="157"/>
        <v>5493.3352443826307</v>
      </c>
      <c r="H102" s="70">
        <f t="shared" si="158"/>
        <v>5712.893517262768</v>
      </c>
      <c r="I102" s="70">
        <f t="shared" si="159"/>
        <v>5936.1536929718068</v>
      </c>
      <c r="J102" s="70">
        <f t="shared" si="160"/>
        <v>6291.4781060945379</v>
      </c>
      <c r="K102" s="70">
        <f t="shared" si="161"/>
        <v>6843.2122678840251</v>
      </c>
      <c r="L102" s="70">
        <f t="shared" si="162"/>
        <v>7812.7713679234948</v>
      </c>
      <c r="M102" s="70">
        <f t="shared" si="163"/>
        <v>8654.5945421400593</v>
      </c>
      <c r="N102" s="70">
        <f t="shared" si="164"/>
        <v>9539.537883785948</v>
      </c>
      <c r="O102" s="70">
        <f t="shared" si="165"/>
        <v>10330.896253546782</v>
      </c>
      <c r="P102" s="70">
        <f t="shared" si="166"/>
        <v>11152.734377034612</v>
      </c>
    </row>
    <row r="103">
      <c r="A103" t="s">
        <v>519</v>
      </c>
      <c r="B103" t="s">
        <v>516</v>
      </c>
      <c r="C103" t="s">
        <v>506</v>
      </c>
      <c r="D103" t="s">
        <v>463</v>
      </c>
      <c r="E103" s="69">
        <f t="shared" ref="E103:E115" si="167">E$89*V$31*AH9</f>
        <v>195607.01428644924</v>
      </c>
      <c r="F103" s="70">
        <f t="shared" ref="F103:F115" si="168">F$89*($AH9+($AI9-$AH9)*2/35)*($V$31+($W$31-$V$31)*2/35)</f>
        <v>201216.21879878567</v>
      </c>
      <c r="G103" s="70">
        <f t="shared" ref="G103:G115" si="169">G$89*($AH9+($AI9-$AH9)*3/35)*($V$31+($W$31-$V$31)*3/35)</f>
        <v>206842.9357370451</v>
      </c>
      <c r="H103" s="70">
        <f t="shared" ref="H103:H115" si="170">H$89*($AH9+($AI9-$AH9)*4/35)*($V$31+($W$31-$V$31)*4/35)</f>
        <v>212468.58036603351</v>
      </c>
      <c r="I103" s="70">
        <f t="shared" ref="I103:I115" si="171">I$89*($AH9+($AI9-$AH9)*5/35)*($V$31+($W$31-$V$31)*5/35)</f>
        <v>218093.15274544462</v>
      </c>
      <c r="J103" s="70">
        <f t="shared" ref="J103:J115" si="172">J$89*($AH9+($AI9-$AH9)*7/35)*($V$31+($W$31-$V$31)*7/35)</f>
        <v>225669.58634947639</v>
      </c>
      <c r="K103" s="70">
        <f t="shared" ref="K103:K115" si="173">K$89*($AH9+($AI9-$AH9)*10/35)*($V$31+($W$31-$V$31)*10/35)</f>
        <v>237028.81215421332</v>
      </c>
      <c r="L103" s="70">
        <f t="shared" ref="L103:L115" si="174">L$89*($AH9+($AI9-$AH9)*15/35)*($V$31+($W$31-$V$31)*15/35)</f>
        <v>255946.39224444635</v>
      </c>
      <c r="M103" s="70">
        <f t="shared" ref="M103:M115" si="175">M$89*($AH9+($AI9-$AH9)*20/35)*($V$31+($W$31-$V$31)*20/35)</f>
        <v>268933.95871018548</v>
      </c>
      <c r="N103" s="70">
        <f t="shared" ref="N103:N115" si="176">N$89*($AH9+($AI9-$AH9)*25/35)*($V$31+($W$31-$V$31)*25/35)</f>
        <v>281909.07901371457</v>
      </c>
      <c r="O103" s="70">
        <f t="shared" ref="O103:O115" si="177">O$89*($AH9+($AI9-$AH9)*30/35)*($V$31+($W$31-$V$31)*30/35)</f>
        <v>291020.46714234672</v>
      </c>
      <c r="P103" s="70">
        <f t="shared" ref="P103:P115" si="178">P$89*W$31*AH9</f>
        <v>300857.64354949445</v>
      </c>
    </row>
    <row r="104">
      <c r="A104" t="s">
        <v>519</v>
      </c>
      <c r="B104" t="s">
        <v>516</v>
      </c>
      <c r="C104" t="s">
        <v>506</v>
      </c>
      <c r="D104" t="s">
        <v>464</v>
      </c>
      <c r="E104" s="69">
        <f t="shared" si="167"/>
        <v>24922.694779286732</v>
      </c>
      <c r="F104" s="70">
        <f t="shared" si="168"/>
        <v>25637.375142491081</v>
      </c>
      <c r="G104" s="70">
        <f t="shared" si="169"/>
        <v>26354.286800149344</v>
      </c>
      <c r="H104" s="70">
        <f t="shared" si="170"/>
        <v>27071.061832662708</v>
      </c>
      <c r="I104" s="70">
        <f t="shared" si="171"/>
        <v>27787.700247636869</v>
      </c>
      <c r="J104" s="70">
        <f t="shared" si="172"/>
        <v>28753.029343414059</v>
      </c>
      <c r="K104" s="70">
        <f t="shared" si="173"/>
        <v>30200.33182739286</v>
      </c>
      <c r="L104" s="70">
        <f t="shared" si="174"/>
        <v>32610.659883733155</v>
      </c>
      <c r="M104" s="70">
        <f t="shared" si="175"/>
        <v>34265.432623514884</v>
      </c>
      <c r="N104" s="70">
        <f t="shared" si="176"/>
        <v>35918.61957199427</v>
      </c>
      <c r="O104" s="70">
        <f t="shared" si="177"/>
        <v>37079.52040253899</v>
      </c>
      <c r="P104" s="70">
        <f t="shared" si="178"/>
        <v>38332.895420708504</v>
      </c>
    </row>
    <row r="105">
      <c r="A105" t="s">
        <v>519</v>
      </c>
      <c r="B105" t="s">
        <v>516</v>
      </c>
      <c r="C105" t="s">
        <v>506</v>
      </c>
      <c r="D105" t="s">
        <v>465</v>
      </c>
      <c r="E105" s="69">
        <f t="shared" si="167"/>
        <v>296510.22959990404</v>
      </c>
      <c r="F105" s="70">
        <f t="shared" si="168"/>
        <v>305012.92324763851</v>
      </c>
      <c r="G105" s="70">
        <f t="shared" si="169"/>
        <v>313542.16304685036</v>
      </c>
      <c r="H105" s="70">
        <f t="shared" si="170"/>
        <v>322069.77738968818</v>
      </c>
      <c r="I105" s="70">
        <f t="shared" si="171"/>
        <v>330595.76636663877</v>
      </c>
      <c r="J105" s="70">
        <f t="shared" si="172"/>
        <v>342080.47756513441</v>
      </c>
      <c r="K105" s="70">
        <f t="shared" si="173"/>
        <v>359299.32149936783</v>
      </c>
      <c r="L105" s="70">
        <f t="shared" si="174"/>
        <v>387975.47115837398</v>
      </c>
      <c r="M105" s="70">
        <f t="shared" si="175"/>
        <v>407662.62976435816</v>
      </c>
      <c r="N105" s="70">
        <f t="shared" si="176"/>
        <v>427330.92189754231</v>
      </c>
      <c r="O105" s="70">
        <f t="shared" si="177"/>
        <v>441142.38870945491</v>
      </c>
      <c r="P105" s="70">
        <f t="shared" si="178"/>
        <v>456054.03922330897</v>
      </c>
    </row>
    <row r="106">
      <c r="A106" t="s">
        <v>519</v>
      </c>
      <c r="B106" t="s">
        <v>516</v>
      </c>
      <c r="C106" t="s">
        <v>506</v>
      </c>
      <c r="D106" t="s">
        <v>466</v>
      </c>
      <c r="E106" s="69">
        <f t="shared" si="167"/>
        <v>56385.208790555327</v>
      </c>
      <c r="F106" s="70">
        <f t="shared" si="168"/>
        <v>58002.10463005655</v>
      </c>
      <c r="G106" s="70">
        <f t="shared" si="169"/>
        <v>59624.048559452182</v>
      </c>
      <c r="H106" s="70">
        <f t="shared" si="170"/>
        <v>61245.683387549208</v>
      </c>
      <c r="I106" s="70">
        <f t="shared" si="171"/>
        <v>62867.009131554776</v>
      </c>
      <c r="J106" s="70">
        <f t="shared" si="172"/>
        <v>65050.973710787686</v>
      </c>
      <c r="K106" s="70">
        <f t="shared" si="173"/>
        <v>68325.356897073711</v>
      </c>
      <c r="L106" s="70">
        <f t="shared" si="174"/>
        <v>73778.493161593302</v>
      </c>
      <c r="M106" s="70">
        <f t="shared" si="175"/>
        <v>77522.257921375975</v>
      </c>
      <c r="N106" s="70">
        <f t="shared" si="176"/>
        <v>81262.434980291087</v>
      </c>
      <c r="O106" s="70">
        <f t="shared" si="177"/>
        <v>83888.861869320637</v>
      </c>
      <c r="P106" s="70">
        <f t="shared" si="178"/>
        <v>86724.502746770348</v>
      </c>
    </row>
    <row r="107">
      <c r="A107" t="s">
        <v>519</v>
      </c>
      <c r="B107" t="s">
        <v>516</v>
      </c>
      <c r="C107" t="s">
        <v>506</v>
      </c>
      <c r="D107" t="s">
        <v>467</v>
      </c>
      <c r="E107" s="69">
        <f t="shared" si="167"/>
        <v>83067.598581633967</v>
      </c>
      <c r="F107" s="70">
        <f t="shared" si="168"/>
        <v>85449.635598520908</v>
      </c>
      <c r="G107" s="70">
        <f t="shared" si="169"/>
        <v>87839.109542821025</v>
      </c>
      <c r="H107" s="70">
        <f t="shared" si="170"/>
        <v>90228.128114104999</v>
      </c>
      <c r="I107" s="70">
        <f t="shared" si="171"/>
        <v>92616.691337722659</v>
      </c>
      <c r="J107" s="70">
        <f t="shared" si="172"/>
        <v>95834.143163752145</v>
      </c>
      <c r="K107" s="70">
        <f t="shared" si="173"/>
        <v>100658.01726043578</v>
      </c>
      <c r="L107" s="70">
        <f t="shared" si="174"/>
        <v>108691.6655158616</v>
      </c>
      <c r="M107" s="70">
        <f t="shared" si="175"/>
        <v>114207.04011356611</v>
      </c>
      <c r="N107" s="70">
        <f t="shared" si="176"/>
        <v>119717.1292525149</v>
      </c>
      <c r="O107" s="70">
        <f t="shared" si="177"/>
        <v>123586.42368631435</v>
      </c>
      <c r="P107" s="70">
        <f t="shared" si="178"/>
        <v>127763.93554061327</v>
      </c>
    </row>
    <row r="108">
      <c r="A108" t="s">
        <v>519</v>
      </c>
      <c r="B108" t="s">
        <v>516</v>
      </c>
      <c r="C108" t="s">
        <v>506</v>
      </c>
      <c r="D108" t="s">
        <v>468</v>
      </c>
      <c r="E108" s="69">
        <f t="shared" si="167"/>
        <v>124192.62402354313</v>
      </c>
      <c r="F108" s="70">
        <f t="shared" si="168"/>
        <v>127753.95759643648</v>
      </c>
      <c r="G108" s="70">
        <f t="shared" si="169"/>
        <v>131326.40996349131</v>
      </c>
      <c r="H108" s="70">
        <f t="shared" si="170"/>
        <v>134898.1815119026</v>
      </c>
      <c r="I108" s="70">
        <f t="shared" si="171"/>
        <v>138469.27227957043</v>
      </c>
      <c r="J108" s="70">
        <f t="shared" si="172"/>
        <v>143279.61700804188</v>
      </c>
      <c r="K108" s="70">
        <f t="shared" si="173"/>
        <v>150491.6899733821</v>
      </c>
      <c r="L108" s="70">
        <f t="shared" si="174"/>
        <v>162502.62894789682</v>
      </c>
      <c r="M108" s="70">
        <f t="shared" si="175"/>
        <v>170748.54980581798</v>
      </c>
      <c r="N108" s="70">
        <f t="shared" si="176"/>
        <v>178986.56848523329</v>
      </c>
      <c r="O108" s="70">
        <f t="shared" si="177"/>
        <v>184771.46942204071</v>
      </c>
      <c r="P108" s="70">
        <f t="shared" si="178"/>
        <v>191017.17975836384</v>
      </c>
    </row>
    <row r="109">
      <c r="A109" t="s">
        <v>519</v>
      </c>
      <c r="B109" t="s">
        <v>516</v>
      </c>
      <c r="C109" t="s">
        <v>506</v>
      </c>
      <c r="D109" t="s">
        <v>469</v>
      </c>
      <c r="E109" s="69">
        <f t="shared" si="167"/>
        <v>31225.433172510202</v>
      </c>
      <c r="F109" s="70">
        <f t="shared" si="168"/>
        <v>32120.850145617376</v>
      </c>
      <c r="G109" s="70">
        <f t="shared" si="169"/>
        <v>33019.062688644888</v>
      </c>
      <c r="H109" s="70">
        <f t="shared" si="170"/>
        <v>33917.104055185693</v>
      </c>
      <c r="I109" s="70">
        <f t="shared" si="171"/>
        <v>34814.974254768895</v>
      </c>
      <c r="J109" s="70">
        <f t="shared" si="172"/>
        <v>36024.42690170827</v>
      </c>
      <c r="K109" s="70">
        <f t="shared" si="173"/>
        <v>37837.739924000241</v>
      </c>
      <c r="L109" s="70">
        <f t="shared" si="174"/>
        <v>40857.619528256851</v>
      </c>
      <c r="M109" s="70">
        <f t="shared" si="175"/>
        <v>42930.870276594505</v>
      </c>
      <c r="N109" s="70">
        <f t="shared" si="176"/>
        <v>45002.134200442437</v>
      </c>
      <c r="O109" s="70">
        <f t="shared" si="177"/>
        <v>46456.617017212877</v>
      </c>
      <c r="P109" s="70">
        <f t="shared" si="178"/>
        <v>48026.959960323031</v>
      </c>
    </row>
    <row r="110">
      <c r="A110" t="s">
        <v>519</v>
      </c>
      <c r="B110" t="s">
        <v>516</v>
      </c>
      <c r="C110" t="s">
        <v>506</v>
      </c>
      <c r="D110" t="s">
        <v>470</v>
      </c>
      <c r="E110" s="69">
        <f t="shared" si="167"/>
        <v>496321.62933244213</v>
      </c>
      <c r="F110" s="70">
        <f t="shared" si="168"/>
        <v>510554.09197176661</v>
      </c>
      <c r="G110" s="70">
        <f t="shared" si="169"/>
        <v>524830.98960131558</v>
      </c>
      <c r="H110" s="70">
        <f t="shared" si="170"/>
        <v>539105.16641695879</v>
      </c>
      <c r="I110" s="70">
        <f t="shared" si="171"/>
        <v>553376.62257015961</v>
      </c>
      <c r="J110" s="70">
        <f t="shared" si="172"/>
        <v>572600.61555732007</v>
      </c>
      <c r="K110" s="70">
        <f t="shared" si="173"/>
        <v>601422.84097662976</v>
      </c>
      <c r="L110" s="70">
        <f t="shared" si="174"/>
        <v>649423.18599320319</v>
      </c>
      <c r="M110" s="70">
        <f t="shared" si="175"/>
        <v>682377.06636836904</v>
      </c>
      <c r="N110" s="70">
        <f t="shared" si="176"/>
        <v>715299.3665901873</v>
      </c>
      <c r="O110" s="70">
        <f t="shared" si="177"/>
        <v>738418.06209289888</v>
      </c>
      <c r="P110" s="70">
        <f t="shared" si="178"/>
        <v>763378.32970005367</v>
      </c>
    </row>
    <row r="111">
      <c r="A111" t="s">
        <v>519</v>
      </c>
      <c r="B111" t="s">
        <v>516</v>
      </c>
      <c r="C111" t="s">
        <v>506</v>
      </c>
      <c r="D111" t="s">
        <v>471</v>
      </c>
      <c r="E111" s="69">
        <f t="shared" si="167"/>
        <v>4118.0134820184239</v>
      </c>
      <c r="F111" s="70">
        <f t="shared" si="168"/>
        <v>4296.0043196309152</v>
      </c>
      <c r="G111" s="70">
        <f t="shared" si="169"/>
        <v>4446.9313624673232</v>
      </c>
      <c r="H111" s="70">
        <f t="shared" si="170"/>
        <v>4599.5150611564923</v>
      </c>
      <c r="I111" s="70">
        <f t="shared" si="171"/>
        <v>4753.7552895973304</v>
      </c>
      <c r="J111" s="70">
        <f t="shared" si="172"/>
        <v>4986.1280217766207</v>
      </c>
      <c r="K111" s="70">
        <f t="shared" si="173"/>
        <v>5343.0660086794733</v>
      </c>
      <c r="L111" s="70">
        <f t="shared" si="174"/>
        <v>5960.3006828080715</v>
      </c>
      <c r="M111" s="70">
        <f t="shared" si="175"/>
        <v>6463.3653748305496</v>
      </c>
      <c r="N111" s="70">
        <f t="shared" si="176"/>
        <v>6985.6455448654433</v>
      </c>
      <c r="O111" s="70">
        <f t="shared" si="177"/>
        <v>7428.822745086728</v>
      </c>
      <c r="P111" s="70">
        <f t="shared" si="178"/>
        <v>6333.8006401488183</v>
      </c>
    </row>
    <row r="112">
      <c r="A112" t="s">
        <v>519</v>
      </c>
      <c r="B112" t="s">
        <v>516</v>
      </c>
      <c r="C112" t="s">
        <v>506</v>
      </c>
      <c r="D112" t="s">
        <v>472</v>
      </c>
      <c r="E112" s="69">
        <f t="shared" si="167"/>
        <v>4338.2734517745512</v>
      </c>
      <c r="F112" s="70">
        <f t="shared" si="168"/>
        <v>4525.7844759237278</v>
      </c>
      <c r="G112" s="70">
        <f t="shared" si="169"/>
        <v>4684.7841455341095</v>
      </c>
      <c r="H112" s="70">
        <f t="shared" si="170"/>
        <v>4845.5290804614087</v>
      </c>
      <c r="I112" s="70">
        <f t="shared" si="171"/>
        <v>5008.019147859769</v>
      </c>
      <c r="J112" s="70">
        <f t="shared" si="172"/>
        <v>5252.8207881000581</v>
      </c>
      <c r="K112" s="70">
        <f t="shared" si="173"/>
        <v>5628.8502982685177</v>
      </c>
      <c r="L112" s="70">
        <f t="shared" si="174"/>
        <v>6279.0989708334127</v>
      </c>
      <c r="M112" s="70">
        <f t="shared" si="175"/>
        <v>6809.0710574853856</v>
      </c>
      <c r="N112" s="70">
        <f t="shared" si="176"/>
        <v>7359.2863994079953</v>
      </c>
      <c r="O112" s="70">
        <f t="shared" si="177"/>
        <v>7826.1677951457805</v>
      </c>
      <c r="P112" s="70">
        <f t="shared" si="178"/>
        <v>6672.5763006784018</v>
      </c>
    </row>
    <row r="113">
      <c r="A113" t="s">
        <v>519</v>
      </c>
      <c r="B113" t="s">
        <v>516</v>
      </c>
      <c r="C113" t="s">
        <v>506</v>
      </c>
      <c r="D113" t="s">
        <v>473</v>
      </c>
      <c r="E113" s="69">
        <f t="shared" si="167"/>
        <v>97.608542195081341</v>
      </c>
      <c r="F113" s="70">
        <f t="shared" si="168"/>
        <v>101.82742740740495</v>
      </c>
      <c r="G113" s="70">
        <f t="shared" si="169"/>
        <v>105.40482429874675</v>
      </c>
      <c r="H113" s="70">
        <f t="shared" si="170"/>
        <v>109.02148860954044</v>
      </c>
      <c r="I113" s="70">
        <f t="shared" si="171"/>
        <v>112.67741735083425</v>
      </c>
      <c r="J113" s="70">
        <f t="shared" si="172"/>
        <v>118.18530695171805</v>
      </c>
      <c r="K113" s="70">
        <f t="shared" si="173"/>
        <v>126.64574466222251</v>
      </c>
      <c r="L113" s="70">
        <f t="shared" si="174"/>
        <v>141.27594852071465</v>
      </c>
      <c r="M113" s="70">
        <f t="shared" si="175"/>
        <v>153.20000157021164</v>
      </c>
      <c r="N113" s="70">
        <f t="shared" si="176"/>
        <v>165.57951568232136</v>
      </c>
      <c r="O113" s="70">
        <f t="shared" si="177"/>
        <v>176.08406614981874</v>
      </c>
      <c r="P113" s="70">
        <f t="shared" si="178"/>
        <v>150.12895167506235</v>
      </c>
    </row>
    <row r="114">
      <c r="A114" t="s">
        <v>519</v>
      </c>
      <c r="B114" t="s">
        <v>516</v>
      </c>
      <c r="C114" t="s">
        <v>506</v>
      </c>
      <c r="D114" t="s">
        <v>474</v>
      </c>
      <c r="E114" s="69">
        <f t="shared" si="167"/>
        <v>386.62478839472368</v>
      </c>
      <c r="F114" s="70">
        <f t="shared" si="168"/>
        <v>407.99212677407445</v>
      </c>
      <c r="G114" s="70">
        <f t="shared" si="169"/>
        <v>424.68614019322337</v>
      </c>
      <c r="H114" s="70">
        <f t="shared" si="170"/>
        <v>441.666222341484</v>
      </c>
      <c r="I114" s="70">
        <f t="shared" si="171"/>
        <v>458.93235147980249</v>
      </c>
      <c r="J114" s="70">
        <f t="shared" si="172"/>
        <v>486.41335167382408</v>
      </c>
      <c r="K114" s="70">
        <f t="shared" si="173"/>
        <v>529.08170720012981</v>
      </c>
      <c r="L114" s="70">
        <f t="shared" si="174"/>
        <v>604.05293558793858</v>
      </c>
      <c r="M114" s="70">
        <f t="shared" si="175"/>
        <v>669.13470373627479</v>
      </c>
      <c r="N114" s="70">
        <f t="shared" si="176"/>
        <v>737.53458433021035</v>
      </c>
      <c r="O114" s="70">
        <f t="shared" si="177"/>
        <v>798.68176579537237</v>
      </c>
      <c r="P114" s="70">
        <f t="shared" si="178"/>
        <v>594.65670593959135</v>
      </c>
    </row>
    <row r="115">
      <c r="A115" t="s">
        <v>519</v>
      </c>
      <c r="B115" t="s">
        <v>516</v>
      </c>
      <c r="C115" t="s">
        <v>506</v>
      </c>
      <c r="D115" t="s">
        <v>475</v>
      </c>
      <c r="E115" s="69">
        <f t="shared" si="167"/>
        <v>2055.2262770216462</v>
      </c>
      <c r="F115" s="70">
        <f t="shared" si="168"/>
        <v>2168.8111185151001</v>
      </c>
      <c r="G115" s="70">
        <f t="shared" si="169"/>
        <v>2257.5534239178201</v>
      </c>
      <c r="H115" s="70">
        <f t="shared" si="170"/>
        <v>2347.8164180780973</v>
      </c>
      <c r="I115" s="70">
        <f t="shared" si="171"/>
        <v>2439.5999854351194</v>
      </c>
      <c r="J115" s="70">
        <f t="shared" si="172"/>
        <v>2585.683928867963</v>
      </c>
      <c r="K115" s="70">
        <f t="shared" si="173"/>
        <v>2812.501060379549</v>
      </c>
      <c r="L115" s="70">
        <f t="shared" si="174"/>
        <v>3211.0343237095371</v>
      </c>
      <c r="M115" s="70">
        <f t="shared" si="175"/>
        <v>3556.9970350215995</v>
      </c>
      <c r="N115" s="70">
        <f t="shared" si="176"/>
        <v>3920.598221912589</v>
      </c>
      <c r="O115" s="70">
        <f t="shared" si="177"/>
        <v>4245.6453939648572</v>
      </c>
      <c r="P115" s="70">
        <f t="shared" si="178"/>
        <v>3161.085694811753</v>
      </c>
    </row>
  </sheetData>
  <mergeCells count="13">
    <mergeCell ref="AD7:AE7"/>
    <mergeCell ref="AF7:AG7"/>
    <mergeCell ref="AH7:AI7"/>
    <mergeCell ref="T7:U7"/>
    <mergeCell ref="V7:W7"/>
    <mergeCell ref="X7:Y7"/>
    <mergeCell ref="Z7:AA7"/>
    <mergeCell ref="AB7:AC7"/>
    <mergeCell ref="T5:AE5"/>
    <mergeCell ref="AF5:AI5"/>
    <mergeCell ref="T6:Y6"/>
    <mergeCell ref="Z6:AE6"/>
    <mergeCell ref="AF6:AI6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6" workbookViewId="0">
      <selection activeCell="C49" activeCellId="0" sqref="C49"/>
    </sheetView>
  </sheetViews>
  <sheetFormatPr baseColWidth="10" defaultColWidth="9.140625" defaultRowHeight="15"/>
  <cols>
    <col customWidth="1" min="1" max="4" width="8.7109375"/>
    <col customWidth="1" min="5" max="13" width="10.5703125"/>
    <col customWidth="1" min="14" max="14" width="10.7109375"/>
    <col customWidth="1" min="15" max="16" width="10.5703125"/>
    <col customWidth="1" min="17" max="21" width="8.7109375"/>
    <col customWidth="1" min="22" max="22" width="9.85546875"/>
    <col customWidth="1" min="23" max="1025" width="8.7109375"/>
  </cols>
  <sheetData>
    <row r="3">
      <c r="C3" t="s">
        <v>1</v>
      </c>
    </row>
    <row r="5">
      <c r="E5">
        <v>2015</v>
      </c>
      <c r="F5">
        <v>2017</v>
      </c>
      <c r="G5">
        <v>2018</v>
      </c>
      <c r="H5">
        <v>2019</v>
      </c>
      <c r="I5">
        <v>2020</v>
      </c>
      <c r="J5">
        <v>2022</v>
      </c>
      <c r="K5">
        <v>2025</v>
      </c>
      <c r="L5">
        <v>2030</v>
      </c>
      <c r="M5">
        <v>2035</v>
      </c>
      <c r="N5">
        <v>2040</v>
      </c>
      <c r="O5">
        <v>2045</v>
      </c>
      <c r="P5">
        <v>2050</v>
      </c>
      <c r="T5" s="233" t="s">
        <v>502</v>
      </c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 t="s">
        <v>24</v>
      </c>
      <c r="AG5" s="233"/>
      <c r="AH5" s="233"/>
      <c r="AI5" s="233"/>
      <c r="AK5" t="s">
        <v>503</v>
      </c>
    </row>
    <row r="6">
      <c r="D6" t="s">
        <v>504</v>
      </c>
      <c r="E6" s="236">
        <f t="shared" ref="E6:P6" si="179">SUM(E8:E46)-E7</f>
        <v>0</v>
      </c>
      <c r="F6" s="236">
        <f t="shared" si="179"/>
        <v>0</v>
      </c>
      <c r="G6" s="236">
        <f t="shared" si="179"/>
        <v>0</v>
      </c>
      <c r="H6" s="236">
        <f t="shared" si="179"/>
        <v>0</v>
      </c>
      <c r="I6" s="236">
        <f t="shared" si="179"/>
        <v>0</v>
      </c>
      <c r="J6" s="236">
        <f t="shared" si="179"/>
        <v>0</v>
      </c>
      <c r="K6" s="236">
        <f t="shared" si="179"/>
        <v>0</v>
      </c>
      <c r="L6" s="236">
        <f t="shared" si="179"/>
        <v>0</v>
      </c>
      <c r="M6" s="236">
        <f t="shared" si="179"/>
        <v>0</v>
      </c>
      <c r="N6" s="236">
        <f t="shared" si="179"/>
        <v>0</v>
      </c>
      <c r="O6" s="236">
        <f t="shared" si="179"/>
        <v>0</v>
      </c>
      <c r="P6" s="236">
        <f t="shared" si="179"/>
        <v>0</v>
      </c>
      <c r="S6" t="s">
        <v>505</v>
      </c>
      <c r="T6" s="233" t="s">
        <v>73</v>
      </c>
      <c r="U6" s="233"/>
      <c r="V6" s="233"/>
      <c r="W6" s="233"/>
      <c r="X6" s="233"/>
      <c r="Y6" s="233"/>
      <c r="Z6" s="233" t="s">
        <v>77</v>
      </c>
      <c r="AA6" s="233"/>
      <c r="AB6" s="233"/>
      <c r="AC6" s="233"/>
      <c r="AD6" s="233"/>
      <c r="AE6" s="233"/>
      <c r="AF6" s="233" t="s">
        <v>506</v>
      </c>
      <c r="AG6" s="233"/>
      <c r="AH6" s="233"/>
      <c r="AI6" s="233"/>
    </row>
    <row r="7">
      <c r="D7" t="s">
        <v>507</v>
      </c>
      <c r="E7" s="69">
        <f>'parc résidentiel'!N10</f>
        <v>15865322.079735959</v>
      </c>
      <c r="F7" s="69">
        <f>E7+($I7-$E7)/4</f>
        <v>16030020.05980197</v>
      </c>
      <c r="G7" s="69">
        <f>F7+($I7-$E7)/4</f>
        <v>16194718.039867979</v>
      </c>
      <c r="H7" s="69">
        <f>G7+($I7-$E7)/4</f>
        <v>16359416.019933987</v>
      </c>
      <c r="I7" s="69">
        <f>'parc résidentiel'!O10</f>
        <v>16524113.999999998</v>
      </c>
      <c r="J7" s="69">
        <f>I7+(L7-I7)*2/10</f>
        <v>16591068.980290491</v>
      </c>
      <c r="K7" s="69">
        <f>(I7+L7)/2</f>
        <v>16691501.45072623</v>
      </c>
      <c r="L7" s="69">
        <f>'parc résidentiel'!P10</f>
        <v>16858888.901452459</v>
      </c>
      <c r="M7" s="69">
        <f>(L7+N7)/2</f>
        <v>17000915.391238987</v>
      </c>
      <c r="N7" s="69">
        <f>'parc résidentiel'!Q10</f>
        <v>17142941.881025512</v>
      </c>
      <c r="O7" s="69">
        <f>(N7+P7)/2</f>
        <v>17183306.83697544</v>
      </c>
      <c r="P7" s="69">
        <f>'parc résidentiel'!R10</f>
        <v>17223671.792925369</v>
      </c>
      <c r="T7" s="66" t="s">
        <v>506</v>
      </c>
      <c r="U7" s="66"/>
      <c r="V7" s="66" t="s">
        <v>508</v>
      </c>
      <c r="W7" s="66"/>
      <c r="X7" s="66" t="s">
        <v>509</v>
      </c>
      <c r="Y7" s="66"/>
      <c r="Z7" s="66" t="s">
        <v>506</v>
      </c>
      <c r="AA7" s="66"/>
      <c r="AB7" s="66" t="s">
        <v>508</v>
      </c>
      <c r="AC7" s="66"/>
      <c r="AD7" s="66" t="s">
        <v>509</v>
      </c>
      <c r="AE7" s="66"/>
      <c r="AF7" s="66" t="s">
        <v>73</v>
      </c>
      <c r="AG7" s="66"/>
      <c r="AH7" s="66" t="s">
        <v>77</v>
      </c>
      <c r="AI7" s="66"/>
    </row>
    <row r="8">
      <c r="A8" t="s">
        <v>510</v>
      </c>
      <c r="B8" t="s">
        <v>511</v>
      </c>
      <c r="C8" t="s">
        <v>506</v>
      </c>
      <c r="D8" t="s">
        <v>463</v>
      </c>
      <c r="E8" s="69">
        <f t="shared" ref="E8:E20" si="180">E$7*T$27*T9</f>
        <v>3210113.9952305565</v>
      </c>
      <c r="F8" s="70">
        <f t="shared" ref="F8:F20" si="181">F$7*($T9+($U9-$T9)*2/35)*($T$27+($U$27-$T$27)*2/35)</f>
        <v>3248617.5675854404</v>
      </c>
      <c r="G8" s="70">
        <f t="shared" ref="G8:G20" si="182">G$7*($T9+($U9-$T9)*3/35)*($T$27+($U$27-$T$27)*3/35)</f>
        <v>3284611.2795722573</v>
      </c>
      <c r="H8" s="70">
        <f t="shared" ref="H8:H20" si="183">H$7*($T9+($U9-$T9)*4/35)*($T$27+($U$27-$T$27)*4/35)</f>
        <v>3320658.2061443757</v>
      </c>
      <c r="I8" s="70">
        <f t="shared" ref="I8:I20" si="184">I$7*($T9+($U9-$T9)*5/35)*($T$27+($U$27-$T$27)*5/35)</f>
        <v>3356758.347301797</v>
      </c>
      <c r="J8" s="70">
        <f t="shared" ref="J8:J20" si="185">J$7*($T9+($U9-$T9)*7/35)*($T$27+($U$27-$T$27)*7/35)</f>
        <v>3375720.4255779171</v>
      </c>
      <c r="K8" s="70">
        <f t="shared" ref="K8:K20" si="186">K$7*($T9+($U9-$T9)*10/35)*($T$27+($U$27-$T$27)*10/35)</f>
        <v>3404244.6683383654</v>
      </c>
      <c r="L8" s="70">
        <f>L$7*($T9+($U9-$T9)*15/35)*($T$27+($U$27-$T$27)*15/35)</f>
        <v>3452001.4071958321</v>
      </c>
      <c r="M8" s="70">
        <f t="shared" ref="M8:M20" si="187">M$7*($T9+($U9-$T9)*20/35)*($T$27+($U$27-$T$27)*20/35)</f>
        <v>3494815.2050715885</v>
      </c>
      <c r="N8" s="70">
        <f t="shared" ref="N8:N20" si="188">N$7*($T9+($U9-$T9)*25/35)*($T$27+($U$27-$T$27)*25/35)</f>
        <v>3537858.4496215805</v>
      </c>
      <c r="O8" s="70">
        <f t="shared" ref="O8:O20" si="189">O$7*($T9+($U9-$T9)*30/35)*($T$27+($U$27-$T$27)*30/35)</f>
        <v>3560068.719623032</v>
      </c>
      <c r="P8" s="70">
        <f t="shared" ref="P8:P20" si="190">P$7*U$27*U9</f>
        <v>3582344.2000293336</v>
      </c>
      <c r="T8" s="66">
        <v>2015</v>
      </c>
      <c r="U8" s="66">
        <v>2050</v>
      </c>
      <c r="V8" s="66">
        <v>2015</v>
      </c>
      <c r="W8" s="66">
        <v>2050</v>
      </c>
      <c r="X8" s="66">
        <v>2015</v>
      </c>
      <c r="Y8" s="66">
        <v>2050</v>
      </c>
      <c r="Z8" s="66">
        <v>2015</v>
      </c>
      <c r="AA8" s="66">
        <v>2050</v>
      </c>
      <c r="AB8" s="66">
        <v>2015</v>
      </c>
      <c r="AC8" s="66">
        <v>2050</v>
      </c>
      <c r="AD8" s="66">
        <v>2015</v>
      </c>
      <c r="AE8" s="66">
        <v>2050</v>
      </c>
      <c r="AF8" s="66">
        <v>2015</v>
      </c>
      <c r="AG8" s="66">
        <v>2050</v>
      </c>
      <c r="AH8" s="66">
        <v>2015</v>
      </c>
      <c r="AI8" s="66">
        <v>2050</v>
      </c>
    </row>
    <row r="9">
      <c r="A9" t="s">
        <v>510</v>
      </c>
      <c r="B9" t="s">
        <v>511</v>
      </c>
      <c r="C9" t="s">
        <v>506</v>
      </c>
      <c r="D9" t="s">
        <v>464</v>
      </c>
      <c r="E9" s="69">
        <f t="shared" si="180"/>
        <v>1562882.1363553093</v>
      </c>
      <c r="F9" s="70">
        <f t="shared" si="181"/>
        <v>1581628.0579981913</v>
      </c>
      <c r="G9" s="70">
        <f t="shared" si="182"/>
        <v>1599152.0243024703</v>
      </c>
      <c r="H9" s="70">
        <f t="shared" si="183"/>
        <v>1616701.8987598196</v>
      </c>
      <c r="I9" s="70">
        <f t="shared" si="184"/>
        <v>1634277.6813702392</v>
      </c>
      <c r="J9" s="70">
        <f t="shared" si="185"/>
        <v>1643509.5944580454</v>
      </c>
      <c r="K9" s="70">
        <f t="shared" si="186"/>
        <v>1657396.9609283961</v>
      </c>
      <c r="L9" s="70">
        <f t="shared" ref="L9:L20" si="191">L$7*(T10+(U10-T10)*15/35)*(T$27+(U$27-T$27)*15/35)</f>
        <v>1680647.8966153571</v>
      </c>
      <c r="M9" s="70">
        <f t="shared" si="187"/>
        <v>1701492.3027607349</v>
      </c>
      <c r="N9" s="70">
        <f t="shared" si="188"/>
        <v>1722448.4177454063</v>
      </c>
      <c r="O9" s="70">
        <f t="shared" si="189"/>
        <v>1733261.7515648503</v>
      </c>
      <c r="P9" s="70">
        <f t="shared" si="190"/>
        <v>1744106.8338446282</v>
      </c>
      <c r="S9" s="66" t="s">
        <v>463</v>
      </c>
      <c r="T9" s="30">
        <v>0.2475272997438</v>
      </c>
      <c r="U9" s="30">
        <v>0.2475272997438</v>
      </c>
      <c r="V9" s="30">
        <v>0.22693164507163999</v>
      </c>
      <c r="W9" s="30">
        <v>0.22388050362723</v>
      </c>
      <c r="X9" s="30">
        <v>0.41763307475025502</v>
      </c>
      <c r="Y9" s="30">
        <v>0.415107680387303</v>
      </c>
      <c r="Z9" s="30">
        <v>0.41113045286053002</v>
      </c>
      <c r="AA9" s="30">
        <v>0.41037311594798598</v>
      </c>
      <c r="AB9" s="30">
        <v>0.33586507706505497</v>
      </c>
      <c r="AC9" s="30">
        <v>0.27408922002610397</v>
      </c>
      <c r="AD9" s="30">
        <v>0.43939277451877001</v>
      </c>
      <c r="AE9" s="30">
        <v>0.43605040405721701</v>
      </c>
      <c r="AF9" s="30">
        <v>0.093354125734896695</v>
      </c>
      <c r="AG9" s="30">
        <v>0.092986977774421095</v>
      </c>
      <c r="AH9" s="30">
        <v>0.148273829640866</v>
      </c>
      <c r="AI9" s="30">
        <v>0.147911810057441</v>
      </c>
    </row>
    <row r="10">
      <c r="A10" t="s">
        <v>510</v>
      </c>
      <c r="B10" t="s">
        <v>511</v>
      </c>
      <c r="C10" t="s">
        <v>506</v>
      </c>
      <c r="D10" t="s">
        <v>465</v>
      </c>
      <c r="E10" s="69">
        <f t="shared" si="180"/>
        <v>1934216.0980749123</v>
      </c>
      <c r="F10" s="70">
        <f t="shared" si="181"/>
        <v>1957415.9687314869</v>
      </c>
      <c r="G10" s="70">
        <f t="shared" si="182"/>
        <v>1979103.5528041429</v>
      </c>
      <c r="H10" s="70">
        <f t="shared" si="183"/>
        <v>2000823.2006937528</v>
      </c>
      <c r="I10" s="70">
        <f t="shared" si="184"/>
        <v>2022574.9124003164</v>
      </c>
      <c r="J10" s="70">
        <f t="shared" si="185"/>
        <v>2034000.2876702042</v>
      </c>
      <c r="K10" s="70">
        <f t="shared" si="186"/>
        <v>2051187.2316898338</v>
      </c>
      <c r="L10" s="70">
        <f t="shared" si="191"/>
        <v>2079962.4880286781</v>
      </c>
      <c r="M10" s="70">
        <f t="shared" si="187"/>
        <v>2105759.4339296808</v>
      </c>
      <c r="N10" s="70">
        <f t="shared" si="188"/>
        <v>2131694.6302017341</v>
      </c>
      <c r="O10" s="70">
        <f t="shared" si="189"/>
        <v>2145077.1648541559</v>
      </c>
      <c r="P10" s="70">
        <f t="shared" si="190"/>
        <v>2158498.9912622636</v>
      </c>
      <c r="S10" s="66" t="s">
        <v>464</v>
      </c>
      <c r="T10" s="30">
        <v>0.120511606629741</v>
      </c>
      <c r="U10" s="30">
        <v>0.120511606629741</v>
      </c>
      <c r="V10" s="30">
        <v>0.092604534403814998</v>
      </c>
      <c r="W10" s="30">
        <v>0.091359447881084702</v>
      </c>
      <c r="X10" s="30">
        <v>0.098135697789838897</v>
      </c>
      <c r="Y10" s="30">
        <v>0.097542278942083602</v>
      </c>
      <c r="Z10" s="30">
        <v>0.079819969145395395</v>
      </c>
      <c r="AA10" s="30">
        <v>0.079672934041156995</v>
      </c>
      <c r="AB10" s="30">
        <v>0.104852410998242</v>
      </c>
      <c r="AC10" s="30">
        <v>0.110677663474818</v>
      </c>
      <c r="AD10" s="30">
        <v>0.10500153088804701</v>
      </c>
      <c r="AE10" s="30">
        <v>0.10420280583927399</v>
      </c>
      <c r="AF10" s="30">
        <v>0.063724776941370007</v>
      </c>
      <c r="AG10" s="30">
        <v>0.0634741568246735</v>
      </c>
      <c r="AH10" s="30">
        <v>0.018891875699731799</v>
      </c>
      <c r="AI10" s="30">
        <v>0.018845750034889201</v>
      </c>
    </row>
    <row r="11">
      <c r="A11" t="s">
        <v>510</v>
      </c>
      <c r="B11" t="s">
        <v>511</v>
      </c>
      <c r="C11" t="s">
        <v>506</v>
      </c>
      <c r="D11" t="s">
        <v>466</v>
      </c>
      <c r="E11" s="69">
        <f t="shared" si="180"/>
        <v>993259.32266698731</v>
      </c>
      <c r="F11" s="70">
        <f t="shared" si="181"/>
        <v>1005172.9283066288</v>
      </c>
      <c r="G11" s="70">
        <f t="shared" si="182"/>
        <v>1016309.9440142997</v>
      </c>
      <c r="H11" s="70">
        <f t="shared" si="183"/>
        <v>1027463.4251443918</v>
      </c>
      <c r="I11" s="70">
        <f t="shared" si="184"/>
        <v>1038633.3716969059</v>
      </c>
      <c r="J11" s="70">
        <f t="shared" si="185"/>
        <v>1044500.534374892</v>
      </c>
      <c r="K11" s="70">
        <f t="shared" si="186"/>
        <v>1053326.3798389242</v>
      </c>
      <c r="L11" s="70">
        <f t="shared" si="191"/>
        <v>1068103.0594711204</v>
      </c>
      <c r="M11" s="70">
        <f t="shared" si="187"/>
        <v>1081350.3160925542</v>
      </c>
      <c r="N11" s="70">
        <f t="shared" si="188"/>
        <v>1094668.5670925607</v>
      </c>
      <c r="O11" s="70">
        <f t="shared" si="189"/>
        <v>1101540.7709366202</v>
      </c>
      <c r="P11" s="70">
        <f t="shared" si="190"/>
        <v>1108433.15189671</v>
      </c>
      <c r="S11" s="66" t="s">
        <v>465</v>
      </c>
      <c r="T11" s="30">
        <v>0.149144637414375</v>
      </c>
      <c r="U11" s="30">
        <v>0.149144637414375</v>
      </c>
      <c r="V11" s="30">
        <v>0.115895334053694</v>
      </c>
      <c r="W11" s="30">
        <v>0.114337098062265</v>
      </c>
      <c r="X11" s="30">
        <v>0.085311128288317398</v>
      </c>
      <c r="Y11" s="30">
        <v>0.084795258603893503</v>
      </c>
      <c r="Z11" s="30">
        <v>0.182861619327471</v>
      </c>
      <c r="AA11" s="30">
        <v>0.18252477282719201</v>
      </c>
      <c r="AB11" s="30">
        <v>0.16007928382485201</v>
      </c>
      <c r="AC11" s="30">
        <v>0.14830030669954</v>
      </c>
      <c r="AD11" s="30">
        <v>0.14655873518707899</v>
      </c>
      <c r="AE11" s="30">
        <v>0.14544389303267999</v>
      </c>
      <c r="AF11" s="30">
        <v>0.16629674894830501</v>
      </c>
      <c r="AG11" s="30">
        <v>0.16564272844594999</v>
      </c>
      <c r="AH11" s="30">
        <v>0.224760382089815</v>
      </c>
      <c r="AI11" s="30">
        <v>0.22421161593133901</v>
      </c>
    </row>
    <row r="12">
      <c r="A12" t="s">
        <v>510</v>
      </c>
      <c r="B12" t="s">
        <v>511</v>
      </c>
      <c r="C12" t="s">
        <v>506</v>
      </c>
      <c r="D12" t="s">
        <v>467</v>
      </c>
      <c r="E12" s="69">
        <f t="shared" si="180"/>
        <v>1809633.889886746</v>
      </c>
      <c r="F12" s="70">
        <f t="shared" si="181"/>
        <v>1831339.4646789893</v>
      </c>
      <c r="G12" s="70">
        <f t="shared" si="182"/>
        <v>1851630.158757437</v>
      </c>
      <c r="H12" s="70">
        <f t="shared" si="183"/>
        <v>1871950.8514331749</v>
      </c>
      <c r="I12" s="70">
        <f t="shared" si="184"/>
        <v>1892301.5427062032</v>
      </c>
      <c r="J12" s="70">
        <f t="shared" si="185"/>
        <v>1902991.0133985633</v>
      </c>
      <c r="K12" s="70">
        <f t="shared" si="186"/>
        <v>1919070.952135741</v>
      </c>
      <c r="L12" s="70">
        <f t="shared" si="191"/>
        <v>1945992.8038940725</v>
      </c>
      <c r="M12" s="70">
        <f t="shared" si="187"/>
        <v>1970128.1771879317</v>
      </c>
      <c r="N12" s="70">
        <f t="shared" si="188"/>
        <v>1994392.8961929507</v>
      </c>
      <c r="O12" s="70">
        <f t="shared" si="189"/>
        <v>2006913.4662904229</v>
      </c>
      <c r="P12" s="70">
        <f t="shared" si="190"/>
        <v>2019470.7973748152</v>
      </c>
      <c r="S12" s="66" t="s">
        <v>466</v>
      </c>
      <c r="T12" s="30">
        <v>0.076588806020721101</v>
      </c>
      <c r="U12" s="30">
        <v>0.076588806020721101</v>
      </c>
      <c r="V12" s="30">
        <v>0.071578242385423901</v>
      </c>
      <c r="W12" s="30">
        <v>0.070615858572486701</v>
      </c>
      <c r="X12" s="30">
        <v>0.075195811148264499</v>
      </c>
      <c r="Y12" s="30">
        <v>0.074741107991181097</v>
      </c>
      <c r="Z12" s="30">
        <v>0.030242781734008801</v>
      </c>
      <c r="AA12" s="30">
        <v>0.0301870719835249</v>
      </c>
      <c r="AB12" s="30">
        <v>0.040139110702203898</v>
      </c>
      <c r="AC12" s="30">
        <v>0.056575265281573597</v>
      </c>
      <c r="AD12" s="30">
        <v>0.038646261395263802</v>
      </c>
      <c r="AE12" s="30">
        <v>0.038352287233584803</v>
      </c>
      <c r="AF12" s="30">
        <v>0.120692727608887</v>
      </c>
      <c r="AG12" s="30">
        <v>0.120218060973246</v>
      </c>
      <c r="AH12" s="30">
        <v>0.042741058509447503</v>
      </c>
      <c r="AI12" s="30">
        <v>0.042636703612604201</v>
      </c>
    </row>
    <row r="13">
      <c r="A13" t="s">
        <v>510</v>
      </c>
      <c r="B13" t="s">
        <v>511</v>
      </c>
      <c r="C13" t="s">
        <v>506</v>
      </c>
      <c r="D13" t="s">
        <v>468</v>
      </c>
      <c r="E13" s="69">
        <f t="shared" si="180"/>
        <v>1513729.0753960742</v>
      </c>
      <c r="F13" s="70">
        <f t="shared" si="181"/>
        <v>1531885.4327923534</v>
      </c>
      <c r="G13" s="70">
        <f t="shared" si="182"/>
        <v>1548858.2656720667</v>
      </c>
      <c r="H13" s="70">
        <f t="shared" si="183"/>
        <v>1565856.1918865109</v>
      </c>
      <c r="I13" s="70">
        <f t="shared" si="184"/>
        <v>1582879.2114356861</v>
      </c>
      <c r="J13" s="70">
        <f t="shared" si="185"/>
        <v>1591820.778389117</v>
      </c>
      <c r="K13" s="70">
        <f t="shared" si="186"/>
        <v>1605271.3834717709</v>
      </c>
      <c r="L13" s="70">
        <f t="shared" si="191"/>
        <v>1627791.0710162167</v>
      </c>
      <c r="M13" s="70">
        <f t="shared" si="187"/>
        <v>1647979.9150164463</v>
      </c>
      <c r="N13" s="70">
        <f t="shared" si="188"/>
        <v>1668276.9545831131</v>
      </c>
      <c r="O13" s="70">
        <f t="shared" si="189"/>
        <v>1678750.2061634453</v>
      </c>
      <c r="P13" s="70">
        <f t="shared" si="190"/>
        <v>1689254.2077065471</v>
      </c>
      <c r="S13" s="66" t="s">
        <v>467</v>
      </c>
      <c r="T13" s="30">
        <v>0.13953828149220099</v>
      </c>
      <c r="U13" s="30">
        <v>0.13953828149220099</v>
      </c>
      <c r="V13" s="30">
        <v>0.15152559953097999</v>
      </c>
      <c r="W13" s="30">
        <v>0.14948830748000999</v>
      </c>
      <c r="X13" s="30">
        <v>0.15298843442978899</v>
      </c>
      <c r="Y13" s="30">
        <v>0.152063325396849</v>
      </c>
      <c r="Z13" s="30">
        <v>0.041560386943365099</v>
      </c>
      <c r="AA13" s="30">
        <v>0.0414838292111104</v>
      </c>
      <c r="AB13" s="30">
        <v>0.066374728408034697</v>
      </c>
      <c r="AC13" s="30">
        <v>0.10127930409470701</v>
      </c>
      <c r="AD13" s="30">
        <v>0.073640223337252605</v>
      </c>
      <c r="AE13" s="30">
        <v>0.073080057304631504</v>
      </c>
      <c r="AF13" s="30">
        <v>0.15598956102148201</v>
      </c>
      <c r="AG13" s="30">
        <v>0.15537607716381999</v>
      </c>
      <c r="AH13" s="30">
        <v>0.062966816428843594</v>
      </c>
      <c r="AI13" s="30">
        <v>0.062813079112498699</v>
      </c>
    </row>
    <row r="14">
      <c r="A14" t="s">
        <v>510</v>
      </c>
      <c r="B14" t="s">
        <v>511</v>
      </c>
      <c r="C14" t="s">
        <v>506</v>
      </c>
      <c r="D14" t="s">
        <v>469</v>
      </c>
      <c r="E14" s="69">
        <f t="shared" si="180"/>
        <v>373906.45063266414</v>
      </c>
      <c r="F14" s="70">
        <f t="shared" si="181"/>
        <v>378391.25525246345</v>
      </c>
      <c r="G14" s="70">
        <f t="shared" si="182"/>
        <v>382583.71730025392</v>
      </c>
      <c r="H14" s="70">
        <f t="shared" si="183"/>
        <v>386782.37765649747</v>
      </c>
      <c r="I14" s="70">
        <f t="shared" si="184"/>
        <v>390987.23632119421</v>
      </c>
      <c r="J14" s="70">
        <f t="shared" si="185"/>
        <v>393195.89414312103</v>
      </c>
      <c r="K14" s="70">
        <f t="shared" si="186"/>
        <v>396518.33016358328</v>
      </c>
      <c r="L14" s="70">
        <f t="shared" si="191"/>
        <v>402080.9216312124</v>
      </c>
      <c r="M14" s="70">
        <f t="shared" si="187"/>
        <v>407067.77107818308</v>
      </c>
      <c r="N14" s="70">
        <f t="shared" si="188"/>
        <v>412081.3459285819</v>
      </c>
      <c r="O14" s="70">
        <f t="shared" si="189"/>
        <v>414668.34540466731</v>
      </c>
      <c r="P14" s="70">
        <f t="shared" si="190"/>
        <v>417262.94043376361</v>
      </c>
      <c r="S14" s="66" t="s">
        <v>468</v>
      </c>
      <c r="T14" s="30">
        <v>0.116721484387522</v>
      </c>
      <c r="U14" s="30">
        <v>0.116721484387522</v>
      </c>
      <c r="V14" s="30">
        <v>0.13738691840949899</v>
      </c>
      <c r="W14" s="30">
        <v>0.135539723759557</v>
      </c>
      <c r="X14" s="30">
        <v>0.080904765242974894</v>
      </c>
      <c r="Y14" s="30">
        <v>0.080415540489397294</v>
      </c>
      <c r="Z14" s="30">
        <v>0.059217968128169797</v>
      </c>
      <c r="AA14" s="30">
        <v>0.059108883644553203</v>
      </c>
      <c r="AB14" s="30">
        <v>0.10066386659468</v>
      </c>
      <c r="AC14" s="30">
        <v>0.118905245492422</v>
      </c>
      <c r="AD14" s="30">
        <v>0.060119633135370998</v>
      </c>
      <c r="AE14" s="30">
        <v>0.059662315451503502</v>
      </c>
      <c r="AF14" s="30">
        <v>0.14265493077733701</v>
      </c>
      <c r="AG14" s="30">
        <v>0.142093890046953</v>
      </c>
      <c r="AH14" s="30">
        <v>0.094140366306867299</v>
      </c>
      <c r="AI14" s="30">
        <v>0.093910516870345406</v>
      </c>
    </row>
    <row r="15">
      <c r="A15" t="s">
        <v>510</v>
      </c>
      <c r="B15" t="s">
        <v>511</v>
      </c>
      <c r="C15" t="s">
        <v>506</v>
      </c>
      <c r="D15" t="s">
        <v>470</v>
      </c>
      <c r="E15" s="69">
        <f t="shared" si="180"/>
        <v>1190224.7348726299</v>
      </c>
      <c r="F15" s="70">
        <f t="shared" si="181"/>
        <v>1204500.8335612835</v>
      </c>
      <c r="G15" s="70">
        <f t="shared" si="182"/>
        <v>1217846.3429015258</v>
      </c>
      <c r="H15" s="70">
        <f t="shared" si="183"/>
        <v>1231211.5827920772</v>
      </c>
      <c r="I15" s="70">
        <f t="shared" si="184"/>
        <v>1244596.5532329385</v>
      </c>
      <c r="J15" s="70">
        <f t="shared" si="185"/>
        <v>1251627.186606819</v>
      </c>
      <c r="K15" s="70">
        <f t="shared" si="186"/>
        <v>1262203.2157844242</v>
      </c>
      <c r="L15" s="70">
        <f t="shared" si="191"/>
        <v>1279910.1420585259</v>
      </c>
      <c r="M15" s="70">
        <f t="shared" si="187"/>
        <v>1295784.3575229219</v>
      </c>
      <c r="N15" s="70">
        <f t="shared" si="188"/>
        <v>1311743.6457004412</v>
      </c>
      <c r="O15" s="70">
        <f t="shared" si="189"/>
        <v>1319978.6220169219</v>
      </c>
      <c r="P15" s="70">
        <f t="shared" si="190"/>
        <v>1328237.7766139682</v>
      </c>
      <c r="S15" s="66" t="s">
        <v>469</v>
      </c>
      <c r="T15" s="30">
        <v>0.028831391726088701</v>
      </c>
      <c r="U15" s="30">
        <v>0.028831391726088701</v>
      </c>
      <c r="V15" s="30">
        <v>0.035247093649205301</v>
      </c>
      <c r="W15" s="30">
        <v>0.034773189411679797</v>
      </c>
      <c r="X15" s="30">
        <v>0.019735773547125801</v>
      </c>
      <c r="Y15" s="30">
        <v>0.0196164328763846</v>
      </c>
      <c r="Z15" s="30">
        <v>0.014739130211986501</v>
      </c>
      <c r="AA15" s="30">
        <v>0.014711979493058599</v>
      </c>
      <c r="AB15" s="30">
        <v>0.0225826348962638</v>
      </c>
      <c r="AC15" s="30">
        <v>0.0273540885196705</v>
      </c>
      <c r="AD15" s="30">
        <v>0.016588551079078501</v>
      </c>
      <c r="AE15" s="30">
        <v>0.016462365382949599</v>
      </c>
      <c r="AF15" s="30">
        <v>0.056268210754257399</v>
      </c>
      <c r="AG15" s="30">
        <v>0.056046916208832703</v>
      </c>
      <c r="AH15" s="30">
        <v>0.0236694710339115</v>
      </c>
      <c r="AI15" s="30">
        <v>0.023611680579153999</v>
      </c>
    </row>
    <row r="16">
      <c r="A16" t="s">
        <v>510</v>
      </c>
      <c r="B16" t="s">
        <v>511</v>
      </c>
      <c r="C16" t="s">
        <v>506</v>
      </c>
      <c r="D16" t="s">
        <v>471</v>
      </c>
      <c r="E16" s="69">
        <f t="shared" si="180"/>
        <v>78668.873731403801</v>
      </c>
      <c r="F16" s="70">
        <f t="shared" si="181"/>
        <v>79612.464107413718</v>
      </c>
      <c r="G16" s="70">
        <f t="shared" si="182"/>
        <v>80494.546422129788</v>
      </c>
      <c r="H16" s="70">
        <f t="shared" si="183"/>
        <v>81377.932843646428</v>
      </c>
      <c r="I16" s="70">
        <f t="shared" si="184"/>
        <v>82262.623371963651</v>
      </c>
      <c r="J16" s="70">
        <f t="shared" si="185"/>
        <v>82727.318813871752</v>
      </c>
      <c r="K16" s="70">
        <f t="shared" si="186"/>
        <v>83426.350080468401</v>
      </c>
      <c r="L16" s="70">
        <f t="shared" si="191"/>
        <v>84596.703801421492</v>
      </c>
      <c r="M16" s="70">
        <f t="shared" si="187"/>
        <v>85645.923007983598</v>
      </c>
      <c r="N16" s="70">
        <f t="shared" si="188"/>
        <v>86700.765164842902</v>
      </c>
      <c r="O16" s="70">
        <f t="shared" si="189"/>
        <v>87245.062634926697</v>
      </c>
      <c r="P16" s="70">
        <f t="shared" si="190"/>
        <v>87790.958188166653</v>
      </c>
      <c r="S16" s="66" t="s">
        <v>470</v>
      </c>
      <c r="T16" s="30">
        <v>0.091776527297480801</v>
      </c>
      <c r="U16" s="30">
        <v>0.091776527297480801</v>
      </c>
      <c r="V16" s="30">
        <v>0.111861510944939</v>
      </c>
      <c r="W16" s="30">
        <v>0.110357510513573</v>
      </c>
      <c r="X16" s="30">
        <v>0.047016385299403697</v>
      </c>
      <c r="Y16" s="30">
        <v>0.046732080914573898</v>
      </c>
      <c r="Z16" s="30">
        <v>0.17216395961550801</v>
      </c>
      <c r="AA16" s="30">
        <v>0.17184681910519201</v>
      </c>
      <c r="AB16" s="30">
        <v>0.149109340806654</v>
      </c>
      <c r="AC16" s="30">
        <v>0.12977446126081399</v>
      </c>
      <c r="AD16" s="30">
        <v>0.087852235504431705</v>
      </c>
      <c r="AE16" s="30">
        <v>0.087183961618378394</v>
      </c>
      <c r="AF16" s="30">
        <v>0.187682655741434</v>
      </c>
      <c r="AG16" s="30">
        <v>0.18694452763269101</v>
      </c>
      <c r="AH16" s="30">
        <v>0.376221215702149</v>
      </c>
      <c r="AI16" s="30">
        <v>0.375302648695995</v>
      </c>
    </row>
    <row r="17">
      <c r="A17" t="s">
        <v>510</v>
      </c>
      <c r="B17" t="s">
        <v>511</v>
      </c>
      <c r="C17" t="s">
        <v>506</v>
      </c>
      <c r="D17" t="s">
        <v>472</v>
      </c>
      <c r="E17" s="69">
        <f t="shared" si="180"/>
        <v>92666.067411622324</v>
      </c>
      <c r="F17" s="70">
        <f t="shared" si="181"/>
        <v>93777.54651695225</v>
      </c>
      <c r="G17" s="70">
        <f t="shared" si="182"/>
        <v>94816.573712347948</v>
      </c>
      <c r="H17" s="70">
        <f t="shared" si="183"/>
        <v>95857.137048315664</v>
      </c>
      <c r="I17" s="70">
        <f t="shared" si="184"/>
        <v>96899.236524855412</v>
      </c>
      <c r="J17" s="70">
        <f t="shared" si="185"/>
        <v>97446.613106001765</v>
      </c>
      <c r="K17" s="70">
        <f t="shared" si="186"/>
        <v>98270.01981568012</v>
      </c>
      <c r="L17" s="70">
        <f t="shared" si="191"/>
        <v>99648.609233034236</v>
      </c>
      <c r="M17" s="70">
        <f t="shared" si="187"/>
        <v>100884.51122467598</v>
      </c>
      <c r="N17" s="70">
        <f t="shared" si="188"/>
        <v>102127.03663249969</v>
      </c>
      <c r="O17" s="70">
        <f t="shared" si="189"/>
        <v>102768.17846741357</v>
      </c>
      <c r="P17" s="70">
        <f t="shared" si="190"/>
        <v>103411.20272512638</v>
      </c>
      <c r="S17" s="66" t="s">
        <v>471</v>
      </c>
      <c r="T17" s="30">
        <v>0.0060660443577866697</v>
      </c>
      <c r="U17" s="30">
        <v>0.0060660443577866697</v>
      </c>
      <c r="V17" s="30">
        <v>0.0099626097225678292</v>
      </c>
      <c r="W17" s="30">
        <v>0.011276583536481401</v>
      </c>
      <c r="X17" s="30">
        <v>0.00079468549553641805</v>
      </c>
      <c r="Y17" s="30">
        <v>0.00090624240495952796</v>
      </c>
      <c r="Z17" s="30">
        <v>0.0028713068816615698</v>
      </c>
      <c r="AA17" s="30">
        <v>0.0032882291671827799</v>
      </c>
      <c r="AB17" s="30">
        <v>0.00447884536231773</v>
      </c>
      <c r="AC17" s="30">
        <v>0.0059438585628224403</v>
      </c>
      <c r="AD17" s="30">
        <v>0.0073609681731225301</v>
      </c>
      <c r="AE17" s="30">
        <v>0.0083811175597917498</v>
      </c>
      <c r="AF17" s="30">
        <v>0.0031563385018001898</v>
      </c>
      <c r="AG17" s="30">
        <v>0.0039237455739457999</v>
      </c>
      <c r="AH17" s="30">
        <v>0.0031215323832785901</v>
      </c>
      <c r="AI17" s="30">
        <v>0.0038862867420285099</v>
      </c>
    </row>
    <row r="18">
      <c r="A18" t="s">
        <v>510</v>
      </c>
      <c r="B18" t="s">
        <v>511</v>
      </c>
      <c r="C18" t="s">
        <v>506</v>
      </c>
      <c r="D18" t="s">
        <v>473</v>
      </c>
      <c r="E18" s="69">
        <f t="shared" si="180"/>
        <v>29270.211516827898</v>
      </c>
      <c r="F18" s="70">
        <f t="shared" si="181"/>
        <v>29621.291792685821</v>
      </c>
      <c r="G18" s="70">
        <f t="shared" si="182"/>
        <v>29949.48685513383</v>
      </c>
      <c r="H18" s="70">
        <f t="shared" si="183"/>
        <v>30278.167134670661</v>
      </c>
      <c r="I18" s="70">
        <f t="shared" si="184"/>
        <v>30607.332631296325</v>
      </c>
      <c r="J18" s="70">
        <f t="shared" si="185"/>
        <v>30780.231177193858</v>
      </c>
      <c r="K18" s="70">
        <f t="shared" si="186"/>
        <v>31040.318706856717</v>
      </c>
      <c r="L18" s="70">
        <f t="shared" si="191"/>
        <v>31475.770485138986</v>
      </c>
      <c r="M18" s="70">
        <f t="shared" si="187"/>
        <v>31866.151923780737</v>
      </c>
      <c r="N18" s="70">
        <f t="shared" si="188"/>
        <v>32258.625485224566</v>
      </c>
      <c r="O18" s="70">
        <f t="shared" si="189"/>
        <v>32461.141440033094</v>
      </c>
      <c r="P18" s="70">
        <f t="shared" si="190"/>
        <v>32664.251991278354</v>
      </c>
      <c r="S18" s="66" t="s">
        <v>472</v>
      </c>
      <c r="T18" s="30">
        <v>0.0071453479466321596</v>
      </c>
      <c r="U18" s="30">
        <v>0.0071453479466321596</v>
      </c>
      <c r="V18" s="30">
        <v>0.012604163822385399</v>
      </c>
      <c r="W18" s="30">
        <v>0.014266533589954901</v>
      </c>
      <c r="X18" s="30">
        <v>0.0035367777015818799</v>
      </c>
      <c r="Y18" s="30">
        <v>0.0040332659248112704</v>
      </c>
      <c r="Z18" s="30">
        <v>0.00141361062291295</v>
      </c>
      <c r="AA18" s="30">
        <v>0.0016188710830560499</v>
      </c>
      <c r="AB18" s="30">
        <v>0.00242202698196484</v>
      </c>
      <c r="AC18" s="30">
        <v>0.0050568080851424602</v>
      </c>
      <c r="AD18" s="30">
        <v>0.0068332169563831398</v>
      </c>
      <c r="AE18" s="30">
        <v>0.0077802258175931598</v>
      </c>
      <c r="AF18" s="30">
        <v>0.0066464102790245302</v>
      </c>
      <c r="AG18" s="30">
        <v>0.0082623656810182303</v>
      </c>
      <c r="AH18" s="30">
        <v>0.0032884936211025899</v>
      </c>
      <c r="AI18" s="30">
        <v>0.0040941523558737803</v>
      </c>
    </row>
    <row r="19">
      <c r="A19" t="s">
        <v>510</v>
      </c>
      <c r="B19" t="s">
        <v>511</v>
      </c>
      <c r="C19" t="s">
        <v>506</v>
      </c>
      <c r="D19" t="s">
        <v>474</v>
      </c>
      <c r="E19" s="69">
        <f t="shared" si="180"/>
        <v>28524.615223758432</v>
      </c>
      <c r="F19" s="70">
        <f t="shared" si="181"/>
        <v>28866.752477387119</v>
      </c>
      <c r="G19" s="70">
        <f t="shared" si="182"/>
        <v>29186.58746967218</v>
      </c>
      <c r="H19" s="70">
        <f t="shared" si="183"/>
        <v>29506.895319174244</v>
      </c>
      <c r="I19" s="70">
        <f t="shared" si="184"/>
        <v>29827.676025893299</v>
      </c>
      <c r="J19" s="70">
        <f t="shared" si="185"/>
        <v>29996.170349606644</v>
      </c>
      <c r="K19" s="70">
        <f t="shared" si="186"/>
        <v>30249.632703435742</v>
      </c>
      <c r="L19" s="70">
        <f t="shared" si="191"/>
        <v>30673.992275175162</v>
      </c>
      <c r="M19" s="70">
        <f t="shared" si="187"/>
        <v>31054.429578176921</v>
      </c>
      <c r="N19" s="70">
        <f t="shared" si="188"/>
        <v>31436.905711608586</v>
      </c>
      <c r="O19" s="70">
        <f t="shared" si="189"/>
        <v>31634.263003825767</v>
      </c>
      <c r="P19" s="70">
        <f t="shared" si="190"/>
        <v>31832.199746401944</v>
      </c>
      <c r="S19" s="66" t="s">
        <v>473</v>
      </c>
      <c r="T19" s="30">
        <v>0.00225698415397548</v>
      </c>
      <c r="U19" s="30">
        <v>0.00225698415397548</v>
      </c>
      <c r="V19" s="30">
        <v>0.0066681699644304303</v>
      </c>
      <c r="W19" s="30">
        <v>0.0075476383932838297</v>
      </c>
      <c r="X19" s="30">
        <v>0.00453169134750314</v>
      </c>
      <c r="Y19" s="30">
        <v>0.0051678442457583898</v>
      </c>
      <c r="Z19" s="30">
        <v>0.00065184529591322</v>
      </c>
      <c r="AA19" s="30">
        <v>0.00074649516852492699</v>
      </c>
      <c r="AB19" s="30">
        <v>0.00264007323148183</v>
      </c>
      <c r="AC19" s="30">
        <v>0.0036966704205782701</v>
      </c>
      <c r="AD19" s="30">
        <v>0.0025310247590065401</v>
      </c>
      <c r="AE19" s="30">
        <v>0.0028817970072785798</v>
      </c>
      <c r="AF19" s="30">
        <v>0.00041492256881403599</v>
      </c>
      <c r="AG19" s="30">
        <v>0.00051580354641485803</v>
      </c>
      <c r="AH19" s="30">
        <v>7.3989127689115696e-05</v>
      </c>
      <c r="AI19" s="30">
        <v>9.2115964432332506e-05</v>
      </c>
    </row>
    <row r="20">
      <c r="A20" t="s">
        <v>510</v>
      </c>
      <c r="B20" t="s">
        <v>511</v>
      </c>
      <c r="C20" t="s">
        <v>506</v>
      </c>
      <c r="D20" t="s">
        <v>475</v>
      </c>
      <c r="E20" s="69">
        <f t="shared" si="180"/>
        <v>151631.60901609587</v>
      </c>
      <c r="F20" s="70">
        <f t="shared" si="181"/>
        <v>153450.34773930415</v>
      </c>
      <c r="G20" s="70">
        <f t="shared" si="182"/>
        <v>155150.53174246787</v>
      </c>
      <c r="H20" s="70">
        <f t="shared" si="183"/>
        <v>156853.22936764141</v>
      </c>
      <c r="I20" s="70">
        <f t="shared" si="184"/>
        <v>158558.44061482479</v>
      </c>
      <c r="J20" s="70">
        <f t="shared" si="185"/>
        <v>159454.12545454362</v>
      </c>
      <c r="K20" s="70">
        <f t="shared" si="186"/>
        <v>160801.48471722362</v>
      </c>
      <c r="L20" s="70">
        <f t="shared" si="191"/>
        <v>163057.30216329504</v>
      </c>
      <c r="M20" s="70">
        <f t="shared" si="187"/>
        <v>165079.63690581082</v>
      </c>
      <c r="N20" s="70">
        <f t="shared" si="188"/>
        <v>167112.8096959627</v>
      </c>
      <c r="O20" s="70">
        <f t="shared" si="189"/>
        <v>168161.9247685133</v>
      </c>
      <c r="P20" s="70">
        <f t="shared" si="190"/>
        <v>169214.1200926147</v>
      </c>
      <c r="S20" s="66" t="s">
        <v>474</v>
      </c>
      <c r="T20" s="30">
        <v>0.0021994922900115598</v>
      </c>
      <c r="U20" s="30">
        <v>0.0021994922900115598</v>
      </c>
      <c r="V20" s="30">
        <v>0.0043912263398986698</v>
      </c>
      <c r="W20" s="30">
        <v>0.0057882630780288803</v>
      </c>
      <c r="X20" s="30">
        <v>0.0022508215441106</v>
      </c>
      <c r="Y20" s="30">
        <v>0.00298915318412893</v>
      </c>
      <c r="Z20" s="30">
        <v>0.00052676790732747599</v>
      </c>
      <c r="AA20" s="30">
        <v>0.00070252177283001895</v>
      </c>
      <c r="AB20" s="30">
        <v>0.0017088213063178601</v>
      </c>
      <c r="AC20" s="30">
        <v>0.0029049465302154001</v>
      </c>
      <c r="AD20" s="30">
        <v>0.0024501734704029899</v>
      </c>
      <c r="AE20" s="30">
        <v>0.0032487915024180798</v>
      </c>
      <c r="AF20" s="30">
        <v>0.00049377484559187895</v>
      </c>
      <c r="AG20" s="30">
        <v>0.00071483242267640298</v>
      </c>
      <c r="AH20" s="30">
        <v>0.000293068928118425</v>
      </c>
      <c r="AI20" s="30">
        <v>0.00042490788181229699</v>
      </c>
    </row>
    <row r="21">
      <c r="A21" t="s">
        <v>510</v>
      </c>
      <c r="B21" t="s">
        <v>511</v>
      </c>
      <c r="C21" t="s">
        <v>508</v>
      </c>
      <c r="D21" t="s">
        <v>463</v>
      </c>
      <c r="E21" s="69">
        <f t="shared" ref="E21:E33" si="192">E$7*T$28*X9</f>
        <v>950985.31752621301</v>
      </c>
      <c r="F21" s="70">
        <f t="shared" ref="F21:F33" si="193">F$7*($V9+($W9-$V9)*15/35)*($T$28+($U$28-$T$28)*2/35)</f>
        <v>515428.12172315316</v>
      </c>
      <c r="G21" s="70">
        <f t="shared" ref="G21:G33" si="194">G$7*($V9+($W9-$V9)*15/35)*($T$28+($U$28-$T$28)*3/35)</f>
        <v>518869.97897388518</v>
      </c>
      <c r="H21" s="70">
        <f t="shared" ref="H21:H33" si="195">H$7*($V9+($W9-$V9)*15/35)*($T$28+($U$28-$T$28)*4/35)</f>
        <v>522274.12985250686</v>
      </c>
      <c r="I21" s="70">
        <f t="shared" ref="I21:I33" si="196">I$7*($V9+($W9-$V9)*15/35)*($T$28+($U$28-$T$28)*5/35)</f>
        <v>525640.57435901836</v>
      </c>
      <c r="J21" s="70">
        <f t="shared" ref="J21:J33" si="197">J$7*($V9+($W9-$V9)*15/35)*($T$28+($U$28-$T$28)*7/35)</f>
        <v>523972.04546170845</v>
      </c>
      <c r="K21" s="70">
        <f t="shared" ref="K21:K33" si="198">K$7*($V9+($W9-$V9)*15/35)*($T$28+($U$28-$T$28)*10/35)</f>
        <v>521411.76895625528</v>
      </c>
      <c r="L21" s="70">
        <f t="shared" ref="L21:L33" si="199">L$7*($V9+($W9-$V9)*15/35)*($T$28+($U$28-$T$28)*15/35)</f>
        <v>516991.3530218649</v>
      </c>
      <c r="M21" s="70">
        <f t="shared" ref="M21:M33" si="200">M$7*($V9+($W9-$V9)*15/35)*($T$28+($U$28-$T$28)*20/35)</f>
        <v>511616.12784942926</v>
      </c>
      <c r="N21" s="70">
        <f t="shared" ref="N21:N33" si="201">N$7*($V9+($W9-$V9)*15/35)*($T$28+($U$28-$T$28)*25/35)</f>
        <v>506078.32315806841</v>
      </c>
      <c r="O21" s="70">
        <f t="shared" ref="O21:O33" si="202">O$7*($V9+($W9-$V9)*15/35)*($T$28+($U$28-$T$28)*30/35)</f>
        <v>497434.96632092318</v>
      </c>
      <c r="P21" s="70">
        <f t="shared" ref="P21:P33" si="203">P$7*U$28*W9</f>
        <v>484968.62345985929</v>
      </c>
      <c r="S21" s="66" t="s">
        <v>475</v>
      </c>
      <c r="T21" s="30">
        <v>0.011692096539663899</v>
      </c>
      <c r="U21" s="30">
        <v>0.011692096539663899</v>
      </c>
      <c r="V21" s="30">
        <v>0.023342951701522299</v>
      </c>
      <c r="W21" s="30">
        <v>0.030769342094365999</v>
      </c>
      <c r="X21" s="30">
        <v>0.0119649534152986</v>
      </c>
      <c r="Y21" s="30">
        <v>0.015889788638675201</v>
      </c>
      <c r="Z21" s="30">
        <v>0.0028002013257510598</v>
      </c>
      <c r="AA21" s="30">
        <v>0.0037344765546331099</v>
      </c>
      <c r="AB21" s="30">
        <v>0.0090837798219325101</v>
      </c>
      <c r="AC21" s="30">
        <v>0.0154421615515924</v>
      </c>
      <c r="AD21" s="30">
        <v>0.013024671595791199</v>
      </c>
      <c r="AE21" s="30">
        <v>0.017269978192700298</v>
      </c>
      <c r="AF21" s="30">
        <v>0.0026248162767997601</v>
      </c>
      <c r="AG21" s="30">
        <v>0.0037999177053584699</v>
      </c>
      <c r="AH21" s="30">
        <v>0.00155790052817983</v>
      </c>
      <c r="AI21" s="30">
        <v>0.0022587321615877998</v>
      </c>
    </row>
    <row r="22">
      <c r="A22" t="s">
        <v>510</v>
      </c>
      <c r="B22" t="s">
        <v>511</v>
      </c>
      <c r="C22" t="s">
        <v>508</v>
      </c>
      <c r="D22" t="s">
        <v>464</v>
      </c>
      <c r="E22" s="69">
        <f t="shared" si="192"/>
        <v>223463.16267966857</v>
      </c>
      <c r="F22" s="70">
        <f t="shared" si="193"/>
        <v>210331.97558558814</v>
      </c>
      <c r="G22" s="70">
        <f t="shared" si="194"/>
        <v>211736.50243369615</v>
      </c>
      <c r="H22" s="70">
        <f t="shared" si="195"/>
        <v>213125.64235314447</v>
      </c>
      <c r="I22" s="70">
        <f t="shared" si="196"/>
        <v>214499.39534393323</v>
      </c>
      <c r="J22" s="70">
        <f t="shared" si="197"/>
        <v>213818.51480113404</v>
      </c>
      <c r="K22" s="70">
        <f t="shared" si="198"/>
        <v>212773.73669776434</v>
      </c>
      <c r="L22" s="70">
        <f t="shared" si="199"/>
        <v>210969.88708769251</v>
      </c>
      <c r="M22" s="70">
        <f t="shared" si="200"/>
        <v>208776.40620823242</v>
      </c>
      <c r="N22" s="70">
        <f t="shared" si="201"/>
        <v>206516.58111904826</v>
      </c>
      <c r="O22" s="70">
        <f t="shared" si="202"/>
        <v>202989.4660032292</v>
      </c>
      <c r="P22" s="70">
        <f t="shared" si="203"/>
        <v>197902.29591726506</v>
      </c>
    </row>
    <row r="23">
      <c r="A23" t="s">
        <v>510</v>
      </c>
      <c r="B23" t="s">
        <v>511</v>
      </c>
      <c r="C23" t="s">
        <v>508</v>
      </c>
      <c r="D23" t="s">
        <v>465</v>
      </c>
      <c r="E23" s="69">
        <f t="shared" si="192"/>
        <v>194260.54910114725</v>
      </c>
      <c r="F23" s="70">
        <f t="shared" si="193"/>
        <v>263232.19191803364</v>
      </c>
      <c r="G23" s="70">
        <f t="shared" si="194"/>
        <v>264989.96878389467</v>
      </c>
      <c r="H23" s="70">
        <f t="shared" si="195"/>
        <v>266728.48878238356</v>
      </c>
      <c r="I23" s="70">
        <f t="shared" si="196"/>
        <v>268447.75191350043</v>
      </c>
      <c r="J23" s="70">
        <f t="shared" si="197"/>
        <v>267595.6243317746</v>
      </c>
      <c r="K23" s="70">
        <f t="shared" si="198"/>
        <v>266288.07596946642</v>
      </c>
      <c r="L23" s="70">
        <f t="shared" si="199"/>
        <v>264030.54339303478</v>
      </c>
      <c r="M23" s="70">
        <f t="shared" si="200"/>
        <v>261285.38408844953</v>
      </c>
      <c r="N23" s="70">
        <f t="shared" si="201"/>
        <v>258457.19446145077</v>
      </c>
      <c r="O23" s="70">
        <f t="shared" si="202"/>
        <v>254042.9809758437</v>
      </c>
      <c r="P23" s="70">
        <f t="shared" si="203"/>
        <v>247676.34590450051</v>
      </c>
      <c r="T23" s="22">
        <f t="shared" ref="T23:AI23" si="204">SUM(T9:T21)</f>
        <v>0.99999999999999933</v>
      </c>
      <c r="U23" s="22">
        <f t="shared" si="204"/>
        <v>0.99999999999999933</v>
      </c>
      <c r="V23" s="22">
        <f t="shared" si="204"/>
        <v>1.0000000000000007</v>
      </c>
      <c r="W23" s="22">
        <f t="shared" si="204"/>
        <v>1.0000000000000013</v>
      </c>
      <c r="X23" s="22">
        <f t="shared" si="204"/>
        <v>0.99999999999999956</v>
      </c>
      <c r="Y23" s="22">
        <f t="shared" si="204"/>
        <v>0.99999999999999911</v>
      </c>
      <c r="Z23" s="22">
        <f t="shared" si="204"/>
        <v>1.0000000000000009</v>
      </c>
      <c r="AA23" s="22">
        <f t="shared" si="204"/>
        <v>1.0000000000000009</v>
      </c>
      <c r="AB23" s="22">
        <f t="shared" si="204"/>
        <v>1</v>
      </c>
      <c r="AC23" s="22">
        <f t="shared" si="204"/>
        <v>1.0000000000000002</v>
      </c>
      <c r="AD23" s="22">
        <f t="shared" si="204"/>
        <v>1</v>
      </c>
      <c r="AE23" s="22">
        <f t="shared" si="204"/>
        <v>1.0000000000000007</v>
      </c>
      <c r="AF23" s="22">
        <f t="shared" si="204"/>
        <v>0.99999999999999967</v>
      </c>
      <c r="AG23" s="22">
        <f t="shared" si="204"/>
        <v>1.0000000000000011</v>
      </c>
      <c r="AH23" s="22">
        <f t="shared" si="204"/>
        <v>1.0000000000000002</v>
      </c>
      <c r="AI23" s="22">
        <f t="shared" si="204"/>
        <v>1.0000000000000011</v>
      </c>
    </row>
    <row r="24">
      <c r="A24" t="s">
        <v>510</v>
      </c>
      <c r="B24" t="s">
        <v>511</v>
      </c>
      <c r="C24" t="s">
        <v>508</v>
      </c>
      <c r="D24" t="s">
        <v>466</v>
      </c>
      <c r="E24" s="69">
        <f t="shared" si="192"/>
        <v>171227.12894383803</v>
      </c>
      <c r="F24" s="70">
        <f t="shared" si="193"/>
        <v>162575.11823578761</v>
      </c>
      <c r="G24" s="70">
        <f t="shared" si="194"/>
        <v>163660.74070360675</v>
      </c>
      <c r="H24" s="70">
        <f t="shared" si="195"/>
        <v>164734.46991677844</v>
      </c>
      <c r="I24" s="70">
        <f t="shared" si="196"/>
        <v>165796.30587530285</v>
      </c>
      <c r="J24" s="70">
        <f t="shared" si="197"/>
        <v>165270.02243959674</v>
      </c>
      <c r="K24" s="70">
        <f t="shared" si="198"/>
        <v>164462.46608392333</v>
      </c>
      <c r="L24" s="70">
        <f t="shared" si="199"/>
        <v>163068.18895216277</v>
      </c>
      <c r="M24" s="70">
        <f t="shared" si="200"/>
        <v>161372.7481503858</v>
      </c>
      <c r="N24" s="70">
        <f t="shared" si="201"/>
        <v>159626.02690154355</v>
      </c>
      <c r="O24" s="70">
        <f t="shared" si="202"/>
        <v>156899.75974511597</v>
      </c>
      <c r="P24" s="70">
        <f t="shared" si="203"/>
        <v>152967.65538528861</v>
      </c>
    </row>
    <row r="25">
      <c r="A25" t="s">
        <v>510</v>
      </c>
      <c r="B25" t="s">
        <v>511</v>
      </c>
      <c r="C25" t="s">
        <v>508</v>
      </c>
      <c r="D25" t="s">
        <v>467</v>
      </c>
      <c r="E25" s="69">
        <f t="shared" si="192"/>
        <v>348367.4155382787</v>
      </c>
      <c r="F25" s="70">
        <f t="shared" si="193"/>
        <v>344158.94325611676</v>
      </c>
      <c r="G25" s="70">
        <f t="shared" si="194"/>
        <v>346457.12200175878</v>
      </c>
      <c r="H25" s="70">
        <f t="shared" si="195"/>
        <v>348730.12364775757</v>
      </c>
      <c r="I25" s="70">
        <f t="shared" si="196"/>
        <v>350977.94819411333</v>
      </c>
      <c r="J25" s="70">
        <f t="shared" si="197"/>
        <v>349863.84689096612</v>
      </c>
      <c r="K25" s="70">
        <f t="shared" si="198"/>
        <v>348154.31258458324</v>
      </c>
      <c r="L25" s="70">
        <f t="shared" si="199"/>
        <v>345202.73580284638</v>
      </c>
      <c r="M25" s="70">
        <f t="shared" si="200"/>
        <v>341613.61883940926</v>
      </c>
      <c r="N25" s="70">
        <f t="shared" si="201"/>
        <v>337915.94513824244</v>
      </c>
      <c r="O25" s="70">
        <f t="shared" si="202"/>
        <v>332144.64855994825</v>
      </c>
      <c r="P25" s="70">
        <f t="shared" si="203"/>
        <v>323820.68794447271</v>
      </c>
      <c r="T25" t="s">
        <v>73</v>
      </c>
      <c r="V25" t="s">
        <v>77</v>
      </c>
    </row>
    <row r="26">
      <c r="A26" t="s">
        <v>510</v>
      </c>
      <c r="B26" t="s">
        <v>511</v>
      </c>
      <c r="C26" t="s">
        <v>508</v>
      </c>
      <c r="D26" t="s">
        <v>468</v>
      </c>
      <c r="E26" s="69">
        <f t="shared" si="192"/>
        <v>184226.89321238254</v>
      </c>
      <c r="F26" s="70">
        <f t="shared" si="193"/>
        <v>312045.86421953322</v>
      </c>
      <c r="G26" s="70">
        <f t="shared" si="194"/>
        <v>314129.60252378864</v>
      </c>
      <c r="H26" s="70">
        <f t="shared" si="195"/>
        <v>316190.51297489461</v>
      </c>
      <c r="I26" s="70">
        <f t="shared" si="196"/>
        <v>318228.59557285131</v>
      </c>
      <c r="J26" s="70">
        <f t="shared" si="197"/>
        <v>317218.44979346369</v>
      </c>
      <c r="K26" s="70">
        <f t="shared" si="198"/>
        <v>315668.43018624053</v>
      </c>
      <c r="L26" s="70">
        <f t="shared" si="199"/>
        <v>312992.26167249086</v>
      </c>
      <c r="M26" s="70">
        <f t="shared" si="200"/>
        <v>309738.0411253082</v>
      </c>
      <c r="N26" s="70">
        <f t="shared" si="201"/>
        <v>306385.39314595936</v>
      </c>
      <c r="O26" s="70">
        <f t="shared" si="202"/>
        <v>301152.6096785228</v>
      </c>
      <c r="P26" s="70">
        <f t="shared" si="203"/>
        <v>293605.34834801516</v>
      </c>
      <c r="T26">
        <v>2015</v>
      </c>
      <c r="U26">
        <v>2050</v>
      </c>
      <c r="V26">
        <v>2015</v>
      </c>
      <c r="W26">
        <v>2050</v>
      </c>
    </row>
    <row r="27">
      <c r="A27" t="s">
        <v>510</v>
      </c>
      <c r="B27" t="s">
        <v>511</v>
      </c>
      <c r="C27" t="s">
        <v>508</v>
      </c>
      <c r="D27" t="s">
        <v>469</v>
      </c>
      <c r="E27" s="69">
        <f t="shared" si="192"/>
        <v>44940.00118300593</v>
      </c>
      <c r="F27" s="70">
        <f t="shared" si="193"/>
        <v>80056.456075461552</v>
      </c>
      <c r="G27" s="70">
        <f t="shared" si="194"/>
        <v>80591.04641347038</v>
      </c>
      <c r="H27" s="70">
        <f t="shared" si="195"/>
        <v>81119.78018604283</v>
      </c>
      <c r="I27" s="70">
        <f t="shared" si="196"/>
        <v>81642.657393178946</v>
      </c>
      <c r="J27" s="70">
        <f t="shared" si="197"/>
        <v>81383.500966223495</v>
      </c>
      <c r="K27" s="70">
        <f t="shared" si="198"/>
        <v>80985.838023591248</v>
      </c>
      <c r="L27" s="70">
        <f t="shared" si="199"/>
        <v>80299.257646673286</v>
      </c>
      <c r="M27" s="70">
        <f t="shared" si="200"/>
        <v>79464.376002120844</v>
      </c>
      <c r="N27" s="70">
        <f t="shared" si="201"/>
        <v>78604.24245615468</v>
      </c>
      <c r="O27" s="70">
        <f t="shared" si="202"/>
        <v>77261.753585613144</v>
      </c>
      <c r="P27" s="70">
        <f t="shared" si="203"/>
        <v>75325.477337546035</v>
      </c>
      <c r="S27" t="s">
        <v>506</v>
      </c>
      <c r="T27" s="136">
        <v>0.8174260197705</v>
      </c>
      <c r="U27">
        <v>0.84026924141983605</v>
      </c>
      <c r="V27">
        <v>0.26144575976300299</v>
      </c>
      <c r="W27">
        <v>0.26564550606062998</v>
      </c>
    </row>
    <row r="28">
      <c r="A28" t="s">
        <v>510</v>
      </c>
      <c r="B28" t="s">
        <v>511</v>
      </c>
      <c r="C28" t="s">
        <v>508</v>
      </c>
      <c r="D28" t="s">
        <v>470</v>
      </c>
      <c r="E28" s="69">
        <f t="shared" si="192"/>
        <v>107060.22776004022</v>
      </c>
      <c r="F28" s="70">
        <f t="shared" si="193"/>
        <v>254070.20013124368</v>
      </c>
      <c r="G28" s="70">
        <f t="shared" si="194"/>
        <v>255766.79626882574</v>
      </c>
      <c r="H28" s="70">
        <f t="shared" si="195"/>
        <v>257444.8057885952</v>
      </c>
      <c r="I28" s="70">
        <f t="shared" si="196"/>
        <v>259104.22869055218</v>
      </c>
      <c r="J28" s="70">
        <f t="shared" si="197"/>
        <v>258281.76004168019</v>
      </c>
      <c r="K28" s="70">
        <f t="shared" si="198"/>
        <v>257019.72187046611</v>
      </c>
      <c r="L28" s="70">
        <f t="shared" si="199"/>
        <v>254840.76439069328</v>
      </c>
      <c r="M28" s="70">
        <f t="shared" si="200"/>
        <v>252191.15239291263</v>
      </c>
      <c r="N28" s="70">
        <f t="shared" si="201"/>
        <v>249461.40000470766</v>
      </c>
      <c r="O28" s="70">
        <f t="shared" si="202"/>
        <v>245200.82649529647</v>
      </c>
      <c r="P28" s="70">
        <f t="shared" si="203"/>
        <v>239055.78688235072</v>
      </c>
      <c r="S28" t="s">
        <v>512</v>
      </c>
      <c r="T28" s="136">
        <v>0.143525818790324</v>
      </c>
      <c r="U28">
        <v>0.12576842582807299</v>
      </c>
      <c r="V28">
        <v>0.44641357385242803</v>
      </c>
      <c r="W28">
        <v>0.43579673699425597</v>
      </c>
    </row>
    <row r="29">
      <c r="A29" t="s">
        <v>510</v>
      </c>
      <c r="B29" t="s">
        <v>511</v>
      </c>
      <c r="C29" t="s">
        <v>508</v>
      </c>
      <c r="D29" t="s">
        <v>471</v>
      </c>
      <c r="E29" s="69">
        <f t="shared" si="192"/>
        <v>1809.5651039087511</v>
      </c>
      <c r="F29" s="70">
        <f t="shared" si="193"/>
        <v>24045.592597703493</v>
      </c>
      <c r="G29" s="70">
        <f t="shared" si="194"/>
        <v>24206.16105282362</v>
      </c>
      <c r="H29" s="70">
        <f t="shared" si="195"/>
        <v>24364.970441986934</v>
      </c>
      <c r="I29" s="70">
        <f t="shared" si="196"/>
        <v>24522.020765193458</v>
      </c>
      <c r="J29" s="70">
        <f t="shared" si="197"/>
        <v>24444.181073466745</v>
      </c>
      <c r="K29" s="70">
        <f t="shared" si="198"/>
        <v>24324.739849379504</v>
      </c>
      <c r="L29" s="70">
        <f t="shared" si="199"/>
        <v>24118.519978575019</v>
      </c>
      <c r="M29" s="70">
        <f t="shared" si="200"/>
        <v>23867.756643844263</v>
      </c>
      <c r="N29" s="70">
        <f t="shared" si="201"/>
        <v>23609.408699907988</v>
      </c>
      <c r="O29" s="70">
        <f t="shared" si="202"/>
        <v>23206.181502121908</v>
      </c>
      <c r="P29" s="70">
        <f t="shared" si="203"/>
        <v>24427.268593799708</v>
      </c>
      <c r="S29" t="s">
        <v>509</v>
      </c>
      <c r="T29">
        <v>0.0390481614391762</v>
      </c>
      <c r="U29">
        <v>0.033962332752091103</v>
      </c>
      <c r="V29">
        <f>V30-V27-V28</f>
        <v>0.29214066638456898</v>
      </c>
      <c r="W29">
        <v>0.29855775694511399</v>
      </c>
    </row>
    <row r="30">
      <c r="A30" t="s">
        <v>510</v>
      </c>
      <c r="B30" t="s">
        <v>511</v>
      </c>
      <c r="C30" t="s">
        <v>508</v>
      </c>
      <c r="D30" t="s">
        <v>472</v>
      </c>
      <c r="E30" s="69">
        <f t="shared" si="192"/>
        <v>8053.5375881563132</v>
      </c>
      <c r="F30" s="70">
        <f t="shared" si="193"/>
        <v>30421.204558605918</v>
      </c>
      <c r="G30" s="70">
        <f t="shared" si="194"/>
        <v>30624.347225979196</v>
      </c>
      <c r="H30" s="70">
        <f t="shared" si="195"/>
        <v>30825.264416684069</v>
      </c>
      <c r="I30" s="70">
        <f t="shared" si="196"/>
        <v>31023.956130720555</v>
      </c>
      <c r="J30" s="70">
        <f t="shared" si="197"/>
        <v>30925.477493723964</v>
      </c>
      <c r="K30" s="70">
        <f t="shared" si="198"/>
        <v>30774.366811135293</v>
      </c>
      <c r="L30" s="70">
        <f t="shared" si="199"/>
        <v>30513.468401237431</v>
      </c>
      <c r="M30" s="70">
        <f t="shared" si="200"/>
        <v>30196.215970437661</v>
      </c>
      <c r="N30" s="70">
        <f t="shared" si="201"/>
        <v>29869.367895562962</v>
      </c>
      <c r="O30" s="70">
        <f t="shared" si="202"/>
        <v>29359.226296115947</v>
      </c>
      <c r="P30" s="70">
        <f t="shared" si="203"/>
        <v>30904.080724172331</v>
      </c>
      <c r="T30" s="22">
        <f>SUM(T27:T29)</f>
        <v>1.0000000000000002</v>
      </c>
      <c r="U30" s="22">
        <f>SUM(U27:U29)</f>
        <v>1.0000000000000002</v>
      </c>
      <c r="V30" s="234">
        <v>1</v>
      </c>
      <c r="W30" s="22">
        <f>SUM(W27:W29)</f>
        <v>0.99999999999999989</v>
      </c>
    </row>
    <row r="31">
      <c r="A31" t="s">
        <v>510</v>
      </c>
      <c r="B31" t="s">
        <v>511</v>
      </c>
      <c r="C31" t="s">
        <v>508</v>
      </c>
      <c r="D31" t="s">
        <v>473</v>
      </c>
      <c r="E31" s="69">
        <f t="shared" si="192"/>
        <v>10319.038877879091</v>
      </c>
      <c r="F31" s="70">
        <f t="shared" si="193"/>
        <v>16094.186443309731</v>
      </c>
      <c r="G31" s="70">
        <f t="shared" si="194"/>
        <v>16201.658057623961</v>
      </c>
      <c r="H31" s="70">
        <f t="shared" si="195"/>
        <v>16307.952294613848</v>
      </c>
      <c r="I31" s="70">
        <f t="shared" si="196"/>
        <v>16413.069154279397</v>
      </c>
      <c r="J31" s="70">
        <f t="shared" si="197"/>
        <v>16360.969522870892</v>
      </c>
      <c r="K31" s="70">
        <f t="shared" si="198"/>
        <v>16281.025170421839</v>
      </c>
      <c r="L31" s="70">
        <f t="shared" si="199"/>
        <v>16142.998168776654</v>
      </c>
      <c r="M31" s="70">
        <f t="shared" si="200"/>
        <v>15975.157353629171</v>
      </c>
      <c r="N31" s="70">
        <f t="shared" si="201"/>
        <v>15802.240010874506</v>
      </c>
      <c r="O31" s="70">
        <f t="shared" si="202"/>
        <v>15532.352143739874</v>
      </c>
      <c r="P31" s="70">
        <f t="shared" si="203"/>
        <v>16349.649668728198</v>
      </c>
      <c r="S31" t="s">
        <v>24</v>
      </c>
      <c r="T31">
        <v>0.59088685355293302</v>
      </c>
      <c r="U31">
        <v>0.59124846114652996</v>
      </c>
      <c r="V31">
        <f>1-T31</f>
        <v>0.40911314644706698</v>
      </c>
      <c r="W31">
        <f>1-U31</f>
        <v>0.40875153885347004</v>
      </c>
    </row>
    <row r="32">
      <c r="A32" t="s">
        <v>510</v>
      </c>
      <c r="B32" t="s">
        <v>511</v>
      </c>
      <c r="C32" t="s">
        <v>508</v>
      </c>
      <c r="D32" t="s">
        <v>474</v>
      </c>
      <c r="E32" s="69">
        <f t="shared" si="192"/>
        <v>5125.3082436080522</v>
      </c>
      <c r="F32" s="70">
        <f t="shared" si="193"/>
        <v>11399.335580768424</v>
      </c>
      <c r="G32" s="70">
        <f t="shared" si="194"/>
        <v>11475.456545396872</v>
      </c>
      <c r="H32" s="70">
        <f t="shared" si="195"/>
        <v>11550.743586591374</v>
      </c>
      <c r="I32" s="70">
        <f t="shared" si="196"/>
        <v>11625.196704351936</v>
      </c>
      <c r="J32" s="70">
        <f t="shared" si="197"/>
        <v>11588.295107359016</v>
      </c>
      <c r="K32" s="70">
        <f t="shared" si="198"/>
        <v>11531.671400123862</v>
      </c>
      <c r="L32" s="70">
        <f t="shared" si="199"/>
        <v>11433.90839007654</v>
      </c>
      <c r="M32" s="70">
        <f t="shared" si="200"/>
        <v>11315.028583212415</v>
      </c>
      <c r="N32" s="70">
        <f t="shared" si="201"/>
        <v>11192.553127572681</v>
      </c>
      <c r="O32" s="70">
        <f t="shared" si="202"/>
        <v>11001.394514027204</v>
      </c>
      <c r="P32" s="70">
        <f t="shared" si="203"/>
        <v>12538.501261588955</v>
      </c>
    </row>
    <row r="33">
      <c r="A33" t="s">
        <v>510</v>
      </c>
      <c r="B33" t="s">
        <v>511</v>
      </c>
      <c r="C33" t="s">
        <v>508</v>
      </c>
      <c r="D33" t="s">
        <v>475</v>
      </c>
      <c r="E33" s="69">
        <f t="shared" si="192"/>
        <v>27245.196108182852</v>
      </c>
      <c r="F33" s="70">
        <f t="shared" si="193"/>
        <v>60596.771674826079</v>
      </c>
      <c r="G33" s="70">
        <f t="shared" si="194"/>
        <v>61001.416724581402</v>
      </c>
      <c r="H33" s="70">
        <f t="shared" si="195"/>
        <v>61401.628790715593</v>
      </c>
      <c r="I33" s="70">
        <f t="shared" si="196"/>
        <v>61797.407873228709</v>
      </c>
      <c r="J33" s="70">
        <f t="shared" si="197"/>
        <v>61601.245769606736</v>
      </c>
      <c r="K33" s="70">
        <f t="shared" si="198"/>
        <v>61300.244554720179</v>
      </c>
      <c r="L33" s="70">
        <f t="shared" si="199"/>
        <v>60780.554371366365</v>
      </c>
      <c r="M33" s="70">
        <f t="shared" si="200"/>
        <v>60148.611179392428</v>
      </c>
      <c r="N33" s="70">
        <f t="shared" si="201"/>
        <v>59497.554179746578</v>
      </c>
      <c r="O33" s="70">
        <f t="shared" si="202"/>
        <v>58481.390143113247</v>
      </c>
      <c r="P33" s="70">
        <f t="shared" si="203"/>
        <v>66652.366948022347</v>
      </c>
    </row>
    <row r="34">
      <c r="A34" t="s">
        <v>510</v>
      </c>
      <c r="B34" t="s">
        <v>511</v>
      </c>
      <c r="C34" t="s">
        <v>513</v>
      </c>
      <c r="D34" t="s">
        <v>463</v>
      </c>
      <c r="E34" s="69">
        <f t="shared" ref="E34:E46" si="205">E$7*T$29*X9</f>
        <v>258728.55851321758</v>
      </c>
      <c r="F34" s="70">
        <f t="shared" ref="F34:F46" si="206">F$7*($X9+($Y9-$X9)*15/35)*($T$29+($U$29-$T$29)*2/35)</f>
        <v>258796.40175266578</v>
      </c>
      <c r="G34" s="70">
        <f t="shared" ref="G34:G46" si="207">G$7*($X9+($Y9-$X9)*15/35)*($T$29+($U$29-$T$29)*3/35)</f>
        <v>260475.11980992471</v>
      </c>
      <c r="H34" s="70">
        <f t="shared" ref="H34:H46" si="208">H$7*($X9+($Y9-$X9)*15/35)*($T$29+($U$29-$T$29)*4/35)</f>
        <v>262133.89994551355</v>
      </c>
      <c r="I34" s="70">
        <f t="shared" ref="I34:I46" si="209">I$7*($X9+($Y9-$X9)*15/35)*($T$29+($U$29-$T$29)*5/35)</f>
        <v>263772.74215943227</v>
      </c>
      <c r="J34" s="70">
        <f t="shared" ref="J34:J46" si="210">J$7*($X9+($Y9-$X9)*15/35)*($T$29+($U$29-$T$29)*7/35)</f>
        <v>262833.06473860692</v>
      </c>
      <c r="K34" s="70">
        <f t="shared" ref="K34:K46" si="211">K$7*($X9+($Y9-$X9)*15/35)*($T$29+($U$29-$T$29)*10/35)</f>
        <v>261393.15335407131</v>
      </c>
      <c r="L34" s="70">
        <f t="shared" ref="L34:L46" si="212">L$7*($X9+($Y9-$X9)*15/35)*($T$29+($U$29-$T$29)*15/35)</f>
        <v>258912.24703771822</v>
      </c>
      <c r="M34" s="70">
        <f t="shared" ref="M34:M46" si="213">M$7*($X9+($Y9-$X9)*15/35)*($T$29+($U$29-$T$29)*20/35)</f>
        <v>255948.21478838779</v>
      </c>
      <c r="N34" s="70">
        <f t="shared" ref="N34:N46" si="214">N$7*($X9+($Y9-$X9)*15/35)*($T$29+($U$29-$T$29)*25/35)</f>
        <v>252898.21569759055</v>
      </c>
      <c r="O34" s="70">
        <f t="shared" ref="O34:O46" si="215">O$7*($X9+($Y9-$X9)*15/35)*($T$29+($U$29-$T$29)*30/35)</f>
        <v>248293.27320367435</v>
      </c>
      <c r="P34" s="70">
        <f t="shared" ref="P34:P46" si="216">P$7*U$29*Y9</f>
        <v>242819.75844377439</v>
      </c>
    </row>
    <row r="35">
      <c r="A35" t="s">
        <v>510</v>
      </c>
      <c r="B35" t="s">
        <v>511</v>
      </c>
      <c r="C35" t="s">
        <v>513</v>
      </c>
      <c r="D35" t="s">
        <v>464</v>
      </c>
      <c r="E35" s="69">
        <f t="shared" si="205"/>
        <v>60796.208832447759</v>
      </c>
      <c r="F35" s="70">
        <f t="shared" si="206"/>
        <v>60812.150681994914</v>
      </c>
      <c r="G35" s="70">
        <f t="shared" si="207"/>
        <v>61206.616968076356</v>
      </c>
      <c r="H35" s="70">
        <f t="shared" si="208"/>
        <v>61596.398228057442</v>
      </c>
      <c r="I35" s="70">
        <f t="shared" si="209"/>
        <v>61981.4944619382</v>
      </c>
      <c r="J35" s="70">
        <f t="shared" si="210"/>
        <v>61760.688436349359</v>
      </c>
      <c r="K35" s="70">
        <f t="shared" si="211"/>
        <v>61422.337101121797</v>
      </c>
      <c r="L35" s="70">
        <f t="shared" si="212"/>
        <v>60839.372084157767</v>
      </c>
      <c r="M35" s="70">
        <f t="shared" si="213"/>
        <v>60142.881813999978</v>
      </c>
      <c r="N35" s="70">
        <f t="shared" si="214"/>
        <v>59426.190998233651</v>
      </c>
      <c r="O35" s="70">
        <f t="shared" si="215"/>
        <v>58344.118546972961</v>
      </c>
      <c r="P35" s="70">
        <f t="shared" si="216"/>
        <v>57057.948406720127</v>
      </c>
    </row>
    <row r="36">
      <c r="A36" t="s">
        <v>510</v>
      </c>
      <c r="B36" t="s">
        <v>511</v>
      </c>
      <c r="C36" t="s">
        <v>513</v>
      </c>
      <c r="D36" t="s">
        <v>465</v>
      </c>
      <c r="E36" s="69">
        <f t="shared" si="205"/>
        <v>52851.238519295606</v>
      </c>
      <c r="F36" s="70">
        <f t="shared" si="206"/>
        <v>52865.09705602075</v>
      </c>
      <c r="G36" s="70">
        <f t="shared" si="207"/>
        <v>53208.013697927941</v>
      </c>
      <c r="H36" s="70">
        <f t="shared" si="208"/>
        <v>53546.857562327219</v>
      </c>
      <c r="I36" s="70">
        <f t="shared" si="209"/>
        <v>53881.628649218597</v>
      </c>
      <c r="J36" s="70">
        <f t="shared" si="210"/>
        <v>53689.677997212399</v>
      </c>
      <c r="K36" s="70">
        <f t="shared" si="211"/>
        <v>53395.543092012689</v>
      </c>
      <c r="L36" s="70">
        <f t="shared" si="212"/>
        <v>52888.761110838765</v>
      </c>
      <c r="M36" s="70">
        <f t="shared" si="213"/>
        <v>52283.289583890015</v>
      </c>
      <c r="N36" s="70">
        <f t="shared" si="214"/>
        <v>51660.257359083931</v>
      </c>
      <c r="O36" s="70">
        <f t="shared" si="215"/>
        <v>50719.59230257773</v>
      </c>
      <c r="P36" s="70">
        <f t="shared" si="216"/>
        <v>49601.501451777505</v>
      </c>
    </row>
    <row r="37">
      <c r="A37" t="s">
        <v>510</v>
      </c>
      <c r="B37" t="s">
        <v>511</v>
      </c>
      <c r="C37" t="s">
        <v>513</v>
      </c>
      <c r="D37" t="s">
        <v>466</v>
      </c>
      <c r="E37" s="69">
        <f t="shared" si="205"/>
        <v>46584.68162814188</v>
      </c>
      <c r="F37" s="70">
        <f t="shared" si="206"/>
        <v>46596.896961959246</v>
      </c>
      <c r="G37" s="70">
        <f t="shared" si="207"/>
        <v>46899.154071457364</v>
      </c>
      <c r="H37" s="70">
        <f t="shared" si="208"/>
        <v>47197.82131156238</v>
      </c>
      <c r="I37" s="70">
        <f t="shared" si="209"/>
        <v>47492.898682274295</v>
      </c>
      <c r="J37" s="70">
        <f t="shared" si="210"/>
        <v>47323.707566558842</v>
      </c>
      <c r="K37" s="70">
        <f t="shared" si="211"/>
        <v>47064.448156593462</v>
      </c>
      <c r="L37" s="70">
        <f t="shared" si="212"/>
        <v>46617.755176271967</v>
      </c>
      <c r="M37" s="70">
        <f t="shared" si="213"/>
        <v>46084.074242616742</v>
      </c>
      <c r="N37" s="70">
        <f t="shared" si="214"/>
        <v>45534.914778244536</v>
      </c>
      <c r="O37" s="70">
        <f t="shared" si="215"/>
        <v>44705.784120122662</v>
      </c>
      <c r="P37" s="70">
        <f t="shared" si="216"/>
        <v>43720.264995592617</v>
      </c>
    </row>
    <row r="38">
      <c r="A38" t="s">
        <v>510</v>
      </c>
      <c r="B38" t="s">
        <v>511</v>
      </c>
      <c r="C38" t="s">
        <v>513</v>
      </c>
      <c r="D38" t="s">
        <v>467</v>
      </c>
      <c r="E38" s="69">
        <f t="shared" si="205"/>
        <v>94778.118646095187</v>
      </c>
      <c r="F38" s="70">
        <f t="shared" si="206"/>
        <v>94802.971158066386</v>
      </c>
      <c r="G38" s="70">
        <f t="shared" si="207"/>
        <v>95417.923524046113</v>
      </c>
      <c r="H38" s="70">
        <f t="shared" si="208"/>
        <v>96025.572178690447</v>
      </c>
      <c r="I38" s="70">
        <f t="shared" si="209"/>
        <v>96625.917121999388</v>
      </c>
      <c r="J38" s="70">
        <f t="shared" si="210"/>
        <v>96281.692044598458</v>
      </c>
      <c r="K38" s="70">
        <f t="shared" si="211"/>
        <v>95754.219960234768</v>
      </c>
      <c r="L38" s="70">
        <f t="shared" si="212"/>
        <v>94845.407904262422</v>
      </c>
      <c r="M38" s="70">
        <f t="shared" si="213"/>
        <v>93759.615899652534</v>
      </c>
      <c r="N38" s="70">
        <f t="shared" si="214"/>
        <v>92642.332298030742</v>
      </c>
      <c r="O38" s="70">
        <f t="shared" si="215"/>
        <v>90955.437783737929</v>
      </c>
      <c r="P38" s="70">
        <f t="shared" si="216"/>
        <v>88950.365617348245</v>
      </c>
    </row>
    <row r="39">
      <c r="A39" t="s">
        <v>510</v>
      </c>
      <c r="B39" t="s">
        <v>511</v>
      </c>
      <c r="C39" t="s">
        <v>513</v>
      </c>
      <c r="D39" t="s">
        <v>468</v>
      </c>
      <c r="E39" s="69">
        <f t="shared" si="205"/>
        <v>50121.445243968621</v>
      </c>
      <c r="F39" s="70">
        <f t="shared" si="206"/>
        <v>50134.587980242963</v>
      </c>
      <c r="G39" s="70">
        <f t="shared" si="207"/>
        <v>50459.792803670542</v>
      </c>
      <c r="H39" s="70">
        <f t="shared" si="208"/>
        <v>50781.135210614193</v>
      </c>
      <c r="I39" s="70">
        <f t="shared" si="209"/>
        <v>51098.61520107391</v>
      </c>
      <c r="J39" s="70">
        <f t="shared" si="210"/>
        <v>50916.57889759996</v>
      </c>
      <c r="K39" s="70">
        <f t="shared" si="211"/>
        <v>50637.636209437129</v>
      </c>
      <c r="L39" s="70">
        <f t="shared" si="212"/>
        <v>50157.029774627372</v>
      </c>
      <c r="M39" s="70">
        <f t="shared" si="213"/>
        <v>49582.831159136746</v>
      </c>
      <c r="N39" s="70">
        <f t="shared" si="214"/>
        <v>48991.978864739809</v>
      </c>
      <c r="O39" s="70">
        <f t="shared" si="215"/>
        <v>48099.899635501366</v>
      </c>
      <c r="P39" s="70">
        <f t="shared" si="216"/>
        <v>47039.558744233422</v>
      </c>
    </row>
    <row r="40">
      <c r="A40" t="s">
        <v>510</v>
      </c>
      <c r="B40" t="s">
        <v>511</v>
      </c>
      <c r="C40" t="s">
        <v>513</v>
      </c>
      <c r="D40" t="s">
        <v>469</v>
      </c>
      <c r="E40" s="69">
        <f t="shared" si="205"/>
        <v>12226.541789212137</v>
      </c>
      <c r="F40" s="70">
        <f t="shared" si="206"/>
        <v>12229.747806387035</v>
      </c>
      <c r="G40" s="70">
        <f t="shared" si="207"/>
        <v>12309.077728825157</v>
      </c>
      <c r="H40" s="70">
        <f t="shared" si="208"/>
        <v>12387.465459825698</v>
      </c>
      <c r="I40" s="70">
        <f t="shared" si="209"/>
        <v>12464.910999388656</v>
      </c>
      <c r="J40" s="70">
        <f t="shared" si="210"/>
        <v>12420.505367014244</v>
      </c>
      <c r="K40" s="70">
        <f t="shared" si="211"/>
        <v>12352.460552723331</v>
      </c>
      <c r="L40" s="70">
        <f t="shared" si="212"/>
        <v>12235.222220293705</v>
      </c>
      <c r="M40" s="70">
        <f t="shared" si="213"/>
        <v>12095.153167347775</v>
      </c>
      <c r="N40" s="70">
        <f t="shared" si="214"/>
        <v>11951.021643734828</v>
      </c>
      <c r="O40" s="70">
        <f t="shared" si="215"/>
        <v>11733.409323848971</v>
      </c>
      <c r="P40" s="70">
        <f t="shared" si="216"/>
        <v>11474.751534657267</v>
      </c>
    </row>
    <row r="41">
      <c r="A41" t="s">
        <v>510</v>
      </c>
      <c r="B41" t="s">
        <v>511</v>
      </c>
      <c r="C41" t="s">
        <v>513</v>
      </c>
      <c r="D41" t="s">
        <v>470</v>
      </c>
      <c r="E41" s="69">
        <f t="shared" si="205"/>
        <v>29127.198803138672</v>
      </c>
      <c r="F41" s="70">
        <f t="shared" si="206"/>
        <v>29134.83647380874</v>
      </c>
      <c r="G41" s="70">
        <f t="shared" si="207"/>
        <v>29323.823553044149</v>
      </c>
      <c r="H41" s="70">
        <f t="shared" si="208"/>
        <v>29510.566056684402</v>
      </c>
      <c r="I41" s="70">
        <f t="shared" si="209"/>
        <v>29695.063984729513</v>
      </c>
      <c r="J41" s="70">
        <f t="shared" si="210"/>
        <v>29589.276779774322</v>
      </c>
      <c r="K41" s="70">
        <f t="shared" si="211"/>
        <v>29427.174129037638</v>
      </c>
      <c r="L41" s="70">
        <f t="shared" si="212"/>
        <v>29147.878128999491</v>
      </c>
      <c r="M41" s="70">
        <f t="shared" si="213"/>
        <v>28814.192674709946</v>
      </c>
      <c r="N41" s="70">
        <f t="shared" si="214"/>
        <v>28470.829227019629</v>
      </c>
      <c r="O41" s="70">
        <f t="shared" si="215"/>
        <v>27952.413029487783</v>
      </c>
      <c r="P41" s="70">
        <f t="shared" si="216"/>
        <v>27336.214518277175</v>
      </c>
    </row>
    <row r="42">
      <c r="A42" t="s">
        <v>510</v>
      </c>
      <c r="B42" t="s">
        <v>511</v>
      </c>
      <c r="C42" t="s">
        <v>513</v>
      </c>
      <c r="D42" t="s">
        <v>471</v>
      </c>
      <c r="E42" s="69">
        <f t="shared" si="205"/>
        <v>492.31692881233874</v>
      </c>
      <c r="F42" s="70">
        <f t="shared" si="206"/>
        <v>523.429193010576</v>
      </c>
      <c r="G42" s="70">
        <f t="shared" si="207"/>
        <v>526.82448765939068</v>
      </c>
      <c r="H42" s="70">
        <f t="shared" si="208"/>
        <v>530.17945682385005</v>
      </c>
      <c r="I42" s="70">
        <f t="shared" si="209"/>
        <v>533.4941005039542</v>
      </c>
      <c r="J42" s="70">
        <f t="shared" si="210"/>
        <v>531.59355400971458</v>
      </c>
      <c r="K42" s="70">
        <f t="shared" si="211"/>
        <v>528.68125828647442</v>
      </c>
      <c r="L42" s="70">
        <f t="shared" si="212"/>
        <v>523.66349612939234</v>
      </c>
      <c r="M42" s="70">
        <f t="shared" si="213"/>
        <v>517.66858662594757</v>
      </c>
      <c r="N42" s="70">
        <f t="shared" si="214"/>
        <v>511.49980471102458</v>
      </c>
      <c r="O42" s="70">
        <f t="shared" si="215"/>
        <v>502.18606882780989</v>
      </c>
      <c r="P42" s="70">
        <f t="shared" si="216"/>
        <v>530.11199806870297</v>
      </c>
    </row>
    <row r="43">
      <c r="A43" t="s">
        <v>510</v>
      </c>
      <c r="B43" t="s">
        <v>511</v>
      </c>
      <c r="C43" t="s">
        <v>513</v>
      </c>
      <c r="D43" t="s">
        <v>472</v>
      </c>
      <c r="E43" s="69">
        <f t="shared" si="205"/>
        <v>2191.07501736825</v>
      </c>
      <c r="F43" s="70">
        <f t="shared" si="206"/>
        <v>2329.5413199245513</v>
      </c>
      <c r="G43" s="70">
        <f t="shared" si="207"/>
        <v>2344.6522065226791</v>
      </c>
      <c r="H43" s="70">
        <f t="shared" si="208"/>
        <v>2359.583623035252</v>
      </c>
      <c r="I43" s="70">
        <f t="shared" si="209"/>
        <v>2374.3355694622701</v>
      </c>
      <c r="J43" s="70">
        <f t="shared" si="210"/>
        <v>2365.8771157728529</v>
      </c>
      <c r="K43" s="70">
        <f t="shared" si="211"/>
        <v>2352.9158340680501</v>
      </c>
      <c r="L43" s="70">
        <f t="shared" si="212"/>
        <v>2330.5840947715756</v>
      </c>
      <c r="M43" s="70">
        <f t="shared" si="213"/>
        <v>2303.9035244404499</v>
      </c>
      <c r="N43" s="70">
        <f t="shared" si="214"/>
        <v>2276.4491283992916</v>
      </c>
      <c r="O43" s="70">
        <f t="shared" si="215"/>
        <v>2234.9979963788915</v>
      </c>
      <c r="P43" s="70">
        <f t="shared" si="216"/>
        <v>2359.2833953070235</v>
      </c>
    </row>
    <row r="44">
      <c r="A44" t="s">
        <v>510</v>
      </c>
      <c r="B44" t="s">
        <v>511</v>
      </c>
      <c r="C44" t="s">
        <v>513</v>
      </c>
      <c r="D44" t="s">
        <v>473</v>
      </c>
      <c r="E44" s="69">
        <f t="shared" si="205"/>
        <v>2807.4356195745531</v>
      </c>
      <c r="F44" s="70">
        <f t="shared" si="206"/>
        <v>2984.8532008193383</v>
      </c>
      <c r="G44" s="70">
        <f t="shared" si="207"/>
        <v>3004.2148570577865</v>
      </c>
      <c r="H44" s="70">
        <f t="shared" si="208"/>
        <v>3023.3465573582403</v>
      </c>
      <c r="I44" s="70">
        <f t="shared" si="209"/>
        <v>3042.2483017206996</v>
      </c>
      <c r="J44" s="70">
        <f t="shared" si="210"/>
        <v>3031.4104417725202</v>
      </c>
      <c r="K44" s="70">
        <f t="shared" si="211"/>
        <v>3014.8030852717334</v>
      </c>
      <c r="L44" s="70">
        <f t="shared" si="212"/>
        <v>2986.1893135610417</v>
      </c>
      <c r="M44" s="70">
        <f t="shared" si="213"/>
        <v>2952.003362416322</v>
      </c>
      <c r="N44" s="70">
        <f t="shared" si="214"/>
        <v>2916.8259044338779</v>
      </c>
      <c r="O44" s="70">
        <f t="shared" si="215"/>
        <v>2863.7143570960166</v>
      </c>
      <c r="P44" s="70">
        <f t="shared" si="216"/>
        <v>3022.9618740354299</v>
      </c>
    </row>
    <row r="45">
      <c r="A45" t="s">
        <v>510</v>
      </c>
      <c r="B45" t="s">
        <v>511</v>
      </c>
      <c r="C45" t="s">
        <v>513</v>
      </c>
      <c r="D45" t="s">
        <v>474</v>
      </c>
      <c r="E45" s="69">
        <f t="shared" si="205"/>
        <v>1394.4101863255851</v>
      </c>
      <c r="F45" s="70">
        <f t="shared" si="206"/>
        <v>1594.9914480919385</v>
      </c>
      <c r="G45" s="70">
        <f t="shared" si="207"/>
        <v>1605.3375770448613</v>
      </c>
      <c r="H45" s="70">
        <f t="shared" si="208"/>
        <v>1615.5608263350791</v>
      </c>
      <c r="I45" s="70">
        <f t="shared" si="209"/>
        <v>1625.661195962593</v>
      </c>
      <c r="J45" s="70">
        <f t="shared" si="210"/>
        <v>1619.8698579067654</v>
      </c>
      <c r="K45" s="70">
        <f t="shared" si="211"/>
        <v>1610.9955214446243</v>
      </c>
      <c r="L45" s="70">
        <f t="shared" si="212"/>
        <v>1595.7054156653246</v>
      </c>
      <c r="M45" s="70">
        <f t="shared" si="213"/>
        <v>1577.4377502050102</v>
      </c>
      <c r="N45" s="70">
        <f t="shared" si="214"/>
        <v>1558.6402613930945</v>
      </c>
      <c r="O45" s="70">
        <f t="shared" si="215"/>
        <v>1530.2594807987377</v>
      </c>
      <c r="P45" s="70">
        <f t="shared" si="216"/>
        <v>1748.5233071197756</v>
      </c>
    </row>
    <row r="46">
      <c r="A46" t="s">
        <v>510</v>
      </c>
      <c r="B46" t="s">
        <v>511</v>
      </c>
      <c r="C46" t="s">
        <v>513</v>
      </c>
      <c r="D46" t="s">
        <v>475</v>
      </c>
      <c r="E46" s="69">
        <f t="shared" si="205"/>
        <v>7412.4281264581905</v>
      </c>
      <c r="F46" s="70">
        <f t="shared" si="206"/>
        <v>8478.6812282626342</v>
      </c>
      <c r="G46" s="70">
        <f t="shared" si="207"/>
        <v>8533.6793471825004</v>
      </c>
      <c r="H46" s="70">
        <f t="shared" si="208"/>
        <v>8588.0242604122959</v>
      </c>
      <c r="I46" s="70">
        <f t="shared" si="209"/>
        <v>8641.7159679520209</v>
      </c>
      <c r="J46" s="70">
        <f t="shared" si="210"/>
        <v>8610.9302798411463</v>
      </c>
      <c r="K46" s="70">
        <f t="shared" si="211"/>
        <v>8563.7559391480663</v>
      </c>
      <c r="L46" s="70">
        <f t="shared" si="212"/>
        <v>8482.4765485882072</v>
      </c>
      <c r="M46" s="70">
        <f t="shared" si="213"/>
        <v>8385.3689983202512</v>
      </c>
      <c r="N46" s="70">
        <f t="shared" si="214"/>
        <v>8285.4450045466619</v>
      </c>
      <c r="O46" s="70">
        <f t="shared" si="215"/>
        <v>8134.5779939700969</v>
      </c>
      <c r="P46" s="70">
        <f t="shared" si="216"/>
        <v>9294.8283572248729</v>
      </c>
    </row>
    <row r="47">
      <c r="D47" t="s">
        <v>514</v>
      </c>
      <c r="E47" s="235">
        <f t="shared" ref="E47:P47" si="217">SUM(E49:E87)-E48</f>
        <v>0</v>
      </c>
      <c r="F47" s="235">
        <f t="shared" si="217"/>
        <v>0</v>
      </c>
      <c r="G47" s="235">
        <f t="shared" si="217"/>
        <v>0</v>
      </c>
      <c r="H47" s="235">
        <f t="shared" si="217"/>
        <v>0</v>
      </c>
      <c r="I47" s="235">
        <f t="shared" si="217"/>
        <v>-7761.0627621393651</v>
      </c>
      <c r="J47" s="235">
        <f t="shared" si="217"/>
        <v>0</v>
      </c>
      <c r="K47" s="235">
        <f t="shared" si="217"/>
        <v>0</v>
      </c>
      <c r="L47" s="235">
        <f t="shared" si="217"/>
        <v>0</v>
      </c>
      <c r="M47" s="235">
        <f t="shared" si="217"/>
        <v>0</v>
      </c>
      <c r="N47" s="235">
        <f t="shared" si="217"/>
        <v>0</v>
      </c>
      <c r="O47" s="235">
        <f t="shared" si="217"/>
        <v>0</v>
      </c>
      <c r="P47" s="235">
        <f t="shared" si="217"/>
        <v>0</v>
      </c>
    </row>
    <row r="48">
      <c r="D48" t="s">
        <v>515</v>
      </c>
      <c r="E48" s="69">
        <f>'parc résidentiel'!N11</f>
        <v>12175190.609793838</v>
      </c>
      <c r="F48" s="69">
        <f>E48+($I48-$E48)/4</f>
        <v>12365364.457345378</v>
      </c>
      <c r="G48" s="69">
        <f>F48+($I48-$E48)/4</f>
        <v>12555538.304896917</v>
      </c>
      <c r="H48" s="69">
        <f>G48+($I48-$E48)/4</f>
        <v>12745712.152448457</v>
      </c>
      <c r="I48" s="69">
        <f>'parc résidentiel'!O11</f>
        <v>12935886</v>
      </c>
      <c r="J48" s="69">
        <f>I48+(L48-I48)*2/10</f>
        <v>13032235.849686317</v>
      </c>
      <c r="K48" s="69">
        <f>(I48+L48)/2</f>
        <v>13176760.624215795</v>
      </c>
      <c r="L48" s="69">
        <f>'parc résidentiel'!P11</f>
        <v>13417635.248431589</v>
      </c>
      <c r="M48" s="69">
        <f>(L48+N48)/2</f>
        <v>13705992.061028473</v>
      </c>
      <c r="N48" s="69">
        <f>'parc résidentiel'!Q11</f>
        <v>13994348.873625359</v>
      </c>
      <c r="O48" s="69">
        <f>(N48+P48)/2</f>
        <v>14115443.741475146</v>
      </c>
      <c r="P48" s="69">
        <f>'parc résidentiel'!R11</f>
        <v>14236538.609324936</v>
      </c>
    </row>
    <row r="49">
      <c r="A49" t="s">
        <v>510</v>
      </c>
      <c r="B49" t="s">
        <v>516</v>
      </c>
      <c r="C49" t="s">
        <v>506</v>
      </c>
      <c r="D49" t="s">
        <v>463</v>
      </c>
      <c r="E49" s="69">
        <f t="shared" ref="E49:E61" si="218">E$48*V$27*Z9</f>
        <v>1308690.7065249623</v>
      </c>
      <c r="F49" s="70">
        <f t="shared" ref="F49:F61" si="219">F$48*($Z9+($AA9-$Z9)*2/35)*($V$27+($W$27-$V$27)*2/35)</f>
        <v>1330212.1702101396</v>
      </c>
      <c r="G49" s="70">
        <f t="shared" ref="G49:G61" si="220">G$48*($Z9+($AA9-$Z9)*3/35)*($V$27+($W$27-$V$27)*3/35)</f>
        <v>1351218.4521648576</v>
      </c>
      <c r="H49" s="70">
        <f t="shared" ref="H49:H61" si="221">H$48*($Z9+($AA9-$Z9)*4/35)*($V$27+($W$27-$V$27)*4/35)</f>
        <v>1372241.2748554801</v>
      </c>
      <c r="I49" s="70">
        <f t="shared" ref="I49:I61" si="222">I$48 *($Z9+($AA9-$Z9)*5/35)*($V$27+($W$27-$W$27)*5/35)</f>
        <v>1390090.6657483359</v>
      </c>
      <c r="J49" s="70">
        <f t="shared" ref="J49:J61" si="223">J$48*($Z9+($AA9-$Z9)*7/35)*($V$27+($W$27-$V$27)*7/35)</f>
        <v>1404795.7182211366</v>
      </c>
      <c r="K49" s="70">
        <f t="shared" ref="K49:K61" si="224">K$48*($Z9+($AA9-$Z9)*10/35)*($V$27+($W$27-$V$27)*10/35)</f>
        <v>1422099.3678009587</v>
      </c>
      <c r="L49" s="70">
        <f t="shared" ref="L49:L61" si="225">L$48*($Z9+($AA9-$Z9)*15/35)*($V$27+($W$27-$V$27)*15/35)</f>
        <v>1451021.4676733951</v>
      </c>
      <c r="M49" s="70">
        <f t="shared" ref="M49:M61" si="226">M$48*($Z9+($AA9-$Z9)*20/35)*($V$27+($W$27-$V$27)*20/35)</f>
        <v>1485192.0482943023</v>
      </c>
      <c r="N49" s="70">
        <f t="shared" ref="N49:N61" si="227">N$48*($Z9+($AA9-$Z9)*25/35)*($V$27+($W$27-$V$27)*25/35)</f>
        <v>1519486.4912680681</v>
      </c>
      <c r="O49" s="70">
        <f t="shared" ref="O49:O61" si="228">O$48*($Z9+($AA9-$Z9)*30/35)*($V$27+($W$27-$V$27)*30/35)</f>
        <v>1535707.2135057715</v>
      </c>
      <c r="P49" s="70">
        <f t="shared" ref="P49:P61" si="229">P$48*W$27*AA9</f>
        <v>1551978.803348864</v>
      </c>
    </row>
    <row r="50">
      <c r="A50" t="s">
        <v>510</v>
      </c>
      <c r="B50" t="s">
        <v>516</v>
      </c>
      <c r="C50" t="s">
        <v>506</v>
      </c>
      <c r="D50" t="s">
        <v>464</v>
      </c>
      <c r="E50" s="69">
        <f t="shared" si="218"/>
        <v>254079.09117139663</v>
      </c>
      <c r="F50" s="70">
        <f t="shared" si="219"/>
        <v>258257.43056552895</v>
      </c>
      <c r="G50" s="70">
        <f t="shared" si="220"/>
        <v>262335.74869015079</v>
      </c>
      <c r="H50" s="70">
        <f t="shared" si="221"/>
        <v>266417.27815808303</v>
      </c>
      <c r="I50" s="70">
        <f t="shared" si="222"/>
        <v>269882.69362516637</v>
      </c>
      <c r="J50" s="70">
        <f t="shared" si="223"/>
        <v>272737.6434993333</v>
      </c>
      <c r="K50" s="70">
        <f t="shared" si="224"/>
        <v>276097.10462889518</v>
      </c>
      <c r="L50" s="70">
        <f t="shared" si="225"/>
        <v>281712.25938908284</v>
      </c>
      <c r="M50" s="70">
        <f t="shared" si="226"/>
        <v>288346.39381494198</v>
      </c>
      <c r="N50" s="70">
        <f t="shared" si="227"/>
        <v>295004.57581284211</v>
      </c>
      <c r="O50" s="70">
        <f t="shared" si="228"/>
        <v>298153.78925475845</v>
      </c>
      <c r="P50" s="70">
        <f t="shared" si="229"/>
        <v>301312.8785175106</v>
      </c>
    </row>
    <row r="51">
      <c r="A51" t="s">
        <v>510</v>
      </c>
      <c r="B51" t="s">
        <v>516</v>
      </c>
      <c r="C51" t="s">
        <v>506</v>
      </c>
      <c r="D51" t="s">
        <v>465</v>
      </c>
      <c r="E51" s="69">
        <f t="shared" si="218"/>
        <v>582076.32183147687</v>
      </c>
      <c r="F51" s="70">
        <f t="shared" si="219"/>
        <v>591648.58696627081</v>
      </c>
      <c r="G51" s="70">
        <f t="shared" si="220"/>
        <v>600991.71080339595</v>
      </c>
      <c r="H51" s="70">
        <f t="shared" si="221"/>
        <v>610342.19158946793</v>
      </c>
      <c r="I51" s="70">
        <f t="shared" si="222"/>
        <v>618281.2009719325</v>
      </c>
      <c r="J51" s="70">
        <f t="shared" si="223"/>
        <v>624821.67903373146</v>
      </c>
      <c r="K51" s="70">
        <f t="shared" si="224"/>
        <v>632517.95490049338</v>
      </c>
      <c r="L51" s="70">
        <f t="shared" si="225"/>
        <v>645381.85729504237</v>
      </c>
      <c r="M51" s="70">
        <f t="shared" si="226"/>
        <v>660580.16640161397</v>
      </c>
      <c r="N51" s="70">
        <f t="shared" si="227"/>
        <v>675833.56670918944</v>
      </c>
      <c r="O51" s="70">
        <f t="shared" si="228"/>
        <v>683048.18074327521</v>
      </c>
      <c r="P51" s="70">
        <f t="shared" si="229"/>
        <v>690285.41954920173</v>
      </c>
    </row>
    <row r="52">
      <c r="A52" t="s">
        <v>510</v>
      </c>
      <c r="B52" t="s">
        <v>516</v>
      </c>
      <c r="C52" t="s">
        <v>506</v>
      </c>
      <c r="D52" t="s">
        <v>466</v>
      </c>
      <c r="E52" s="69">
        <f t="shared" si="218"/>
        <v>96267.36992938495</v>
      </c>
      <c r="F52" s="70">
        <f t="shared" si="219"/>
        <v>97850.490139280984</v>
      </c>
      <c r="G52" s="70">
        <f t="shared" si="220"/>
        <v>99395.713548978398</v>
      </c>
      <c r="H52" s="70">
        <f t="shared" si="221"/>
        <v>100942.15369623972</v>
      </c>
      <c r="I52" s="70">
        <f t="shared" si="222"/>
        <v>102255.15600268957</v>
      </c>
      <c r="J52" s="70">
        <f t="shared" si="223"/>
        <v>103336.86057900541</v>
      </c>
      <c r="K52" s="70">
        <f t="shared" si="224"/>
        <v>104609.71812045797</v>
      </c>
      <c r="L52" s="70">
        <f t="shared" si="225"/>
        <v>106737.2295894953</v>
      </c>
      <c r="M52" s="70">
        <f t="shared" si="226"/>
        <v>109250.81962947469</v>
      </c>
      <c r="N52" s="70">
        <f t="shared" si="227"/>
        <v>111773.52099184944</v>
      </c>
      <c r="O52" s="70">
        <f t="shared" si="228"/>
        <v>112966.71833052784</v>
      </c>
      <c r="P52" s="70">
        <f t="shared" si="229"/>
        <v>114163.65749342873</v>
      </c>
    </row>
    <row r="53">
      <c r="A53" t="s">
        <v>510</v>
      </c>
      <c r="B53" t="s">
        <v>516</v>
      </c>
      <c r="C53" t="s">
        <v>506</v>
      </c>
      <c r="D53" t="s">
        <v>467</v>
      </c>
      <c r="E53" s="69">
        <f t="shared" si="218"/>
        <v>132293.02712541752</v>
      </c>
      <c r="F53" s="70">
        <f t="shared" si="219"/>
        <v>134468.59050711372</v>
      </c>
      <c r="G53" s="70">
        <f t="shared" si="220"/>
        <v>136592.07515828765</v>
      </c>
      <c r="H53" s="70">
        <f t="shared" si="221"/>
        <v>138717.23188064896</v>
      </c>
      <c r="I53" s="70">
        <f t="shared" si="222"/>
        <v>140521.59248456202</v>
      </c>
      <c r="J53" s="70">
        <f t="shared" si="223"/>
        <v>142008.09796363779</v>
      </c>
      <c r="K53" s="70">
        <f t="shared" si="224"/>
        <v>143757.29062758703</v>
      </c>
      <c r="L53" s="70">
        <f t="shared" si="225"/>
        <v>146680.97009124589</v>
      </c>
      <c r="M53" s="70">
        <f t="shared" si="226"/>
        <v>150135.20838180164</v>
      </c>
      <c r="N53" s="70">
        <f t="shared" si="227"/>
        <v>153601.96767944083</v>
      </c>
      <c r="O53" s="70">
        <f t="shared" si="228"/>
        <v>155241.68930066665</v>
      </c>
      <c r="P53" s="70">
        <f t="shared" si="229"/>
        <v>156886.55303031125</v>
      </c>
    </row>
    <row r="54">
      <c r="A54" t="s">
        <v>510</v>
      </c>
      <c r="B54" t="s">
        <v>516</v>
      </c>
      <c r="C54" t="s">
        <v>506</v>
      </c>
      <c r="D54" t="s">
        <v>468</v>
      </c>
      <c r="E54" s="69">
        <f t="shared" si="218"/>
        <v>188499.79126921375</v>
      </c>
      <c r="F54" s="70">
        <f t="shared" si="219"/>
        <v>191599.67682065631</v>
      </c>
      <c r="G54" s="70">
        <f t="shared" si="220"/>
        <v>194625.35717741607</v>
      </c>
      <c r="H54" s="70">
        <f t="shared" si="221"/>
        <v>197653.42001099008</v>
      </c>
      <c r="I54" s="70">
        <f t="shared" si="222"/>
        <v>200224.39147186349</v>
      </c>
      <c r="J54" s="70">
        <f t="shared" si="223"/>
        <v>202342.46208083577</v>
      </c>
      <c r="K54" s="70">
        <f t="shared" si="224"/>
        <v>204834.82663857998</v>
      </c>
      <c r="L54" s="70">
        <f t="shared" si="225"/>
        <v>209000.67710411747</v>
      </c>
      <c r="M54" s="70">
        <f t="shared" si="226"/>
        <v>213922.50262215172</v>
      </c>
      <c r="N54" s="70">
        <f t="shared" si="227"/>
        <v>218862.16889319473</v>
      </c>
      <c r="O54" s="70">
        <f t="shared" si="228"/>
        <v>221198.55192151308</v>
      </c>
      <c r="P54" s="70">
        <f t="shared" si="229"/>
        <v>223542.26176353192</v>
      </c>
    </row>
    <row r="55">
      <c r="A55" t="s">
        <v>510</v>
      </c>
      <c r="B55" t="s">
        <v>516</v>
      </c>
      <c r="C55" t="s">
        <v>506</v>
      </c>
      <c r="D55" t="s">
        <v>469</v>
      </c>
      <c r="E55" s="69">
        <f t="shared" si="218"/>
        <v>46916.891211733055</v>
      </c>
      <c r="F55" s="70">
        <f t="shared" si="219"/>
        <v>47688.441101558354</v>
      </c>
      <c r="G55" s="70">
        <f t="shared" si="220"/>
        <v>48441.521596681225</v>
      </c>
      <c r="H55" s="70">
        <f t="shared" si="221"/>
        <v>49195.195081349368</v>
      </c>
      <c r="I55" s="70">
        <f t="shared" si="222"/>
        <v>49835.100237350292</v>
      </c>
      <c r="J55" s="70">
        <f t="shared" si="223"/>
        <v>50362.280069597437</v>
      </c>
      <c r="K55" s="70">
        <f t="shared" si="224"/>
        <v>50982.620262169119</v>
      </c>
      <c r="L55" s="70">
        <f t="shared" si="225"/>
        <v>52019.484821965023</v>
      </c>
      <c r="M55" s="70">
        <f t="shared" si="226"/>
        <v>53244.508737577526</v>
      </c>
      <c r="N55" s="70">
        <f t="shared" si="227"/>
        <v>54473.973149714759</v>
      </c>
      <c r="O55" s="70">
        <f t="shared" si="228"/>
        <v>55055.490124510798</v>
      </c>
      <c r="P55" s="70">
        <f t="shared" si="229"/>
        <v>55638.830715762844</v>
      </c>
    </row>
    <row r="56">
      <c r="A56" t="s">
        <v>510</v>
      </c>
      <c r="B56" t="s">
        <v>516</v>
      </c>
      <c r="C56" t="s">
        <v>506</v>
      </c>
      <c r="D56" t="s">
        <v>470</v>
      </c>
      <c r="E56" s="69">
        <f t="shared" si="218"/>
        <v>548024.04536009196</v>
      </c>
      <c r="F56" s="70">
        <f t="shared" si="219"/>
        <v>557036.31963698287</v>
      </c>
      <c r="G56" s="70">
        <f t="shared" si="220"/>
        <v>565832.85770163196</v>
      </c>
      <c r="H56" s="70">
        <f t="shared" si="221"/>
        <v>574636.32232345629</v>
      </c>
      <c r="I56" s="70">
        <f t="shared" si="222"/>
        <v>582110.88858693256</v>
      </c>
      <c r="J56" s="70">
        <f t="shared" si="223"/>
        <v>588268.73956210713</v>
      </c>
      <c r="K56" s="70">
        <f t="shared" si="224"/>
        <v>595514.77255901566</v>
      </c>
      <c r="L56" s="70">
        <f t="shared" si="225"/>
        <v>607626.11872612371</v>
      </c>
      <c r="M56" s="70">
        <f t="shared" si="226"/>
        <v>621935.30555751629</v>
      </c>
      <c r="N56" s="70">
        <f t="shared" si="227"/>
        <v>636296.36067783518</v>
      </c>
      <c r="O56" s="70">
        <f t="shared" si="228"/>
        <v>643088.90973090567</v>
      </c>
      <c r="P56" s="70">
        <f t="shared" si="229"/>
        <v>649902.75997511647</v>
      </c>
    </row>
    <row r="57">
      <c r="A57" t="s">
        <v>510</v>
      </c>
      <c r="B57" t="s">
        <v>516</v>
      </c>
      <c r="C57" t="s">
        <v>506</v>
      </c>
      <c r="D57" t="s">
        <v>471</v>
      </c>
      <c r="E57" s="69">
        <f t="shared" si="218"/>
        <v>9139.8061259315054</v>
      </c>
      <c r="F57" s="70">
        <f t="shared" si="219"/>
        <v>9368.1796157601566</v>
      </c>
      <c r="G57" s="70">
        <f t="shared" si="220"/>
        <v>9555.7761037135806</v>
      </c>
      <c r="H57" s="70">
        <f t="shared" si="221"/>
        <v>9744.7273291305373</v>
      </c>
      <c r="I57" s="70">
        <f t="shared" si="222"/>
        <v>9912.2882786239952</v>
      </c>
      <c r="J57" s="70">
        <f t="shared" si="223"/>
        <v>10099.634988721991</v>
      </c>
      <c r="K57" s="70">
        <f t="shared" si="224"/>
        <v>10349.329477427978</v>
      </c>
      <c r="L57" s="70">
        <f t="shared" si="225"/>
        <v>10772.966209248543</v>
      </c>
      <c r="M57" s="70">
        <f t="shared" si="226"/>
        <v>11244.953080627858</v>
      </c>
      <c r="N57" s="70">
        <f t="shared" si="227"/>
        <v>11728.05831862076</v>
      </c>
      <c r="O57" s="70">
        <f t="shared" si="228"/>
        <v>12079.210295031562</v>
      </c>
      <c r="P57" s="70">
        <f t="shared" si="229"/>
        <v>12435.663472331338</v>
      </c>
    </row>
    <row r="58">
      <c r="A58" t="s">
        <v>510</v>
      </c>
      <c r="B58" t="s">
        <v>516</v>
      </c>
      <c r="C58" t="s">
        <v>506</v>
      </c>
      <c r="D58" t="s">
        <v>472</v>
      </c>
      <c r="E58" s="69">
        <f t="shared" si="218"/>
        <v>4499.7374239234932</v>
      </c>
      <c r="F58" s="70">
        <f t="shared" si="219"/>
        <v>4612.17096186238</v>
      </c>
      <c r="G58" s="70">
        <f t="shared" si="220"/>
        <v>4704.5290409955505</v>
      </c>
      <c r="H58" s="70">
        <f t="shared" si="221"/>
        <v>4797.5540886377103</v>
      </c>
      <c r="I58" s="70">
        <f t="shared" si="222"/>
        <v>4880.0482099391093</v>
      </c>
      <c r="J58" s="70">
        <f t="shared" si="223"/>
        <v>4972.2833176713266</v>
      </c>
      <c r="K58" s="70">
        <f t="shared" si="224"/>
        <v>5095.2136752628267</v>
      </c>
      <c r="L58" s="70">
        <f t="shared" si="225"/>
        <v>5303.7798122307831</v>
      </c>
      <c r="M58" s="70">
        <f t="shared" si="226"/>
        <v>5536.1498384089446</v>
      </c>
      <c r="N58" s="70">
        <f t="shared" si="227"/>
        <v>5773.9936929872647</v>
      </c>
      <c r="O58" s="70">
        <f t="shared" si="228"/>
        <v>5946.8739125421725</v>
      </c>
      <c r="P58" s="70">
        <f t="shared" si="229"/>
        <v>6122.3640356008518</v>
      </c>
    </row>
    <row r="59">
      <c r="A59" t="s">
        <v>510</v>
      </c>
      <c r="B59" t="s">
        <v>516</v>
      </c>
      <c r="C59" t="s">
        <v>506</v>
      </c>
      <c r="D59" t="s">
        <v>473</v>
      </c>
      <c r="E59" s="69">
        <f t="shared" si="218"/>
        <v>2074.9226308055422</v>
      </c>
      <c r="F59" s="70">
        <f t="shared" si="219"/>
        <v>2126.7680765176869</v>
      </c>
      <c r="G59" s="70">
        <f t="shared" si="220"/>
        <v>2169.3563101137829</v>
      </c>
      <c r="H59" s="70">
        <f t="shared" si="221"/>
        <v>2212.2520967786368</v>
      </c>
      <c r="I59" s="70">
        <f t="shared" si="222"/>
        <v>2250.2918540068354</v>
      </c>
      <c r="J59" s="70">
        <f t="shared" si="223"/>
        <v>2292.823382929138</v>
      </c>
      <c r="K59" s="70">
        <f t="shared" si="224"/>
        <v>2349.5091307737803</v>
      </c>
      <c r="L59" s="70">
        <f t="shared" si="225"/>
        <v>2445.683319808385</v>
      </c>
      <c r="M59" s="70">
        <f t="shared" si="226"/>
        <v>2552.8339778611266</v>
      </c>
      <c r="N59" s="70">
        <f t="shared" si="227"/>
        <v>2662.5087321787414</v>
      </c>
      <c r="O59" s="70">
        <f t="shared" si="228"/>
        <v>2742.2274015539733</v>
      </c>
      <c r="P59" s="70">
        <f t="shared" si="229"/>
        <v>2823.1495517846447</v>
      </c>
    </row>
    <row r="60">
      <c r="A60" t="s">
        <v>510</v>
      </c>
      <c r="B60" t="s">
        <v>516</v>
      </c>
      <c r="C60" t="s">
        <v>506</v>
      </c>
      <c r="D60" t="s">
        <v>474</v>
      </c>
      <c r="E60" s="69">
        <f t="shared" si="218"/>
        <v>1676.7822962725927</v>
      </c>
      <c r="F60" s="70">
        <f t="shared" si="219"/>
        <v>1737.0342513790006</v>
      </c>
      <c r="G60" s="70">
        <f t="shared" si="220"/>
        <v>1781.0641777399053</v>
      </c>
      <c r="H60" s="70">
        <f t="shared" si="221"/>
        <v>1825.633994253302</v>
      </c>
      <c r="I60" s="70">
        <f t="shared" si="222"/>
        <v>1866.4612472656249</v>
      </c>
      <c r="J60" s="70">
        <f t="shared" si="223"/>
        <v>1920.7331375728438</v>
      </c>
      <c r="K60" s="70">
        <f t="shared" si="224"/>
        <v>1996.8349606453589</v>
      </c>
      <c r="L60" s="70">
        <f t="shared" si="225"/>
        <v>2126.6661418998087</v>
      </c>
      <c r="M60" s="70">
        <f t="shared" si="226"/>
        <v>2268.117227581663</v>
      </c>
      <c r="N60" s="70">
        <f t="shared" si="227"/>
        <v>2414.0187259389186</v>
      </c>
      <c r="O60" s="70">
        <f t="shared" si="228"/>
        <v>2534.3655561571168</v>
      </c>
      <c r="P60" s="70">
        <f t="shared" si="229"/>
        <v>2656.8477757238088</v>
      </c>
    </row>
    <row r="61">
      <c r="A61" t="s">
        <v>510</v>
      </c>
      <c r="B61" t="s">
        <v>516</v>
      </c>
      <c r="C61" t="s">
        <v>506</v>
      </c>
      <c r="D61" t="s">
        <v>475</v>
      </c>
      <c r="E61" s="69">
        <f t="shared" si="218"/>
        <v>8913.4663363223335</v>
      </c>
      <c r="F61" s="70">
        <f t="shared" si="219"/>
        <v>9233.7546496784671</v>
      </c>
      <c r="G61" s="70">
        <f t="shared" si="220"/>
        <v>9467.8096413617022</v>
      </c>
      <c r="H61" s="70">
        <f t="shared" si="221"/>
        <v>9704.7345898128751</v>
      </c>
      <c r="I61" s="70">
        <f t="shared" si="222"/>
        <v>9921.7647589283388</v>
      </c>
      <c r="J61" s="70">
        <f t="shared" si="223"/>
        <v>10210.264147511656</v>
      </c>
      <c r="K61" s="70">
        <f t="shared" si="224"/>
        <v>10614.807444275655</v>
      </c>
      <c r="L61" s="70">
        <f t="shared" si="225"/>
        <v>11304.966128613514</v>
      </c>
      <c r="M61" s="70">
        <f t="shared" si="226"/>
        <v>12056.894088053568</v>
      </c>
      <c r="N61" s="70">
        <f t="shared" si="227"/>
        <v>12832.479622870645</v>
      </c>
      <c r="O61" s="70">
        <f t="shared" si="228"/>
        <v>13472.221241217638</v>
      </c>
      <c r="P61" s="70">
        <f t="shared" si="229"/>
        <v>14123.31419665535</v>
      </c>
    </row>
    <row r="62">
      <c r="A62" t="s">
        <v>510</v>
      </c>
      <c r="B62" t="s">
        <v>516</v>
      </c>
      <c r="C62" t="s">
        <v>508</v>
      </c>
      <c r="D62" t="s">
        <v>463</v>
      </c>
      <c r="E62" s="69">
        <f t="shared" ref="E62:E74" si="230">E$48*V$28*AB9</f>
        <v>1825483.9092881912</v>
      </c>
      <c r="F62" s="70">
        <f t="shared" ref="F62:F74" si="231">F$48*($AB9+($AC9-$AB9)*2/35)*($V$28+($W$28-$V$28)*2/35)</f>
        <v>1832018.3659315365</v>
      </c>
      <c r="G62" s="70">
        <f t="shared" ref="G62:G74" si="232">G$48*($AB9+($AC9-$AB9)*3/35)*($V$28+($W$28-$V$28)*3/35)</f>
        <v>1849055.5473479584</v>
      </c>
      <c r="H62" s="70">
        <f t="shared" ref="H62:H74" si="233">H$48*($AB9+($AC9-$AB9)*4/35)*($V$28+($W$28-$V$28)*4/35)</f>
        <v>1865768.9572562682</v>
      </c>
      <c r="I62" s="70">
        <f t="shared" ref="I62:I74" si="234">I$48*($AB9+($AC9-$AB9)*5/35)*($V$28+($W$28-$V$28)*5/35)</f>
        <v>1882159.2065701843</v>
      </c>
      <c r="J62" s="70">
        <f t="shared" ref="J62:J74" si="235">J$48*($AB9+($AC9-$AB9)*7/35)*($V$28+($W$28-$V$28)*7/35)</f>
        <v>1873153.0084424925</v>
      </c>
      <c r="K62" s="70">
        <f t="shared" ref="K62:K74" si="236">K$48*($AB9+($AC9-$AB9)*10/35)*($V$28+($W$28-$V$28)*10/35)</f>
        <v>1859111.1772927798</v>
      </c>
      <c r="L62" s="70">
        <f t="shared" ref="L62:L74" si="237">L$48*($AB9+($AC9-$AB9)*15/35)*($V$28+($W$28-$V$28)*15/35)</f>
        <v>1834298.3519507141</v>
      </c>
      <c r="M62" s="70">
        <f t="shared" ref="M62:M74" si="238">M$48*($AB9+($AC9-$AB9)*20/35)*($V$28+($W$28-$V$28)*20/35)</f>
        <v>1814024.4689636829</v>
      </c>
      <c r="N62" s="70">
        <f t="shared" ref="N62:N74" si="239">N$48*($AB9+($AC9-$AB9)*25/35)*($V$28+($W$28-$V$28)*25/35)</f>
        <v>1791613.4169982362</v>
      </c>
      <c r="O62" s="70">
        <f t="shared" ref="O62:O74" si="240">O$48*($AB9+($AC9-$AB9)*30/35)*($V$28+($W$28-$V$28)*30/35)</f>
        <v>1746394.3313361369</v>
      </c>
      <c r="P62" s="70">
        <f t="shared" ref="P62:P74" si="241">P$48*W$28*AC9</f>
        <v>1700514.4999315368</v>
      </c>
    </row>
    <row r="63">
      <c r="A63" t="s">
        <v>510</v>
      </c>
      <c r="B63" t="s">
        <v>516</v>
      </c>
      <c r="C63" t="s">
        <v>508</v>
      </c>
      <c r="D63" t="s">
        <v>464</v>
      </c>
      <c r="E63" s="69">
        <f t="shared" si="230"/>
        <v>569890.71564081882</v>
      </c>
      <c r="F63" s="70">
        <f t="shared" si="231"/>
        <v>579840.68245097785</v>
      </c>
      <c r="G63" s="70">
        <f t="shared" si="232"/>
        <v>589288.73497237219</v>
      </c>
      <c r="H63" s="70">
        <f t="shared" si="233"/>
        <v>598751.56680017675</v>
      </c>
      <c r="I63" s="70">
        <f t="shared" si="234"/>
        <v>608229.12032731285</v>
      </c>
      <c r="J63" s="70">
        <f t="shared" si="235"/>
        <v>613851.14789802197</v>
      </c>
      <c r="K63" s="70">
        <f t="shared" si="236"/>
        <v>622304.47955127398</v>
      </c>
      <c r="L63" s="70">
        <f t="shared" si="237"/>
        <v>636446.50022911956</v>
      </c>
      <c r="M63" s="70">
        <f t="shared" si="238"/>
        <v>652915.2774003105</v>
      </c>
      <c r="N63" s="70">
        <f t="shared" si="239"/>
        <v>669466.16584306955</v>
      </c>
      <c r="O63" s="70">
        <f t="shared" si="240"/>
        <v>678062.23562964133</v>
      </c>
      <c r="P63" s="70">
        <f t="shared" si="241"/>
        <v>686670.46277685137</v>
      </c>
    </row>
    <row r="64">
      <c r="A64" t="s">
        <v>510</v>
      </c>
      <c r="B64" t="s">
        <v>516</v>
      </c>
      <c r="C64" t="s">
        <v>508</v>
      </c>
      <c r="D64" t="s">
        <v>465</v>
      </c>
      <c r="E64" s="69">
        <f t="shared" si="230"/>
        <v>870058.17748667905</v>
      </c>
      <c r="F64" s="70">
        <f t="shared" si="231"/>
        <v>878736.99818436953</v>
      </c>
      <c r="G64" s="70">
        <f t="shared" si="232"/>
        <v>889762.01373166824</v>
      </c>
      <c r="H64" s="70">
        <f t="shared" si="233"/>
        <v>900714.21445592307</v>
      </c>
      <c r="I64" s="70">
        <f t="shared" si="234"/>
        <v>911593.71684177802</v>
      </c>
      <c r="J64" s="70">
        <f t="shared" si="235"/>
        <v>913233.94317053119</v>
      </c>
      <c r="K64" s="70">
        <f t="shared" si="236"/>
        <v>915571.69122954935</v>
      </c>
      <c r="L64" s="70">
        <f t="shared" si="237"/>
        <v>919142.99469978607</v>
      </c>
      <c r="M64" s="70">
        <f t="shared" si="238"/>
        <v>925517.62156114099</v>
      </c>
      <c r="N64" s="70">
        <f t="shared" si="239"/>
        <v>931400.74346621148</v>
      </c>
      <c r="O64" s="70">
        <f t="shared" si="240"/>
        <v>925826.13401877508</v>
      </c>
      <c r="P64" s="70">
        <f t="shared" si="241"/>
        <v>920090.26061967632</v>
      </c>
    </row>
    <row r="65">
      <c r="A65" t="s">
        <v>510</v>
      </c>
      <c r="B65" t="s">
        <v>516</v>
      </c>
      <c r="C65" t="s">
        <v>508</v>
      </c>
      <c r="D65" t="s">
        <v>466</v>
      </c>
      <c r="E65" s="69">
        <f t="shared" si="230"/>
        <v>218162.90446243109</v>
      </c>
      <c r="F65" s="70">
        <f t="shared" si="231"/>
        <v>226446.89686335469</v>
      </c>
      <c r="G65" s="70">
        <f t="shared" si="232"/>
        <v>232399.8500356451</v>
      </c>
      <c r="H65" s="70">
        <f t="shared" si="233"/>
        <v>238424.00532004898</v>
      </c>
      <c r="I65" s="70">
        <f t="shared" si="234"/>
        <v>244519.20017616943</v>
      </c>
      <c r="J65" s="70">
        <f t="shared" si="235"/>
        <v>251442.63289956929</v>
      </c>
      <c r="K65" s="70">
        <f t="shared" si="236"/>
        <v>261941.08230228271</v>
      </c>
      <c r="L65" s="70">
        <f t="shared" si="237"/>
        <v>279737.8871666647</v>
      </c>
      <c r="M65" s="70">
        <f t="shared" si="238"/>
        <v>298940.09744155587</v>
      </c>
      <c r="N65" s="70">
        <f t="shared" si="239"/>
        <v>318597.65235589928</v>
      </c>
      <c r="O65" s="70">
        <f t="shared" si="240"/>
        <v>334737.89028455137</v>
      </c>
      <c r="P65" s="70">
        <f t="shared" si="241"/>
        <v>351006.35822024121</v>
      </c>
    </row>
    <row r="66">
      <c r="A66" t="s">
        <v>510</v>
      </c>
      <c r="B66" t="s">
        <v>516</v>
      </c>
      <c r="C66" t="s">
        <v>508</v>
      </c>
      <c r="D66" t="s">
        <v>467</v>
      </c>
      <c r="E66" s="69">
        <f t="shared" si="230"/>
        <v>360757.95599544287</v>
      </c>
      <c r="F66" s="70">
        <f t="shared" si="231"/>
        <v>376890.05960607121</v>
      </c>
      <c r="G66" s="70">
        <f t="shared" si="232"/>
        <v>388004.3596371481</v>
      </c>
      <c r="H66" s="70">
        <f t="shared" si="233"/>
        <v>399272.04446404631</v>
      </c>
      <c r="I66" s="70">
        <f t="shared" si="234"/>
        <v>410692.76890848513</v>
      </c>
      <c r="J66" s="70">
        <f t="shared" si="235"/>
        <v>424736.12705638568</v>
      </c>
      <c r="K66" s="70">
        <f t="shared" si="236"/>
        <v>446045.90959083231</v>
      </c>
      <c r="L66" s="70">
        <f t="shared" si="237"/>
        <v>482209.03860064247</v>
      </c>
      <c r="M66" s="70">
        <f t="shared" si="238"/>
        <v>520976.06299203268</v>
      </c>
      <c r="N66" s="70">
        <f t="shared" si="239"/>
        <v>560726.58074613148</v>
      </c>
      <c r="O66" s="70">
        <f t="shared" si="240"/>
        <v>594404.07424842147</v>
      </c>
      <c r="P66" s="70">
        <f t="shared" si="241"/>
        <v>628360.81309444434</v>
      </c>
    </row>
    <row r="67">
      <c r="A67" t="s">
        <v>510</v>
      </c>
      <c r="B67" t="s">
        <v>516</v>
      </c>
      <c r="C67" t="s">
        <v>508</v>
      </c>
      <c r="D67" t="s">
        <v>468</v>
      </c>
      <c r="E67" s="69">
        <f t="shared" si="230"/>
        <v>547125.26327864744</v>
      </c>
      <c r="F67" s="70">
        <f t="shared" si="231"/>
        <v>560662.18592929246</v>
      </c>
      <c r="G67" s="70">
        <f t="shared" si="232"/>
        <v>571812.81936741888</v>
      </c>
      <c r="H67" s="70">
        <f t="shared" si="233"/>
        <v>583036.00087845663</v>
      </c>
      <c r="I67" s="70">
        <f t="shared" si="234"/>
        <v>594331.55006978707</v>
      </c>
      <c r="J67" s="70">
        <f t="shared" si="235"/>
        <v>603977.1886069288</v>
      </c>
      <c r="K67" s="70">
        <f t="shared" si="236"/>
        <v>618559.09015658195</v>
      </c>
      <c r="L67" s="70">
        <f t="shared" si="237"/>
        <v>643161.72958054347</v>
      </c>
      <c r="M67" s="70">
        <f t="shared" si="238"/>
        <v>670456.44389879785</v>
      </c>
      <c r="N67" s="70">
        <f t="shared" si="239"/>
        <v>698207.42989228107</v>
      </c>
      <c r="O67" s="70">
        <f t="shared" si="240"/>
        <v>717901.03059485916</v>
      </c>
      <c r="P67" s="70">
        <f t="shared" si="241"/>
        <v>737716.33214369137</v>
      </c>
    </row>
    <row r="68">
      <c r="A68" t="s">
        <v>510</v>
      </c>
      <c r="B68" t="s">
        <v>516</v>
      </c>
      <c r="C68" t="s">
        <v>508</v>
      </c>
      <c r="D68" t="s">
        <v>469</v>
      </c>
      <c r="E68" s="69">
        <f t="shared" si="230"/>
        <v>122740.46766843428</v>
      </c>
      <c r="F68" s="70">
        <f t="shared" si="231"/>
        <v>125991.26297293963</v>
      </c>
      <c r="G68" s="70">
        <f t="shared" si="232"/>
        <v>128604.45841620139</v>
      </c>
      <c r="H68" s="70">
        <f t="shared" si="233"/>
        <v>131237.06294109169</v>
      </c>
      <c r="I68" s="70">
        <f t="shared" si="234"/>
        <v>133889.02936175794</v>
      </c>
      <c r="J68" s="70">
        <f t="shared" si="235"/>
        <v>136281.02962346034</v>
      </c>
      <c r="K68" s="70">
        <f t="shared" si="236"/>
        <v>139899.52547541482</v>
      </c>
      <c r="L68" s="70">
        <f t="shared" si="237"/>
        <v>146010.87624431177</v>
      </c>
      <c r="M68" s="70">
        <f t="shared" si="238"/>
        <v>152750.7678069243</v>
      </c>
      <c r="N68" s="70">
        <f t="shared" si="239"/>
        <v>159613.28640002539</v>
      </c>
      <c r="O68" s="70">
        <f t="shared" si="240"/>
        <v>164645.66297028828</v>
      </c>
      <c r="P68" s="70">
        <f t="shared" si="241"/>
        <v>169711.25006550908</v>
      </c>
    </row>
    <row r="69">
      <c r="A69" t="s">
        <v>510</v>
      </c>
      <c r="B69" t="s">
        <v>516</v>
      </c>
      <c r="C69" t="s">
        <v>508</v>
      </c>
      <c r="D69" t="s">
        <v>470</v>
      </c>
      <c r="E69" s="69">
        <f t="shared" si="230"/>
        <v>810434.66842607502</v>
      </c>
      <c r="F69" s="70">
        <f t="shared" si="231"/>
        <v>815884.33960585634</v>
      </c>
      <c r="G69" s="70">
        <f t="shared" si="232"/>
        <v>824778.58412518504</v>
      </c>
      <c r="H69" s="70">
        <f t="shared" si="233"/>
        <v>833566.4180489463</v>
      </c>
      <c r="I69" s="70">
        <f t="shared" si="234"/>
        <v>842248.03258360329</v>
      </c>
      <c r="J69" s="70">
        <f t="shared" si="235"/>
        <v>840967.05542382121</v>
      </c>
      <c r="K69" s="70">
        <f t="shared" si="236"/>
        <v>838869.27254081902</v>
      </c>
      <c r="L69" s="70">
        <f t="shared" si="237"/>
        <v>834906.01778744615</v>
      </c>
      <c r="M69" s="70">
        <f t="shared" si="238"/>
        <v>833250.98589570727</v>
      </c>
      <c r="N69" s="70">
        <f t="shared" si="239"/>
        <v>830888.57660095696</v>
      </c>
      <c r="O69" s="70">
        <f t="shared" si="240"/>
        <v>818131.53077305027</v>
      </c>
      <c r="P69" s="70">
        <f t="shared" si="241"/>
        <v>805151.52355791314</v>
      </c>
    </row>
    <row r="70">
      <c r="A70" t="s">
        <v>510</v>
      </c>
      <c r="B70" t="s">
        <v>516</v>
      </c>
      <c r="C70" t="s">
        <v>508</v>
      </c>
      <c r="D70" t="s">
        <v>471</v>
      </c>
      <c r="E70" s="69">
        <f t="shared" si="230"/>
        <v>24343.287526489104</v>
      </c>
      <c r="F70" s="70">
        <f t="shared" si="231"/>
        <v>25151.409710781503</v>
      </c>
      <c r="G70" s="70">
        <f t="shared" si="232"/>
        <v>25754.982027450245</v>
      </c>
      <c r="H70" s="70">
        <f t="shared" si="233"/>
        <v>26364.796879009002</v>
      </c>
      <c r="I70" s="70">
        <f t="shared" si="234"/>
        <v>26980.839777651279</v>
      </c>
      <c r="J70" s="70">
        <f t="shared" si="235"/>
        <v>27629.452097922531</v>
      </c>
      <c r="K70" s="70">
        <f t="shared" si="236"/>
        <v>28612.271919324165</v>
      </c>
      <c r="L70" s="70">
        <f t="shared" si="237"/>
        <v>30276.463860467877</v>
      </c>
      <c r="M70" s="70">
        <f t="shared" si="238"/>
        <v>32084.107033323871</v>
      </c>
      <c r="N70" s="70">
        <f t="shared" si="239"/>
        <v>33931.548509816654</v>
      </c>
      <c r="O70" s="70">
        <f t="shared" si="240"/>
        <v>35398.778778419364</v>
      </c>
      <c r="P70" s="70">
        <f t="shared" si="241"/>
        <v>36877.107646404867</v>
      </c>
    </row>
    <row r="71">
      <c r="A71" t="s">
        <v>510</v>
      </c>
      <c r="B71" t="s">
        <v>516</v>
      </c>
      <c r="C71" t="s">
        <v>508</v>
      </c>
      <c r="D71" t="s">
        <v>472</v>
      </c>
      <c r="E71" s="69">
        <f t="shared" si="230"/>
        <v>13164.129245215523</v>
      </c>
      <c r="F71" s="70">
        <f t="shared" si="231"/>
        <v>14181.546398330864</v>
      </c>
      <c r="G71" s="70">
        <f t="shared" si="232"/>
        <v>14810.932883468326</v>
      </c>
      <c r="H71" s="70">
        <f t="shared" si="233"/>
        <v>15452.196281350331</v>
      </c>
      <c r="I71" s="70">
        <f t="shared" si="234"/>
        <v>16105.310536103278</v>
      </c>
      <c r="J71" s="70">
        <f t="shared" si="235"/>
        <v>17074.892178570306</v>
      </c>
      <c r="K71" s="70">
        <f t="shared" si="236"/>
        <v>18548.306657745776</v>
      </c>
      <c r="L71" s="70">
        <f t="shared" si="237"/>
        <v>21054.336131927856</v>
      </c>
      <c r="M71" s="70">
        <f t="shared" si="238"/>
        <v>23704.694972227535</v>
      </c>
      <c r="N71" s="70">
        <f t="shared" si="239"/>
        <v>26431.557033560046</v>
      </c>
      <c r="O71" s="70">
        <f t="shared" si="240"/>
        <v>28891.581782755595</v>
      </c>
      <c r="P71" s="70">
        <f t="shared" si="241"/>
        <v>31373.636188015007</v>
      </c>
    </row>
    <row r="72">
      <c r="A72" t="s">
        <v>510</v>
      </c>
      <c r="B72" t="s">
        <v>516</v>
      </c>
      <c r="C72" t="s">
        <v>508</v>
      </c>
      <c r="D72" t="s">
        <v>473</v>
      </c>
      <c r="E72" s="69">
        <f t="shared" si="230"/>
        <v>14349.247756053746</v>
      </c>
      <c r="F72" s="70">
        <f t="shared" si="231"/>
        <v>14886.406696951208</v>
      </c>
      <c r="G72" s="70">
        <f t="shared" si="232"/>
        <v>15273.928638165651</v>
      </c>
      <c r="H72" s="70">
        <f t="shared" si="233"/>
        <v>15666.020911160691</v>
      </c>
      <c r="I72" s="70">
        <f t="shared" si="234"/>
        <v>16062.673067036885</v>
      </c>
      <c r="J72" s="70">
        <f t="shared" si="235"/>
        <v>16509.833743424104</v>
      </c>
      <c r="K72" s="70">
        <f t="shared" si="236"/>
        <v>17187.84516854327</v>
      </c>
      <c r="L72" s="70">
        <f t="shared" si="237"/>
        <v>18337.075510516108</v>
      </c>
      <c r="M72" s="70">
        <f t="shared" si="238"/>
        <v>19577.857542747097</v>
      </c>
      <c r="N72" s="70">
        <f t="shared" si="239"/>
        <v>20847.859128994951</v>
      </c>
      <c r="O72" s="70">
        <f t="shared" si="240"/>
        <v>21887.328739419241</v>
      </c>
      <c r="P72" s="70">
        <f t="shared" si="241"/>
        <v>22935.019666452645</v>
      </c>
    </row>
    <row r="73">
      <c r="A73" t="s">
        <v>510</v>
      </c>
      <c r="B73" t="s">
        <v>516</v>
      </c>
      <c r="C73" t="s">
        <v>508</v>
      </c>
      <c r="D73" t="s">
        <v>474</v>
      </c>
      <c r="E73" s="69">
        <f t="shared" si="230"/>
        <v>9287.7349017381384</v>
      </c>
      <c r="F73" s="70">
        <f t="shared" si="231"/>
        <v>9796.7719945684985</v>
      </c>
      <c r="G73" s="70">
        <f t="shared" si="232"/>
        <v>10131.832697552609</v>
      </c>
      <c r="H73" s="70">
        <f t="shared" si="233"/>
        <v>10472.214928934129</v>
      </c>
      <c r="I73" s="70">
        <f t="shared" si="234"/>
        <v>10817.906859993171</v>
      </c>
      <c r="J73" s="70">
        <f t="shared" si="235"/>
        <v>11279.372963031597</v>
      </c>
      <c r="K73" s="70">
        <f t="shared" si="236"/>
        <v>11980.083165899074</v>
      </c>
      <c r="L73" s="70">
        <f t="shared" si="237"/>
        <v>13170.429869060556</v>
      </c>
      <c r="M73" s="70">
        <f t="shared" si="238"/>
        <v>14438.592576541427</v>
      </c>
      <c r="N73" s="70">
        <f t="shared" si="239"/>
        <v>15740.95291149263</v>
      </c>
      <c r="O73" s="70">
        <f t="shared" si="240"/>
        <v>16877.076377446901</v>
      </c>
      <c r="P73" s="70">
        <f t="shared" si="241"/>
        <v>18022.976955046328</v>
      </c>
    </row>
    <row r="74">
      <c r="A74" t="s">
        <v>510</v>
      </c>
      <c r="B74" t="s">
        <v>516</v>
      </c>
      <c r="C74" t="s">
        <v>508</v>
      </c>
      <c r="D74" t="s">
        <v>475</v>
      </c>
      <c r="E74" s="69">
        <f t="shared" si="230"/>
        <v>49371.890776374647</v>
      </c>
      <c r="F74" s="70">
        <f t="shared" si="231"/>
        <v>52077.838352854305</v>
      </c>
      <c r="G74" s="70">
        <f t="shared" si="232"/>
        <v>53858.959434173179</v>
      </c>
      <c r="H74" s="70">
        <f t="shared" si="233"/>
        <v>55668.368781854071</v>
      </c>
      <c r="I74" s="70">
        <f t="shared" si="234"/>
        <v>57506.003516597309</v>
      </c>
      <c r="J74" s="70">
        <f t="shared" si="235"/>
        <v>59959.072459375682</v>
      </c>
      <c r="K74" s="70">
        <f t="shared" si="236"/>
        <v>63683.919041225279</v>
      </c>
      <c r="L74" s="70">
        <f t="shared" si="237"/>
        <v>70011.583217289153</v>
      </c>
      <c r="M74" s="70">
        <f t="shared" si="238"/>
        <v>76752.902962397304</v>
      </c>
      <c r="N74" s="70">
        <f t="shared" si="239"/>
        <v>83676.011006389876</v>
      </c>
      <c r="O74" s="70">
        <f t="shared" si="240"/>
        <v>89715.434424803039</v>
      </c>
      <c r="P74" s="70">
        <f t="shared" si="241"/>
        <v>95806.831170767007</v>
      </c>
    </row>
    <row r="75">
      <c r="A75" t="s">
        <v>510</v>
      </c>
      <c r="B75" t="s">
        <v>516</v>
      </c>
      <c r="C75" t="s">
        <v>513</v>
      </c>
      <c r="D75" t="s">
        <v>463</v>
      </c>
      <c r="E75" s="69">
        <f t="shared" ref="E75:E87" si="242">E$48*V$29*AD9</f>
        <v>1562862.2301019123</v>
      </c>
      <c r="F75" s="70">
        <f t="shared" ref="F75:F87" si="243">F$48*($AD9+($AE9-$AD9)*2/35)*($V$29+($W$29-$V$29)*2/35)</f>
        <v>1588575.3118973838</v>
      </c>
      <c r="G75" s="70">
        <f t="shared" ref="G75:G87" si="244">G$48*($AD9+($AE9-$AD9)*3/35)*($V$29+($W$29-$V$29)*3/35)</f>
        <v>1613667.0035344998</v>
      </c>
      <c r="H75" s="70">
        <f t="shared" ref="H75:H87" si="245">H$48*($AD9+($AE9-$AD9)*4/35)*($V$29+($W$29-$V$29)*4/35)</f>
        <v>1638778.2455385774</v>
      </c>
      <c r="I75" s="70">
        <f t="shared" ref="I75:I87" si="246">I$48*($AD9+($AE9-$AD9)*5/35)*($V$29+($W$29-$V$29)*5/35)</f>
        <v>1663909.0179313088</v>
      </c>
      <c r="J75" s="70">
        <f t="shared" ref="J75:J87" si="247">J$48*($AD9+($AE9-$AD9)*7/35)*($V$29+($W$29-$V$29)*7/35)</f>
        <v>1677669.3848933629</v>
      </c>
      <c r="K75" s="70">
        <f t="shared" ref="K75:K87" si="248">K$48*($AD9+($AE9-$AD9)*10/35)*($V$29+($W$29-$V$29)*10/35)</f>
        <v>1698344.3779110357</v>
      </c>
      <c r="L75" s="70">
        <f t="shared" ref="L75:L87" si="249">L$48*($AD9+($AE9-$AD9)*15/35)*($V$29+($W$29-$V$29)*15/35)</f>
        <v>1732894.2090784651</v>
      </c>
      <c r="M75" s="70">
        <f t="shared" ref="M75:M87" si="250">M$48*($AD9+($AE9-$AD9)*20/35)*($V$29+($W$29-$V$29)*20/35)</f>
        <v>1773702.583985508</v>
      </c>
      <c r="N75" s="70">
        <f t="shared" ref="N75:N87" si="251">N$48*($AD9+($AE9-$AD9)*25/35)*($V$29+($W$29-$V$29)*25/35)</f>
        <v>1814648.7959590463</v>
      </c>
      <c r="O75" s="70">
        <f t="shared" ref="O75:O87" si="252">O$48*($AD9+($AE9-$AD9)*30/35)*($V$29+($W$29-$V$29)*30/35)</f>
        <v>1833999.9758018083</v>
      </c>
      <c r="P75" s="70">
        <f t="shared" ref="P75:P87" si="253">P$48*W$29*AE9</f>
        <v>1853401.2976322982</v>
      </c>
    </row>
    <row r="76">
      <c r="A76" t="s">
        <v>510</v>
      </c>
      <c r="B76" t="s">
        <v>516</v>
      </c>
      <c r="C76" t="s">
        <v>513</v>
      </c>
      <c r="D76" t="s">
        <v>464</v>
      </c>
      <c r="E76" s="69">
        <f t="shared" si="242"/>
        <v>373476.61646811583</v>
      </c>
      <c r="F76" s="70">
        <f t="shared" si="243"/>
        <v>379621.26223597367</v>
      </c>
      <c r="G76" s="70">
        <f t="shared" si="244"/>
        <v>385617.4146245821</v>
      </c>
      <c r="H76" s="70">
        <f t="shared" si="245"/>
        <v>391618.23895724473</v>
      </c>
      <c r="I76" s="70">
        <f t="shared" si="246"/>
        <v>397623.73045975267</v>
      </c>
      <c r="J76" s="70">
        <f t="shared" si="247"/>
        <v>400912.04032825114</v>
      </c>
      <c r="K76" s="70">
        <f t="shared" si="248"/>
        <v>405852.73586047278</v>
      </c>
      <c r="L76" s="70">
        <f t="shared" si="249"/>
        <v>414109.0963991204</v>
      </c>
      <c r="M76" s="70">
        <f t="shared" si="250"/>
        <v>423861.05884999555</v>
      </c>
      <c r="N76" s="70">
        <f t="shared" si="251"/>
        <v>433645.96017432172</v>
      </c>
      <c r="O76" s="70">
        <f t="shared" si="252"/>
        <v>438270.30455550848</v>
      </c>
      <c r="P76" s="70">
        <f t="shared" si="253"/>
        <v>442906.63134919386</v>
      </c>
    </row>
    <row r="77">
      <c r="A77" t="s">
        <v>510</v>
      </c>
      <c r="B77" t="s">
        <v>516</v>
      </c>
      <c r="C77" t="s">
        <v>513</v>
      </c>
      <c r="D77" t="s">
        <v>465</v>
      </c>
      <c r="E77" s="69">
        <f t="shared" si="242"/>
        <v>521290.11899718718</v>
      </c>
      <c r="F77" s="70">
        <f t="shared" si="243"/>
        <v>529866.67501778516</v>
      </c>
      <c r="G77" s="70">
        <f t="shared" si="244"/>
        <v>538235.96737601177</v>
      </c>
      <c r="H77" s="70">
        <f t="shared" si="245"/>
        <v>546611.78072689113</v>
      </c>
      <c r="I77" s="70">
        <f t="shared" si="246"/>
        <v>554994.10840669181</v>
      </c>
      <c r="J77" s="70">
        <f t="shared" si="247"/>
        <v>559583.85610993404</v>
      </c>
      <c r="K77" s="70">
        <f t="shared" si="248"/>
        <v>566479.96592874115</v>
      </c>
      <c r="L77" s="70">
        <f t="shared" si="249"/>
        <v>578004.00512663496</v>
      </c>
      <c r="M77" s="70">
        <f t="shared" si="250"/>
        <v>591615.57126576093</v>
      </c>
      <c r="N77" s="70">
        <f t="shared" si="251"/>
        <v>605273.11273106211</v>
      </c>
      <c r="O77" s="70">
        <f t="shared" si="252"/>
        <v>611727.66684893309</v>
      </c>
      <c r="P77" s="70">
        <f t="shared" si="253"/>
        <v>618198.94574410433</v>
      </c>
    </row>
    <row r="78">
      <c r="A78" t="s">
        <v>510</v>
      </c>
      <c r="B78" t="s">
        <v>516</v>
      </c>
      <c r="C78" t="s">
        <v>513</v>
      </c>
      <c r="D78" t="s">
        <v>466</v>
      </c>
      <c r="E78" s="69">
        <f t="shared" si="242"/>
        <v>137459.66199706661</v>
      </c>
      <c r="F78" s="70">
        <f t="shared" si="243"/>
        <v>139721.22508588599</v>
      </c>
      <c r="G78" s="70">
        <f t="shared" si="244"/>
        <v>141928.13455297812</v>
      </c>
      <c r="H78" s="70">
        <f t="shared" si="245"/>
        <v>144136.76354901059</v>
      </c>
      <c r="I78" s="70">
        <f t="shared" si="246"/>
        <v>146347.11031681547</v>
      </c>
      <c r="J78" s="70">
        <f t="shared" si="247"/>
        <v>147557.38679232812</v>
      </c>
      <c r="K78" s="70">
        <f t="shared" si="248"/>
        <v>149375.83086069344</v>
      </c>
      <c r="L78" s="70">
        <f t="shared" si="249"/>
        <v>152414.6195797867</v>
      </c>
      <c r="M78" s="70">
        <f t="shared" si="250"/>
        <v>156003.87096313221</v>
      </c>
      <c r="N78" s="70">
        <f t="shared" si="251"/>
        <v>159605.2456393734</v>
      </c>
      <c r="O78" s="70">
        <f t="shared" si="252"/>
        <v>161307.255317</v>
      </c>
      <c r="P78" s="70">
        <f t="shared" si="253"/>
        <v>163013.67517266548</v>
      </c>
    </row>
    <row r="79">
      <c r="A79" t="s">
        <v>510</v>
      </c>
      <c r="B79" t="s">
        <v>516</v>
      </c>
      <c r="C79" t="s">
        <v>513</v>
      </c>
      <c r="D79" t="s">
        <v>467</v>
      </c>
      <c r="E79" s="69">
        <f t="shared" si="242"/>
        <v>261928.57585359563</v>
      </c>
      <c r="F79" s="70">
        <f t="shared" si="243"/>
        <v>266237.97099142277</v>
      </c>
      <c r="G79" s="70">
        <f t="shared" si="244"/>
        <v>270443.22397513513</v>
      </c>
      <c r="H79" s="70">
        <f t="shared" si="245"/>
        <v>274651.75351110974</v>
      </c>
      <c r="I79" s="70">
        <f t="shared" si="246"/>
        <v>278863.55625107343</v>
      </c>
      <c r="J79" s="70">
        <f t="shared" si="247"/>
        <v>281169.73094272148</v>
      </c>
      <c r="K79" s="70">
        <f t="shared" si="248"/>
        <v>284634.76539847709</v>
      </c>
      <c r="L79" s="70">
        <f t="shared" si="249"/>
        <v>290425.15939441934</v>
      </c>
      <c r="M79" s="70">
        <f t="shared" si="250"/>
        <v>297264.45675308962</v>
      </c>
      <c r="N79" s="70">
        <f t="shared" si="251"/>
        <v>304126.85497492721</v>
      </c>
      <c r="O79" s="70">
        <f t="shared" si="252"/>
        <v>307370.02438530512</v>
      </c>
      <c r="P79" s="70">
        <f t="shared" si="253"/>
        <v>310621.5973639458</v>
      </c>
    </row>
    <row r="80">
      <c r="A80" t="s">
        <v>510</v>
      </c>
      <c r="B80" t="s">
        <v>516</v>
      </c>
      <c r="C80" t="s">
        <v>513</v>
      </c>
      <c r="D80" t="s">
        <v>468</v>
      </c>
      <c r="E80" s="69">
        <f t="shared" si="242"/>
        <v>213837.61719286305</v>
      </c>
      <c r="F80" s="70">
        <f t="shared" si="243"/>
        <v>217355.79303454957</v>
      </c>
      <c r="G80" s="70">
        <f t="shared" si="244"/>
        <v>220788.94756837504</v>
      </c>
      <c r="H80" s="70">
        <f t="shared" si="245"/>
        <v>224224.7770685576</v>
      </c>
      <c r="I80" s="70">
        <f t="shared" si="246"/>
        <v>227663.27880157821</v>
      </c>
      <c r="J80" s="70">
        <f t="shared" si="247"/>
        <v>229546.03214105411</v>
      </c>
      <c r="K80" s="70">
        <f t="shared" si="248"/>
        <v>232374.87473333429</v>
      </c>
      <c r="L80" s="70">
        <f t="shared" si="249"/>
        <v>237102.13311155819</v>
      </c>
      <c r="M80" s="70">
        <f t="shared" si="250"/>
        <v>242685.71270261789</v>
      </c>
      <c r="N80" s="70">
        <f t="shared" si="251"/>
        <v>248288.15176144935</v>
      </c>
      <c r="O80" s="70">
        <f t="shared" si="252"/>
        <v>250935.86446941915</v>
      </c>
      <c r="P80" s="70">
        <f t="shared" si="253"/>
        <v>253590.43782253764</v>
      </c>
    </row>
    <row r="81">
      <c r="A81" t="s">
        <v>510</v>
      </c>
      <c r="B81" t="s">
        <v>516</v>
      </c>
      <c r="C81" t="s">
        <v>513</v>
      </c>
      <c r="D81" t="s">
        <v>469</v>
      </c>
      <c r="E81" s="69">
        <f t="shared" si="242"/>
        <v>59003.291444658505</v>
      </c>
      <c r="F81" s="70">
        <f t="shared" si="243"/>
        <v>59974.046530997512</v>
      </c>
      <c r="G81" s="70">
        <f t="shared" si="244"/>
        <v>60921.34205454967</v>
      </c>
      <c r="H81" s="70">
        <f t="shared" si="245"/>
        <v>61869.375670031761</v>
      </c>
      <c r="I81" s="70">
        <f t="shared" si="246"/>
        <v>62818.146623195709</v>
      </c>
      <c r="J81" s="70">
        <f t="shared" si="247"/>
        <v>63337.646631967822</v>
      </c>
      <c r="K81" s="70">
        <f t="shared" si="248"/>
        <v>64118.196967846437</v>
      </c>
      <c r="L81" s="70">
        <f t="shared" si="249"/>
        <v>65422.568983799938</v>
      </c>
      <c r="M81" s="70">
        <f t="shared" si="250"/>
        <v>66963.222018755012</v>
      </c>
      <c r="N81" s="70">
        <f t="shared" si="251"/>
        <v>68509.078865312724</v>
      </c>
      <c r="O81" s="70">
        <f t="shared" si="252"/>
        <v>69239.650813414686</v>
      </c>
      <c r="P81" s="70">
        <f t="shared" si="253"/>
        <v>69972.115789743009</v>
      </c>
    </row>
    <row r="82">
      <c r="A82" t="s">
        <v>510</v>
      </c>
      <c r="B82" t="s">
        <v>516</v>
      </c>
      <c r="C82" t="s">
        <v>513</v>
      </c>
      <c r="D82" t="s">
        <v>470</v>
      </c>
      <c r="E82" s="69">
        <f t="shared" si="242"/>
        <v>312478.83138330781</v>
      </c>
      <c r="F82" s="70">
        <f t="shared" si="243"/>
        <v>317619.90754213755</v>
      </c>
      <c r="G82" s="70">
        <f t="shared" si="244"/>
        <v>322636.74289024435</v>
      </c>
      <c r="H82" s="70">
        <f t="shared" si="245"/>
        <v>327657.4871406866</v>
      </c>
      <c r="I82" s="70">
        <f t="shared" si="246"/>
        <v>332682.13629899954</v>
      </c>
      <c r="J82" s="70">
        <f t="shared" si="247"/>
        <v>335433.3854525655</v>
      </c>
      <c r="K82" s="70">
        <f t="shared" si="248"/>
        <v>339567.14563474047</v>
      </c>
      <c r="L82" s="70">
        <f t="shared" si="249"/>
        <v>346475.04235125717</v>
      </c>
      <c r="M82" s="70">
        <f t="shared" si="250"/>
        <v>354634.27293217229</v>
      </c>
      <c r="N82" s="70">
        <f t="shared" si="251"/>
        <v>362821.06267001771</v>
      </c>
      <c r="O82" s="70">
        <f t="shared" si="252"/>
        <v>366690.13951293309</v>
      </c>
      <c r="P82" s="70">
        <f t="shared" si="253"/>
        <v>370569.24174991506</v>
      </c>
    </row>
    <row r="83">
      <c r="A83" t="s">
        <v>510</v>
      </c>
      <c r="B83" t="s">
        <v>516</v>
      </c>
      <c r="C83" t="s">
        <v>513</v>
      </c>
      <c r="D83" t="s">
        <v>471</v>
      </c>
      <c r="E83" s="69">
        <f t="shared" si="242"/>
        <v>26181.994338334389</v>
      </c>
      <c r="F83" s="70">
        <f t="shared" si="243"/>
        <v>26835.176003544901</v>
      </c>
      <c r="G83" s="70">
        <f t="shared" si="244"/>
        <v>27372.080773572699</v>
      </c>
      <c r="H83" s="70">
        <f t="shared" si="245"/>
        <v>27912.883933383462</v>
      </c>
      <c r="I83" s="70">
        <f t="shared" si="246"/>
        <v>28457.591580703072</v>
      </c>
      <c r="J83" s="70">
        <f t="shared" si="247"/>
        <v>28928.339765296503</v>
      </c>
      <c r="K83" s="70">
        <f t="shared" si="248"/>
        <v>29642.693069471476</v>
      </c>
      <c r="L83" s="70">
        <f t="shared" si="249"/>
        <v>30855.334294433731</v>
      </c>
      <c r="M83" s="70">
        <f t="shared" si="250"/>
        <v>32207.285260881821</v>
      </c>
      <c r="N83" s="70">
        <f t="shared" si="251"/>
        <v>33591.960274929435</v>
      </c>
      <c r="O83" s="70">
        <f t="shared" si="252"/>
        <v>34599.600085066581</v>
      </c>
      <c r="P83" s="70">
        <f t="shared" si="253"/>
        <v>35623.345412354232</v>
      </c>
    </row>
    <row r="84">
      <c r="A84" t="s">
        <v>510</v>
      </c>
      <c r="B84" t="s">
        <v>516</v>
      </c>
      <c r="C84" t="s">
        <v>513</v>
      </c>
      <c r="D84" t="s">
        <v>472</v>
      </c>
      <c r="E84" s="69">
        <f t="shared" si="242"/>
        <v>24304.852766228072</v>
      </c>
      <c r="F84" s="70">
        <f t="shared" si="243"/>
        <v>24911.203985978242</v>
      </c>
      <c r="G84" s="70">
        <f t="shared" si="244"/>
        <v>25409.614886858504</v>
      </c>
      <c r="H84" s="70">
        <f t="shared" si="245"/>
        <v>25911.644678968976</v>
      </c>
      <c r="I84" s="70">
        <f t="shared" si="246"/>
        <v>26417.2990228536</v>
      </c>
      <c r="J84" s="70">
        <f t="shared" si="247"/>
        <v>26854.296494041675</v>
      </c>
      <c r="K84" s="70">
        <f t="shared" si="248"/>
        <v>27517.433597223317</v>
      </c>
      <c r="L84" s="70">
        <f t="shared" si="249"/>
        <v>28643.133421694409</v>
      </c>
      <c r="M84" s="70">
        <f t="shared" si="250"/>
        <v>29898.155050759924</v>
      </c>
      <c r="N84" s="70">
        <f t="shared" si="251"/>
        <v>31183.554547475385</v>
      </c>
      <c r="O84" s="70">
        <f t="shared" si="252"/>
        <v>32118.950717465214</v>
      </c>
      <c r="P84" s="70">
        <f t="shared" si="253"/>
        <v>33069.297705105084</v>
      </c>
    </row>
    <row r="85">
      <c r="A85" t="s">
        <v>510</v>
      </c>
      <c r="B85" t="s">
        <v>516</v>
      </c>
      <c r="C85" t="s">
        <v>513</v>
      </c>
      <c r="D85" t="s">
        <v>473</v>
      </c>
      <c r="E85" s="69">
        <f t="shared" si="242"/>
        <v>9002.5217270274861</v>
      </c>
      <c r="F85" s="70">
        <f t="shared" si="243"/>
        <v>9227.1143251606227</v>
      </c>
      <c r="G85" s="70">
        <f t="shared" si="244"/>
        <v>9411.725810254522</v>
      </c>
      <c r="H85" s="70">
        <f t="shared" si="245"/>
        <v>9597.6777332947458</v>
      </c>
      <c r="I85" s="70">
        <f t="shared" si="246"/>
        <v>9784.9721909477648</v>
      </c>
      <c r="J85" s="70">
        <f t="shared" si="247"/>
        <v>9946.8361309134125</v>
      </c>
      <c r="K85" s="70">
        <f t="shared" si="248"/>
        <v>10192.462230228281</v>
      </c>
      <c r="L85" s="70">
        <f t="shared" si="249"/>
        <v>10609.421642629806</v>
      </c>
      <c r="M85" s="70">
        <f t="shared" si="250"/>
        <v>11074.281874132663</v>
      </c>
      <c r="N85" s="70">
        <f t="shared" si="251"/>
        <v>11550.394073140526</v>
      </c>
      <c r="O85" s="70">
        <f t="shared" si="252"/>
        <v>11896.864978548052</v>
      </c>
      <c r="P85" s="70">
        <f t="shared" si="253"/>
        <v>12248.873669435126</v>
      </c>
    </row>
    <row r="86">
      <c r="A86" t="s">
        <v>510</v>
      </c>
      <c r="B86" t="s">
        <v>516</v>
      </c>
      <c r="C86" t="s">
        <v>513</v>
      </c>
      <c r="D86" t="s">
        <v>474</v>
      </c>
      <c r="E86" s="69">
        <f t="shared" si="242"/>
        <v>8714.9443417326347</v>
      </c>
      <c r="F86" s="70">
        <f t="shared" si="243"/>
        <v>9027.2407460148515</v>
      </c>
      <c r="G86" s="70">
        <f t="shared" si="244"/>
        <v>9255.6734460851676</v>
      </c>
      <c r="H86" s="70">
        <f t="shared" si="245"/>
        <v>9486.9269934546119</v>
      </c>
      <c r="I86" s="70">
        <f t="shared" si="246"/>
        <v>9721.0061616925286</v>
      </c>
      <c r="J86" s="70">
        <f t="shared" si="247"/>
        <v>9980.1730134938571</v>
      </c>
      <c r="K86" s="70">
        <f t="shared" si="248"/>
        <v>10374.928054873653</v>
      </c>
      <c r="L86" s="70">
        <f t="shared" si="249"/>
        <v>11048.94644316329</v>
      </c>
      <c r="M86" s="70">
        <f t="shared" si="250"/>
        <v>11784.036366241176</v>
      </c>
      <c r="N86" s="70">
        <f t="shared" si="251"/>
        <v>12542.992933991225</v>
      </c>
      <c r="O86" s="70">
        <f t="shared" si="252"/>
        <v>13169.93897864389</v>
      </c>
      <c r="P86" s="70">
        <f t="shared" si="253"/>
        <v>13808.757726843793</v>
      </c>
    </row>
    <row r="87">
      <c r="A87" t="s">
        <v>510</v>
      </c>
      <c r="B87" t="s">
        <v>516</v>
      </c>
      <c r="C87" t="s">
        <v>513</v>
      </c>
      <c r="D87" t="s">
        <v>475</v>
      </c>
      <c r="E87" s="69">
        <f t="shared" si="242"/>
        <v>46327.041492289507</v>
      </c>
      <c r="F87" s="70">
        <f t="shared" si="243"/>
        <v>47987.151747933262</v>
      </c>
      <c r="G87" s="70">
        <f t="shared" si="244"/>
        <v>49201.457974041557</v>
      </c>
      <c r="H87" s="70">
        <f t="shared" si="245"/>
        <v>50430.759305654363</v>
      </c>
      <c r="I87" s="70">
        <f t="shared" si="246"/>
        <v>51675.081118188456</v>
      </c>
      <c r="J87" s="70">
        <f t="shared" si="247"/>
        <v>53052.76444306429</v>
      </c>
      <c r="K87" s="70">
        <f t="shared" si="248"/>
        <v>55151.209649847609</v>
      </c>
      <c r="L87" s="70">
        <f t="shared" si="249"/>
        <v>58734.167453873211</v>
      </c>
      <c r="M87" s="70">
        <f t="shared" si="250"/>
        <v>62641.770306127619</v>
      </c>
      <c r="N87" s="70">
        <f t="shared" si="251"/>
        <v>66676.243852519954</v>
      </c>
      <c r="O87" s="70">
        <f t="shared" si="252"/>
        <v>70008.97373410585</v>
      </c>
      <c r="P87" s="70">
        <f t="shared" si="253"/>
        <v>73404.81672442671</v>
      </c>
    </row>
    <row r="88">
      <c r="D88" t="s">
        <v>517</v>
      </c>
      <c r="E88" s="235">
        <f t="shared" ref="E88:P88" si="254">SUM(E90:E128)-E89</f>
        <v>0</v>
      </c>
      <c r="F88" s="235">
        <f t="shared" si="254"/>
        <v>0</v>
      </c>
      <c r="G88" s="235">
        <f t="shared" si="254"/>
        <v>0</v>
      </c>
      <c r="H88" s="235">
        <f t="shared" si="254"/>
        <v>0</v>
      </c>
      <c r="I88" s="235">
        <f t="shared" si="254"/>
        <v>0</v>
      </c>
      <c r="J88" s="235">
        <f t="shared" si="254"/>
        <v>0</v>
      </c>
      <c r="K88" s="235">
        <f t="shared" si="254"/>
        <v>0</v>
      </c>
      <c r="L88" s="235">
        <f t="shared" si="254"/>
        <v>0</v>
      </c>
      <c r="M88" s="235">
        <f t="shared" si="254"/>
        <v>0</v>
      </c>
      <c r="N88" s="235">
        <f t="shared" si="254"/>
        <v>0</v>
      </c>
      <c r="O88" s="235">
        <f t="shared" si="254"/>
        <v>3.7252902984619141e-09</v>
      </c>
      <c r="P88" s="235">
        <f t="shared" si="254"/>
        <v>0</v>
      </c>
    </row>
    <row r="89">
      <c r="D89" t="s">
        <v>518</v>
      </c>
      <c r="E89" s="69">
        <f>'parc résidentiel'!N13</f>
        <v>3224604.7103705499</v>
      </c>
      <c r="F89" s="69">
        <f>E89+($I89-$E89)/4</f>
        <v>3317703.5327779124</v>
      </c>
      <c r="G89" s="69">
        <f>F89+($I89-$E89)/4</f>
        <v>3410802.355185275</v>
      </c>
      <c r="H89" s="69">
        <f>G89+($I89-$E89)/4</f>
        <v>3503901.1775926375</v>
      </c>
      <c r="I89" s="69">
        <f>'parc résidentiel'!O13</f>
        <v>3597000</v>
      </c>
      <c r="J89" s="69">
        <f>I89+(L89-I89)*2/10</f>
        <v>3612641.1801365982</v>
      </c>
      <c r="K89" s="69">
        <f>(I89+L89)/2</f>
        <v>3636102.9503414948</v>
      </c>
      <c r="L89" s="69">
        <f>'parc résidentiel'!P13</f>
        <v>3675205.90068299</v>
      </c>
      <c r="M89" s="69">
        <f>(L89+N89)/2</f>
        <v>3713140.7788777947</v>
      </c>
      <c r="N89" s="69">
        <f>'parc résidentiel'!Q13</f>
        <v>3751075.6570726</v>
      </c>
      <c r="O89" s="69">
        <f>(N89+P89)/2</f>
        <v>3756516.2620626949</v>
      </c>
      <c r="P89" s="69">
        <f>'parc résidentiel'!R13</f>
        <v>3761956.8670527898</v>
      </c>
    </row>
    <row r="90">
      <c r="A90" t="s">
        <v>519</v>
      </c>
      <c r="B90" t="s">
        <v>511</v>
      </c>
      <c r="C90" t="s">
        <v>506</v>
      </c>
      <c r="D90" t="s">
        <v>463</v>
      </c>
      <c r="E90" s="69">
        <f t="shared" ref="E90:E102" si="255">E$89*T$31*AF9</f>
        <v>177874.76027183072</v>
      </c>
      <c r="F90" s="70">
        <f t="shared" ref="F90:F102" si="256">F$89*($AF9+($AG9-$AF9)*2/35)*($T$31+($U$31-$T$31)*2/35)</f>
        <v>182975.5216933199</v>
      </c>
      <c r="G90" s="70">
        <f t="shared" ref="G90:G102" si="257">G$89*($AF9+($AG9-$AF9)*3/35)*($T$31+($U$31-$T$31)*3/35)</f>
        <v>188092.18528267951</v>
      </c>
      <c r="H90" s="70">
        <f t="shared" ref="H90:H102" si="258">H$89*($AF9+($AG9-$AF9)*4/35)*($T$31+($U$31-$T$31)*4/35)</f>
        <v>193207.87347795125</v>
      </c>
      <c r="I90" s="70">
        <f t="shared" ref="I90:I102" si="259">I$89*($AF9+($AG9-$AF9)*5/35)*($T$31+($U$31-$T$31)*5/35)</f>
        <v>198322.58621859565</v>
      </c>
      <c r="J90" s="70">
        <f t="shared" ref="J90:J102" si="260">J$89*($AF9+($AG9-$AF9)*7/35)*($T$31+($U$31-$T$31)*7/35)</f>
        <v>199147.14578088958</v>
      </c>
      <c r="K90" s="70">
        <f t="shared" ref="K90:K102" si="261">K$89*($AF9+($AG9-$AF9)*10/35)*($T$31+($U$31-$T$31)*10/35)</f>
        <v>200383.36508172698</v>
      </c>
      <c r="L90" s="70">
        <f t="shared" ref="L90:L102" si="262">L$89*($AF9+($AG9-$AF9)*15/35)*($T$31+($U$31-$T$31)*15/35)</f>
        <v>202442.07679714717</v>
      </c>
      <c r="M90" s="70">
        <f t="shared" ref="M90:M102" si="263">M$89*($AF9+($AG9-$AF9)*20/35)*($T$31+($U$31-$T$31)*20/35)</f>
        <v>204434.410175228</v>
      </c>
      <c r="N90" s="70">
        <f t="shared" ref="N90:N102" si="264">N$89*($AF9+($AG9-$AF9)*25/35)*($T$31+($U$31-$T$31)*25/35)</f>
        <v>206424.73632653253</v>
      </c>
      <c r="O90" s="70">
        <f t="shared" ref="O90:O102" si="265">O$89*($AF9+($AG9-$AF9)*30/35)*($T$31+($U$31-$T$31)*30/35)</f>
        <v>206625.7197421309</v>
      </c>
      <c r="P90" s="70">
        <f t="shared" ref="P90:P102" si="266">P$89*U$31*AG9</f>
        <v>206826.39769366442</v>
      </c>
    </row>
    <row r="91">
      <c r="A91" t="s">
        <v>519</v>
      </c>
      <c r="B91" t="s">
        <v>511</v>
      </c>
      <c r="C91" t="s">
        <v>506</v>
      </c>
      <c r="D91" t="s">
        <v>464</v>
      </c>
      <c r="E91" s="69">
        <f t="shared" si="255"/>
        <v>121419.69444404458</v>
      </c>
      <c r="F91" s="70">
        <f t="shared" si="256"/>
        <v>124901.54252795888</v>
      </c>
      <c r="G91" s="70">
        <f t="shared" si="257"/>
        <v>128394.24564471131</v>
      </c>
      <c r="H91" s="70">
        <f t="shared" si="258"/>
        <v>131886.28294439148</v>
      </c>
      <c r="I91" s="70">
        <f t="shared" si="259"/>
        <v>135377.65438567434</v>
      </c>
      <c r="J91" s="70">
        <f t="shared" si="260"/>
        <v>135940.50978995793</v>
      </c>
      <c r="K91" s="70">
        <f t="shared" si="261"/>
        <v>136784.3696469951</v>
      </c>
      <c r="L91" s="70">
        <f t="shared" si="262"/>
        <v>138189.67384559356</v>
      </c>
      <c r="M91" s="70">
        <f t="shared" si="263"/>
        <v>139549.66730181841</v>
      </c>
      <c r="N91" s="70">
        <f t="shared" si="264"/>
        <v>140908.29059815384</v>
      </c>
      <c r="O91" s="70">
        <f t="shared" si="265"/>
        <v>141045.4845703227</v>
      </c>
      <c r="P91" s="70">
        <f t="shared" si="266"/>
        <v>141182.47002862842</v>
      </c>
    </row>
    <row r="92">
      <c r="A92" t="s">
        <v>519</v>
      </c>
      <c r="B92" t="s">
        <v>511</v>
      </c>
      <c r="C92" t="s">
        <v>506</v>
      </c>
      <c r="D92" t="s">
        <v>465</v>
      </c>
      <c r="E92" s="69">
        <f t="shared" si="255"/>
        <v>316857.9226714056</v>
      </c>
      <c r="F92" s="70">
        <f t="shared" si="256"/>
        <v>325944.18463226839</v>
      </c>
      <c r="G92" s="70">
        <f t="shared" si="257"/>
        <v>335058.77398409811</v>
      </c>
      <c r="H92" s="70">
        <f t="shared" si="258"/>
        <v>344171.62581372983</v>
      </c>
      <c r="I92" s="70">
        <f t="shared" si="259"/>
        <v>353282.74001332099</v>
      </c>
      <c r="J92" s="70">
        <f t="shared" si="260"/>
        <v>354751.57252012542</v>
      </c>
      <c r="K92" s="70">
        <f t="shared" si="261"/>
        <v>356953.71676493593</v>
      </c>
      <c r="L92" s="70">
        <f t="shared" si="262"/>
        <v>360621.01119462599</v>
      </c>
      <c r="M92" s="70">
        <f t="shared" si="263"/>
        <v>364170.0623049853</v>
      </c>
      <c r="N92" s="70">
        <f t="shared" si="264"/>
        <v>367715.53783381905</v>
      </c>
      <c r="O92" s="70">
        <f t="shared" si="265"/>
        <v>368073.56045299571</v>
      </c>
      <c r="P92" s="70">
        <f t="shared" si="266"/>
        <v>368431.03893252643</v>
      </c>
    </row>
    <row r="93">
      <c r="A93" t="s">
        <v>519</v>
      </c>
      <c r="B93" t="s">
        <v>511</v>
      </c>
      <c r="C93" t="s">
        <v>506</v>
      </c>
      <c r="D93" t="s">
        <v>466</v>
      </c>
      <c r="E93" s="69">
        <f t="shared" si="255"/>
        <v>229965.09068006961</v>
      </c>
      <c r="F93" s="70">
        <f t="shared" si="256"/>
        <v>236559.60167779398</v>
      </c>
      <c r="G93" s="70">
        <f t="shared" si="257"/>
        <v>243174.67176704283</v>
      </c>
      <c r="H93" s="70">
        <f t="shared" si="258"/>
        <v>249788.48081965267</v>
      </c>
      <c r="I93" s="70">
        <f t="shared" si="259"/>
        <v>256401.02875735506</v>
      </c>
      <c r="J93" s="70">
        <f t="shared" si="260"/>
        <v>257467.05922859375</v>
      </c>
      <c r="K93" s="70">
        <f t="shared" si="261"/>
        <v>259065.30331439376</v>
      </c>
      <c r="L93" s="70">
        <f t="shared" si="262"/>
        <v>261726.90536292075</v>
      </c>
      <c r="M93" s="70">
        <f t="shared" si="263"/>
        <v>264302.69028740999</v>
      </c>
      <c r="N93" s="70">
        <f t="shared" si="264"/>
        <v>266875.88017206942</v>
      </c>
      <c r="O93" s="70">
        <f t="shared" si="265"/>
        <v>267135.72124970553</v>
      </c>
      <c r="P93" s="70">
        <f t="shared" si="266"/>
        <v>267395.1674086288</v>
      </c>
    </row>
    <row r="94">
      <c r="A94" t="s">
        <v>519</v>
      </c>
      <c r="B94" t="s">
        <v>511</v>
      </c>
      <c r="C94" t="s">
        <v>506</v>
      </c>
      <c r="D94" t="s">
        <v>467</v>
      </c>
      <c r="E94" s="69">
        <f t="shared" si="255"/>
        <v>297218.84869232157</v>
      </c>
      <c r="F94" s="70">
        <f t="shared" si="256"/>
        <v>305741.93783005187</v>
      </c>
      <c r="G94" s="70">
        <f t="shared" si="257"/>
        <v>314291.59860739502</v>
      </c>
      <c r="H94" s="70">
        <f t="shared" si="258"/>
        <v>322839.62955537188</v>
      </c>
      <c r="I94" s="70">
        <f t="shared" si="259"/>
        <v>331386.03057282424</v>
      </c>
      <c r="J94" s="70">
        <f t="shared" si="260"/>
        <v>332763.82382133644</v>
      </c>
      <c r="K94" s="70">
        <f t="shared" si="261"/>
        <v>334829.47763733938</v>
      </c>
      <c r="L94" s="70">
        <f t="shared" si="262"/>
        <v>338269.47061279858</v>
      </c>
      <c r="M94" s="70">
        <f t="shared" si="263"/>
        <v>341598.5490719321</v>
      </c>
      <c r="N94" s="70">
        <f t="shared" si="264"/>
        <v>344924.27356656484</v>
      </c>
      <c r="O94" s="70">
        <f t="shared" si="265"/>
        <v>345260.10569530039</v>
      </c>
      <c r="P94" s="70">
        <f t="shared" si="266"/>
        <v>345595.42741054302</v>
      </c>
    </row>
    <row r="95">
      <c r="A95" t="s">
        <v>519</v>
      </c>
      <c r="B95" t="s">
        <v>511</v>
      </c>
      <c r="C95" t="s">
        <v>506</v>
      </c>
      <c r="D95" t="s">
        <v>468</v>
      </c>
      <c r="E95" s="69">
        <f t="shared" si="255"/>
        <v>271811.35717206023</v>
      </c>
      <c r="F95" s="70">
        <f t="shared" si="256"/>
        <v>279605.85754112375</v>
      </c>
      <c r="G95" s="70">
        <f t="shared" si="257"/>
        <v>287424.65809658938</v>
      </c>
      <c r="H95" s="70">
        <f t="shared" si="258"/>
        <v>295241.96814721666</v>
      </c>
      <c r="I95" s="70">
        <f t="shared" si="259"/>
        <v>303057.78760049498</v>
      </c>
      <c r="J95" s="70">
        <f t="shared" si="260"/>
        <v>304317.80140657857</v>
      </c>
      <c r="K95" s="70">
        <f t="shared" si="261"/>
        <v>306206.87462533877</v>
      </c>
      <c r="L95" s="70">
        <f t="shared" si="262"/>
        <v>309352.80283088761</v>
      </c>
      <c r="M95" s="70">
        <f t="shared" si="263"/>
        <v>312397.29794985661</v>
      </c>
      <c r="N95" s="70">
        <f t="shared" si="264"/>
        <v>315438.72581502644</v>
      </c>
      <c r="O95" s="70">
        <f t="shared" si="265"/>
        <v>315745.8496300038</v>
      </c>
      <c r="P95" s="70">
        <f t="shared" si="266"/>
        <v>316052.50666373631</v>
      </c>
    </row>
    <row r="96">
      <c r="A96" t="s">
        <v>519</v>
      </c>
      <c r="B96" t="s">
        <v>511</v>
      </c>
      <c r="C96" t="s">
        <v>506</v>
      </c>
      <c r="D96" t="s">
        <v>469</v>
      </c>
      <c r="E96" s="69">
        <f t="shared" si="255"/>
        <v>107212.12822731232</v>
      </c>
      <c r="F96" s="70">
        <f t="shared" si="256"/>
        <v>110286.5581618455</v>
      </c>
      <c r="G96" s="70">
        <f t="shared" si="257"/>
        <v>113370.57295967355</v>
      </c>
      <c r="H96" s="70">
        <f t="shared" si="258"/>
        <v>116453.99984904366</v>
      </c>
      <c r="I96" s="70">
        <f t="shared" si="259"/>
        <v>119536.83879346629</v>
      </c>
      <c r="J96" s="70">
        <f t="shared" si="260"/>
        <v>120033.83333832817</v>
      </c>
      <c r="K96" s="70">
        <f t="shared" si="261"/>
        <v>120778.95143150742</v>
      </c>
      <c r="L96" s="70">
        <f t="shared" si="262"/>
        <v>122019.81811815481</v>
      </c>
      <c r="M96" s="70">
        <f t="shared" si="263"/>
        <v>123220.67596485514</v>
      </c>
      <c r="N96" s="70">
        <f t="shared" si="264"/>
        <v>124420.32397687067</v>
      </c>
      <c r="O96" s="70">
        <f t="shared" si="265"/>
        <v>124541.46460239716</v>
      </c>
      <c r="P96" s="70">
        <f t="shared" si="266"/>
        <v>124662.42111269312</v>
      </c>
    </row>
    <row r="97">
      <c r="A97" t="s">
        <v>519</v>
      </c>
      <c r="B97" t="s">
        <v>511</v>
      </c>
      <c r="C97" t="s">
        <v>506</v>
      </c>
      <c r="D97" t="s">
        <v>470</v>
      </c>
      <c r="E97" s="69">
        <f t="shared" si="255"/>
        <v>357606.12757480773</v>
      </c>
      <c r="F97" s="70">
        <f t="shared" si="256"/>
        <v>367860.89073982427</v>
      </c>
      <c r="G97" s="70">
        <f t="shared" si="257"/>
        <v>378147.62422296527</v>
      </c>
      <c r="H97" s="70">
        <f t="shared" si="258"/>
        <v>388432.39673703967</v>
      </c>
      <c r="I97" s="70">
        <f t="shared" si="259"/>
        <v>398715.20816033654</v>
      </c>
      <c r="J97" s="70">
        <f t="shared" si="260"/>
        <v>400372.93380716868</v>
      </c>
      <c r="K97" s="70">
        <f t="shared" si="261"/>
        <v>402858.27572037844</v>
      </c>
      <c r="L97" s="70">
        <f t="shared" si="262"/>
        <v>406997.18740868795</v>
      </c>
      <c r="M97" s="70">
        <f t="shared" si="263"/>
        <v>411002.64958378667</v>
      </c>
      <c r="N97" s="70">
        <f t="shared" si="264"/>
        <v>415004.07635446056</v>
      </c>
      <c r="O97" s="70">
        <f t="shared" si="265"/>
        <v>415408.14099437406</v>
      </c>
      <c r="P97" s="70">
        <f t="shared" si="266"/>
        <v>415811.5915178092</v>
      </c>
    </row>
    <row r="98">
      <c r="A98" t="s">
        <v>519</v>
      </c>
      <c r="B98" t="s">
        <v>511</v>
      </c>
      <c r="C98" t="s">
        <v>506</v>
      </c>
      <c r="D98" t="s">
        <v>471</v>
      </c>
      <c r="E98" s="69">
        <f t="shared" si="255"/>
        <v>6014.0133060513353</v>
      </c>
      <c r="F98" s="70">
        <f t="shared" si="256"/>
        <v>6273.8322021635831</v>
      </c>
      <c r="G98" s="70">
        <f t="shared" si="257"/>
        <v>6494.1881577170698</v>
      </c>
      <c r="H98" s="70">
        <f t="shared" si="258"/>
        <v>6716.9643110662591</v>
      </c>
      <c r="I98" s="70">
        <f t="shared" si="259"/>
        <v>6942.1607887496466</v>
      </c>
      <c r="J98" s="70">
        <f t="shared" si="260"/>
        <v>7066.2121598743679</v>
      </c>
      <c r="K98" s="70">
        <f t="shared" si="261"/>
        <v>7253.8255387229856</v>
      </c>
      <c r="L98" s="70">
        <f t="shared" si="262"/>
        <v>7570.6120712099173</v>
      </c>
      <c r="M98" s="70">
        <f t="shared" si="263"/>
        <v>7890.0396825486787</v>
      </c>
      <c r="N98" s="70">
        <f t="shared" si="264"/>
        <v>8214.4399014851442</v>
      </c>
      <c r="O98" s="70">
        <f t="shared" si="265"/>
        <v>8470.5429019755884</v>
      </c>
      <c r="P98" s="70">
        <f t="shared" si="266"/>
        <v>8727.3958348704036</v>
      </c>
    </row>
    <row r="99">
      <c r="A99" t="s">
        <v>519</v>
      </c>
      <c r="B99" t="s">
        <v>511</v>
      </c>
      <c r="C99" t="s">
        <v>506</v>
      </c>
      <c r="D99" t="s">
        <v>472</v>
      </c>
      <c r="E99" s="69">
        <f t="shared" si="255"/>
        <v>12663.914162797319</v>
      </c>
      <c r="F99" s="70">
        <f t="shared" si="256"/>
        <v>13211.023726876187</v>
      </c>
      <c r="G99" s="70">
        <f t="shared" si="257"/>
        <v>13675.034823024354</v>
      </c>
      <c r="H99" s="70">
        <f t="shared" si="258"/>
        <v>14144.142212709305</v>
      </c>
      <c r="I99" s="70">
        <f t="shared" si="259"/>
        <v>14618.346162387495</v>
      </c>
      <c r="J99" s="70">
        <f t="shared" si="260"/>
        <v>14879.565390838494</v>
      </c>
      <c r="K99" s="70">
        <f t="shared" si="261"/>
        <v>15274.629319802638</v>
      </c>
      <c r="L99" s="70">
        <f t="shared" si="262"/>
        <v>15941.69759038795</v>
      </c>
      <c r="M99" s="70">
        <f t="shared" si="263"/>
        <v>16614.32727132849</v>
      </c>
      <c r="N99" s="70">
        <f t="shared" si="264"/>
        <v>17297.427942700535</v>
      </c>
      <c r="O99" s="70">
        <f t="shared" si="265"/>
        <v>17836.71281787406</v>
      </c>
      <c r="P99" s="70">
        <f t="shared" si="266"/>
        <v>18377.576851442085</v>
      </c>
    </row>
    <row r="100">
      <c r="A100" t="s">
        <v>519</v>
      </c>
      <c r="B100" t="s">
        <v>511</v>
      </c>
      <c r="C100" t="s">
        <v>506</v>
      </c>
      <c r="D100" t="s">
        <v>473</v>
      </c>
      <c r="E100" s="69">
        <f t="shared" si="255"/>
        <v>790.58372490954707</v>
      </c>
      <c r="F100" s="70">
        <f t="shared" si="256"/>
        <v>824.7387192930189</v>
      </c>
      <c r="G100" s="70">
        <f t="shared" si="257"/>
        <v>853.70603667028297</v>
      </c>
      <c r="H100" s="70">
        <f t="shared" si="258"/>
        <v>882.99150581924653</v>
      </c>
      <c r="I100" s="70">
        <f t="shared" si="259"/>
        <v>912.59514337427186</v>
      </c>
      <c r="J100" s="70">
        <f t="shared" si="260"/>
        <v>928.90255575815149</v>
      </c>
      <c r="K100" s="70">
        <f t="shared" si="261"/>
        <v>953.5656345284898</v>
      </c>
      <c r="L100" s="70">
        <f t="shared" si="262"/>
        <v>995.20941948697998</v>
      </c>
      <c r="M100" s="70">
        <f t="shared" si="263"/>
        <v>1037.2003925626559</v>
      </c>
      <c r="N100" s="70">
        <f t="shared" si="264"/>
        <v>1079.8450493661599</v>
      </c>
      <c r="O100" s="70">
        <f t="shared" si="265"/>
        <v>1113.5115635197817</v>
      </c>
      <c r="P100" s="70">
        <f t="shared" si="266"/>
        <v>1147.2766614848299</v>
      </c>
    </row>
    <row r="101">
      <c r="A101" t="s">
        <v>519</v>
      </c>
      <c r="B101" t="s">
        <v>511</v>
      </c>
      <c r="C101" t="s">
        <v>506</v>
      </c>
      <c r="D101" t="s">
        <v>474</v>
      </c>
      <c r="E101" s="69">
        <f t="shared" si="255"/>
        <v>940.82700251868937</v>
      </c>
      <c r="F101" s="70">
        <f t="shared" si="256"/>
        <v>992.78804526042666</v>
      </c>
      <c r="G101" s="70">
        <f t="shared" si="257"/>
        <v>1033.3945221440681</v>
      </c>
      <c r="H101" s="70">
        <f t="shared" si="258"/>
        <v>1074.6973566502563</v>
      </c>
      <c r="I101" s="70">
        <f t="shared" si="259"/>
        <v>1116.6965852293911</v>
      </c>
      <c r="J101" s="70">
        <f t="shared" si="260"/>
        <v>1148.5596987819476</v>
      </c>
      <c r="K101" s="70">
        <f t="shared" si="261"/>
        <v>1196.7964151589513</v>
      </c>
      <c r="L101" s="70">
        <f t="shared" si="262"/>
        <v>1278.3699360455262</v>
      </c>
      <c r="M101" s="70">
        <f t="shared" si="263"/>
        <v>1360.9893934038826</v>
      </c>
      <c r="N101" s="70">
        <f t="shared" si="264"/>
        <v>1445.0396208591458</v>
      </c>
      <c r="O101" s="70">
        <f t="shared" si="265"/>
        <v>1517.3953552787329</v>
      </c>
      <c r="P101" s="70">
        <f t="shared" si="266"/>
        <v>1589.9668800448414</v>
      </c>
    </row>
    <row r="102">
      <c r="A102" t="s">
        <v>519</v>
      </c>
      <c r="B102" t="s">
        <v>511</v>
      </c>
      <c r="C102" t="s">
        <v>506</v>
      </c>
      <c r="D102" t="s">
        <v>475</v>
      </c>
      <c r="E102" s="69">
        <f t="shared" si="255"/>
        <v>5001.2633326909199</v>
      </c>
      <c r="F102" s="70">
        <f t="shared" si="256"/>
        <v>5277.4786805677713</v>
      </c>
      <c r="G102" s="70">
        <f t="shared" si="257"/>
        <v>5493.3352443826307</v>
      </c>
      <c r="H102" s="70">
        <f t="shared" si="258"/>
        <v>5712.893517262768</v>
      </c>
      <c r="I102" s="70">
        <f t="shared" si="259"/>
        <v>5936.1536929718068</v>
      </c>
      <c r="J102" s="70">
        <f t="shared" si="260"/>
        <v>6105.5321451730661</v>
      </c>
      <c r="K102" s="70">
        <f t="shared" si="261"/>
        <v>6361.9496589772871</v>
      </c>
      <c r="L102" s="70">
        <f t="shared" si="262"/>
        <v>6795.5794951069292</v>
      </c>
      <c r="M102" s="70">
        <f t="shared" si="263"/>
        <v>7234.7693371788328</v>
      </c>
      <c r="N102" s="70">
        <f t="shared" si="264"/>
        <v>7681.5648899754669</v>
      </c>
      <c r="O102" s="70">
        <f t="shared" si="265"/>
        <v>8066.1946683447513</v>
      </c>
      <c r="P102" s="70">
        <f t="shared" si="266"/>
        <v>8451.9715485135348</v>
      </c>
    </row>
    <row r="103">
      <c r="A103" t="s">
        <v>519</v>
      </c>
      <c r="B103" t="s">
        <v>516</v>
      </c>
      <c r="C103" t="s">
        <v>506</v>
      </c>
      <c r="D103" t="s">
        <v>463</v>
      </c>
      <c r="E103" s="69">
        <f t="shared" ref="E103:E115" si="267">E$89*V$31*AH9</f>
        <v>195607.01428644924</v>
      </c>
      <c r="F103" s="70">
        <f t="shared" ref="F103:F115" si="268">F$89*($AH9+($AI9-$AH9)*2/35)*($V$31+($W$31-$V$31)*2/35)</f>
        <v>201216.21879878567</v>
      </c>
      <c r="G103" s="70">
        <f t="shared" ref="G103:G115" si="269">G$89*($AH9+($AI9-$AH9)*3/35)*($V$31+($W$31-$V$31)*3/35)</f>
        <v>206842.9357370451</v>
      </c>
      <c r="H103" s="70">
        <f t="shared" ref="H103:H115" si="270">H$89*($AH9+($AI9-$AH9)*4/35)*($V$31+($W$31-$V$31)*4/35)</f>
        <v>212468.58036603351</v>
      </c>
      <c r="I103" s="70">
        <f t="shared" ref="I103:I115" si="271">I$89*($AH9+($AI9-$AH9)*5/35)*($V$31+($W$31-$V$31)*5/35)</f>
        <v>218093.15274544462</v>
      </c>
      <c r="J103" s="70">
        <f t="shared" ref="J103:J115" si="272">J$89*($AH9+($AI9-$AH9)*7/35)*($V$31+($W$31-$V$31)*7/35)</f>
        <v>218999.87418058942</v>
      </c>
      <c r="K103" s="70">
        <f t="shared" ref="K103:K115" si="273">K$89*($AH9+($AI9-$AH9)*10/35)*($V$31+($W$31-$V$31)*10/35)</f>
        <v>220359.28619799539</v>
      </c>
      <c r="L103" s="70">
        <f t="shared" ref="L103:L115" si="274">L$89*($AH9+($AI9-$AH9)*15/35)*($V$31+($W$31-$V$31)*15/35)</f>
        <v>222623.18620047279</v>
      </c>
      <c r="M103" s="70">
        <f t="shared" ref="M103:M115" si="275">M$89*($AH9+($AI9-$AH9)*20/35)*($V$31+($W$31-$V$31)*20/35)</f>
        <v>224814.13181505929</v>
      </c>
      <c r="N103" s="70">
        <f t="shared" ref="N103:N115" si="276">N$89*($AH9+($AI9-$AH9)*25/35)*($V$31+($W$31-$V$31)*25/35)</f>
        <v>227002.91249932628</v>
      </c>
      <c r="O103" s="70">
        <f t="shared" ref="O103:O115" si="277">O$89*($AH9+($AI9-$AH9)*30/35)*($V$31+($W$31-$V$31)*30/35)</f>
        <v>227224.01646777571</v>
      </c>
      <c r="P103" s="70">
        <f t="shared" ref="P103:P115" si="278">P$89*W$31*AH9</f>
        <v>228001.50684744155</v>
      </c>
    </row>
    <row r="104">
      <c r="A104" t="s">
        <v>519</v>
      </c>
      <c r="B104" t="s">
        <v>516</v>
      </c>
      <c r="C104" t="s">
        <v>506</v>
      </c>
      <c r="D104" t="s">
        <v>464</v>
      </c>
      <c r="E104" s="69">
        <f t="shared" si="267"/>
        <v>24922.694779286732</v>
      </c>
      <c r="F104" s="70">
        <f t="shared" si="268"/>
        <v>25637.375142491081</v>
      </c>
      <c r="G104" s="70">
        <f t="shared" si="269"/>
        <v>26354.286800149344</v>
      </c>
      <c r="H104" s="70">
        <f t="shared" si="270"/>
        <v>27071.061832662708</v>
      </c>
      <c r="I104" s="70">
        <f t="shared" si="271"/>
        <v>27787.700247636869</v>
      </c>
      <c r="J104" s="70">
        <f t="shared" si="272"/>
        <v>27903.227503448143</v>
      </c>
      <c r="K104" s="70">
        <f t="shared" si="273"/>
        <v>28076.433003837235</v>
      </c>
      <c r="L104" s="70">
        <f t="shared" si="274"/>
        <v>28364.881191538432</v>
      </c>
      <c r="M104" s="70">
        <f t="shared" si="275"/>
        <v>28644.034109594788</v>
      </c>
      <c r="N104" s="70">
        <f t="shared" si="276"/>
        <v>28922.911189395702</v>
      </c>
      <c r="O104" s="70">
        <f t="shared" si="277"/>
        <v>28951.082503907372</v>
      </c>
      <c r="P104" s="70">
        <f t="shared" si="278"/>
        <v>29050.144163311281</v>
      </c>
    </row>
    <row r="105">
      <c r="A105" t="s">
        <v>519</v>
      </c>
      <c r="B105" t="s">
        <v>516</v>
      </c>
      <c r="C105" t="s">
        <v>506</v>
      </c>
      <c r="D105" t="s">
        <v>465</v>
      </c>
      <c r="E105" s="69">
        <f t="shared" si="267"/>
        <v>296510.22959990404</v>
      </c>
      <c r="F105" s="70">
        <f t="shared" si="268"/>
        <v>305012.92324763851</v>
      </c>
      <c r="G105" s="70">
        <f t="shared" si="269"/>
        <v>313542.16304685036</v>
      </c>
      <c r="H105" s="70">
        <f t="shared" si="270"/>
        <v>322069.77738968818</v>
      </c>
      <c r="I105" s="70">
        <f t="shared" si="271"/>
        <v>330595.76636663877</v>
      </c>
      <c r="J105" s="70">
        <f t="shared" si="272"/>
        <v>331970.21698078822</v>
      </c>
      <c r="K105" s="70">
        <f t="shared" si="273"/>
        <v>334030.87707967218</v>
      </c>
      <c r="L105" s="70">
        <f t="shared" si="274"/>
        <v>337462.60222498217</v>
      </c>
      <c r="M105" s="70">
        <f t="shared" si="275"/>
        <v>340783.73970868526</v>
      </c>
      <c r="N105" s="70">
        <f t="shared" si="276"/>
        <v>344101.59549010132</v>
      </c>
      <c r="O105" s="70">
        <f t="shared" si="277"/>
        <v>344436.75519124785</v>
      </c>
      <c r="P105" s="70">
        <f t="shared" si="278"/>
        <v>345615.31134797516</v>
      </c>
    </row>
    <row r="106">
      <c r="A106" t="s">
        <v>519</v>
      </c>
      <c r="B106" t="s">
        <v>516</v>
      </c>
      <c r="C106" t="s">
        <v>506</v>
      </c>
      <c r="D106" t="s">
        <v>466</v>
      </c>
      <c r="E106" s="69">
        <f t="shared" si="267"/>
        <v>56385.208790555327</v>
      </c>
      <c r="F106" s="70">
        <f t="shared" si="268"/>
        <v>58002.10463005655</v>
      </c>
      <c r="G106" s="70">
        <f t="shared" si="269"/>
        <v>59624.048559452182</v>
      </c>
      <c r="H106" s="70">
        <f t="shared" si="270"/>
        <v>61245.683387549208</v>
      </c>
      <c r="I106" s="70">
        <f t="shared" si="271"/>
        <v>62867.009131554776</v>
      </c>
      <c r="J106" s="70">
        <f t="shared" si="272"/>
        <v>63128.37847775135</v>
      </c>
      <c r="K106" s="70">
        <f t="shared" si="273"/>
        <v>63520.239325448645</v>
      </c>
      <c r="L106" s="70">
        <f t="shared" si="274"/>
        <v>64172.825710381112</v>
      </c>
      <c r="M106" s="70">
        <f t="shared" si="275"/>
        <v>64804.382438435357</v>
      </c>
      <c r="N106" s="70">
        <f t="shared" si="276"/>
        <v>65435.315108868112</v>
      </c>
      <c r="O106" s="70">
        <f t="shared" si="277"/>
        <v>65499.050008513303</v>
      </c>
      <c r="P106" s="70">
        <f t="shared" si="278"/>
        <v>65723.167520607778</v>
      </c>
    </row>
    <row r="107">
      <c r="A107" t="s">
        <v>519</v>
      </c>
      <c r="B107" t="s">
        <v>516</v>
      </c>
      <c r="C107" t="s">
        <v>506</v>
      </c>
      <c r="D107" t="s">
        <v>467</v>
      </c>
      <c r="E107" s="69">
        <f t="shared" si="267"/>
        <v>83067.598581633967</v>
      </c>
      <c r="F107" s="70">
        <f t="shared" si="268"/>
        <v>85449.635598520908</v>
      </c>
      <c r="G107" s="70">
        <f t="shared" si="269"/>
        <v>87839.109542821025</v>
      </c>
      <c r="H107" s="70">
        <f t="shared" si="270"/>
        <v>90228.128114104999</v>
      </c>
      <c r="I107" s="70">
        <f t="shared" si="271"/>
        <v>92616.691337722659</v>
      </c>
      <c r="J107" s="70">
        <f t="shared" si="272"/>
        <v>93001.74487209988</v>
      </c>
      <c r="K107" s="70">
        <f t="shared" si="273"/>
        <v>93579.040590154051</v>
      </c>
      <c r="L107" s="70">
        <f t="shared" si="274"/>
        <v>94540.441372844594</v>
      </c>
      <c r="M107" s="70">
        <f t="shared" si="275"/>
        <v>95470.860926001042</v>
      </c>
      <c r="N107" s="70">
        <f t="shared" si="276"/>
        <v>96400.361107408971</v>
      </c>
      <c r="O107" s="70">
        <f t="shared" si="277"/>
        <v>96494.256389042726</v>
      </c>
      <c r="P107" s="70">
        <f t="shared" si="278"/>
        <v>96824.429920880328</v>
      </c>
    </row>
    <row r="108">
      <c r="A108" t="s">
        <v>519</v>
      </c>
      <c r="B108" t="s">
        <v>516</v>
      </c>
      <c r="C108" t="s">
        <v>506</v>
      </c>
      <c r="D108" t="s">
        <v>468</v>
      </c>
      <c r="E108" s="69">
        <f t="shared" si="267"/>
        <v>124192.62402354313</v>
      </c>
      <c r="F108" s="70">
        <f t="shared" si="268"/>
        <v>127753.95759643648</v>
      </c>
      <c r="G108" s="70">
        <f t="shared" si="269"/>
        <v>131326.40996349131</v>
      </c>
      <c r="H108" s="70">
        <f t="shared" si="270"/>
        <v>134898.1815119026</v>
      </c>
      <c r="I108" s="70">
        <f t="shared" si="271"/>
        <v>138469.27227957043</v>
      </c>
      <c r="J108" s="70">
        <f t="shared" si="272"/>
        <v>139044.95774105459</v>
      </c>
      <c r="K108" s="70">
        <f t="shared" si="273"/>
        <v>139908.06045844255</v>
      </c>
      <c r="L108" s="70">
        <f t="shared" si="274"/>
        <v>141345.43060010241</v>
      </c>
      <c r="M108" s="70">
        <f t="shared" si="275"/>
        <v>142736.48135541889</v>
      </c>
      <c r="N108" s="70">
        <f t="shared" si="276"/>
        <v>144126.15757732105</v>
      </c>
      <c r="O108" s="70">
        <f t="shared" si="277"/>
        <v>144266.53844312957</v>
      </c>
      <c r="P108" s="70">
        <f t="shared" si="278"/>
        <v>144760.1739641052</v>
      </c>
    </row>
    <row r="109">
      <c r="A109" t="s">
        <v>519</v>
      </c>
      <c r="B109" t="s">
        <v>516</v>
      </c>
      <c r="C109" t="s">
        <v>506</v>
      </c>
      <c r="D109" t="s">
        <v>469</v>
      </c>
      <c r="E109" s="69">
        <f t="shared" si="267"/>
        <v>31225.433172510202</v>
      </c>
      <c r="F109" s="70">
        <f t="shared" si="268"/>
        <v>32120.850145617376</v>
      </c>
      <c r="G109" s="70">
        <f t="shared" si="269"/>
        <v>33019.062688644888</v>
      </c>
      <c r="H109" s="70">
        <f t="shared" si="270"/>
        <v>33917.104055185693</v>
      </c>
      <c r="I109" s="70">
        <f t="shared" si="271"/>
        <v>34814.974254768895</v>
      </c>
      <c r="J109" s="70">
        <f t="shared" si="272"/>
        <v>34959.717374960564</v>
      </c>
      <c r="K109" s="70">
        <f t="shared" si="273"/>
        <v>35176.725079199925</v>
      </c>
      <c r="L109" s="70">
        <f t="shared" si="274"/>
        <v>35538.119370168883</v>
      </c>
      <c r="M109" s="70">
        <f t="shared" si="275"/>
        <v>35887.867696538669</v>
      </c>
      <c r="N109" s="70">
        <f t="shared" si="276"/>
        <v>36237.270427494797</v>
      </c>
      <c r="O109" s="70">
        <f t="shared" si="277"/>
        <v>36272.566028811452</v>
      </c>
      <c r="P109" s="70">
        <f t="shared" si="278"/>
        <v>36396.679542741811</v>
      </c>
    </row>
    <row r="110">
      <c r="A110" t="s">
        <v>519</v>
      </c>
      <c r="B110" t="s">
        <v>516</v>
      </c>
      <c r="C110" t="s">
        <v>506</v>
      </c>
      <c r="D110" t="s">
        <v>470</v>
      </c>
      <c r="E110" s="69">
        <f t="shared" si="267"/>
        <v>496321.62933244213</v>
      </c>
      <c r="F110" s="70">
        <f t="shared" si="268"/>
        <v>510554.09197176661</v>
      </c>
      <c r="G110" s="70">
        <f t="shared" si="269"/>
        <v>524830.98960131558</v>
      </c>
      <c r="H110" s="70">
        <f t="shared" si="270"/>
        <v>539105.16641695879</v>
      </c>
      <c r="I110" s="70">
        <f t="shared" si="271"/>
        <v>553376.62257015961</v>
      </c>
      <c r="J110" s="70">
        <f t="shared" si="272"/>
        <v>555677.28372836683</v>
      </c>
      <c r="K110" s="70">
        <f t="shared" si="273"/>
        <v>559126.57510410936</v>
      </c>
      <c r="L110" s="70">
        <f t="shared" si="274"/>
        <v>564870.86061439198</v>
      </c>
      <c r="M110" s="70">
        <f t="shared" si="275"/>
        <v>570430.03599047486</v>
      </c>
      <c r="N110" s="70">
        <f t="shared" si="276"/>
        <v>575983.71820084739</v>
      </c>
      <c r="O110" s="70">
        <f t="shared" si="277"/>
        <v>576544.73428850144</v>
      </c>
      <c r="P110" s="70">
        <f t="shared" si="278"/>
        <v>578517.49223603122</v>
      </c>
    </row>
    <row r="111">
      <c r="A111" t="s">
        <v>519</v>
      </c>
      <c r="B111" t="s">
        <v>516</v>
      </c>
      <c r="C111" t="s">
        <v>506</v>
      </c>
      <c r="D111" t="s">
        <v>471</v>
      </c>
      <c r="E111" s="69">
        <f t="shared" si="267"/>
        <v>4118.0134820184239</v>
      </c>
      <c r="F111" s="70">
        <f t="shared" si="268"/>
        <v>4296.0043196309152</v>
      </c>
      <c r="G111" s="70">
        <f t="shared" si="269"/>
        <v>4446.9313624673232</v>
      </c>
      <c r="H111" s="70">
        <f t="shared" si="270"/>
        <v>4599.5150611564923</v>
      </c>
      <c r="I111" s="70">
        <f t="shared" si="271"/>
        <v>4753.7552895973304</v>
      </c>
      <c r="J111" s="70">
        <f t="shared" si="272"/>
        <v>4838.7619576098223</v>
      </c>
      <c r="K111" s="70">
        <f t="shared" si="273"/>
        <v>4967.3041900718645</v>
      </c>
      <c r="L111" s="70">
        <f t="shared" si="274"/>
        <v>5184.2931524985324</v>
      </c>
      <c r="M111" s="70">
        <f t="shared" si="275"/>
        <v>5403.0211815381754</v>
      </c>
      <c r="N111" s="70">
        <f t="shared" si="276"/>
        <v>5625.0827036870742</v>
      </c>
      <c r="O111" s="70">
        <f t="shared" si="277"/>
        <v>5800.3031825940925</v>
      </c>
      <c r="P111" s="70">
        <f t="shared" si="278"/>
        <v>4799.9980089840974</v>
      </c>
    </row>
    <row r="112">
      <c r="A112" t="s">
        <v>519</v>
      </c>
      <c r="B112" t="s">
        <v>516</v>
      </c>
      <c r="C112" t="s">
        <v>506</v>
      </c>
      <c r="D112" t="s">
        <v>472</v>
      </c>
      <c r="E112" s="69">
        <f t="shared" si="267"/>
        <v>4338.2734517745512</v>
      </c>
      <c r="F112" s="70">
        <f t="shared" si="268"/>
        <v>4525.7844759237278</v>
      </c>
      <c r="G112" s="70">
        <f t="shared" si="269"/>
        <v>4684.7841455341095</v>
      </c>
      <c r="H112" s="70">
        <f t="shared" si="270"/>
        <v>4845.5290804614087</v>
      </c>
      <c r="I112" s="70">
        <f t="shared" si="271"/>
        <v>5008.019147859769</v>
      </c>
      <c r="J112" s="70">
        <f t="shared" si="272"/>
        <v>5097.5725630374318</v>
      </c>
      <c r="K112" s="70">
        <f t="shared" si="273"/>
        <v>5232.9901271024683</v>
      </c>
      <c r="L112" s="70">
        <f t="shared" si="274"/>
        <v>5461.5851667093611</v>
      </c>
      <c r="M112" s="70">
        <f t="shared" si="275"/>
        <v>5692.0122902933681</v>
      </c>
      <c r="N112" s="70">
        <f t="shared" si="276"/>
        <v>5925.951205356615</v>
      </c>
      <c r="O112" s="70">
        <f t="shared" si="277"/>
        <v>6110.5436927704632</v>
      </c>
      <c r="P112" s="70">
        <f t="shared" si="278"/>
        <v>5056.7352491375959</v>
      </c>
    </row>
    <row r="113">
      <c r="A113" t="s">
        <v>519</v>
      </c>
      <c r="B113" t="s">
        <v>516</v>
      </c>
      <c r="C113" t="s">
        <v>506</v>
      </c>
      <c r="D113" t="s">
        <v>473</v>
      </c>
      <c r="E113" s="69">
        <f t="shared" si="267"/>
        <v>97.608542195081341</v>
      </c>
      <c r="F113" s="70">
        <f t="shared" si="268"/>
        <v>101.82742740740495</v>
      </c>
      <c r="G113" s="70">
        <f t="shared" si="269"/>
        <v>105.40482429874675</v>
      </c>
      <c r="H113" s="70">
        <f t="shared" si="270"/>
        <v>109.02148860954044</v>
      </c>
      <c r="I113" s="70">
        <f t="shared" si="271"/>
        <v>112.67741735083425</v>
      </c>
      <c r="J113" s="70">
        <f t="shared" si="272"/>
        <v>114.69231530534354</v>
      </c>
      <c r="K113" s="70">
        <f t="shared" si="273"/>
        <v>117.73912901197846</v>
      </c>
      <c r="L113" s="70">
        <f t="shared" si="274"/>
        <v>122.88237985061075</v>
      </c>
      <c r="M113" s="70">
        <f t="shared" si="275"/>
        <v>128.06685147630793</v>
      </c>
      <c r="N113" s="70">
        <f t="shared" si="276"/>
        <v>133.33033629713731</v>
      </c>
      <c r="O113" s="70">
        <f t="shared" si="277"/>
        <v>137.48355618908749</v>
      </c>
      <c r="P113" s="70">
        <f t="shared" si="278"/>
        <v>113.77350031563945</v>
      </c>
    </row>
    <row r="114">
      <c r="A114" t="s">
        <v>519</v>
      </c>
      <c r="B114" t="s">
        <v>516</v>
      </c>
      <c r="C114" t="s">
        <v>506</v>
      </c>
      <c r="D114" t="s">
        <v>474</v>
      </c>
      <c r="E114" s="69">
        <f t="shared" si="267"/>
        <v>386.62478839472368</v>
      </c>
      <c r="F114" s="70">
        <f t="shared" si="268"/>
        <v>407.99212677407445</v>
      </c>
      <c r="G114" s="70">
        <f t="shared" si="269"/>
        <v>424.68614019322337</v>
      </c>
      <c r="H114" s="70">
        <f t="shared" si="270"/>
        <v>441.666222341484</v>
      </c>
      <c r="I114" s="70">
        <f t="shared" si="271"/>
        <v>458.93235147980249</v>
      </c>
      <c r="J114" s="70">
        <f t="shared" si="272"/>
        <v>472.03730258697954</v>
      </c>
      <c r="K114" s="70">
        <f t="shared" si="273"/>
        <v>491.87297645141985</v>
      </c>
      <c r="L114" s="70">
        <f t="shared" si="274"/>
        <v>525.40763702542006</v>
      </c>
      <c r="M114" s="70">
        <f t="shared" si="275"/>
        <v>559.36014257652096</v>
      </c>
      <c r="N114" s="70">
        <f t="shared" si="276"/>
        <v>593.88828234153038</v>
      </c>
      <c r="O114" s="70">
        <f t="shared" si="277"/>
        <v>623.59764756625441</v>
      </c>
      <c r="P114" s="70">
        <f t="shared" si="278"/>
        <v>450.65374910063707</v>
      </c>
    </row>
    <row r="115">
      <c r="A115" t="s">
        <v>519</v>
      </c>
      <c r="B115" t="s">
        <v>516</v>
      </c>
      <c r="C115" t="s">
        <v>506</v>
      </c>
      <c r="D115" t="s">
        <v>475</v>
      </c>
      <c r="E115" s="69">
        <f t="shared" si="267"/>
        <v>2055.2262770216462</v>
      </c>
      <c r="F115" s="70">
        <f t="shared" si="268"/>
        <v>2168.8111185151001</v>
      </c>
      <c r="G115" s="70">
        <f t="shared" si="269"/>
        <v>2257.5534239178201</v>
      </c>
      <c r="H115" s="70">
        <f t="shared" si="270"/>
        <v>2347.8164180780973</v>
      </c>
      <c r="I115" s="70">
        <f t="shared" si="271"/>
        <v>2439.5999854351194</v>
      </c>
      <c r="J115" s="70">
        <f t="shared" si="272"/>
        <v>2509.2634955954045</v>
      </c>
      <c r="K115" s="70">
        <f t="shared" si="273"/>
        <v>2614.706290191928</v>
      </c>
      <c r="L115" s="70">
        <f t="shared" si="274"/>
        <v>2792.9703789712585</v>
      </c>
      <c r="M115" s="70">
        <f t="shared" si="275"/>
        <v>2973.4556548095575</v>
      </c>
      <c r="N115" s="70">
        <f t="shared" si="276"/>
        <v>3157.0008962731586</v>
      </c>
      <c r="O115" s="70">
        <f t="shared" si="277"/>
        <v>3314.9304184256471</v>
      </c>
      <c r="P115" s="70">
        <f t="shared" si="278"/>
        <v>2395.5924575750491</v>
      </c>
    </row>
  </sheetData>
  <mergeCells count="13">
    <mergeCell ref="AD7:AE7"/>
    <mergeCell ref="AF7:AG7"/>
    <mergeCell ref="AH7:AI7"/>
    <mergeCell ref="T7:U7"/>
    <mergeCell ref="V7:W7"/>
    <mergeCell ref="X7:Y7"/>
    <mergeCell ref="Z7:AA7"/>
    <mergeCell ref="AB7:AC7"/>
    <mergeCell ref="T5:AE5"/>
    <mergeCell ref="AF5:AI5"/>
    <mergeCell ref="T6:Y6"/>
    <mergeCell ref="Z6:AE6"/>
    <mergeCell ref="AF6:AI6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zoomScale="84" workbookViewId="0">
      <selection activeCell="D35" activeCellId="0" sqref="D35"/>
    </sheetView>
  </sheetViews>
  <sheetFormatPr baseColWidth="10" defaultColWidth="9.140625" defaultRowHeight="14.25"/>
  <cols>
    <col customWidth="1" min="1" max="1" width="9.5703125"/>
    <col customWidth="1" min="2" max="2" width="12.42578125"/>
    <col customWidth="1" min="3" max="3" width="23"/>
    <col customWidth="1" min="4" max="18" width="11.5703125"/>
    <col customWidth="1" min="19" max="1025" width="8.42578125"/>
  </cols>
  <sheetData>
    <row r="2" ht="15.75">
      <c r="B2" s="67" t="s">
        <v>91</v>
      </c>
      <c r="K2" s="67" t="s">
        <v>119</v>
      </c>
    </row>
    <row r="3">
      <c r="C3" t="s">
        <v>164</v>
      </c>
      <c r="L3" t="s">
        <v>164</v>
      </c>
    </row>
    <row r="4">
      <c r="D4">
        <v>2015</v>
      </c>
      <c r="E4">
        <v>2020</v>
      </c>
      <c r="F4">
        <v>2030</v>
      </c>
      <c r="G4">
        <v>2040</v>
      </c>
      <c r="H4">
        <v>2050</v>
      </c>
      <c r="N4">
        <v>2015</v>
      </c>
      <c r="O4">
        <v>2020</v>
      </c>
      <c r="P4">
        <v>2030</v>
      </c>
      <c r="Q4">
        <v>2040</v>
      </c>
      <c r="R4">
        <v>2050</v>
      </c>
    </row>
    <row r="5">
      <c r="A5" s="2" t="s">
        <v>165</v>
      </c>
      <c r="B5" s="2"/>
      <c r="C5" s="2"/>
      <c r="D5" s="68">
        <v>33958447.629078202</v>
      </c>
      <c r="E5" s="68">
        <v>36055000</v>
      </c>
      <c r="F5" s="68">
        <v>38412060.841442302</v>
      </c>
      <c r="G5" s="68">
        <v>40507516.426468298</v>
      </c>
      <c r="H5" s="68">
        <v>41367178.292146496</v>
      </c>
      <c r="K5" s="2" t="s">
        <v>165</v>
      </c>
      <c r="L5" s="2"/>
      <c r="M5" s="2"/>
      <c r="N5" s="68">
        <v>33958447.629078202</v>
      </c>
      <c r="O5" s="68">
        <v>36055000</v>
      </c>
      <c r="P5" s="68">
        <v>36752059.006829903</v>
      </c>
      <c r="Q5" s="68">
        <v>37510756.570726</v>
      </c>
      <c r="R5" s="68">
        <v>37619568.670527898</v>
      </c>
    </row>
    <row r="6">
      <c r="C6" t="s">
        <v>166</v>
      </c>
      <c r="D6">
        <v>0</v>
      </c>
      <c r="E6" s="69">
        <v>0</v>
      </c>
      <c r="F6" s="69">
        <f>F20</f>
        <v>3186421.4308104599</v>
      </c>
      <c r="G6" s="69">
        <f>F6+G20</f>
        <v>6084292.7582079805</v>
      </c>
      <c r="H6" s="69">
        <f>G6+H20</f>
        <v>7737889.3879878204</v>
      </c>
      <c r="M6" t="s">
        <v>167</v>
      </c>
      <c r="N6" s="69">
        <v>0</v>
      </c>
      <c r="O6" s="69">
        <v>0</v>
      </c>
      <c r="P6" s="69">
        <f>P20</f>
        <v>1535996.32621768</v>
      </c>
      <c r="Q6" s="69">
        <f>Q20+P6</f>
        <v>3102299.0035506897</v>
      </c>
      <c r="R6" s="69">
        <f>R20+Q6</f>
        <v>4011274.0735300765</v>
      </c>
    </row>
    <row r="7">
      <c r="C7" t="s">
        <v>168</v>
      </c>
      <c r="D7" s="69">
        <f>D5-D6</f>
        <v>33958447.629078202</v>
      </c>
      <c r="E7" s="69">
        <f>E5-E6</f>
        <v>36055000</v>
      </c>
      <c r="F7" s="69">
        <f>F5-F6</f>
        <v>35225639.410631843</v>
      </c>
      <c r="G7" s="69">
        <f>G5-G6</f>
        <v>34423223.668260321</v>
      </c>
      <c r="H7" s="69">
        <f>H5-H6</f>
        <v>33629288.904158674</v>
      </c>
      <c r="M7" t="s">
        <v>169</v>
      </c>
      <c r="N7" s="69">
        <f>N5</f>
        <v>33958447.629078202</v>
      </c>
      <c r="O7" s="69">
        <f>O5</f>
        <v>36055000</v>
      </c>
      <c r="P7" s="69">
        <f>P5-P6</f>
        <v>35216062.680612221</v>
      </c>
      <c r="Q7" s="69">
        <f>Q5-Q6</f>
        <v>34408457.567175314</v>
      </c>
      <c r="R7" s="69">
        <f>R5-R6</f>
        <v>33608294.59699782</v>
      </c>
    </row>
    <row r="8">
      <c r="E8" s="69"/>
      <c r="F8" s="69"/>
      <c r="G8" s="69"/>
      <c r="H8" s="69"/>
      <c r="P8" s="70"/>
      <c r="Q8" s="70"/>
      <c r="R8" s="70"/>
    </row>
    <row r="9">
      <c r="B9" t="s">
        <v>170</v>
      </c>
      <c r="D9" s="69">
        <v>28040512.689529799</v>
      </c>
      <c r="E9" s="69">
        <v>29460000</v>
      </c>
      <c r="F9" s="69">
        <v>30834316.498676099</v>
      </c>
      <c r="G9" s="69">
        <v>32116300.731353998</v>
      </c>
      <c r="H9" s="69">
        <v>32381870.075877201</v>
      </c>
      <c r="L9" t="s">
        <v>170</v>
      </c>
      <c r="N9" s="69">
        <v>28040512.689529799</v>
      </c>
      <c r="O9" s="69">
        <v>29460000</v>
      </c>
      <c r="P9" s="69">
        <v>30276524.149884</v>
      </c>
      <c r="Q9" s="69">
        <v>31137290.754650898</v>
      </c>
      <c r="R9" s="69">
        <v>31460210.402250301</v>
      </c>
    </row>
    <row r="10">
      <c r="C10" t="s">
        <v>171</v>
      </c>
      <c r="D10" s="69">
        <f>D9*0.5658</f>
        <v>15865322.079735959</v>
      </c>
      <c r="E10" s="69">
        <f>E9*0.5609</f>
        <v>16524113.999999998</v>
      </c>
      <c r="F10" s="69">
        <f t="shared" ref="F10:H11" si="22">E10+F22</f>
        <v>17225015.414324794</v>
      </c>
      <c r="G10" s="69">
        <f t="shared" si="22"/>
        <v>17878827.372990549</v>
      </c>
      <c r="H10" s="69">
        <f t="shared" si="22"/>
        <v>18014267.738697372</v>
      </c>
      <c r="J10" s="69"/>
      <c r="M10" t="s">
        <v>171</v>
      </c>
      <c r="N10" s="69">
        <f>N9*0.5658</f>
        <v>15865322.079735959</v>
      </c>
      <c r="O10" s="69">
        <f>O9*0.5609</f>
        <v>16524113.999999998</v>
      </c>
      <c r="P10" s="69">
        <f t="shared" ref="P10:R11" si="23">O10+P22</f>
        <v>16858888.901452459</v>
      </c>
      <c r="Q10" s="69">
        <f t="shared" si="23"/>
        <v>17142941.881025512</v>
      </c>
      <c r="R10" s="69">
        <f t="shared" si="23"/>
        <v>17223671.792925369</v>
      </c>
    </row>
    <row r="11">
      <c r="C11" t="s">
        <v>172</v>
      </c>
      <c r="D11" s="69">
        <f>D9*0.4342</f>
        <v>12175190.609793838</v>
      </c>
      <c r="E11" s="69">
        <f>E9*0.4391</f>
        <v>12935886</v>
      </c>
      <c r="F11" s="69">
        <f t="shared" si="22"/>
        <v>13609301.084351275</v>
      </c>
      <c r="G11" s="69">
        <f t="shared" si="22"/>
        <v>14237473.35836347</v>
      </c>
      <c r="H11" s="69">
        <f t="shared" si="22"/>
        <v>14367602.33717983</v>
      </c>
      <c r="M11" t="s">
        <v>172</v>
      </c>
      <c r="N11" s="69">
        <f>N9*0.4342</f>
        <v>12175190.609793838</v>
      </c>
      <c r="O11" s="69">
        <f>O9*0.4391</f>
        <v>12935886</v>
      </c>
      <c r="P11" s="69">
        <f t="shared" si="23"/>
        <v>13417635.248431589</v>
      </c>
      <c r="Q11" s="69">
        <f t="shared" si="23"/>
        <v>13994348.873625359</v>
      </c>
      <c r="R11" s="69">
        <f t="shared" si="23"/>
        <v>14236538.609324936</v>
      </c>
    </row>
    <row r="12">
      <c r="D12" s="69"/>
      <c r="E12" s="69"/>
      <c r="F12" s="69"/>
      <c r="G12" s="69"/>
      <c r="H12" s="69"/>
      <c r="N12" s="69"/>
      <c r="O12" s="69"/>
      <c r="P12" s="69"/>
      <c r="Q12" s="69"/>
      <c r="R12" s="69"/>
    </row>
    <row r="13">
      <c r="B13" t="s">
        <v>173</v>
      </c>
      <c r="D13" s="69">
        <v>3224604.7103705499</v>
      </c>
      <c r="E13" s="69">
        <v>3597000</v>
      </c>
      <c r="F13" s="69">
        <v>4225326.6925586499</v>
      </c>
      <c r="G13" s="69">
        <v>4658364.3890438601</v>
      </c>
      <c r="H13" s="69">
        <v>4964061.3950575804</v>
      </c>
      <c r="L13" t="s">
        <v>173</v>
      </c>
      <c r="N13" s="69">
        <v>3224604.7103705499</v>
      </c>
      <c r="O13" s="69">
        <v>3597000</v>
      </c>
      <c r="P13" s="69">
        <v>3675205.90068299</v>
      </c>
      <c r="Q13" s="69">
        <v>3751075.6570726</v>
      </c>
      <c r="R13" s="69">
        <v>3761956.8670527898</v>
      </c>
    </row>
    <row r="14">
      <c r="D14" s="69"/>
      <c r="E14" s="69"/>
      <c r="F14" s="69"/>
      <c r="G14" s="69"/>
      <c r="H14" s="69"/>
      <c r="N14" s="69"/>
      <c r="O14" s="69"/>
      <c r="P14" s="69"/>
      <c r="Q14" s="69"/>
      <c r="R14" s="69"/>
    </row>
    <row r="15">
      <c r="B15" t="s">
        <v>174</v>
      </c>
      <c r="D15" s="69">
        <v>2693330.2291778</v>
      </c>
      <c r="E15" s="69">
        <v>2998000</v>
      </c>
      <c r="F15" s="69">
        <v>3352417.65020756</v>
      </c>
      <c r="G15" s="69">
        <v>3732851.30607046</v>
      </c>
      <c r="H15" s="69">
        <v>4021246.8212116999</v>
      </c>
      <c r="L15" t="s">
        <v>174</v>
      </c>
      <c r="N15" s="69">
        <v>2693330.2291778</v>
      </c>
      <c r="O15" s="69">
        <v>2998000</v>
      </c>
      <c r="P15" s="69">
        <v>2800328.95626284</v>
      </c>
      <c r="Q15" s="69">
        <v>2622390.1590025201</v>
      </c>
      <c r="R15" s="69">
        <v>2397401.40122484</v>
      </c>
    </row>
    <row r="16">
      <c r="C16" t="s">
        <v>175</v>
      </c>
      <c r="D16" s="69">
        <v>2019997.67188335</v>
      </c>
      <c r="E16" s="69">
        <v>2248500</v>
      </c>
      <c r="F16" s="69">
        <v>2506081.1187748201</v>
      </c>
      <c r="G16" s="69">
        <v>2759413.28858975</v>
      </c>
      <c r="H16" s="69">
        <v>2937069.6587423999</v>
      </c>
      <c r="M16" t="s">
        <v>175</v>
      </c>
      <c r="N16" s="69">
        <v>2019997.67188335</v>
      </c>
      <c r="O16" s="69">
        <v>2248500</v>
      </c>
      <c r="P16" s="69">
        <v>2140514.80357118</v>
      </c>
      <c r="Q16" s="69">
        <v>2030120.3620859799</v>
      </c>
      <c r="R16" s="69">
        <v>1880978.4335264</v>
      </c>
    </row>
    <row r="17">
      <c r="C17" t="s">
        <v>176</v>
      </c>
      <c r="D17" s="69">
        <v>457866.13896022597</v>
      </c>
      <c r="E17" s="69">
        <v>509660</v>
      </c>
      <c r="F17" s="69">
        <v>630870.11309851799</v>
      </c>
      <c r="G17" s="69">
        <v>757971.59914648102</v>
      </c>
      <c r="H17" s="69">
        <v>868710.74413507595</v>
      </c>
      <c r="M17" t="s">
        <v>176</v>
      </c>
      <c r="N17" s="69">
        <v>457866.13896022597</v>
      </c>
      <c r="O17" s="69">
        <v>509660</v>
      </c>
      <c r="P17" s="69">
        <v>444347.73435743502</v>
      </c>
      <c r="Q17" s="69">
        <v>376803.37858231802</v>
      </c>
      <c r="R17" s="69">
        <v>300956.54936422402</v>
      </c>
    </row>
    <row r="19">
      <c r="E19" t="s">
        <v>177</v>
      </c>
      <c r="F19" t="s">
        <v>178</v>
      </c>
      <c r="G19" t="s">
        <v>179</v>
      </c>
      <c r="H19" t="s">
        <v>62</v>
      </c>
      <c r="O19" t="s">
        <v>177</v>
      </c>
      <c r="P19" t="s">
        <v>178</v>
      </c>
      <c r="Q19" t="s">
        <v>179</v>
      </c>
      <c r="R19" t="s">
        <v>62</v>
      </c>
    </row>
    <row r="20">
      <c r="A20" s="2" t="s">
        <v>180</v>
      </c>
      <c r="B20" s="2"/>
      <c r="C20" s="2"/>
      <c r="D20" s="2"/>
      <c r="E20" s="68">
        <v>2476414.8450271799</v>
      </c>
      <c r="F20" s="68">
        <v>3186421.4308104599</v>
      </c>
      <c r="G20" s="68">
        <v>2897871.3273975202</v>
      </c>
      <c r="H20" s="68">
        <v>1653596.6297798399</v>
      </c>
      <c r="K20" s="2" t="s">
        <v>180</v>
      </c>
      <c r="L20" s="2"/>
      <c r="M20" s="2"/>
      <c r="N20" s="68"/>
      <c r="O20" s="68">
        <v>2476414.8450271799</v>
      </c>
      <c r="P20" s="68">
        <v>1535996.32621768</v>
      </c>
      <c r="Q20" s="68">
        <v>1566302.6773330099</v>
      </c>
      <c r="R20" s="68">
        <v>908975.06997938699</v>
      </c>
    </row>
    <row r="21">
      <c r="B21" t="s">
        <v>181</v>
      </c>
      <c r="E21" s="69">
        <v>1419487.3104701799</v>
      </c>
      <c r="F21" s="69">
        <v>1374316.49867607</v>
      </c>
      <c r="G21" s="69">
        <v>1281984.2326779501</v>
      </c>
      <c r="H21" s="69">
        <v>265569.344523184</v>
      </c>
      <c r="L21" t="s">
        <v>181</v>
      </c>
      <c r="N21" s="69"/>
      <c r="O21" s="69">
        <v>1419487.3104701799</v>
      </c>
      <c r="P21" s="69">
        <v>816524.14988404897</v>
      </c>
      <c r="Q21" s="69">
        <v>860766.60476681998</v>
      </c>
      <c r="R21" s="69">
        <v>322919.64759943599</v>
      </c>
    </row>
    <row r="22">
      <c r="C22" t="s">
        <v>182</v>
      </c>
      <c r="E22" s="69">
        <f>E21*E31</f>
        <v>652964.16281628283</v>
      </c>
      <c r="F22" s="69">
        <f>F21*F31</f>
        <v>700901.41432479571</v>
      </c>
      <c r="G22" s="69">
        <f>G21*G31</f>
        <v>653811.95866575453</v>
      </c>
      <c r="H22" s="69">
        <f>H21*H31</f>
        <v>135440.36570682385</v>
      </c>
      <c r="M22" t="s">
        <v>182</v>
      </c>
      <c r="N22" s="69"/>
      <c r="O22" s="69">
        <f>O21*O31</f>
        <v>652964.16281628283</v>
      </c>
      <c r="P22" s="69">
        <f>P21*P31</f>
        <v>334774.90145246004</v>
      </c>
      <c r="Q22" s="69">
        <f>Q21*Q31</f>
        <v>284052.97957305063</v>
      </c>
      <c r="R22" s="69">
        <f>R21*R31</f>
        <v>80729.911899858998</v>
      </c>
    </row>
    <row r="23">
      <c r="C23" t="s">
        <v>183</v>
      </c>
      <c r="E23" s="69">
        <f>E21*(1-E31)</f>
        <v>766523.14765389718</v>
      </c>
      <c r="F23" s="69">
        <f>F21*(1-F31)</f>
        <v>673415.0843512743</v>
      </c>
      <c r="G23" s="69">
        <f>G21*(1-G31)</f>
        <v>628172.27401219553</v>
      </c>
      <c r="H23" s="69">
        <f>H21*(1-H31)</f>
        <v>130128.97881636016</v>
      </c>
      <c r="M23" t="s">
        <v>183</v>
      </c>
      <c r="N23" s="69"/>
      <c r="O23" s="69">
        <f>O21*(1-O31)</f>
        <v>766523.14765389718</v>
      </c>
      <c r="P23" s="69">
        <f>P21*(1-P31)</f>
        <v>481749.24843158893</v>
      </c>
      <c r="Q23" s="69">
        <f>Q21*(1-Q31)</f>
        <v>576713.62519376935</v>
      </c>
      <c r="R23" s="69">
        <f>R21*(1-R31)</f>
        <v>242189.735699577</v>
      </c>
    </row>
    <row r="24">
      <c r="B24" t="s">
        <v>184</v>
      </c>
      <c r="E24" s="69">
        <v>280296.18915642198</v>
      </c>
      <c r="F24" s="69">
        <v>378791.23187333398</v>
      </c>
      <c r="G24" s="69">
        <v>380433.65586290101</v>
      </c>
      <c r="H24" s="69">
        <v>288395.51514123997</v>
      </c>
      <c r="L24" t="s">
        <v>184</v>
      </c>
      <c r="N24" s="69"/>
      <c r="O24" s="69">
        <v>280296.18915642198</v>
      </c>
      <c r="P24" s="69">
        <v>-173297.462071388</v>
      </c>
      <c r="Q24" s="69">
        <v>-177938.79726031501</v>
      </c>
      <c r="R24" s="69">
        <v>-224988.75777767599</v>
      </c>
    </row>
    <row r="25">
      <c r="B25" t="s">
        <v>185</v>
      </c>
      <c r="E25" s="69">
        <v>372395.28962944698</v>
      </c>
      <c r="F25" s="69">
        <v>628326.69255865004</v>
      </c>
      <c r="G25" s="69">
        <v>433037.696485208</v>
      </c>
      <c r="H25" s="69">
        <v>305697.00601371803</v>
      </c>
      <c r="L25" t="s">
        <v>185</v>
      </c>
      <c r="N25" s="69"/>
      <c r="O25" s="69">
        <v>372395.28962944698</v>
      </c>
      <c r="P25" s="69">
        <v>78205.900682987602</v>
      </c>
      <c r="Q25" s="69">
        <v>75869.756389610906</v>
      </c>
      <c r="R25" s="69">
        <v>10881.209980195899</v>
      </c>
    </row>
    <row r="26">
      <c r="B26" t="s">
        <v>186</v>
      </c>
      <c r="E26" s="69">
        <v>404236.05577112699</v>
      </c>
      <c r="F26" s="69">
        <v>804987.00770241395</v>
      </c>
      <c r="G26" s="69">
        <v>802415.74237146601</v>
      </c>
      <c r="H26" s="69">
        <v>793934.76410169899</v>
      </c>
      <c r="L26" t="s">
        <v>186</v>
      </c>
      <c r="N26" s="69"/>
      <c r="O26" s="69">
        <v>404236.05577112699</v>
      </c>
      <c r="P26" s="69">
        <v>814563.737722032</v>
      </c>
      <c r="Q26" s="69">
        <v>807605.113436896</v>
      </c>
      <c r="R26" s="69">
        <v>800162.97017743101</v>
      </c>
    </row>
    <row r="28">
      <c r="A28" t="s">
        <v>187</v>
      </c>
      <c r="E28" s="69">
        <f>E20/5</f>
        <v>495282.969005436</v>
      </c>
      <c r="F28" s="69">
        <f>F20/10</f>
        <v>318642.143081046</v>
      </c>
      <c r="G28" s="69">
        <f>G20/10</f>
        <v>289787.13273975201</v>
      </c>
      <c r="H28" s="69">
        <f>H20/10</f>
        <v>165359.662977984</v>
      </c>
      <c r="K28" t="s">
        <v>187</v>
      </c>
      <c r="O28" s="69">
        <f>O20/5</f>
        <v>495282.969005436</v>
      </c>
      <c r="P28" s="69">
        <f>P20/10</f>
        <v>153599.63262176799</v>
      </c>
      <c r="Q28" s="69">
        <f>Q20/10</f>
        <v>156630.26773330098</v>
      </c>
      <c r="R28" s="69">
        <f>R20/10</f>
        <v>90897.506997938704</v>
      </c>
    </row>
    <row r="29">
      <c r="A29" t="s">
        <v>188</v>
      </c>
      <c r="E29" s="69">
        <f>(E20-E24-E25)/5</f>
        <v>364744.6732482622</v>
      </c>
      <c r="F29" s="69">
        <f>(F20-F24-F25)/10</f>
        <v>217930.35063784762</v>
      </c>
      <c r="G29" s="69">
        <f>(G20-G24-G25)/10</f>
        <v>208439.99750494113</v>
      </c>
      <c r="H29" s="69">
        <f>(H20-H24-H25)/10</f>
        <v>105950.41086248821</v>
      </c>
      <c r="K29" t="s">
        <v>188</v>
      </c>
      <c r="O29" s="69">
        <f>(O20-O24-O25)/5</f>
        <v>364744.6732482622</v>
      </c>
      <c r="P29" s="69">
        <f>(P20+P24-P25)/10</f>
        <v>128449.29634633043</v>
      </c>
      <c r="Q29" s="69">
        <f>(Q20+Q24-Q25)/10</f>
        <v>131249.4123683084</v>
      </c>
      <c r="R29" s="69">
        <f>(R20+R24-R25)/10</f>
        <v>67310.510222151512</v>
      </c>
    </row>
    <row r="31">
      <c r="D31" t="s">
        <v>189</v>
      </c>
      <c r="E31" s="21">
        <f>'Construction neuve rési'!C12</f>
        <v>0.46000000000000002</v>
      </c>
      <c r="F31" s="21">
        <f>'Construction neuve rési'!M12</f>
        <v>0.51000000000000001</v>
      </c>
      <c r="G31" s="21">
        <f>'Construction neuve rési'!W12</f>
        <v>0.51000000000000001</v>
      </c>
      <c r="H31" s="21">
        <f>'Construction neuve rési'!AG12</f>
        <v>0.51000000000000001</v>
      </c>
      <c r="M31" t="s">
        <v>189</v>
      </c>
      <c r="O31" s="21">
        <f>'Construction neuve rési'!C27</f>
        <v>0.46000000000000002</v>
      </c>
      <c r="P31" s="21">
        <f>'Construction neuve rési'!M27</f>
        <v>0.40999999999999998</v>
      </c>
      <c r="Q31" s="21">
        <f>'Construction neuve rési'!W27</f>
        <v>0.33000000000000002</v>
      </c>
      <c r="R31" s="21">
        <f>'Construction neuve rési'!AG27</f>
        <v>0.25</v>
      </c>
    </row>
    <row r="32">
      <c r="E32" s="21"/>
      <c r="F32" s="21"/>
      <c r="G32" s="21"/>
      <c r="H32" s="21"/>
      <c r="O32" s="21"/>
      <c r="P32" s="21"/>
      <c r="Q32" s="21"/>
      <c r="R32" s="21"/>
    </row>
    <row r="33">
      <c r="F33" s="22"/>
      <c r="G33" s="22"/>
      <c r="H33" s="22"/>
      <c r="I33" s="22"/>
    </row>
    <row r="34">
      <c r="D34">
        <v>2015</v>
      </c>
      <c r="E34">
        <v>2020</v>
      </c>
      <c r="F34">
        <v>2030</v>
      </c>
      <c r="G34">
        <v>2040</v>
      </c>
      <c r="H34">
        <v>2050</v>
      </c>
      <c r="N34">
        <v>2015</v>
      </c>
      <c r="O34">
        <v>2020</v>
      </c>
      <c r="P34">
        <v>2030</v>
      </c>
      <c r="Q34">
        <v>2040</v>
      </c>
      <c r="R34">
        <v>2050</v>
      </c>
    </row>
    <row r="35">
      <c r="A35" s="2" t="s">
        <v>190</v>
      </c>
      <c r="D35" s="69">
        <f>D37+D41+D43</f>
        <v>3138.3985581221064</v>
      </c>
      <c r="E35" s="69">
        <f>E37+E41+E43</f>
        <v>3316.9797854000003</v>
      </c>
      <c r="F35" s="69">
        <f>F37+F41+F43</f>
        <v>3669.7638925026049</v>
      </c>
      <c r="G35" s="69">
        <f>G37+G41+G43</f>
        <v>3873.9521558681304</v>
      </c>
      <c r="H35" s="69">
        <f>H37+H41+H43</f>
        <v>3963.0742165778088</v>
      </c>
      <c r="K35" s="2" t="s">
        <v>190</v>
      </c>
      <c r="N35" s="69">
        <f>N37+N41+N43</f>
        <v>3138.3985581221064</v>
      </c>
      <c r="O35" s="69">
        <f>O37+O41+O43</f>
        <v>3310.6246253999998</v>
      </c>
      <c r="P35" s="69">
        <f>P37+P41+P43</f>
        <v>3371.6758851768095</v>
      </c>
      <c r="Q35" s="69">
        <f>Q37+Q41+Q43</f>
        <v>3432.3520714411356</v>
      </c>
      <c r="R35" s="69">
        <f>R37+R41+R43</f>
        <v>3437.9714239780878</v>
      </c>
    </row>
    <row r="36">
      <c r="D36" s="69"/>
      <c r="E36" s="69"/>
      <c r="F36" s="69"/>
      <c r="G36" s="69"/>
      <c r="H36" s="69"/>
      <c r="N36" s="69"/>
      <c r="O36" s="69"/>
      <c r="P36" s="69"/>
      <c r="Q36" s="69"/>
      <c r="R36" s="69"/>
    </row>
    <row r="37">
      <c r="B37" t="s">
        <v>170</v>
      </c>
      <c r="D37" s="69">
        <f>D38+D39</f>
        <v>2625.1763912128349</v>
      </c>
      <c r="E37" s="69">
        <f>E38+E39</f>
        <v>2738.6602253999999</v>
      </c>
      <c r="F37" s="69">
        <f>F38+F39</f>
        <v>2992.4343234548619</v>
      </c>
      <c r="G37" s="69">
        <f>G38+G39</f>
        <v>3113.6074731275821</v>
      </c>
      <c r="H37" s="69">
        <f>H38+H39</f>
        <v>3138.7090875719136</v>
      </c>
      <c r="L37" t="s">
        <v>170</v>
      </c>
      <c r="N37" s="69">
        <f>N38+N39</f>
        <v>2625.1763912128349</v>
      </c>
      <c r="O37" s="69">
        <f>O38+O39</f>
        <v>2738.6602253999999</v>
      </c>
      <c r="P37" s="69">
        <f>P38+P39</f>
        <v>2808.2697257017649</v>
      </c>
      <c r="Q37" s="69">
        <f>Q38+Q39</f>
        <v>2878.1321256444548</v>
      </c>
      <c r="R37" s="69">
        <f>R38+R39</f>
        <v>2903.021157483181</v>
      </c>
    </row>
    <row r="38">
      <c r="C38" t="s">
        <v>171</v>
      </c>
      <c r="D38" s="69">
        <f t="shared" ref="D38:H39" si="24">D10*D47/1000000</f>
        <v>1835.5567965456521</v>
      </c>
      <c r="E38" s="69">
        <f t="shared" si="24"/>
        <v>1906.8827555999999</v>
      </c>
      <c r="F38" s="69">
        <f t="shared" si="24"/>
        <v>2067.0018497189753</v>
      </c>
      <c r="G38" s="69">
        <f t="shared" si="24"/>
        <v>2145.459284758866</v>
      </c>
      <c r="H38" s="69">
        <f t="shared" si="24"/>
        <v>2161.712128643685</v>
      </c>
      <c r="M38" t="s">
        <v>171</v>
      </c>
      <c r="N38" s="69">
        <f t="shared" ref="N38:R39" si="25">N10*N47/1000000</f>
        <v>1835.5567965456521</v>
      </c>
      <c r="O38" s="69">
        <f t="shared" si="25"/>
        <v>1906.8827555999999</v>
      </c>
      <c r="P38" s="69">
        <f t="shared" si="25"/>
        <v>1945.5157792276138</v>
      </c>
      <c r="Q38" s="69">
        <f t="shared" si="25"/>
        <v>1978.2954930703443</v>
      </c>
      <c r="R38" s="69">
        <f t="shared" si="25"/>
        <v>1987.6117249035876</v>
      </c>
    </row>
    <row r="39">
      <c r="C39" t="s">
        <v>172</v>
      </c>
      <c r="D39" s="69">
        <f t="shared" si="24"/>
        <v>789.61959466718281</v>
      </c>
      <c r="E39" s="69">
        <f t="shared" si="24"/>
        <v>831.77746979999995</v>
      </c>
      <c r="F39" s="69">
        <f t="shared" si="24"/>
        <v>925.43247373588667</v>
      </c>
      <c r="G39" s="69">
        <f t="shared" si="24"/>
        <v>968.14818836871598</v>
      </c>
      <c r="H39" s="69">
        <f t="shared" si="24"/>
        <v>976.99695892822854</v>
      </c>
      <c r="M39" t="s">
        <v>172</v>
      </c>
      <c r="N39" s="69">
        <f t="shared" si="25"/>
        <v>789.61959466718281</v>
      </c>
      <c r="O39" s="69">
        <f t="shared" si="25"/>
        <v>831.77746979999995</v>
      </c>
      <c r="P39" s="69">
        <f t="shared" si="25"/>
        <v>862.75394647415112</v>
      </c>
      <c r="Q39" s="69">
        <f t="shared" si="25"/>
        <v>899.83663257411047</v>
      </c>
      <c r="R39" s="69">
        <f t="shared" si="25"/>
        <v>915.40943257959327</v>
      </c>
    </row>
    <row r="40">
      <c r="D40" s="69"/>
      <c r="E40" s="69"/>
      <c r="F40" s="69"/>
      <c r="G40" s="69"/>
      <c r="H40" s="69"/>
      <c r="N40" s="69"/>
      <c r="O40" s="69"/>
      <c r="P40" s="69"/>
      <c r="Q40" s="69"/>
      <c r="R40" s="69"/>
    </row>
    <row r="41">
      <c r="B41" t="s">
        <v>173</v>
      </c>
      <c r="D41" s="69">
        <f>D49*D13/1000000</f>
        <v>290.21442393334951</v>
      </c>
      <c r="E41" s="69">
        <f>E49*E13/1000000</f>
        <v>327.327</v>
      </c>
      <c r="F41" s="69">
        <f>F49*F13/1000000</f>
        <v>388.73005571539579</v>
      </c>
      <c r="G41" s="69">
        <f>G49*G13/1000000</f>
        <v>433.22788818107898</v>
      </c>
      <c r="H41" s="69">
        <f>H49*H13/1000000</f>
        <v>466.62177113541259</v>
      </c>
      <c r="L41" t="s">
        <v>173</v>
      </c>
      <c r="N41" s="69">
        <f>N49*N13/1000000</f>
        <v>290.21442393334951</v>
      </c>
      <c r="O41" s="69">
        <f>O49*O13/1000000</f>
        <v>323.73000000000002</v>
      </c>
      <c r="P41" s="69">
        <f>P49*P13/1000000</f>
        <v>330.7685310614691</v>
      </c>
      <c r="Q41" s="69">
        <f>Q49*Q13/1000000</f>
        <v>337.59680913653398</v>
      </c>
      <c r="R41" s="69">
        <f>R49*R13/1000000</f>
        <v>338.57611803475106</v>
      </c>
    </row>
    <row r="42">
      <c r="D42" s="69"/>
      <c r="E42" s="69"/>
      <c r="F42" s="69"/>
      <c r="G42" s="69"/>
      <c r="H42" s="69"/>
      <c r="N42" s="69"/>
      <c r="O42" s="69"/>
      <c r="P42" s="69"/>
      <c r="Q42" s="69"/>
      <c r="R42" s="69"/>
    </row>
    <row r="43">
      <c r="B43" t="s">
        <v>174</v>
      </c>
      <c r="D43" s="69">
        <f>D44+D45</f>
        <v>223.00774297592181</v>
      </c>
      <c r="E43" s="69">
        <f>E44+E45</f>
        <v>250.99256</v>
      </c>
      <c r="F43" s="69">
        <f>F44+F45</f>
        <v>288.59951333234716</v>
      </c>
      <c r="G43" s="69">
        <f>G44+G45</f>
        <v>327.11679455946944</v>
      </c>
      <c r="H43" s="69">
        <f>H44+H45</f>
        <v>357.74335787048273</v>
      </c>
      <c r="L43" t="s">
        <v>174</v>
      </c>
      <c r="N43" s="69">
        <f>N44+N45</f>
        <v>223.00774297592181</v>
      </c>
      <c r="O43" s="69">
        <f>O44+O45</f>
        <v>248.23439999999999</v>
      </c>
      <c r="P43" s="69">
        <f>P44+P45</f>
        <v>232.63762841357533</v>
      </c>
      <c r="Q43" s="69">
        <f>Q44+Q45</f>
        <v>216.62313666014683</v>
      </c>
      <c r="R43" s="69">
        <f>R44+R45</f>
        <v>196.37414846015616</v>
      </c>
    </row>
    <row r="44">
      <c r="C44" t="s">
        <v>175</v>
      </c>
      <c r="D44" s="69">
        <f>D16*D50/1000000</f>
        <v>181.79979046950149</v>
      </c>
      <c r="E44" s="69">
        <f>E16*E50/1000000</f>
        <v>204.61349999999999</v>
      </c>
      <c r="F44" s="69">
        <f>F16*F50/1000000</f>
        <v>230.55946292728348</v>
      </c>
      <c r="G44" s="69">
        <f>G16*G50/1000000</f>
        <v>256.62543583884673</v>
      </c>
      <c r="H44" s="69">
        <f>H16*H50/1000000</f>
        <v>276.0845479217856</v>
      </c>
      <c r="M44" t="s">
        <v>175</v>
      </c>
      <c r="N44" s="69">
        <f>N16*N50/1000000</f>
        <v>181.79979046950149</v>
      </c>
      <c r="O44" s="69">
        <f>O16*O50/1000000</f>
        <v>202.36500000000001</v>
      </c>
      <c r="P44" s="69">
        <f>P16*P50/1000000</f>
        <v>192.64633232140619</v>
      </c>
      <c r="Q44" s="69">
        <f>Q16*Q50/1000000</f>
        <v>182.7108325877382</v>
      </c>
      <c r="R44" s="69">
        <f>R16*R50/1000000</f>
        <v>169.28805901737601</v>
      </c>
    </row>
    <row r="45">
      <c r="C45" t="s">
        <v>176</v>
      </c>
      <c r="D45" s="69">
        <f>D17*D50/1000000</f>
        <v>41.207952506420334</v>
      </c>
      <c r="E45" s="69">
        <f>E17*E50/1000000</f>
        <v>46.379060000000003</v>
      </c>
      <c r="F45" s="69">
        <f>F17*F50/1000000</f>
        <v>58.04005040506366</v>
      </c>
      <c r="G45" s="69">
        <f>G17*G50/1000000</f>
        <v>70.491358720622728</v>
      </c>
      <c r="H45" s="69">
        <f>H17*H50/1000000</f>
        <v>81.65880994869714</v>
      </c>
      <c r="M45" t="s">
        <v>176</v>
      </c>
      <c r="N45" s="69">
        <f>N17*N50/1000000</f>
        <v>41.207952506420334</v>
      </c>
      <c r="O45" s="69">
        <f>O17*O50/1000000</f>
        <v>45.869399999999999</v>
      </c>
      <c r="P45" s="69">
        <f>P17*P50/1000000</f>
        <v>39.991296092169151</v>
      </c>
      <c r="Q45" s="69">
        <f>Q17*Q50/1000000</f>
        <v>33.912304072408624</v>
      </c>
      <c r="R45" s="69">
        <f>R17*R50/1000000</f>
        <v>27.086089442780164</v>
      </c>
    </row>
    <row r="47">
      <c r="B47" t="s">
        <v>191</v>
      </c>
      <c r="C47" t="s">
        <v>73</v>
      </c>
      <c r="D47" s="15">
        <v>115.696157148308</v>
      </c>
      <c r="E47" s="15">
        <v>115.40000000000001</v>
      </c>
      <c r="F47" s="15">
        <f>'Construction neuve rési'!M13</f>
        <v>120</v>
      </c>
      <c r="G47" s="15">
        <f>'Construction neuve rési'!W13</f>
        <v>120</v>
      </c>
      <c r="H47" s="15">
        <f>'Construction neuve rési'!AG13</f>
        <v>120</v>
      </c>
      <c r="L47" t="s">
        <v>191</v>
      </c>
      <c r="M47" t="s">
        <v>73</v>
      </c>
      <c r="N47" s="6">
        <v>115.696157148308</v>
      </c>
      <c r="O47" s="6">
        <v>115.40000000000001</v>
      </c>
      <c r="P47" s="6">
        <f>'Construction neuve rési'!M28</f>
        <v>115.40000000000001</v>
      </c>
      <c r="Q47" s="6">
        <f>'Construction neuve rési'!W28</f>
        <v>115.40000000000001</v>
      </c>
      <c r="R47" s="6">
        <f>'Construction neuve rési'!AG28</f>
        <v>115.40000000000001</v>
      </c>
    </row>
    <row r="48">
      <c r="C48" t="s">
        <v>77</v>
      </c>
      <c r="D48" s="15">
        <v>64.854803507717193</v>
      </c>
      <c r="E48" s="15">
        <v>64.299999999999997</v>
      </c>
      <c r="F48" s="15">
        <f>'Construction neuve rési'!M14</f>
        <v>68</v>
      </c>
      <c r="G48" s="15">
        <f>'Construction neuve rési'!W14</f>
        <v>68</v>
      </c>
      <c r="H48" s="15">
        <f>'Construction neuve rési'!AG14</f>
        <v>68</v>
      </c>
      <c r="M48" t="s">
        <v>77</v>
      </c>
      <c r="N48" s="6">
        <v>64.854803507717193</v>
      </c>
      <c r="O48" s="6">
        <v>64.299999999999997</v>
      </c>
      <c r="P48" s="6">
        <f>'Construction neuve rési'!M29</f>
        <v>64.299999999999997</v>
      </c>
      <c r="Q48" s="6">
        <f>'Construction neuve rési'!W29</f>
        <v>64.299999999999997</v>
      </c>
      <c r="R48" s="6">
        <f>'Construction neuve rési'!AG29</f>
        <v>64.299999999999997</v>
      </c>
    </row>
    <row r="49">
      <c r="C49" t="s">
        <v>192</v>
      </c>
      <c r="D49" s="15">
        <v>90</v>
      </c>
      <c r="E49" s="15">
        <v>91</v>
      </c>
      <c r="F49" s="15">
        <v>92</v>
      </c>
      <c r="G49" s="15">
        <v>93</v>
      </c>
      <c r="H49" s="15">
        <v>94</v>
      </c>
      <c r="I49" t="s">
        <v>193</v>
      </c>
      <c r="M49" t="s">
        <v>192</v>
      </c>
      <c r="N49" s="6">
        <v>90</v>
      </c>
      <c r="O49" s="6">
        <f t="shared" ref="O49:R50" si="26">N49</f>
        <v>90</v>
      </c>
      <c r="P49" s="6">
        <f t="shared" si="26"/>
        <v>90</v>
      </c>
      <c r="Q49" s="6">
        <f t="shared" si="26"/>
        <v>90</v>
      </c>
      <c r="R49" s="6">
        <f t="shared" si="26"/>
        <v>90</v>
      </c>
    </row>
    <row r="50">
      <c r="C50" t="s">
        <v>194</v>
      </c>
      <c r="D50" s="15">
        <v>90</v>
      </c>
      <c r="E50" s="15">
        <v>91</v>
      </c>
      <c r="F50" s="15">
        <v>92</v>
      </c>
      <c r="G50" s="15">
        <v>93</v>
      </c>
      <c r="H50" s="15">
        <v>94</v>
      </c>
      <c r="I50" t="s">
        <v>193</v>
      </c>
      <c r="M50" t="s">
        <v>194</v>
      </c>
      <c r="N50" s="6">
        <v>90</v>
      </c>
      <c r="O50" s="6">
        <f t="shared" si="26"/>
        <v>90</v>
      </c>
      <c r="P50" s="6">
        <f t="shared" si="26"/>
        <v>90</v>
      </c>
      <c r="Q50" s="6">
        <f t="shared" si="26"/>
        <v>90</v>
      </c>
      <c r="R50" s="6">
        <f t="shared" si="26"/>
        <v>90</v>
      </c>
    </row>
    <row r="51">
      <c r="I51" t="s">
        <v>195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zoomScale="77" workbookViewId="0">
      <selection activeCell="C35" activeCellId="0" sqref="C35"/>
    </sheetView>
  </sheetViews>
  <sheetFormatPr baseColWidth="10" defaultColWidth="9.140625" defaultRowHeight="15"/>
  <cols>
    <col customWidth="1" min="1" max="1" width="8.42578125"/>
    <col customWidth="1" min="2" max="2" width="31.7109375"/>
    <col customWidth="1" min="3" max="10" width="11.85546875"/>
    <col customWidth="1" min="11" max="1025" width="8.42578125"/>
  </cols>
  <sheetData>
    <row r="3" ht="28.350000000000001" customHeight="1">
      <c r="B3" s="71" t="s">
        <v>196</v>
      </c>
      <c r="C3" s="71"/>
      <c r="D3" s="71"/>
      <c r="E3" s="71"/>
    </row>
    <row r="6">
      <c r="C6" s="3" t="s">
        <v>119</v>
      </c>
      <c r="D6" s="3"/>
      <c r="E6" s="3"/>
      <c r="F6" s="3"/>
      <c r="G6" s="3" t="s">
        <v>91</v>
      </c>
      <c r="H6" s="3"/>
      <c r="I6" s="3"/>
      <c r="J6" s="3"/>
      <c r="L6" s="3" t="s">
        <v>31</v>
      </c>
      <c r="M6" s="3"/>
      <c r="N6" s="3"/>
      <c r="O6" s="3"/>
      <c r="P6" s="3" t="s">
        <v>2</v>
      </c>
      <c r="Q6" s="3"/>
      <c r="R6" s="3"/>
      <c r="S6" s="3"/>
    </row>
    <row r="7" ht="34.350000000000001" customHeight="1">
      <c r="B7" s="43" t="s">
        <v>197</v>
      </c>
      <c r="C7" s="72" t="s">
        <v>198</v>
      </c>
      <c r="D7" s="72"/>
      <c r="E7" s="72"/>
      <c r="F7" s="72"/>
      <c r="G7" s="3" t="s">
        <v>199</v>
      </c>
      <c r="H7" s="3"/>
      <c r="I7" s="3"/>
      <c r="J7" s="3"/>
      <c r="L7" s="73" t="s">
        <v>200</v>
      </c>
      <c r="M7" s="73"/>
      <c r="N7" s="73"/>
      <c r="O7" s="73"/>
      <c r="P7" s="3" t="s">
        <v>201</v>
      </c>
      <c r="Q7" s="3"/>
      <c r="R7" s="3"/>
      <c r="S7" s="3"/>
    </row>
    <row r="8">
      <c r="B8" s="43"/>
      <c r="C8" s="3" t="s">
        <v>202</v>
      </c>
      <c r="D8" s="3"/>
      <c r="E8" s="3"/>
      <c r="F8" s="3"/>
      <c r="G8" s="3" t="s">
        <v>203</v>
      </c>
      <c r="H8" s="3"/>
      <c r="I8" s="3"/>
      <c r="J8" s="3"/>
      <c r="L8" s="3" t="s">
        <v>204</v>
      </c>
      <c r="M8" s="3"/>
      <c r="N8" s="3"/>
      <c r="O8" s="3"/>
      <c r="P8" s="3" t="s">
        <v>205</v>
      </c>
      <c r="Q8" s="3"/>
      <c r="R8" s="3"/>
      <c r="S8" s="3"/>
    </row>
    <row r="9" ht="35.100000000000001" customHeight="1">
      <c r="B9" s="74" t="s">
        <v>206</v>
      </c>
      <c r="C9" s="33" t="s">
        <v>207</v>
      </c>
      <c r="D9" s="33"/>
      <c r="E9" s="33"/>
      <c r="F9" s="33"/>
      <c r="G9" s="33" t="s">
        <v>208</v>
      </c>
      <c r="H9" s="33"/>
      <c r="I9" s="33"/>
      <c r="J9" s="33"/>
      <c r="L9" s="75" t="s">
        <v>209</v>
      </c>
      <c r="M9" s="75"/>
      <c r="N9" s="75"/>
      <c r="O9" s="75"/>
      <c r="P9" s="48"/>
      <c r="Q9" s="48"/>
      <c r="R9" s="48"/>
      <c r="S9" s="48"/>
    </row>
    <row r="10" ht="23.449999999999999" customHeight="1">
      <c r="B10" s="74" t="s">
        <v>210</v>
      </c>
      <c r="C10" s="33" t="s">
        <v>211</v>
      </c>
      <c r="D10" s="33"/>
      <c r="E10" s="33"/>
      <c r="F10" s="33"/>
      <c r="G10" s="33" t="s">
        <v>212</v>
      </c>
      <c r="H10" s="33"/>
      <c r="I10" s="33"/>
      <c r="J10" s="33"/>
      <c r="L10" s="3" t="s">
        <v>213</v>
      </c>
      <c r="M10" s="3"/>
      <c r="N10" s="3"/>
      <c r="O10" s="3"/>
      <c r="P10" s="48"/>
      <c r="Q10" s="48"/>
      <c r="R10" s="48"/>
      <c r="S10" s="48"/>
    </row>
    <row r="11" ht="34.350000000000001" customHeight="1">
      <c r="B11" s="74" t="s">
        <v>214</v>
      </c>
      <c r="C11" s="33" t="s">
        <v>215</v>
      </c>
      <c r="D11" s="33"/>
      <c r="E11" s="33"/>
      <c r="F11" s="33"/>
      <c r="G11" s="33"/>
      <c r="H11" s="33"/>
      <c r="I11" s="33"/>
      <c r="J11" s="33"/>
      <c r="L11" s="48"/>
      <c r="M11" s="48"/>
      <c r="N11" s="48"/>
      <c r="O11" s="48"/>
      <c r="P11" s="48"/>
      <c r="Q11" s="48"/>
      <c r="R11" s="48"/>
      <c r="S11" s="48"/>
    </row>
    <row r="12" ht="34.350000000000001" customHeight="1">
      <c r="B12" s="74" t="s">
        <v>216</v>
      </c>
      <c r="C12" s="33" t="s">
        <v>217</v>
      </c>
      <c r="D12" s="33"/>
      <c r="E12" s="33"/>
      <c r="F12" s="33"/>
      <c r="G12" s="33"/>
      <c r="H12" s="33"/>
      <c r="I12" s="33"/>
      <c r="J12" s="33"/>
      <c r="L12" s="72" t="s">
        <v>218</v>
      </c>
      <c r="M12" s="72"/>
      <c r="N12" s="72"/>
      <c r="O12" s="72"/>
      <c r="P12" s="48"/>
      <c r="Q12" s="48"/>
      <c r="R12" s="48"/>
      <c r="S12" s="48"/>
    </row>
    <row r="13" ht="24" customHeight="1">
      <c r="B13" s="43" t="s">
        <v>219</v>
      </c>
      <c r="C13" s="72" t="s">
        <v>220</v>
      </c>
      <c r="D13" s="72"/>
      <c r="E13" s="72"/>
      <c r="F13" s="72"/>
      <c r="G13" s="72" t="s">
        <v>221</v>
      </c>
      <c r="H13" s="72"/>
      <c r="I13" s="72"/>
      <c r="J13" s="72"/>
      <c r="L13" s="72" t="s">
        <v>222</v>
      </c>
      <c r="M13" s="72"/>
      <c r="N13" s="72"/>
      <c r="O13" s="72"/>
      <c r="P13" s="3" t="s">
        <v>223</v>
      </c>
      <c r="Q13" s="3"/>
      <c r="R13" s="3"/>
      <c r="S13" s="3"/>
    </row>
    <row r="14" ht="24" customHeight="1">
      <c r="B14" s="43"/>
      <c r="C14" s="72" t="s">
        <v>224</v>
      </c>
      <c r="D14" s="72"/>
      <c r="E14" s="72"/>
      <c r="F14" s="72"/>
      <c r="G14" s="72" t="s">
        <v>225</v>
      </c>
      <c r="H14" s="72"/>
      <c r="I14" s="72"/>
      <c r="J14" s="72"/>
      <c r="L14" s="72"/>
      <c r="M14" s="72"/>
      <c r="N14" s="72"/>
      <c r="O14" s="72"/>
      <c r="P14" s="72" t="s">
        <v>226</v>
      </c>
      <c r="Q14" s="72"/>
      <c r="R14" s="72"/>
      <c r="S14" s="72"/>
    </row>
    <row r="15" ht="12.949999999999999" customHeight="1">
      <c r="B15" s="74" t="s">
        <v>227</v>
      </c>
      <c r="C15" s="3" t="s">
        <v>228</v>
      </c>
      <c r="D15" s="3"/>
      <c r="E15" s="3"/>
      <c r="F15" s="3"/>
      <c r="G15" s="3"/>
      <c r="H15" s="3"/>
      <c r="I15" s="3"/>
      <c r="J15" s="3"/>
      <c r="L15" s="72" t="s">
        <v>229</v>
      </c>
      <c r="M15" s="72"/>
      <c r="N15" s="72"/>
      <c r="O15" s="72"/>
      <c r="P15" s="72" t="s">
        <v>230</v>
      </c>
      <c r="Q15" s="72"/>
      <c r="R15" s="72"/>
      <c r="S15" s="72"/>
    </row>
    <row r="16" ht="26.649999999999999" customHeight="1">
      <c r="B16" s="74" t="s">
        <v>231</v>
      </c>
      <c r="C16" s="72" t="s">
        <v>232</v>
      </c>
      <c r="D16" s="72"/>
      <c r="E16" s="72"/>
      <c r="F16" s="72"/>
      <c r="G16" s="72" t="s">
        <v>233</v>
      </c>
      <c r="H16" s="72"/>
      <c r="I16" s="72"/>
      <c r="J16" s="72"/>
      <c r="L16" s="72" t="s">
        <v>234</v>
      </c>
      <c r="M16" s="72"/>
      <c r="N16" s="72"/>
      <c r="O16" s="72"/>
      <c r="P16" s="72"/>
      <c r="Q16" s="72"/>
      <c r="R16" s="72"/>
      <c r="S16" s="72"/>
    </row>
    <row r="17" ht="23.449999999999999" customHeight="1">
      <c r="B17" s="74" t="s">
        <v>235</v>
      </c>
      <c r="C17" s="3" t="s">
        <v>228</v>
      </c>
      <c r="D17" s="3"/>
      <c r="E17" s="3"/>
      <c r="F17" s="3"/>
      <c r="G17" s="3" t="s">
        <v>236</v>
      </c>
      <c r="H17" s="3"/>
      <c r="I17" s="3"/>
      <c r="J17" s="3"/>
      <c r="L17" s="72"/>
      <c r="M17" s="72"/>
      <c r="N17" s="72"/>
      <c r="O17" s="72"/>
      <c r="P17" s="72" t="s">
        <v>237</v>
      </c>
      <c r="Q17" s="72"/>
      <c r="R17" s="72"/>
      <c r="S17" s="72"/>
    </row>
    <row r="18" ht="24" customHeight="1">
      <c r="B18" s="74" t="s">
        <v>238</v>
      </c>
      <c r="C18" s="3" t="s">
        <v>228</v>
      </c>
      <c r="D18" s="3"/>
      <c r="E18" s="3"/>
      <c r="F18" s="3"/>
      <c r="G18" s="3" t="s">
        <v>236</v>
      </c>
      <c r="H18" s="3"/>
      <c r="I18" s="3"/>
      <c r="J18" s="3"/>
      <c r="L18" s="72" t="s">
        <v>239</v>
      </c>
      <c r="M18" s="72"/>
      <c r="N18" s="72"/>
      <c r="O18" s="72"/>
      <c r="P18" s="72" t="s">
        <v>240</v>
      </c>
      <c r="Q18" s="72"/>
      <c r="R18" s="72"/>
      <c r="S18" s="72"/>
    </row>
    <row r="19" ht="12.949999999999999" customHeight="1">
      <c r="B19" s="74" t="s">
        <v>241</v>
      </c>
      <c r="C19" s="3" t="s">
        <v>228</v>
      </c>
      <c r="D19" s="3"/>
      <c r="E19" s="3"/>
      <c r="F19" s="3"/>
      <c r="G19" s="3" t="s">
        <v>236</v>
      </c>
      <c r="H19" s="3"/>
      <c r="I19" s="3"/>
      <c r="J19" s="3"/>
      <c r="L19" s="72" t="s">
        <v>239</v>
      </c>
      <c r="M19" s="72"/>
      <c r="N19" s="72"/>
      <c r="O19" s="72"/>
      <c r="P19" s="72" t="s">
        <v>242</v>
      </c>
      <c r="Q19" s="72"/>
      <c r="R19" s="72"/>
      <c r="S19" s="72"/>
    </row>
    <row r="20" ht="29.25" customHeight="1">
      <c r="B20" s="74" t="s">
        <v>243</v>
      </c>
      <c r="C20" s="72" t="s">
        <v>244</v>
      </c>
      <c r="D20" s="72"/>
      <c r="E20" s="72"/>
      <c r="F20" s="72"/>
      <c r="G20" s="3" t="s">
        <v>244</v>
      </c>
      <c r="H20" s="3"/>
      <c r="I20" s="3"/>
      <c r="J20" s="3"/>
      <c r="L20" s="72" t="s">
        <v>245</v>
      </c>
      <c r="M20" s="72"/>
      <c r="N20" s="72"/>
      <c r="O20" s="72"/>
      <c r="P20" s="72" t="s">
        <v>246</v>
      </c>
      <c r="Q20" s="72"/>
      <c r="R20" s="72"/>
      <c r="S20" s="72"/>
    </row>
    <row r="21" ht="24" customHeight="1">
      <c r="B21" s="74" t="s">
        <v>247</v>
      </c>
      <c r="C21" s="3" t="s">
        <v>248</v>
      </c>
      <c r="D21" s="3"/>
      <c r="E21" s="3"/>
      <c r="F21" s="3"/>
      <c r="G21" s="3" t="s">
        <v>244</v>
      </c>
      <c r="H21" s="3"/>
      <c r="I21" s="3"/>
      <c r="J21" s="3"/>
      <c r="L21" s="72" t="s">
        <v>249</v>
      </c>
      <c r="M21" s="72"/>
      <c r="N21" s="72"/>
      <c r="O21" s="72"/>
      <c r="P21" s="72" t="s">
        <v>244</v>
      </c>
      <c r="Q21" s="72"/>
      <c r="R21" s="72"/>
      <c r="S21" s="72"/>
    </row>
    <row r="22" ht="23.449999999999999" customHeight="1">
      <c r="B22" s="76" t="s">
        <v>250</v>
      </c>
      <c r="C22" s="33" t="s">
        <v>251</v>
      </c>
      <c r="D22" s="33"/>
      <c r="E22" s="33"/>
      <c r="F22" s="33"/>
      <c r="G22" s="43" t="s">
        <v>252</v>
      </c>
      <c r="H22" s="43"/>
      <c r="I22" s="43"/>
      <c r="J22" s="43"/>
    </row>
    <row r="25">
      <c r="B25" s="71" t="s">
        <v>253</v>
      </c>
      <c r="C25" s="71"/>
      <c r="D25" s="71"/>
      <c r="E25" s="71"/>
    </row>
    <row r="27">
      <c r="B27" s="2" t="s">
        <v>254</v>
      </c>
    </row>
    <row r="28">
      <c r="C28" s="43" t="s">
        <v>255</v>
      </c>
      <c r="D28" s="43"/>
      <c r="E28" s="43"/>
      <c r="F28" s="43"/>
      <c r="G28" s="43"/>
      <c r="J28" s="43" t="s">
        <v>256</v>
      </c>
      <c r="K28" s="43"/>
      <c r="L28" s="43"/>
      <c r="M28" s="43"/>
      <c r="N28" s="43"/>
    </row>
    <row r="29">
      <c r="C29">
        <v>2020</v>
      </c>
      <c r="D29">
        <v>2025</v>
      </c>
      <c r="E29">
        <v>2030</v>
      </c>
      <c r="F29">
        <v>2040</v>
      </c>
      <c r="G29">
        <v>2050</v>
      </c>
      <c r="J29">
        <v>2015</v>
      </c>
      <c r="K29">
        <v>2020</v>
      </c>
      <c r="L29">
        <v>2025</v>
      </c>
      <c r="M29">
        <v>2030</v>
      </c>
      <c r="N29">
        <v>2050</v>
      </c>
    </row>
    <row r="30" ht="26.25">
      <c r="B30" s="73" t="s">
        <v>257</v>
      </c>
      <c r="C30" s="77">
        <v>1</v>
      </c>
      <c r="D30" s="77">
        <v>0.95284948723465301</v>
      </c>
      <c r="E30" s="77">
        <v>0.90569897446930503</v>
      </c>
      <c r="F30" s="77">
        <v>0.86821723041283105</v>
      </c>
      <c r="G30" s="77">
        <v>0.85527761372129096</v>
      </c>
      <c r="J30" s="77">
        <v>1</v>
      </c>
      <c r="K30" s="77">
        <v>0.99466666666666703</v>
      </c>
      <c r="L30" s="77">
        <v>0.98933333333333295</v>
      </c>
      <c r="M30" s="77">
        <v>0.98399999999999999</v>
      </c>
      <c r="N30" s="77">
        <v>0.94699999999999995</v>
      </c>
    </row>
    <row r="31" ht="26.25">
      <c r="B31" s="73" t="s">
        <v>258</v>
      </c>
      <c r="C31" s="77">
        <v>1</v>
      </c>
      <c r="D31" s="77">
        <v>1.0833797193571599</v>
      </c>
      <c r="E31" s="77">
        <v>1.1667594387143301</v>
      </c>
      <c r="F31" s="77">
        <v>1.23790389075473</v>
      </c>
      <c r="G31" s="77">
        <v>1.2390882867861499</v>
      </c>
      <c r="J31">
        <v>1</v>
      </c>
      <c r="K31">
        <v>1.04</v>
      </c>
      <c r="L31">
        <v>1.0800000000000001</v>
      </c>
      <c r="M31">
        <v>1.1200000000000001</v>
      </c>
      <c r="N31">
        <v>1.27</v>
      </c>
    </row>
    <row r="32">
      <c r="C32" s="23" t="s">
        <v>259</v>
      </c>
    </row>
    <row r="34">
      <c r="B34" s="2" t="s">
        <v>260</v>
      </c>
      <c r="D34">
        <v>2020</v>
      </c>
      <c r="E34">
        <v>2030</v>
      </c>
      <c r="F34">
        <v>2040</v>
      </c>
      <c r="G34">
        <v>2050</v>
      </c>
    </row>
    <row r="35">
      <c r="B35" t="s">
        <v>261</v>
      </c>
      <c r="C35" s="78" t="s">
        <v>262</v>
      </c>
      <c r="H35" t="s">
        <v>263</v>
      </c>
    </row>
    <row r="36">
      <c r="B36" t="s">
        <v>264</v>
      </c>
      <c r="C36" s="78" t="s">
        <v>262</v>
      </c>
      <c r="H36" t="s">
        <v>265</v>
      </c>
    </row>
    <row r="37" ht="26.25">
      <c r="B37" s="73" t="s">
        <v>266</v>
      </c>
      <c r="D37">
        <v>1</v>
      </c>
      <c r="E37">
        <v>0.93000000000000005</v>
      </c>
      <c r="F37">
        <v>0.91500000000000004</v>
      </c>
      <c r="G37">
        <v>0.90000000000000002</v>
      </c>
      <c r="H37" t="s">
        <v>267</v>
      </c>
    </row>
    <row r="39">
      <c r="B39" t="s">
        <v>268</v>
      </c>
      <c r="C39" s="78" t="s">
        <v>269</v>
      </c>
      <c r="D39" s="23"/>
    </row>
    <row r="41">
      <c r="B41" s="2" t="s">
        <v>270</v>
      </c>
    </row>
    <row r="43" ht="64.5">
      <c r="B43" s="73" t="s">
        <v>271</v>
      </c>
      <c r="C43" s="78"/>
    </row>
    <row r="45">
      <c r="B45" s="2" t="s">
        <v>219</v>
      </c>
    </row>
    <row r="46">
      <c r="C46">
        <v>2019</v>
      </c>
      <c r="D46">
        <v>2020</v>
      </c>
      <c r="E46">
        <v>2021</v>
      </c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>
        <v>2031</v>
      </c>
      <c r="P46">
        <v>2032</v>
      </c>
      <c r="Q46">
        <v>2033</v>
      </c>
      <c r="R46">
        <v>2034</v>
      </c>
      <c r="S46">
        <v>2035</v>
      </c>
      <c r="T46">
        <v>2036</v>
      </c>
      <c r="U46">
        <v>2037</v>
      </c>
      <c r="V46">
        <v>2038</v>
      </c>
      <c r="W46">
        <v>2039</v>
      </c>
      <c r="X46">
        <v>2040</v>
      </c>
      <c r="Y46">
        <v>2041</v>
      </c>
      <c r="Z46">
        <v>2042</v>
      </c>
      <c r="AA46">
        <v>2043</v>
      </c>
      <c r="AB46">
        <v>2044</v>
      </c>
      <c r="AC46">
        <v>2045</v>
      </c>
      <c r="AD46">
        <v>2046</v>
      </c>
      <c r="AE46">
        <v>2047</v>
      </c>
      <c r="AF46">
        <v>2048</v>
      </c>
      <c r="AG46">
        <v>2049</v>
      </c>
      <c r="AH46">
        <v>2050</v>
      </c>
    </row>
    <row r="47">
      <c r="A47" t="s">
        <v>30</v>
      </c>
      <c r="B47" t="s">
        <v>272</v>
      </c>
      <c r="C47" s="79">
        <v>105.150841385559</v>
      </c>
      <c r="D47" s="79">
        <v>109.484845166928</v>
      </c>
      <c r="E47" s="79">
        <v>109.484845166928</v>
      </c>
      <c r="F47" s="79">
        <v>116.494901259299</v>
      </c>
      <c r="G47" s="79">
        <v>144.535125628781</v>
      </c>
      <c r="H47" s="79">
        <v>197.110546321561</v>
      </c>
      <c r="I47" s="79">
        <v>232.160826783414</v>
      </c>
      <c r="J47" s="79">
        <v>232.160826783414</v>
      </c>
      <c r="K47" s="79">
        <v>232.160826783414</v>
      </c>
      <c r="L47" s="79">
        <v>232.160826783414</v>
      </c>
      <c r="M47" s="79">
        <v>232.160826783414</v>
      </c>
      <c r="N47" s="79">
        <v>222.64214071431999</v>
      </c>
      <c r="O47" s="79">
        <v>222.64214071431999</v>
      </c>
      <c r="P47" s="79">
        <v>222.64214071431999</v>
      </c>
      <c r="Q47" s="79">
        <v>222.64214071431999</v>
      </c>
      <c r="R47" s="79">
        <v>222.64214071431999</v>
      </c>
      <c r="S47" s="79">
        <v>222.64214071431999</v>
      </c>
      <c r="T47" s="79">
        <v>222.64214071431999</v>
      </c>
      <c r="U47" s="79">
        <v>222.64214071431999</v>
      </c>
      <c r="V47" s="79">
        <v>222.64214071431999</v>
      </c>
      <c r="W47" s="79">
        <v>222.64214071431999</v>
      </c>
      <c r="X47" s="79">
        <v>227.217910586882</v>
      </c>
      <c r="Y47" s="79">
        <v>227.217910586882</v>
      </c>
      <c r="Z47" s="79">
        <v>227.217910586882</v>
      </c>
      <c r="AA47" s="79">
        <v>227.217910586882</v>
      </c>
      <c r="AB47" s="79">
        <v>227.217910586882</v>
      </c>
      <c r="AC47" s="79">
        <v>227.217910586882</v>
      </c>
      <c r="AD47" s="79">
        <v>227.217910586882</v>
      </c>
      <c r="AE47" s="79">
        <v>227.217910586882</v>
      </c>
      <c r="AF47" s="79">
        <v>227.217910586882</v>
      </c>
      <c r="AG47" s="79">
        <v>227.217910586882</v>
      </c>
      <c r="AH47" s="79">
        <v>227.217910586882</v>
      </c>
    </row>
    <row r="48">
      <c r="A48" t="s">
        <v>1</v>
      </c>
      <c r="B48" t="s">
        <v>272</v>
      </c>
      <c r="C48" s="79">
        <v>105.150841385559</v>
      </c>
      <c r="D48" s="79">
        <v>109.484845166928</v>
      </c>
      <c r="E48" s="79">
        <v>109.484845166928</v>
      </c>
      <c r="F48" s="79">
        <v>116.494901259299</v>
      </c>
      <c r="G48">
        <v>0</v>
      </c>
      <c r="H48">
        <f t="shared" ref="H48:AH48" si="27">G48</f>
        <v>0</v>
      </c>
      <c r="I48">
        <f t="shared" si="27"/>
        <v>0</v>
      </c>
      <c r="J48">
        <f t="shared" si="27"/>
        <v>0</v>
      </c>
      <c r="K48">
        <f t="shared" si="27"/>
        <v>0</v>
      </c>
      <c r="L48">
        <f t="shared" si="27"/>
        <v>0</v>
      </c>
      <c r="M48">
        <f t="shared" si="27"/>
        <v>0</v>
      </c>
      <c r="N48">
        <f t="shared" si="27"/>
        <v>0</v>
      </c>
      <c r="O48">
        <f t="shared" si="27"/>
        <v>0</v>
      </c>
      <c r="P48">
        <f t="shared" si="27"/>
        <v>0</v>
      </c>
      <c r="Q48">
        <f t="shared" si="27"/>
        <v>0</v>
      </c>
      <c r="R48">
        <f t="shared" si="27"/>
        <v>0</v>
      </c>
      <c r="S48">
        <f t="shared" si="27"/>
        <v>0</v>
      </c>
      <c r="T48">
        <f t="shared" si="27"/>
        <v>0</v>
      </c>
      <c r="U48">
        <f t="shared" si="27"/>
        <v>0</v>
      </c>
      <c r="V48">
        <f t="shared" si="27"/>
        <v>0</v>
      </c>
      <c r="W48">
        <f t="shared" si="27"/>
        <v>0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>
        <f t="shared" si="27"/>
        <v>0</v>
      </c>
      <c r="AE48">
        <f t="shared" si="27"/>
        <v>0</v>
      </c>
      <c r="AF48">
        <f t="shared" si="27"/>
        <v>0</v>
      </c>
      <c r="AG48">
        <f t="shared" si="27"/>
        <v>0</v>
      </c>
      <c r="AH48">
        <f t="shared" si="27"/>
        <v>0</v>
      </c>
    </row>
  </sheetData>
  <mergeCells count="72">
    <mergeCell ref="B25:E25"/>
    <mergeCell ref="C28:G28"/>
    <mergeCell ref="J28:N28"/>
    <mergeCell ref="C21:F21"/>
    <mergeCell ref="G21:J21"/>
    <mergeCell ref="L21:O21"/>
    <mergeCell ref="P21:S21"/>
    <mergeCell ref="C22:F22"/>
    <mergeCell ref="G22:J22"/>
    <mergeCell ref="C19:F19"/>
    <mergeCell ref="G19:J19"/>
    <mergeCell ref="L19:O19"/>
    <mergeCell ref="P19:S19"/>
    <mergeCell ref="C20:F20"/>
    <mergeCell ref="G20:J20"/>
    <mergeCell ref="L20:O20"/>
    <mergeCell ref="P20:S20"/>
    <mergeCell ref="C17:F17"/>
    <mergeCell ref="G17:J17"/>
    <mergeCell ref="L17:O17"/>
    <mergeCell ref="P17:S17"/>
    <mergeCell ref="C18:F18"/>
    <mergeCell ref="G18:J18"/>
    <mergeCell ref="L18:O18"/>
    <mergeCell ref="P18:S18"/>
    <mergeCell ref="C15:F15"/>
    <mergeCell ref="G15:J15"/>
    <mergeCell ref="L15:O15"/>
    <mergeCell ref="P15:S15"/>
    <mergeCell ref="C16:F16"/>
    <mergeCell ref="G16:J16"/>
    <mergeCell ref="L16:O16"/>
    <mergeCell ref="P16:S16"/>
    <mergeCell ref="B13:B14"/>
    <mergeCell ref="C13:F13"/>
    <mergeCell ref="G13:J13"/>
    <mergeCell ref="L13:O13"/>
    <mergeCell ref="P13:S13"/>
    <mergeCell ref="C14:F14"/>
    <mergeCell ref="G14:J14"/>
    <mergeCell ref="L14:O14"/>
    <mergeCell ref="P14:S14"/>
    <mergeCell ref="C11:F11"/>
    <mergeCell ref="G11:J11"/>
    <mergeCell ref="L11:O11"/>
    <mergeCell ref="P11:S11"/>
    <mergeCell ref="C12:F12"/>
    <mergeCell ref="G12:J12"/>
    <mergeCell ref="L12:O12"/>
    <mergeCell ref="P12:S12"/>
    <mergeCell ref="C9:F9"/>
    <mergeCell ref="G9:J9"/>
    <mergeCell ref="L9:O9"/>
    <mergeCell ref="P9:S9"/>
    <mergeCell ref="C10:F10"/>
    <mergeCell ref="G10:J10"/>
    <mergeCell ref="L10:O10"/>
    <mergeCell ref="P10:S10"/>
    <mergeCell ref="B7:B8"/>
    <mergeCell ref="C7:F7"/>
    <mergeCell ref="G7:J7"/>
    <mergeCell ref="L7:O7"/>
    <mergeCell ref="P7:S7"/>
    <mergeCell ref="C8:F8"/>
    <mergeCell ref="G8:J8"/>
    <mergeCell ref="L8:O8"/>
    <mergeCell ref="P8:S8"/>
    <mergeCell ref="B3:E3"/>
    <mergeCell ref="C6:F6"/>
    <mergeCell ref="G6:J6"/>
    <mergeCell ref="L6:O6"/>
    <mergeCell ref="P6:S6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&amp;C&amp;"Arial,Normal"&amp;10&amp;A</oddHeader>
    <oddFooter>&amp;C&amp;"Arial,Normal"&amp;10Page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77" workbookViewId="0">
      <selection activeCell="I26" activeCellId="0" sqref="I26"/>
    </sheetView>
  </sheetViews>
  <sheetFormatPr baseColWidth="10" defaultColWidth="9.140625" defaultRowHeight="15"/>
  <cols>
    <col customWidth="1" min="1" max="1" width="8.42578125"/>
    <col customWidth="1" min="2" max="2" width="24.5703125"/>
    <col customWidth="1" min="3" max="1025" width="8.42578125"/>
  </cols>
  <sheetData>
    <row r="1">
      <c r="A1" s="78"/>
    </row>
    <row r="2">
      <c r="H2" s="80" t="s">
        <v>273</v>
      </c>
      <c r="I2" s="80"/>
      <c r="J2" s="80"/>
      <c r="K2" s="80"/>
    </row>
    <row r="3">
      <c r="B3" s="71" t="s">
        <v>274</v>
      </c>
      <c r="C3" s="71"/>
      <c r="D3" s="71"/>
      <c r="E3" s="71"/>
      <c r="F3" s="71"/>
    </row>
    <row r="5">
      <c r="C5" s="3" t="s">
        <v>275</v>
      </c>
      <c r="D5" s="3"/>
      <c r="E5" s="3"/>
      <c r="F5" s="3"/>
      <c r="H5" s="3" t="s">
        <v>141</v>
      </c>
      <c r="I5" s="3"/>
    </row>
    <row r="6">
      <c r="A6" t="s">
        <v>53</v>
      </c>
      <c r="C6" s="66">
        <v>2016</v>
      </c>
      <c r="D6" s="66">
        <v>2017</v>
      </c>
      <c r="E6" s="66">
        <v>2018</v>
      </c>
      <c r="F6" s="66">
        <v>2019</v>
      </c>
      <c r="H6" s="81">
        <v>2015</v>
      </c>
      <c r="I6" s="81">
        <v>2020</v>
      </c>
    </row>
    <row r="7">
      <c r="B7" s="66" t="s">
        <v>276</v>
      </c>
      <c r="C7" s="82">
        <v>745</v>
      </c>
      <c r="D7" s="82">
        <v>741</v>
      </c>
      <c r="E7" s="82">
        <v>735</v>
      </c>
      <c r="F7" s="66">
        <v>732</v>
      </c>
      <c r="H7" s="81">
        <v>788.12375099105498</v>
      </c>
      <c r="I7" s="81">
        <v>704.90527042790598</v>
      </c>
      <c r="K7" s="55"/>
    </row>
    <row r="8">
      <c r="B8" s="66" t="s">
        <v>277</v>
      </c>
      <c r="C8" s="82">
        <v>361</v>
      </c>
      <c r="D8" s="82">
        <v>360</v>
      </c>
      <c r="E8" s="82">
        <v>359</v>
      </c>
      <c r="F8" s="66">
        <v>357</v>
      </c>
      <c r="H8" s="81">
        <v>217.20341369217201</v>
      </c>
      <c r="I8" s="81">
        <v>207.286298318484</v>
      </c>
      <c r="K8" s="55"/>
    </row>
    <row r="9">
      <c r="B9" s="66" t="s">
        <v>278</v>
      </c>
      <c r="C9" s="82">
        <v>1114</v>
      </c>
      <c r="D9" s="82">
        <v>1105</v>
      </c>
      <c r="E9" s="82">
        <v>1098</v>
      </c>
      <c r="F9" s="66">
        <v>1090</v>
      </c>
      <c r="H9" s="81">
        <v>903.04294443720596</v>
      </c>
      <c r="I9" s="81">
        <v>852.31746001289196</v>
      </c>
      <c r="K9" s="55"/>
    </row>
    <row r="10">
      <c r="B10" s="66" t="s">
        <v>279</v>
      </c>
      <c r="C10" s="82">
        <v>26.600000000000001</v>
      </c>
      <c r="D10" s="82">
        <v>26.5</v>
      </c>
      <c r="E10" s="82">
        <v>30.300000000000001</v>
      </c>
      <c r="F10" s="66">
        <v>37.600000000000001</v>
      </c>
      <c r="H10" s="81"/>
      <c r="I10" s="83">
        <v>532.00595604499495</v>
      </c>
    </row>
    <row r="11">
      <c r="U11" s="23" t="s">
        <v>36</v>
      </c>
      <c r="V11" s="23"/>
      <c r="W11" s="23" t="s">
        <v>37</v>
      </c>
      <c r="X11" s="23"/>
      <c r="Y11" s="23" t="s">
        <v>38</v>
      </c>
      <c r="Z11" s="23"/>
      <c r="AA11" s="23" t="s">
        <v>39</v>
      </c>
      <c r="AB11" s="23"/>
      <c r="AC11" t="s">
        <v>162</v>
      </c>
    </row>
    <row r="12">
      <c r="A12" t="s">
        <v>1</v>
      </c>
      <c r="C12" s="66">
        <v>2020</v>
      </c>
      <c r="D12" s="66">
        <f t="shared" ref="D12:I12" si="28">C12+5</f>
        <v>2025</v>
      </c>
      <c r="E12" s="66">
        <f t="shared" si="28"/>
        <v>2030</v>
      </c>
      <c r="F12" s="66">
        <f t="shared" si="28"/>
        <v>2035</v>
      </c>
      <c r="G12" s="66">
        <f t="shared" si="28"/>
        <v>2040</v>
      </c>
      <c r="H12" s="66">
        <f t="shared" si="28"/>
        <v>2045</v>
      </c>
      <c r="I12" s="66">
        <f t="shared" si="28"/>
        <v>2050</v>
      </c>
      <c r="L12" t="s">
        <v>2</v>
      </c>
      <c r="M12" t="s">
        <v>280</v>
      </c>
      <c r="P12">
        <v>2030</v>
      </c>
      <c r="Q12">
        <v>2050</v>
      </c>
      <c r="S12" t="s">
        <v>141</v>
      </c>
      <c r="T12" t="s">
        <v>281</v>
      </c>
      <c r="U12">
        <v>2030</v>
      </c>
      <c r="V12">
        <v>2050</v>
      </c>
      <c r="W12">
        <v>2030</v>
      </c>
      <c r="X12">
        <v>2050</v>
      </c>
      <c r="Y12">
        <v>2030</v>
      </c>
      <c r="Z12">
        <v>2050</v>
      </c>
      <c r="AA12">
        <v>2030</v>
      </c>
      <c r="AB12">
        <v>2050</v>
      </c>
      <c r="AC12">
        <v>2030</v>
      </c>
      <c r="AD12">
        <v>2050</v>
      </c>
    </row>
    <row r="13">
      <c r="B13" s="66" t="s">
        <v>276</v>
      </c>
      <c r="C13" s="66">
        <f t="shared" ref="C13:C15" si="29">F7</f>
        <v>732</v>
      </c>
      <c r="D13" s="81">
        <f t="shared" ref="D13:D15" si="30">(C13+E13)/2</f>
        <v>728.5</v>
      </c>
      <c r="E13" s="81">
        <v>725</v>
      </c>
      <c r="F13" s="81">
        <f t="shared" ref="F13:F15" si="31">(E13+G13)/2</f>
        <v>718.75</v>
      </c>
      <c r="G13" s="81">
        <f t="shared" ref="G13:G15" si="32">(E13+I13)/2</f>
        <v>712.5</v>
      </c>
      <c r="H13" s="81">
        <f t="shared" ref="H13:H15" si="33">(G13+I13)/2</f>
        <v>706.25</v>
      </c>
      <c r="I13" s="81">
        <v>700</v>
      </c>
      <c r="J13" t="s">
        <v>282</v>
      </c>
      <c r="M13" t="s">
        <v>283</v>
      </c>
      <c r="P13" s="22">
        <v>0</v>
      </c>
      <c r="Q13" s="22">
        <v>-0.050000000000000003</v>
      </c>
      <c r="T13" t="s">
        <v>283</v>
      </c>
      <c r="U13" s="77">
        <f>515/705</f>
        <v>0.73049645390070927</v>
      </c>
      <c r="V13" s="77">
        <f>464/705</f>
        <v>0.65815602836879428</v>
      </c>
      <c r="W13" s="77">
        <f>584/705</f>
        <v>0.82836879432624111</v>
      </c>
      <c r="X13" s="77">
        <f>500/705</f>
        <v>0.70921985815602839</v>
      </c>
      <c r="Y13" s="77">
        <f>616/705</f>
        <v>0.87375886524822699</v>
      </c>
      <c r="Z13" s="77">
        <f>534/705</f>
        <v>0.75744680851063828</v>
      </c>
      <c r="AA13" s="77">
        <f>564/698</f>
        <v>0.8080229226361032</v>
      </c>
      <c r="AB13" s="77">
        <f>418/698</f>
        <v>0.59885386819484243</v>
      </c>
      <c r="AC13" s="77">
        <f>424/468</f>
        <v>0.90598290598290598</v>
      </c>
      <c r="AD13" s="77">
        <f>347/468</f>
        <v>0.74145299145299148</v>
      </c>
    </row>
    <row r="14">
      <c r="B14" s="66" t="s">
        <v>277</v>
      </c>
      <c r="C14" s="66">
        <f t="shared" si="29"/>
        <v>357</v>
      </c>
      <c r="D14" s="81">
        <f t="shared" si="30"/>
        <v>338.5</v>
      </c>
      <c r="E14" s="81">
        <v>320</v>
      </c>
      <c r="F14" s="81">
        <f t="shared" si="31"/>
        <v>310</v>
      </c>
      <c r="G14" s="81">
        <f t="shared" si="32"/>
        <v>300</v>
      </c>
      <c r="H14" s="81">
        <f t="shared" si="33"/>
        <v>290</v>
      </c>
      <c r="I14" s="81">
        <v>280</v>
      </c>
      <c r="J14" t="s">
        <v>284</v>
      </c>
      <c r="M14" t="s">
        <v>285</v>
      </c>
      <c r="P14" s="22">
        <v>-0.050000000000000003</v>
      </c>
      <c r="Q14" s="22">
        <v>-0.10000000000000001</v>
      </c>
      <c r="T14" t="s">
        <v>285</v>
      </c>
      <c r="U14" s="77"/>
      <c r="V14" s="77">
        <f>126/217</f>
        <v>0.58064516129032262</v>
      </c>
      <c r="W14" s="77"/>
      <c r="X14" s="77">
        <f>148/217</f>
        <v>0.6820276497695853</v>
      </c>
      <c r="Y14" s="77"/>
      <c r="Z14" s="77">
        <f>170/217</f>
        <v>0.78341013824884798</v>
      </c>
      <c r="AA14" s="77"/>
      <c r="AB14" s="77">
        <f>162/217</f>
        <v>0.74654377880184331</v>
      </c>
      <c r="AC14" s="77"/>
      <c r="AD14" s="77">
        <f>127/195</f>
        <v>0.6512820512820513</v>
      </c>
    </row>
    <row r="15">
      <c r="B15" s="66" t="s">
        <v>278</v>
      </c>
      <c r="C15" s="66">
        <f t="shared" si="29"/>
        <v>1090</v>
      </c>
      <c r="D15" s="81">
        <f t="shared" si="30"/>
        <v>1095</v>
      </c>
      <c r="E15" s="81">
        <v>1100</v>
      </c>
      <c r="F15" s="81">
        <f t="shared" si="31"/>
        <v>1112.5</v>
      </c>
      <c r="G15" s="81">
        <f t="shared" si="32"/>
        <v>1125</v>
      </c>
      <c r="H15" s="81">
        <f t="shared" si="33"/>
        <v>1137.5</v>
      </c>
      <c r="I15" s="81">
        <v>1150</v>
      </c>
      <c r="J15" t="s">
        <v>286</v>
      </c>
      <c r="M15" t="s">
        <v>287</v>
      </c>
      <c r="P15" s="22">
        <v>0</v>
      </c>
      <c r="Q15" s="22">
        <v>0.050000000000000003</v>
      </c>
      <c r="T15" t="s">
        <v>287</v>
      </c>
      <c r="V15" s="77">
        <f>380/903</f>
        <v>0.42081949058693247</v>
      </c>
      <c r="W15" s="77"/>
      <c r="X15" s="77">
        <f>538/903</f>
        <v>0.59579180509413066</v>
      </c>
      <c r="Y15" s="77"/>
      <c r="Z15" s="77">
        <f>703/903</f>
        <v>0.77851605758582498</v>
      </c>
      <c r="AA15" s="77"/>
      <c r="AB15" s="77">
        <f>1012/903</f>
        <v>1.1207087486157254</v>
      </c>
      <c r="AC15" s="77"/>
      <c r="AD15" s="77">
        <f>522/1053</f>
        <v>0.49572649572649574</v>
      </c>
    </row>
    <row r="16">
      <c r="B16" s="66" t="s">
        <v>279</v>
      </c>
      <c r="C16" s="66">
        <f>F10</f>
        <v>37.600000000000001</v>
      </c>
      <c r="D16" s="66"/>
      <c r="E16" s="66"/>
      <c r="F16" s="66"/>
      <c r="G16" s="66"/>
      <c r="H16" s="66"/>
      <c r="I16" s="66"/>
    </row>
    <row r="19">
      <c r="A19" t="s">
        <v>30</v>
      </c>
      <c r="C19" s="66">
        <v>2020</v>
      </c>
      <c r="D19" s="66">
        <f t="shared" ref="D19:I19" si="34">C19+5</f>
        <v>2025</v>
      </c>
      <c r="E19" s="66">
        <f t="shared" si="34"/>
        <v>2030</v>
      </c>
      <c r="F19" s="66">
        <f t="shared" si="34"/>
        <v>2035</v>
      </c>
      <c r="G19" s="66">
        <f t="shared" si="34"/>
        <v>2040</v>
      </c>
      <c r="H19" s="66">
        <f t="shared" si="34"/>
        <v>2045</v>
      </c>
      <c r="I19" s="66">
        <f t="shared" si="34"/>
        <v>2050</v>
      </c>
      <c r="L19" t="s">
        <v>31</v>
      </c>
      <c r="N19">
        <v>2020</v>
      </c>
      <c r="O19">
        <f t="shared" ref="O19:T19" si="35">N19+5</f>
        <v>2025</v>
      </c>
      <c r="P19">
        <f t="shared" si="35"/>
        <v>2030</v>
      </c>
      <c r="Q19">
        <f t="shared" si="35"/>
        <v>2035</v>
      </c>
      <c r="R19">
        <f t="shared" si="35"/>
        <v>2040</v>
      </c>
      <c r="S19">
        <f t="shared" si="35"/>
        <v>2045</v>
      </c>
      <c r="T19">
        <f t="shared" si="35"/>
        <v>2050</v>
      </c>
    </row>
    <row r="20">
      <c r="B20" s="66" t="s">
        <v>276</v>
      </c>
      <c r="C20" s="81">
        <f t="shared" ref="C20:C22" si="36">F7</f>
        <v>732</v>
      </c>
      <c r="D20" s="81">
        <f t="shared" ref="D20:D22" si="37">(C20+E20)/2</f>
        <v>716</v>
      </c>
      <c r="E20" s="81">
        <v>700</v>
      </c>
      <c r="F20" s="81">
        <f t="shared" ref="F20:F22" si="38">(E20+G20)/2</f>
        <v>653.10000000000002</v>
      </c>
      <c r="G20" s="81">
        <f t="shared" ref="G20:G22" si="39">(E20+I20)/2</f>
        <v>606.20000000000005</v>
      </c>
      <c r="H20" s="81">
        <f t="shared" ref="H20:H22" si="40">(G20+I20)/2</f>
        <v>559.29999999999995</v>
      </c>
      <c r="I20" s="81">
        <f t="shared" ref="I20:I21" si="41">C20*0.7</f>
        <v>512.39999999999998</v>
      </c>
      <c r="J20" t="s">
        <v>288</v>
      </c>
      <c r="M20" t="s">
        <v>276</v>
      </c>
      <c r="P20">
        <v>750</v>
      </c>
      <c r="T20">
        <v>656</v>
      </c>
    </row>
    <row r="21">
      <c r="B21" s="66" t="s">
        <v>277</v>
      </c>
      <c r="C21" s="81">
        <f t="shared" si="36"/>
        <v>357</v>
      </c>
      <c r="D21" s="81">
        <f t="shared" si="37"/>
        <v>338.5</v>
      </c>
      <c r="E21" s="81">
        <v>320</v>
      </c>
      <c r="F21" s="81">
        <f t="shared" si="38"/>
        <v>302.47500000000002</v>
      </c>
      <c r="G21" s="81">
        <f t="shared" si="39"/>
        <v>284.94999999999999</v>
      </c>
      <c r="H21" s="81">
        <f t="shared" si="40"/>
        <v>267.42499999999995</v>
      </c>
      <c r="I21" s="81">
        <f t="shared" si="41"/>
        <v>249.89999999999998</v>
      </c>
      <c r="J21" t="s">
        <v>289</v>
      </c>
      <c r="M21" t="s">
        <v>277</v>
      </c>
      <c r="P21">
        <v>486.60000000000002</v>
      </c>
      <c r="T21">
        <v>486.60000000000002</v>
      </c>
    </row>
    <row r="22">
      <c r="B22" s="66" t="s">
        <v>278</v>
      </c>
      <c r="C22" s="81">
        <f t="shared" si="36"/>
        <v>1090</v>
      </c>
      <c r="D22" s="81">
        <f t="shared" si="37"/>
        <v>1025</v>
      </c>
      <c r="E22" s="81">
        <v>960</v>
      </c>
      <c r="F22" s="81">
        <f t="shared" si="38"/>
        <v>883.5</v>
      </c>
      <c r="G22" s="81">
        <f t="shared" si="39"/>
        <v>807</v>
      </c>
      <c r="H22" s="81">
        <f t="shared" si="40"/>
        <v>730.5</v>
      </c>
      <c r="I22" s="81">
        <f>C22*0.6</f>
        <v>654</v>
      </c>
      <c r="J22" t="s">
        <v>290</v>
      </c>
      <c r="M22" t="s">
        <v>291</v>
      </c>
      <c r="P22">
        <v>121</v>
      </c>
      <c r="T22">
        <v>83</v>
      </c>
    </row>
    <row r="23">
      <c r="B23" s="66" t="s">
        <v>279</v>
      </c>
      <c r="C23" s="66">
        <f>F10</f>
        <v>37.600000000000001</v>
      </c>
      <c r="D23" s="66"/>
      <c r="E23" s="66"/>
      <c r="F23" s="66"/>
      <c r="G23" s="66"/>
      <c r="H23" s="66"/>
      <c r="I23" s="66"/>
      <c r="M23" t="s">
        <v>278</v>
      </c>
      <c r="P23">
        <v>1691</v>
      </c>
      <c r="T23">
        <v>1433</v>
      </c>
    </row>
    <row r="24">
      <c r="M24" t="s">
        <v>279</v>
      </c>
      <c r="P24">
        <v>565</v>
      </c>
      <c r="T24">
        <v>553</v>
      </c>
    </row>
    <row r="28">
      <c r="B28" s="71" t="s">
        <v>292</v>
      </c>
      <c r="C28" s="71"/>
      <c r="D28" s="71"/>
      <c r="E28" s="71"/>
      <c r="F28" s="71"/>
      <c r="H28" s="78" t="s">
        <v>293</v>
      </c>
    </row>
    <row r="29">
      <c r="H29" s="78" t="s">
        <v>294</v>
      </c>
    </row>
    <row r="30">
      <c r="B30" s="2" t="s">
        <v>53</v>
      </c>
      <c r="C30" t="s">
        <v>295</v>
      </c>
    </row>
    <row r="31" ht="51">
      <c r="B31" s="4">
        <v>2015</v>
      </c>
      <c r="C31" s="84" t="s">
        <v>67</v>
      </c>
      <c r="D31" s="85" t="s">
        <v>66</v>
      </c>
      <c r="E31" s="85" t="s">
        <v>65</v>
      </c>
      <c r="F31" s="85" t="s">
        <v>69</v>
      </c>
      <c r="G31" s="85" t="s">
        <v>296</v>
      </c>
      <c r="H31" s="85" t="s">
        <v>71</v>
      </c>
      <c r="I31" s="85" t="s">
        <v>297</v>
      </c>
      <c r="P31" s="13" t="s">
        <v>298</v>
      </c>
      <c r="Q31" s="13" t="s">
        <v>299</v>
      </c>
      <c r="R31" s="13" t="s">
        <v>300</v>
      </c>
      <c r="S31" s="13" t="s">
        <v>128</v>
      </c>
      <c r="T31" s="13" t="s">
        <v>301</v>
      </c>
      <c r="U31" s="13" t="s">
        <v>84</v>
      </c>
      <c r="V31" s="13" t="s">
        <v>302</v>
      </c>
      <c r="W31" s="13" t="s">
        <v>303</v>
      </c>
      <c r="X31" s="13" t="s">
        <v>304</v>
      </c>
      <c r="Y31" s="13" t="s">
        <v>305</v>
      </c>
    </row>
    <row r="32">
      <c r="B32" s="4" t="s">
        <v>306</v>
      </c>
      <c r="C32" s="86">
        <v>0.46150000000000002</v>
      </c>
      <c r="D32" s="87">
        <v>0.075200000000000003</v>
      </c>
      <c r="E32" s="87">
        <v>0.0167</v>
      </c>
      <c r="F32" s="87">
        <v>0.1133</v>
      </c>
      <c r="G32" s="87">
        <v>0.31640000000000001</v>
      </c>
      <c r="H32" s="87">
        <v>0.0143</v>
      </c>
      <c r="I32" s="87">
        <v>0.0025999999999999999</v>
      </c>
      <c r="J32" s="22"/>
      <c r="O32" s="74" t="s">
        <v>283</v>
      </c>
      <c r="P32" s="13">
        <v>2015</v>
      </c>
      <c r="Q32" s="88">
        <v>0.45834756076175798</v>
      </c>
      <c r="R32" s="88">
        <v>0.33422540524682398</v>
      </c>
      <c r="S32" s="88"/>
      <c r="T32" s="88">
        <v>0.11077222963578</v>
      </c>
      <c r="U32" s="88">
        <v>0.0086193857352961298</v>
      </c>
      <c r="V32" s="88">
        <v>0.0055433145748345998</v>
      </c>
      <c r="W32" s="88">
        <v>0.058279968624909202</v>
      </c>
      <c r="X32" s="88">
        <v>0.020054649489471599</v>
      </c>
      <c r="Y32" s="88">
        <v>0.0041574859311259496</v>
      </c>
    </row>
    <row r="33">
      <c r="B33" s="4" t="s">
        <v>307</v>
      </c>
      <c r="C33" s="86">
        <v>0.4556</v>
      </c>
      <c r="D33" s="87">
        <v>0.080399999999999999</v>
      </c>
      <c r="E33" s="87">
        <v>0.0147</v>
      </c>
      <c r="F33" s="87">
        <v>0.1036</v>
      </c>
      <c r="G33" s="87">
        <v>0.32869999999999999</v>
      </c>
      <c r="H33" s="87">
        <v>0.014</v>
      </c>
      <c r="I33" s="87">
        <v>0.0030000000000000001</v>
      </c>
      <c r="J33" s="22" t="s">
        <v>308</v>
      </c>
      <c r="O33" s="74"/>
      <c r="P33" s="10">
        <v>2020</v>
      </c>
      <c r="Q33" s="88">
        <v>0.41472416486959102</v>
      </c>
      <c r="R33" s="88">
        <v>0.36621606958064901</v>
      </c>
      <c r="S33" s="88"/>
      <c r="T33" s="88">
        <v>0.090810150388764194</v>
      </c>
      <c r="U33" s="88">
        <v>0.013987631362280199</v>
      </c>
      <c r="V33" s="88">
        <v>0.011535160611301399</v>
      </c>
      <c r="W33" s="88">
        <v>0.068074425735909994</v>
      </c>
      <c r="X33" s="88">
        <v>0.023117236840203</v>
      </c>
      <c r="Y33" s="88">
        <v>0.011535160611301399</v>
      </c>
    </row>
    <row r="34">
      <c r="B34" s="4" t="s">
        <v>309</v>
      </c>
      <c r="C34" s="86">
        <v>0.44130000000000003</v>
      </c>
      <c r="D34" s="87"/>
      <c r="E34" s="87"/>
      <c r="F34" s="87"/>
      <c r="G34" s="87">
        <v>0.36030000000000001</v>
      </c>
      <c r="H34" s="87">
        <v>0.19839999999999999</v>
      </c>
      <c r="I34" s="87"/>
      <c r="J34" s="22"/>
      <c r="K34" s="22"/>
      <c r="O34" s="74" t="s">
        <v>310</v>
      </c>
      <c r="P34" s="13">
        <v>2015</v>
      </c>
      <c r="Q34" s="89">
        <v>0.67974421511788896</v>
      </c>
      <c r="R34" s="89">
        <v>0.32025578488211098</v>
      </c>
    </row>
    <row r="35">
      <c r="B35" s="4" t="s">
        <v>311</v>
      </c>
      <c r="C35" s="86">
        <v>0.45519999999999999</v>
      </c>
      <c r="D35" s="87"/>
      <c r="E35" s="87"/>
      <c r="F35" s="87"/>
      <c r="G35" s="87">
        <v>0.36149999999999999</v>
      </c>
      <c r="H35" s="87">
        <v>0.18329999999999999</v>
      </c>
      <c r="I35" s="87"/>
      <c r="J35" s="22"/>
      <c r="K35" s="22"/>
      <c r="O35" s="74"/>
      <c r="P35" s="10">
        <v>2020</v>
      </c>
      <c r="Q35" s="89">
        <v>0.71524025875472397</v>
      </c>
      <c r="R35" s="89">
        <v>0.28475974124527598</v>
      </c>
    </row>
    <row r="37">
      <c r="A37" s="66"/>
      <c r="B37" s="65" t="s">
        <v>1</v>
      </c>
      <c r="C37" s="66" t="s">
        <v>312</v>
      </c>
      <c r="D37" s="66" t="s">
        <v>313</v>
      </c>
      <c r="E37" s="66" t="s">
        <v>314</v>
      </c>
      <c r="F37" s="66" t="s">
        <v>128</v>
      </c>
      <c r="G37" s="66" t="s">
        <v>301</v>
      </c>
      <c r="H37" s="66" t="s">
        <v>315</v>
      </c>
      <c r="I37" s="66" t="s">
        <v>316</v>
      </c>
      <c r="J37" s="66" t="s">
        <v>317</v>
      </c>
      <c r="K37" s="66" t="s">
        <v>318</v>
      </c>
      <c r="L37" s="66" t="s">
        <v>319</v>
      </c>
      <c r="O37" t="s">
        <v>2</v>
      </c>
      <c r="Q37" t="s">
        <v>299</v>
      </c>
      <c r="R37" t="s">
        <v>70</v>
      </c>
      <c r="S37" t="s">
        <v>69</v>
      </c>
      <c r="T37" t="s">
        <v>320</v>
      </c>
      <c r="U37" t="s">
        <v>71</v>
      </c>
      <c r="V37" t="s">
        <v>84</v>
      </c>
      <c r="W37" t="s">
        <v>313</v>
      </c>
      <c r="X37" t="s">
        <v>83</v>
      </c>
      <c r="Y37" t="s">
        <v>321</v>
      </c>
    </row>
    <row r="38" ht="12.75" customHeight="1">
      <c r="A38" s="29" t="s">
        <v>322</v>
      </c>
      <c r="B38" s="28">
        <v>2020</v>
      </c>
      <c r="C38" s="41">
        <v>0.41599999999999998</v>
      </c>
      <c r="D38" s="41">
        <v>0.040000000000000001</v>
      </c>
      <c r="E38" s="41">
        <f>D33</f>
        <v>0.080399999999999999</v>
      </c>
      <c r="F38" s="41"/>
      <c r="G38" s="41">
        <f>F33+H33</f>
        <v>0.1176</v>
      </c>
      <c r="H38" s="41">
        <f>G33</f>
        <v>0.32869999999999999</v>
      </c>
      <c r="I38" s="41">
        <f>E33</f>
        <v>0.0147</v>
      </c>
      <c r="J38" s="41"/>
      <c r="K38" s="41">
        <f>I33</f>
        <v>0.0030000000000000001</v>
      </c>
      <c r="L38" s="41">
        <f t="shared" ref="L38:L51" si="42">SUM(C38:K38)</f>
        <v>1.0004</v>
      </c>
      <c r="M38" s="33" t="s">
        <v>323</v>
      </c>
      <c r="N38" s="33"/>
      <c r="O38" s="43" t="s">
        <v>322</v>
      </c>
      <c r="P38">
        <v>2015</v>
      </c>
      <c r="Q38" s="22">
        <v>0.48599999999999999</v>
      </c>
      <c r="R38" s="22">
        <v>0.32100000000000001</v>
      </c>
      <c r="S38" s="22">
        <v>0.089999999999999997</v>
      </c>
      <c r="T38" s="22">
        <v>0.0040000000000000001</v>
      </c>
      <c r="U38" s="22">
        <v>0.016</v>
      </c>
      <c r="V38" s="22">
        <v>0.01</v>
      </c>
      <c r="W38" s="22">
        <v>0</v>
      </c>
      <c r="X38" s="22">
        <v>0.073999999999999996</v>
      </c>
      <c r="Y38" s="22">
        <v>0</v>
      </c>
    </row>
    <row r="39">
      <c r="A39" s="29"/>
      <c r="B39" s="66">
        <f t="shared" ref="B39:B67" si="43">B38+5</f>
        <v>2025</v>
      </c>
      <c r="C39" s="41">
        <f>(C38+C40)/2</f>
        <v>0.42799999999999999</v>
      </c>
      <c r="D39" s="41">
        <f t="shared" ref="D39:D44" si="44">D38</f>
        <v>0.040000000000000001</v>
      </c>
      <c r="E39" s="41">
        <f>(E38+E40)/2</f>
        <v>0.085199999999999998</v>
      </c>
      <c r="F39" s="41"/>
      <c r="G39" s="41">
        <f>(G38+G40)/2</f>
        <v>0.083799999999999999</v>
      </c>
      <c r="H39" s="41">
        <f>(H38+H40)/2</f>
        <v>0.33934999999999998</v>
      </c>
      <c r="I39" s="41">
        <f>(I38+I40)/2</f>
        <v>0.01235</v>
      </c>
      <c r="J39" s="41"/>
      <c r="K39" s="41">
        <f>(K38+K40)/2</f>
        <v>0.0115</v>
      </c>
      <c r="L39" s="41">
        <f t="shared" si="42"/>
        <v>1.0001999999999998</v>
      </c>
      <c r="M39" s="33"/>
      <c r="N39" s="33"/>
      <c r="O39" s="43"/>
      <c r="P39">
        <v>2030</v>
      </c>
      <c r="Q39" s="22">
        <v>0.46500000000000002</v>
      </c>
      <c r="R39" s="22">
        <v>0.34999999999999998</v>
      </c>
      <c r="S39" s="22">
        <v>0.050000000000000003</v>
      </c>
      <c r="T39" s="22">
        <v>0</v>
      </c>
      <c r="U39" s="22">
        <v>0.01</v>
      </c>
      <c r="V39" s="22">
        <v>0.0050000000000000001</v>
      </c>
      <c r="W39" s="22">
        <v>0</v>
      </c>
      <c r="X39" s="22">
        <v>0.10000000000000001</v>
      </c>
      <c r="Y39" s="22">
        <v>0.02</v>
      </c>
    </row>
    <row r="40">
      <c r="A40" s="29"/>
      <c r="B40" s="66">
        <f t="shared" si="43"/>
        <v>2030</v>
      </c>
      <c r="C40" s="41">
        <v>0.44</v>
      </c>
      <c r="D40" s="41">
        <f t="shared" si="44"/>
        <v>0.040000000000000001</v>
      </c>
      <c r="E40" s="41">
        <v>0.089999999999999997</v>
      </c>
      <c r="F40" s="41"/>
      <c r="G40" s="41">
        <v>0.050000000000000003</v>
      </c>
      <c r="H40" s="41">
        <v>0.34999999999999998</v>
      </c>
      <c r="I40" s="41">
        <v>0.01</v>
      </c>
      <c r="J40" s="41"/>
      <c r="K40" s="41">
        <v>0.02</v>
      </c>
      <c r="L40" s="41">
        <f t="shared" si="42"/>
        <v>1</v>
      </c>
      <c r="M40" s="33"/>
      <c r="N40" s="33"/>
      <c r="O40" s="43"/>
      <c r="P40">
        <v>2050</v>
      </c>
      <c r="Q40" s="22">
        <v>0.48499999999999999</v>
      </c>
      <c r="R40" s="22">
        <v>0.38</v>
      </c>
      <c r="S40" s="22">
        <v>0</v>
      </c>
      <c r="T40" s="22">
        <v>0</v>
      </c>
      <c r="U40" s="22">
        <v>0.01</v>
      </c>
      <c r="V40" s="22">
        <v>0.0050000000000000001</v>
      </c>
      <c r="W40">
        <v>0</v>
      </c>
      <c r="X40" s="22">
        <v>0.10000000000000001</v>
      </c>
      <c r="Y40" s="22">
        <v>0.02</v>
      </c>
    </row>
    <row r="41">
      <c r="A41" s="29"/>
      <c r="B41" s="66">
        <f t="shared" si="43"/>
        <v>2035</v>
      </c>
      <c r="C41" s="41">
        <f>(C40+C42)/2</f>
        <v>0.44125000000000003</v>
      </c>
      <c r="D41" s="41">
        <f t="shared" si="44"/>
        <v>0.040000000000000001</v>
      </c>
      <c r="E41" s="41">
        <f>(E40+E42)/2</f>
        <v>0.092499999999999999</v>
      </c>
      <c r="F41" s="41"/>
      <c r="G41" s="41">
        <f>(G40+G42)/2</f>
        <v>0.040000000000000001</v>
      </c>
      <c r="H41" s="41">
        <f>(H40+H42)/2</f>
        <v>0.35749999999999998</v>
      </c>
      <c r="I41" s="41">
        <f>(I40+I42)/2</f>
        <v>0.0087500000000000008</v>
      </c>
      <c r="J41" s="41"/>
      <c r="K41" s="41">
        <f>(K40+K42)/2</f>
        <v>0.02</v>
      </c>
      <c r="L41" s="41">
        <f t="shared" si="42"/>
        <v>1</v>
      </c>
      <c r="M41" s="33"/>
      <c r="N41" s="33"/>
    </row>
    <row r="42" ht="12.75" customHeight="1">
      <c r="A42" s="29"/>
      <c r="B42" s="66">
        <f t="shared" si="43"/>
        <v>2040</v>
      </c>
      <c r="C42" s="41">
        <f>(C40+C44)/2</f>
        <v>0.4425</v>
      </c>
      <c r="D42" s="41">
        <f t="shared" si="44"/>
        <v>0.040000000000000001</v>
      </c>
      <c r="E42" s="41">
        <f>(E40+E44)/2</f>
        <v>0.095000000000000001</v>
      </c>
      <c r="F42" s="41"/>
      <c r="G42" s="41">
        <f>(G40+G44)/2</f>
        <v>0.030000000000000002</v>
      </c>
      <c r="H42" s="41">
        <f>(H40+H44)/2</f>
        <v>0.36499999999999999</v>
      </c>
      <c r="I42" s="41">
        <f>(I40+I44)/2</f>
        <v>0.0074999999999999997</v>
      </c>
      <c r="J42" s="41"/>
      <c r="K42" s="41">
        <f>(K40+K44)/2</f>
        <v>0.02</v>
      </c>
      <c r="L42" s="41">
        <f t="shared" si="42"/>
        <v>1</v>
      </c>
      <c r="M42" s="33"/>
      <c r="N42" s="33"/>
      <c r="O42" s="33" t="s">
        <v>324</v>
      </c>
      <c r="P42">
        <v>2015</v>
      </c>
      <c r="Q42" s="22">
        <v>0.438</v>
      </c>
      <c r="R42" s="22">
        <v>0.35399999999999998</v>
      </c>
      <c r="V42" s="22">
        <v>0.20799999999999999</v>
      </c>
    </row>
    <row r="43">
      <c r="A43" s="29"/>
      <c r="B43" s="66">
        <f t="shared" si="43"/>
        <v>2045</v>
      </c>
      <c r="C43" s="41">
        <f>(C42+C44)/2</f>
        <v>0.44374999999999998</v>
      </c>
      <c r="D43" s="41">
        <f t="shared" si="44"/>
        <v>0.040000000000000001</v>
      </c>
      <c r="E43" s="41">
        <f>(E42+E44)/2</f>
        <v>0.097500000000000003</v>
      </c>
      <c r="F43" s="41"/>
      <c r="G43" s="41">
        <f>(G42+G44)/2</f>
        <v>0.02</v>
      </c>
      <c r="H43" s="41">
        <f>(H42+H44)/2</f>
        <v>0.3725</v>
      </c>
      <c r="I43" s="41">
        <f>(I42+I44)/2</f>
        <v>0.0062500000000000003</v>
      </c>
      <c r="J43" s="41"/>
      <c r="K43" s="41">
        <f>(K42+K44)/2</f>
        <v>0.02</v>
      </c>
      <c r="L43" s="41">
        <f t="shared" si="42"/>
        <v>0.99999999999999989</v>
      </c>
      <c r="M43" s="33"/>
      <c r="N43" s="33"/>
      <c r="O43" s="33"/>
      <c r="P43">
        <v>2030</v>
      </c>
      <c r="Q43" s="22">
        <v>0.55000000000000004</v>
      </c>
      <c r="R43" s="22">
        <v>0.34999999999999998</v>
      </c>
      <c r="V43" s="22">
        <v>0.14999999999999999</v>
      </c>
    </row>
    <row r="44">
      <c r="A44" s="29"/>
      <c r="B44" s="66">
        <f t="shared" si="43"/>
        <v>2050</v>
      </c>
      <c r="C44" s="41">
        <v>0.44500000000000001</v>
      </c>
      <c r="D44" s="41">
        <f t="shared" si="44"/>
        <v>0.040000000000000001</v>
      </c>
      <c r="E44" s="41">
        <v>0.10000000000000001</v>
      </c>
      <c r="F44" s="41"/>
      <c r="G44" s="41">
        <v>0.01</v>
      </c>
      <c r="H44" s="41">
        <v>0.38</v>
      </c>
      <c r="I44" s="41">
        <v>0.0050000000000000001</v>
      </c>
      <c r="J44" s="41"/>
      <c r="K44" s="41">
        <v>0.02</v>
      </c>
      <c r="L44" s="41">
        <f t="shared" si="42"/>
        <v>1</v>
      </c>
      <c r="M44" s="33"/>
      <c r="N44" s="33"/>
      <c r="O44" s="33"/>
      <c r="P44">
        <v>2050</v>
      </c>
      <c r="Q44" s="22">
        <v>0.66000000000000003</v>
      </c>
      <c r="R44" s="22">
        <v>0.23999999999999999</v>
      </c>
      <c r="V44" s="22">
        <v>0.10000000000000001</v>
      </c>
    </row>
    <row r="45" ht="12.75" customHeight="1">
      <c r="A45" s="29" t="s">
        <v>325</v>
      </c>
      <c r="B45" s="28">
        <v>2020</v>
      </c>
      <c r="C45" s="41">
        <f>C35</f>
        <v>0.45519999999999999</v>
      </c>
      <c r="D45" s="41"/>
      <c r="E45" s="41"/>
      <c r="F45" s="41"/>
      <c r="G45" s="41">
        <f>H35</f>
        <v>0.18329999999999999</v>
      </c>
      <c r="H45" s="41">
        <f>G35</f>
        <v>0.36149999999999999</v>
      </c>
      <c r="I45" s="66"/>
      <c r="J45" s="66"/>
      <c r="K45" s="66"/>
      <c r="L45" s="41">
        <f t="shared" si="42"/>
        <v>1</v>
      </c>
      <c r="M45" s="33" t="s">
        <v>326</v>
      </c>
      <c r="N45" s="33"/>
    </row>
    <row r="46">
      <c r="A46" s="29"/>
      <c r="B46" s="66">
        <f t="shared" si="43"/>
        <v>2025</v>
      </c>
      <c r="C46" s="41">
        <f>(C45+C47)/2</f>
        <v>0.50260000000000005</v>
      </c>
      <c r="D46" s="41"/>
      <c r="E46" s="41"/>
      <c r="F46" s="41"/>
      <c r="G46" s="41">
        <f>(G45+G47)/2</f>
        <v>0.14165</v>
      </c>
      <c r="H46" s="41">
        <f>(H45+H47)/2</f>
        <v>0.35575000000000001</v>
      </c>
      <c r="I46" s="66"/>
      <c r="J46" s="66"/>
      <c r="K46" s="66"/>
      <c r="L46" s="41">
        <f t="shared" si="42"/>
        <v>1</v>
      </c>
      <c r="M46" s="33"/>
      <c r="N46" s="33"/>
    </row>
    <row r="47">
      <c r="A47" s="29"/>
      <c r="B47" s="66">
        <f t="shared" si="43"/>
        <v>2030</v>
      </c>
      <c r="C47" s="41">
        <v>0.55000000000000004</v>
      </c>
      <c r="D47" s="41"/>
      <c r="E47" s="41"/>
      <c r="F47" s="41"/>
      <c r="G47" s="41">
        <v>0.10000000000000001</v>
      </c>
      <c r="H47" s="41">
        <v>0.34999999999999998</v>
      </c>
      <c r="I47" s="66"/>
      <c r="J47" s="66"/>
      <c r="K47" s="66"/>
      <c r="L47" s="41">
        <f t="shared" si="42"/>
        <v>1</v>
      </c>
      <c r="M47" s="33"/>
      <c r="N47" s="33"/>
    </row>
    <row r="48">
      <c r="A48" s="29"/>
      <c r="B48" s="66">
        <f t="shared" si="43"/>
        <v>2035</v>
      </c>
      <c r="C48" s="41">
        <f>(C47+C49)/2</f>
        <v>0.57750000000000001</v>
      </c>
      <c r="D48" s="41"/>
      <c r="E48" s="41"/>
      <c r="F48" s="41"/>
      <c r="G48" s="41">
        <f>(G47+G49)/2</f>
        <v>0.087500000000000008</v>
      </c>
      <c r="H48" s="41">
        <f>(H47+H49)/2</f>
        <v>0.33499999999999996</v>
      </c>
      <c r="I48" s="66"/>
      <c r="J48" s="66"/>
      <c r="K48" s="66"/>
      <c r="L48" s="41">
        <f t="shared" si="42"/>
        <v>1</v>
      </c>
      <c r="M48" s="33"/>
      <c r="N48" s="33"/>
    </row>
    <row r="49">
      <c r="A49" s="29"/>
      <c r="B49" s="66">
        <f t="shared" si="43"/>
        <v>2040</v>
      </c>
      <c r="C49" s="41">
        <f>(C47+C51)/2</f>
        <v>0.60499999999999998</v>
      </c>
      <c r="D49" s="41"/>
      <c r="E49" s="41"/>
      <c r="F49" s="41"/>
      <c r="G49" s="41">
        <f>(G47+G51)/2</f>
        <v>0.075000000000000011</v>
      </c>
      <c r="H49" s="41">
        <f>(H47+H51)/2</f>
        <v>0.31999999999999995</v>
      </c>
      <c r="I49" s="66"/>
      <c r="J49" s="66"/>
      <c r="K49" s="66"/>
      <c r="L49" s="41">
        <f t="shared" si="42"/>
        <v>0.99999999999999989</v>
      </c>
      <c r="M49" s="33"/>
      <c r="N49" s="33"/>
    </row>
    <row r="50">
      <c r="A50" s="29"/>
      <c r="B50" s="66">
        <f t="shared" si="43"/>
        <v>2045</v>
      </c>
      <c r="C50" s="41">
        <f>(C49+C51)/2</f>
        <v>0.63250000000000006</v>
      </c>
      <c r="D50" s="41"/>
      <c r="E50" s="41"/>
      <c r="F50" s="41"/>
      <c r="G50" s="41">
        <f>(G49+G51)/2</f>
        <v>0.0625</v>
      </c>
      <c r="H50" s="41">
        <f>(H49+H51)/2</f>
        <v>0.30499999999999994</v>
      </c>
      <c r="I50" s="66"/>
      <c r="J50" s="66"/>
      <c r="K50" s="66"/>
      <c r="L50" s="41">
        <f t="shared" si="42"/>
        <v>1</v>
      </c>
      <c r="M50" s="33"/>
      <c r="N50" s="33"/>
      <c r="AB50" s="23"/>
      <c r="AC50" s="23"/>
    </row>
    <row r="51">
      <c r="A51" s="29"/>
      <c r="B51" s="66">
        <f t="shared" si="43"/>
        <v>2050</v>
      </c>
      <c r="C51" s="41">
        <v>0.66000000000000003</v>
      </c>
      <c r="D51" s="41"/>
      <c r="E51" s="41"/>
      <c r="F51" s="41"/>
      <c r="G51" s="41">
        <v>0.050000000000000003</v>
      </c>
      <c r="H51" s="41">
        <v>0.28999999999999998</v>
      </c>
      <c r="I51" s="66"/>
      <c r="J51" s="66"/>
      <c r="K51" s="66"/>
      <c r="L51" s="41">
        <f t="shared" si="42"/>
        <v>1</v>
      </c>
      <c r="M51" s="33"/>
      <c r="N51" s="33"/>
      <c r="Y51" s="23" t="s">
        <v>327</v>
      </c>
      <c r="AA51" s="23" t="s">
        <v>328</v>
      </c>
    </row>
    <row r="52">
      <c r="X52" s="90"/>
      <c r="Y52" s="91" t="s">
        <v>120</v>
      </c>
      <c r="Z52" s="49" t="s">
        <v>312</v>
      </c>
      <c r="AA52" s="49" t="s">
        <v>313</v>
      </c>
      <c r="AB52" s="49" t="s">
        <v>314</v>
      </c>
      <c r="AC52" s="49" t="s">
        <v>128</v>
      </c>
      <c r="AD52" s="49" t="s">
        <v>301</v>
      </c>
      <c r="AE52" s="49" t="s">
        <v>329</v>
      </c>
      <c r="AF52" s="49" t="s">
        <v>316</v>
      </c>
      <c r="AG52" s="49" t="s">
        <v>317</v>
      </c>
      <c r="AH52" s="49" t="s">
        <v>330</v>
      </c>
      <c r="AI52" s="49" t="s">
        <v>319</v>
      </c>
    </row>
    <row r="53">
      <c r="A53" s="66"/>
      <c r="B53" s="65" t="s">
        <v>30</v>
      </c>
      <c r="C53" s="66" t="s">
        <v>312</v>
      </c>
      <c r="D53" s="66" t="s">
        <v>313</v>
      </c>
      <c r="E53" s="66" t="s">
        <v>314</v>
      </c>
      <c r="F53" s="66" t="s">
        <v>128</v>
      </c>
      <c r="G53" s="66" t="s">
        <v>301</v>
      </c>
      <c r="H53" s="66" t="s">
        <v>315</v>
      </c>
      <c r="I53" s="66" t="s">
        <v>316</v>
      </c>
      <c r="J53" s="66" t="s">
        <v>317</v>
      </c>
      <c r="K53" s="66" t="s">
        <v>318</v>
      </c>
      <c r="L53" s="66" t="s">
        <v>319</v>
      </c>
      <c r="P53" s="2" t="s">
        <v>31</v>
      </c>
      <c r="Y53">
        <v>2015</v>
      </c>
      <c r="Z53" s="92">
        <v>0.4450426994876</v>
      </c>
      <c r="AA53" s="92">
        <v>0.0044353969251033701</v>
      </c>
      <c r="AB53" s="92">
        <v>0.069478531028973098</v>
      </c>
      <c r="AC53" s="93">
        <v>0.00046024542818639999</v>
      </c>
      <c r="AD53" s="92">
        <v>0.121112306095158</v>
      </c>
      <c r="AE53" s="92">
        <v>0.32245275339129897</v>
      </c>
      <c r="AF53" s="92">
        <v>0.017503849726014299</v>
      </c>
      <c r="AG53" s="92"/>
      <c r="AH53" s="92">
        <v>0.0195142179176661</v>
      </c>
    </row>
    <row r="54" ht="14.65" customHeight="1">
      <c r="A54" s="29" t="s">
        <v>322</v>
      </c>
      <c r="B54" s="28">
        <v>2020</v>
      </c>
      <c r="C54" s="41">
        <v>0.41599999999999998</v>
      </c>
      <c r="D54" s="30">
        <v>0.040000000000000001</v>
      </c>
      <c r="E54" s="41">
        <f>D33</f>
        <v>0.080399999999999999</v>
      </c>
      <c r="F54" s="66"/>
      <c r="G54" s="30">
        <f>F33+H33</f>
        <v>0.1176</v>
      </c>
      <c r="H54" s="41">
        <f>G33</f>
        <v>0.32869999999999999</v>
      </c>
      <c r="I54" s="41">
        <v>0.014999999999999999</v>
      </c>
      <c r="J54" s="66"/>
      <c r="K54" s="41">
        <f>I33</f>
        <v>0.0030000000000000001</v>
      </c>
      <c r="L54" s="30"/>
      <c r="M54" s="73" t="s">
        <v>331</v>
      </c>
      <c r="N54" s="73"/>
      <c r="P54" s="2" t="s">
        <v>322</v>
      </c>
      <c r="Q54">
        <v>2015</v>
      </c>
      <c r="R54">
        <v>2020</v>
      </c>
      <c r="S54">
        <v>2025</v>
      </c>
      <c r="T54">
        <v>2030</v>
      </c>
      <c r="U54">
        <v>2040</v>
      </c>
      <c r="V54">
        <v>2050</v>
      </c>
      <c r="X54" s="94" t="s">
        <v>322</v>
      </c>
      <c r="Y54" s="95">
        <v>2020</v>
      </c>
      <c r="Z54" s="92">
        <v>0.44695836962948399</v>
      </c>
      <c r="AA54" s="92">
        <v>0.0114849599262023</v>
      </c>
      <c r="AB54" s="92">
        <v>0.074344583604081804</v>
      </c>
      <c r="AC54" s="93">
        <v>0.00051165599974224599</v>
      </c>
      <c r="AD54" s="92">
        <v>0.102068232630758</v>
      </c>
      <c r="AE54" s="92">
        <v>0.32407096925102402</v>
      </c>
      <c r="AF54" s="92">
        <v>0.0183834720502974</v>
      </c>
      <c r="AG54" s="92"/>
      <c r="AH54" s="92">
        <v>0.022177756908410302</v>
      </c>
      <c r="AI54" s="96"/>
    </row>
    <row r="55">
      <c r="A55" s="29"/>
      <c r="B55" s="66">
        <f t="shared" si="43"/>
        <v>2025</v>
      </c>
      <c r="C55" s="30">
        <v>0.45000000000000001</v>
      </c>
      <c r="D55" s="30">
        <v>0.059999999999999998</v>
      </c>
      <c r="E55" s="30">
        <v>0.089999999999999997</v>
      </c>
      <c r="F55" s="66"/>
      <c r="G55" s="30">
        <v>0.070000000000000007</v>
      </c>
      <c r="H55" s="30">
        <v>0.29499999999999998</v>
      </c>
      <c r="I55" s="41">
        <v>0.025000000000000001</v>
      </c>
      <c r="J55" s="66"/>
      <c r="K55" s="30">
        <v>0.01</v>
      </c>
      <c r="L55" s="30"/>
      <c r="M55" s="73"/>
      <c r="N55" s="73"/>
      <c r="P55" t="s">
        <v>332</v>
      </c>
      <c r="Q55" s="22">
        <v>0.47999999999999998</v>
      </c>
      <c r="R55" s="22">
        <f>1-SUM(R56:R60)</f>
        <v>0.4900000000000001</v>
      </c>
      <c r="S55" s="22">
        <f>1-SUM(S56:S60)</f>
        <v>0.47999999999999998</v>
      </c>
      <c r="T55" s="22">
        <f>1-SUM(T56:T60)</f>
        <v>0.36999999999999988</v>
      </c>
      <c r="U55" s="22">
        <f>1-SUM(U56:U60)</f>
        <v>0.30000000000000004</v>
      </c>
      <c r="V55" s="22">
        <v>0.050000000000000003</v>
      </c>
      <c r="X55" s="94"/>
      <c r="Y55" s="4">
        <f t="shared" ref="Y55:Y68" si="45">Y54+5</f>
        <v>2025</v>
      </c>
      <c r="Z55" s="19">
        <v>0.44244630343804597</v>
      </c>
      <c r="AA55" s="19">
        <v>0.016202456512891199</v>
      </c>
      <c r="AB55" s="19">
        <v>0.071952933203248304</v>
      </c>
      <c r="AC55" s="19">
        <v>0.00045892844664889598</v>
      </c>
      <c r="AD55" s="19">
        <v>0.0979660094038977</v>
      </c>
      <c r="AE55" s="19">
        <v>0.32223840362029399</v>
      </c>
      <c r="AF55" s="19">
        <v>0.023874664838680702</v>
      </c>
      <c r="AG55" s="19"/>
      <c r="AH55" s="19">
        <v>0.0248603005362934</v>
      </c>
      <c r="AI55" s="97"/>
    </row>
    <row r="56">
      <c r="A56" s="29"/>
      <c r="B56" s="66">
        <f t="shared" si="43"/>
        <v>2030</v>
      </c>
      <c r="C56" s="30">
        <v>0.495</v>
      </c>
      <c r="D56" s="30">
        <v>0.085000000000000006</v>
      </c>
      <c r="E56" s="30">
        <v>0.10000000000000001</v>
      </c>
      <c r="F56" s="66"/>
      <c r="G56" s="30">
        <v>0.01</v>
      </c>
      <c r="H56" s="30">
        <v>0.255</v>
      </c>
      <c r="I56" s="41">
        <v>0.035000000000000003</v>
      </c>
      <c r="J56" s="66"/>
      <c r="K56" s="30">
        <v>0.02</v>
      </c>
      <c r="L56" s="30"/>
      <c r="M56" s="73"/>
      <c r="N56" s="73"/>
      <c r="P56" t="s">
        <v>300</v>
      </c>
      <c r="Q56" s="22">
        <v>0.35999999999999999</v>
      </c>
      <c r="R56" s="22">
        <v>0.34999999999999998</v>
      </c>
      <c r="S56" s="22">
        <v>0.31</v>
      </c>
      <c r="T56" s="22">
        <v>0.28000000000000003</v>
      </c>
      <c r="U56" s="22">
        <v>0.14999999999999999</v>
      </c>
      <c r="V56" s="22">
        <v>0.050000000000000003</v>
      </c>
      <c r="X56" s="94"/>
      <c r="Y56" s="4">
        <f t="shared" si="45"/>
        <v>2030</v>
      </c>
      <c r="Z56" s="19">
        <v>0.41820628472615701</v>
      </c>
      <c r="AA56" s="19">
        <v>0.042689059852871997</v>
      </c>
      <c r="AB56" s="19">
        <v>0.066904961396342</v>
      </c>
      <c r="AC56" s="19">
        <v>0.00034410700515058901</v>
      </c>
      <c r="AD56" s="19">
        <v>0.084772914283416795</v>
      </c>
      <c r="AE56" s="19">
        <v>0.307079581583386</v>
      </c>
      <c r="AF56" s="19">
        <v>0.050458196579862398</v>
      </c>
      <c r="AG56" s="19"/>
      <c r="AH56" s="19">
        <v>0.029544894572813299</v>
      </c>
      <c r="AI56" s="97"/>
    </row>
    <row r="57">
      <c r="A57" s="29"/>
      <c r="B57" s="66">
        <f t="shared" si="43"/>
        <v>2035</v>
      </c>
      <c r="C57" s="30">
        <v>0.45500000000000002</v>
      </c>
      <c r="D57" s="30">
        <v>0.125</v>
      </c>
      <c r="E57" s="30">
        <v>0.11</v>
      </c>
      <c r="F57" s="66"/>
      <c r="G57" s="30">
        <v>0.0050000000000000001</v>
      </c>
      <c r="H57" s="30">
        <v>0.23000000000000001</v>
      </c>
      <c r="I57" s="41">
        <v>0.040000000000000001</v>
      </c>
      <c r="J57" s="66"/>
      <c r="K57" s="30">
        <v>0.035000000000000003</v>
      </c>
      <c r="L57" s="30"/>
      <c r="M57" s="73"/>
      <c r="N57" s="73"/>
      <c r="P57" t="s">
        <v>82</v>
      </c>
      <c r="Q57" s="22">
        <v>0.080000000000000002</v>
      </c>
      <c r="R57" s="22">
        <v>0.059999999999999998</v>
      </c>
      <c r="S57" s="22">
        <v>0.02</v>
      </c>
      <c r="T57" s="22">
        <v>0</v>
      </c>
      <c r="U57" s="22">
        <v>0</v>
      </c>
      <c r="V57" s="22">
        <v>0</v>
      </c>
      <c r="X57" s="94"/>
      <c r="Y57" s="4">
        <f t="shared" si="45"/>
        <v>2035</v>
      </c>
      <c r="Z57" s="19">
        <v>0.349300707445513</v>
      </c>
      <c r="AA57" s="19">
        <v>0.109564734735778</v>
      </c>
      <c r="AB57" s="19">
        <v>0.072206390043181204</v>
      </c>
      <c r="AC57" s="19">
        <v>0.00017953716938090599</v>
      </c>
      <c r="AD57" s="19">
        <v>0.055901746806820397</v>
      </c>
      <c r="AE57" s="19">
        <v>0.271504379846702</v>
      </c>
      <c r="AF57" s="19">
        <v>0.10126522871999601</v>
      </c>
      <c r="AG57" s="19"/>
      <c r="AH57" s="19">
        <v>0.040077275232627503</v>
      </c>
      <c r="AI57" s="97"/>
    </row>
    <row r="58">
      <c r="A58" s="29"/>
      <c r="B58" s="66">
        <f t="shared" si="43"/>
        <v>2040</v>
      </c>
      <c r="C58" s="30">
        <v>0.38500000000000001</v>
      </c>
      <c r="D58" s="30">
        <v>0.19</v>
      </c>
      <c r="E58" s="30">
        <v>0.12</v>
      </c>
      <c r="F58" s="66"/>
      <c r="G58" s="30">
        <v>0</v>
      </c>
      <c r="H58" s="30">
        <v>0.20999999999999999</v>
      </c>
      <c r="I58" s="41">
        <v>0.044999999999999998</v>
      </c>
      <c r="J58" s="66"/>
      <c r="K58" s="30">
        <v>0.050000000000000003</v>
      </c>
      <c r="L58" s="30"/>
      <c r="M58" s="73"/>
      <c r="N58" s="73"/>
      <c r="P58" t="s">
        <v>333</v>
      </c>
      <c r="Q58" s="22">
        <v>0.02</v>
      </c>
      <c r="R58" s="22">
        <v>0.029999999999999999</v>
      </c>
      <c r="S58" s="22">
        <v>0.040000000000000001</v>
      </c>
      <c r="T58" s="22">
        <v>0.059999999999999998</v>
      </c>
      <c r="U58" s="22">
        <v>0.10000000000000001</v>
      </c>
      <c r="V58" s="22">
        <v>0.20000000000000001</v>
      </c>
      <c r="X58" s="94"/>
      <c r="Y58" s="4">
        <f t="shared" si="45"/>
        <v>2040</v>
      </c>
      <c r="Z58" s="19">
        <v>0.24887781308909701</v>
      </c>
      <c r="AA58" s="19">
        <v>0.19310814324384301</v>
      </c>
      <c r="AB58" s="19">
        <v>0.090884342821553901</v>
      </c>
      <c r="AC58" s="19">
        <v>5.7983851015957902e-05</v>
      </c>
      <c r="AD58" s="19">
        <v>0.021135460651644102</v>
      </c>
      <c r="AE58" s="19">
        <v>0.23165376836321699</v>
      </c>
      <c r="AF58" s="19">
        <v>0.15824244215621999</v>
      </c>
      <c r="AG58" s="19"/>
      <c r="AH58" s="19">
        <v>0.056040045823408297</v>
      </c>
      <c r="AI58" s="97"/>
    </row>
    <row r="59">
      <c r="A59" s="29"/>
      <c r="B59" s="66">
        <f t="shared" si="43"/>
        <v>2045</v>
      </c>
      <c r="C59" s="30">
        <v>0.30499999999999999</v>
      </c>
      <c r="D59" s="30">
        <v>0.26000000000000001</v>
      </c>
      <c r="E59" s="30">
        <v>0.13</v>
      </c>
      <c r="F59" s="66"/>
      <c r="G59" s="30">
        <v>0</v>
      </c>
      <c r="H59" s="30">
        <v>0.19</v>
      </c>
      <c r="I59" s="41">
        <v>0.050000000000000003</v>
      </c>
      <c r="J59" s="66"/>
      <c r="K59" s="30">
        <v>0.065000000000000002</v>
      </c>
      <c r="L59" s="30"/>
      <c r="M59" s="73"/>
      <c r="N59" s="73"/>
      <c r="P59" t="s">
        <v>334</v>
      </c>
      <c r="Q59" s="22">
        <v>0.029999999999999999</v>
      </c>
      <c r="R59" s="22">
        <v>0.050000000000000003</v>
      </c>
      <c r="S59" s="22">
        <v>0.12</v>
      </c>
      <c r="T59" s="22">
        <v>0.23999999999999999</v>
      </c>
      <c r="U59" s="22">
        <v>0.34999999999999998</v>
      </c>
      <c r="V59" s="22">
        <v>0.59999999999999998</v>
      </c>
      <c r="X59" s="94"/>
      <c r="Y59" s="4">
        <f t="shared" si="45"/>
        <v>2045</v>
      </c>
      <c r="Z59" s="19">
        <v>0.19168617036701699</v>
      </c>
      <c r="AA59" s="19">
        <v>0.23577484270427901</v>
      </c>
      <c r="AB59" s="19">
        <v>0.102502585635614</v>
      </c>
      <c r="AC59" s="19">
        <v>8.6663014382820906e-06</v>
      </c>
      <c r="AD59" s="19">
        <v>0.00328356532713486</v>
      </c>
      <c r="AE59" s="19">
        <v>0.21069216916221301</v>
      </c>
      <c r="AF59" s="19">
        <v>0.18694711114658699</v>
      </c>
      <c r="AG59" s="19"/>
      <c r="AH59" s="19">
        <v>0.069104889355716806</v>
      </c>
      <c r="AI59" s="97"/>
    </row>
    <row r="60">
      <c r="A60" s="29"/>
      <c r="B60" s="66">
        <f t="shared" si="43"/>
        <v>2050</v>
      </c>
      <c r="C60" s="30">
        <v>0.245</v>
      </c>
      <c r="D60" s="30">
        <v>0.32000000000000001</v>
      </c>
      <c r="E60" s="30">
        <v>0.14000000000000001</v>
      </c>
      <c r="F60" s="66"/>
      <c r="G60" s="30">
        <v>0</v>
      </c>
      <c r="H60" s="30">
        <v>0.16</v>
      </c>
      <c r="I60" s="41">
        <v>0.055</v>
      </c>
      <c r="J60" s="66"/>
      <c r="K60" s="30">
        <v>0.080000000000000002</v>
      </c>
      <c r="L60" s="30"/>
      <c r="M60" s="73"/>
      <c r="N60" s="73"/>
      <c r="P60" t="s">
        <v>83</v>
      </c>
      <c r="Q60" s="22">
        <v>0.02</v>
      </c>
      <c r="R60" s="22">
        <v>0.02</v>
      </c>
      <c r="S60" s="22">
        <v>0.029999999999999999</v>
      </c>
      <c r="T60" s="22">
        <v>0.050000000000000003</v>
      </c>
      <c r="U60" s="22">
        <v>0.10000000000000001</v>
      </c>
      <c r="V60" s="22">
        <v>0.10000000000000001</v>
      </c>
      <c r="X60" s="94"/>
      <c r="Y60" s="98">
        <f t="shared" si="45"/>
        <v>2050</v>
      </c>
      <c r="Z60" s="99">
        <v>0.17890779538780799</v>
      </c>
      <c r="AA60" s="99">
        <v>0.24229423860989799</v>
      </c>
      <c r="AB60" s="99">
        <v>0.104599300664899</v>
      </c>
      <c r="AC60" s="99">
        <v>0</v>
      </c>
      <c r="AD60" s="99">
        <v>0</v>
      </c>
      <c r="AE60" s="99">
        <v>0.20471329345585701</v>
      </c>
      <c r="AF60" s="99">
        <v>0.19109948396790999</v>
      </c>
      <c r="AG60" s="99"/>
      <c r="AH60" s="99">
        <v>0.0783858879136273</v>
      </c>
      <c r="AI60" s="100"/>
    </row>
    <row r="61" ht="14.65" customHeight="1">
      <c r="A61" s="29" t="s">
        <v>325</v>
      </c>
      <c r="B61" s="28">
        <v>2020</v>
      </c>
      <c r="C61" s="41">
        <f>C35</f>
        <v>0.45519999999999999</v>
      </c>
      <c r="D61" s="66"/>
      <c r="E61" s="41"/>
      <c r="F61" s="66"/>
      <c r="G61" s="41">
        <f>H35</f>
        <v>0.18329999999999999</v>
      </c>
      <c r="H61" s="41">
        <f>G35</f>
        <v>0.36149999999999999</v>
      </c>
      <c r="I61" s="66"/>
      <c r="J61" s="66"/>
      <c r="K61" s="66"/>
      <c r="L61" s="30"/>
      <c r="M61" s="76" t="s">
        <v>335</v>
      </c>
      <c r="N61" s="76"/>
      <c r="O61" s="22"/>
      <c r="P61" t="s">
        <v>270</v>
      </c>
      <c r="Q61" s="22">
        <f t="shared" ref="Q61:V61" si="46">1-SUM(Q55:Q60)</f>
        <v>0.010000000000000009</v>
      </c>
      <c r="R61" s="22">
        <f t="shared" si="46"/>
        <v>0</v>
      </c>
      <c r="S61" s="22">
        <f t="shared" si="46"/>
        <v>0</v>
      </c>
      <c r="T61" s="22">
        <f t="shared" si="46"/>
        <v>0</v>
      </c>
      <c r="U61" s="22">
        <f t="shared" si="46"/>
        <v>0</v>
      </c>
      <c r="V61" s="22">
        <f t="shared" si="46"/>
        <v>0</v>
      </c>
      <c r="Y61">
        <v>2015</v>
      </c>
      <c r="Z61" s="92">
        <v>0.78084935617317197</v>
      </c>
      <c r="AA61" s="92"/>
      <c r="AB61" s="92"/>
      <c r="AC61" s="92"/>
      <c r="AD61" s="92">
        <v>0.087150873914614596</v>
      </c>
      <c r="AE61" s="92">
        <v>0.13199976991221399</v>
      </c>
    </row>
    <row r="62" ht="12.75" customHeight="1">
      <c r="A62" s="29"/>
      <c r="B62" s="66">
        <f t="shared" si="43"/>
        <v>2025</v>
      </c>
      <c r="C62" s="41">
        <f>(C61+C63)/2</f>
        <v>0.61009999999999998</v>
      </c>
      <c r="D62" s="66"/>
      <c r="E62" s="41"/>
      <c r="F62" s="66"/>
      <c r="G62" s="41">
        <v>0.1091</v>
      </c>
      <c r="H62" s="41">
        <f>(H61+H63)/2</f>
        <v>0.28075</v>
      </c>
      <c r="I62" s="66"/>
      <c r="J62" s="66"/>
      <c r="K62" s="66"/>
      <c r="L62" s="30"/>
      <c r="M62" s="76"/>
      <c r="N62" s="76"/>
      <c r="O62" s="22"/>
      <c r="P62" t="s">
        <v>336</v>
      </c>
      <c r="Q62" s="22">
        <f t="shared" ref="Q62:V62" si="47">SUM(Q55:Q61)</f>
        <v>1</v>
      </c>
      <c r="R62" s="22">
        <f t="shared" si="47"/>
        <v>1.0000000000000002</v>
      </c>
      <c r="S62" s="22">
        <f t="shared" si="47"/>
        <v>1</v>
      </c>
      <c r="T62" s="22">
        <f t="shared" si="47"/>
        <v>1</v>
      </c>
      <c r="U62" s="22">
        <f t="shared" si="47"/>
        <v>1</v>
      </c>
      <c r="V62" s="22">
        <f t="shared" si="47"/>
        <v>1</v>
      </c>
      <c r="X62" s="94" t="s">
        <v>325</v>
      </c>
      <c r="Y62" s="95">
        <v>2020</v>
      </c>
      <c r="Z62" s="92">
        <v>0.80258786934979598</v>
      </c>
      <c r="AA62" s="92"/>
      <c r="AB62" s="92"/>
      <c r="AC62" s="92"/>
      <c r="AD62" s="92">
        <v>0.062236682747967599</v>
      </c>
      <c r="AE62" s="92">
        <v>0.13517544790223601</v>
      </c>
      <c r="AF62" s="101"/>
      <c r="AG62" s="101"/>
      <c r="AH62" s="101"/>
      <c r="AI62" s="96"/>
    </row>
    <row r="63">
      <c r="A63" s="29"/>
      <c r="B63" s="66">
        <f t="shared" si="43"/>
        <v>2030</v>
      </c>
      <c r="C63" s="41">
        <v>0.76500000000000001</v>
      </c>
      <c r="D63" s="66"/>
      <c r="E63" s="41"/>
      <c r="F63" s="66"/>
      <c r="G63" s="41">
        <v>0.035000000000000003</v>
      </c>
      <c r="H63" s="41">
        <v>0.20000000000000001</v>
      </c>
      <c r="I63" s="66"/>
      <c r="J63" s="66"/>
      <c r="K63" s="66"/>
      <c r="L63" s="30"/>
      <c r="M63" s="76"/>
      <c r="N63" s="76"/>
      <c r="O63" s="22"/>
      <c r="P63" s="2" t="s">
        <v>324</v>
      </c>
      <c r="Q63">
        <v>2015</v>
      </c>
      <c r="R63">
        <v>2020</v>
      </c>
      <c r="S63">
        <v>2025</v>
      </c>
      <c r="T63">
        <v>2030</v>
      </c>
      <c r="U63">
        <v>2040</v>
      </c>
      <c r="V63">
        <v>2050</v>
      </c>
      <c r="X63" s="94"/>
      <c r="Y63" s="4">
        <f t="shared" si="45"/>
        <v>2025</v>
      </c>
      <c r="Z63" s="19">
        <v>0.82408014231233895</v>
      </c>
      <c r="AA63" s="19"/>
      <c r="AB63" s="19"/>
      <c r="AC63" s="19"/>
      <c r="AD63" s="19">
        <v>0.035565510981207797</v>
      </c>
      <c r="AE63" s="19">
        <v>0.140354346706454</v>
      </c>
      <c r="AF63" s="4"/>
      <c r="AG63" s="4"/>
      <c r="AH63" s="4"/>
      <c r="AI63" s="97"/>
    </row>
    <row r="64">
      <c r="A64" s="29"/>
      <c r="B64" s="66">
        <f t="shared" si="43"/>
        <v>2035</v>
      </c>
      <c r="C64" s="41">
        <f>(C63+C65)/2</f>
        <v>0.78125</v>
      </c>
      <c r="D64" s="66"/>
      <c r="E64" s="41"/>
      <c r="F64" s="66"/>
      <c r="G64" s="41">
        <v>0.031199999999999999</v>
      </c>
      <c r="H64" s="41">
        <f>(H63+H65)/2</f>
        <v>0.1875</v>
      </c>
      <c r="I64" s="66"/>
      <c r="J64" s="66"/>
      <c r="K64" s="66"/>
      <c r="L64" s="30"/>
      <c r="M64" s="76"/>
      <c r="N64" s="76"/>
      <c r="O64" s="22"/>
      <c r="P64" t="s">
        <v>70</v>
      </c>
      <c r="Q64" s="21">
        <f>'Tertiaire hors chauffage'!S124</f>
        <v>0</v>
      </c>
      <c r="R64" s="22">
        <v>0.29999999999999999</v>
      </c>
      <c r="S64" s="22">
        <v>0.23999999999999999</v>
      </c>
      <c r="T64" s="22">
        <v>0.20999999999999999</v>
      </c>
      <c r="U64" s="22">
        <v>0.20000000000000001</v>
      </c>
      <c r="V64" s="21">
        <v>0.14999999999999999</v>
      </c>
      <c r="X64" s="94"/>
      <c r="Y64" s="4">
        <f t="shared" si="45"/>
        <v>2030</v>
      </c>
      <c r="Z64" s="19">
        <v>0.83992532794310704</v>
      </c>
      <c r="AA64" s="19"/>
      <c r="AB64" s="19"/>
      <c r="AC64" s="19"/>
      <c r="AD64" s="19">
        <v>0.0061875148828591303</v>
      </c>
      <c r="AE64" s="19">
        <v>0.15388715717403401</v>
      </c>
      <c r="AF64" s="4"/>
      <c r="AG64" s="4"/>
      <c r="AH64" s="4"/>
      <c r="AI64" s="97"/>
    </row>
    <row r="65">
      <c r="A65" s="29"/>
      <c r="B65" s="66">
        <f t="shared" si="43"/>
        <v>2040</v>
      </c>
      <c r="C65" s="41">
        <f>(C63+C67)/2</f>
        <v>0.79749999999999999</v>
      </c>
      <c r="D65" s="66"/>
      <c r="E65" s="41"/>
      <c r="F65" s="66"/>
      <c r="G65" s="41">
        <v>0.0275</v>
      </c>
      <c r="H65" s="41">
        <f>(H63+H67)/2</f>
        <v>0.17499999999999999</v>
      </c>
      <c r="I65" s="66"/>
      <c r="J65" s="66"/>
      <c r="K65" s="66"/>
      <c r="L65" s="30"/>
      <c r="M65" s="76"/>
      <c r="N65" s="76"/>
      <c r="O65" s="22"/>
      <c r="P65" t="s">
        <v>71</v>
      </c>
      <c r="Q65" s="21">
        <f>'Tertiaire hors chauffage'!S125</f>
        <v>0</v>
      </c>
      <c r="R65" s="22">
        <v>0.20000000000000001</v>
      </c>
      <c r="S65" s="22">
        <v>0.14999999999999999</v>
      </c>
      <c r="T65" s="22">
        <v>0.10000000000000001</v>
      </c>
      <c r="U65" s="22">
        <v>0.050000000000000003</v>
      </c>
      <c r="V65" s="21">
        <v>0.050000000000000003</v>
      </c>
      <c r="X65" s="94"/>
      <c r="Y65" s="4">
        <f t="shared" si="45"/>
        <v>2035</v>
      </c>
      <c r="Z65" s="19">
        <v>0.85827527508212598</v>
      </c>
      <c r="AA65" s="19"/>
      <c r="AB65" s="19"/>
      <c r="AC65" s="19"/>
      <c r="AD65" s="19">
        <v>0</v>
      </c>
      <c r="AE65" s="19">
        <v>0.141724724917874</v>
      </c>
      <c r="AF65" s="4"/>
      <c r="AG65" s="4"/>
      <c r="AH65" s="4"/>
      <c r="AI65" s="97"/>
    </row>
    <row r="66">
      <c r="A66" s="29"/>
      <c r="B66" s="66">
        <f t="shared" si="43"/>
        <v>2045</v>
      </c>
      <c r="C66" s="41">
        <f>(C65+C67)/2</f>
        <v>0.81374999999999997</v>
      </c>
      <c r="D66" s="66"/>
      <c r="E66" s="41"/>
      <c r="F66" s="66"/>
      <c r="G66" s="41">
        <v>0.023699999999999999</v>
      </c>
      <c r="H66" s="41">
        <f>(H65+H67)/2</f>
        <v>0.16249999999999998</v>
      </c>
      <c r="I66" s="66"/>
      <c r="J66" s="66"/>
      <c r="K66" s="66"/>
      <c r="L66" s="30"/>
      <c r="M66" s="76"/>
      <c r="N66" s="76"/>
      <c r="O66" s="22"/>
      <c r="P66" t="s">
        <v>332</v>
      </c>
      <c r="Q66" s="21">
        <f>'Tertiaire hors chauffage'!S126</f>
        <v>0</v>
      </c>
      <c r="R66" s="22">
        <v>0.47999999999999998</v>
      </c>
      <c r="S66" s="22">
        <f>1-S64-S65</f>
        <v>0.60999999999999999</v>
      </c>
      <c r="T66" s="22">
        <f>1-T64-T65</f>
        <v>0.69000000000000006</v>
      </c>
      <c r="U66" s="22">
        <f>1-U64-U65</f>
        <v>0.75</v>
      </c>
      <c r="V66" s="21">
        <v>0.80000000000000004</v>
      </c>
      <c r="X66" s="94"/>
      <c r="Y66" s="4">
        <f t="shared" si="45"/>
        <v>2040</v>
      </c>
      <c r="Z66" s="19">
        <v>0.87859994214450898</v>
      </c>
      <c r="AA66" s="19"/>
      <c r="AB66" s="19"/>
      <c r="AC66" s="19"/>
      <c r="AD66" s="19">
        <v>0</v>
      </c>
      <c r="AE66" s="19">
        <v>0.121400057855491</v>
      </c>
      <c r="AF66" s="4"/>
      <c r="AG66" s="4"/>
      <c r="AH66" s="4"/>
      <c r="AI66" s="97"/>
    </row>
    <row r="67">
      <c r="A67" s="29"/>
      <c r="B67" s="66">
        <f t="shared" si="43"/>
        <v>2050</v>
      </c>
      <c r="C67" s="41">
        <v>0.82999999999999996</v>
      </c>
      <c r="D67" s="66"/>
      <c r="E67" s="41"/>
      <c r="F67" s="66"/>
      <c r="G67" s="41">
        <v>0.02</v>
      </c>
      <c r="H67" s="41">
        <v>0.14999999999999999</v>
      </c>
      <c r="I67" s="66"/>
      <c r="J67" s="66"/>
      <c r="K67" s="66"/>
      <c r="L67" s="30"/>
      <c r="M67" s="76"/>
      <c r="N67" s="76"/>
      <c r="O67" s="22"/>
      <c r="X67" s="94"/>
      <c r="Y67" s="4">
        <f t="shared" si="45"/>
        <v>2045</v>
      </c>
      <c r="Z67" s="19">
        <v>0.90114890178043205</v>
      </c>
      <c r="AA67" s="19"/>
      <c r="AB67" s="19"/>
      <c r="AC67" s="19"/>
      <c r="AD67" s="19">
        <v>0</v>
      </c>
      <c r="AE67" s="19">
        <v>0.098851098219568098</v>
      </c>
      <c r="AF67" s="4"/>
      <c r="AG67" s="4"/>
      <c r="AH67" s="4"/>
      <c r="AI67" s="97"/>
    </row>
    <row r="68">
      <c r="X68" s="94"/>
      <c r="Y68" s="98">
        <f t="shared" si="45"/>
        <v>2050</v>
      </c>
      <c r="Z68" s="99">
        <v>0.92564409863252595</v>
      </c>
      <c r="AA68" s="99"/>
      <c r="AB68" s="99"/>
      <c r="AC68" s="99"/>
      <c r="AD68" s="99">
        <v>0</v>
      </c>
      <c r="AE68" s="99">
        <v>0.074355901367473998</v>
      </c>
      <c r="AF68" s="98"/>
      <c r="AG68" s="98"/>
      <c r="AH68" s="98"/>
      <c r="AI68" s="100"/>
    </row>
  </sheetData>
  <mergeCells count="23">
    <mergeCell ref="A61:A67"/>
    <mergeCell ref="M61:N67"/>
    <mergeCell ref="X62:X68"/>
    <mergeCell ref="A45:A51"/>
    <mergeCell ref="M45:N51"/>
    <mergeCell ref="A54:A60"/>
    <mergeCell ref="M54:N60"/>
    <mergeCell ref="X54:X60"/>
    <mergeCell ref="O34:O35"/>
    <mergeCell ref="A38:A44"/>
    <mergeCell ref="M38:N44"/>
    <mergeCell ref="O38:O40"/>
    <mergeCell ref="O42:O44"/>
    <mergeCell ref="W11:X11"/>
    <mergeCell ref="Y11:Z11"/>
    <mergeCell ref="AA11:AB11"/>
    <mergeCell ref="B28:F28"/>
    <mergeCell ref="O32:O33"/>
    <mergeCell ref="H2:K2"/>
    <mergeCell ref="B3:F3"/>
    <mergeCell ref="C5:F5"/>
    <mergeCell ref="H5:I5"/>
    <mergeCell ref="U11:V11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&amp;C&amp;"Arial,Normal"&amp;10&amp;A</oddHeader>
    <oddFooter>&amp;C&amp;"Arial,Normal"&amp;10Page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H12" activeCellId="0" sqref="H12"/>
    </sheetView>
  </sheetViews>
  <sheetFormatPr baseColWidth="10" defaultColWidth="9.140625" defaultRowHeight="15"/>
  <cols>
    <col customWidth="1" min="2" max="2" width="21.7109375"/>
    <col customWidth="1" min="3" max="6" width="14.42578125"/>
    <col customWidth="1" min="10" max="10" width="25.7109375"/>
    <col customWidth="1" min="11" max="11" width="16.28515625"/>
    <col customWidth="1" min="12" max="12" width="46"/>
    <col customWidth="1" min="14" max="15" width="25.140625"/>
  </cols>
  <sheetData>
    <row r="3" ht="18">
      <c r="B3" s="1" t="s">
        <v>337</v>
      </c>
      <c r="C3" s="1"/>
      <c r="D3" s="1"/>
      <c r="E3" s="1"/>
    </row>
    <row r="5">
      <c r="C5" s="4">
        <v>2020</v>
      </c>
      <c r="D5" s="4">
        <v>2025</v>
      </c>
      <c r="E5" s="4">
        <v>2030</v>
      </c>
      <c r="F5" s="4">
        <v>2035</v>
      </c>
      <c r="G5" s="4">
        <v>2040</v>
      </c>
      <c r="H5" s="4">
        <v>2045</v>
      </c>
      <c r="I5" s="4">
        <v>2050</v>
      </c>
      <c r="J5" t="s">
        <v>338</v>
      </c>
    </row>
    <row r="6">
      <c r="B6" s="4" t="s">
        <v>339</v>
      </c>
      <c r="C6" s="102">
        <v>0.0020390098754221402</v>
      </c>
      <c r="D6" s="102">
        <v>0.00207720908007381</v>
      </c>
      <c r="E6" s="102">
        <v>0.0021199722308859999</v>
      </c>
      <c r="F6" s="102">
        <v>0.0028618714888863899</v>
      </c>
      <c r="G6" s="102">
        <v>-0.00042992623868232099</v>
      </c>
      <c r="H6" s="102">
        <v>-0.00031257285838581799</v>
      </c>
      <c r="I6" s="102">
        <v>-0.0017883398404330299</v>
      </c>
    </row>
    <row r="7">
      <c r="B7" s="4" t="s">
        <v>340</v>
      </c>
      <c r="C7" s="103"/>
      <c r="D7" s="104">
        <v>1.00207720908007</v>
      </c>
      <c r="E7" s="104">
        <v>1.00211997223089</v>
      </c>
      <c r="F7" s="104">
        <v>1.0028618714888899</v>
      </c>
      <c r="G7" s="104">
        <v>0.99957007376131801</v>
      </c>
      <c r="H7" s="104">
        <v>0.99968742714161396</v>
      </c>
      <c r="I7" s="104">
        <v>0.99821166015956697</v>
      </c>
    </row>
    <row r="10">
      <c r="B10" s="105" t="s">
        <v>341</v>
      </c>
      <c r="C10" s="106" t="s">
        <v>342</v>
      </c>
      <c r="D10" s="106" t="s">
        <v>178</v>
      </c>
      <c r="E10" s="106" t="s">
        <v>179</v>
      </c>
      <c r="F10" s="106" t="s">
        <v>62</v>
      </c>
    </row>
    <row r="11">
      <c r="B11" s="107" t="s">
        <v>343</v>
      </c>
      <c r="C11" s="108">
        <v>9313601.9835946597</v>
      </c>
      <c r="D11" s="108">
        <v>9510912.5147780292</v>
      </c>
      <c r="E11" s="108">
        <v>9627067.4044512901</v>
      </c>
      <c r="F11" s="108">
        <v>9526389.9762692396</v>
      </c>
    </row>
    <row r="12">
      <c r="B12" s="107" t="s">
        <v>344</v>
      </c>
      <c r="C12" s="108">
        <v>1090935.68403428</v>
      </c>
      <c r="D12" s="108">
        <v>1114047.37591061</v>
      </c>
      <c r="E12" s="108">
        <v>1127653.0157310399</v>
      </c>
      <c r="F12" s="108">
        <v>1115860.30661871</v>
      </c>
    </row>
    <row r="13">
      <c r="B13" s="107" t="s">
        <v>345</v>
      </c>
      <c r="C13" s="108">
        <v>3260805.2316419799</v>
      </c>
      <c r="D13" s="108">
        <v>3329886.0462907101</v>
      </c>
      <c r="E13" s="108">
        <v>3370553.28465827</v>
      </c>
      <c r="F13" s="108">
        <v>3335304.8936380702</v>
      </c>
    </row>
    <row r="14">
      <c r="B14" s="107" t="s">
        <v>346</v>
      </c>
      <c r="C14" s="108">
        <v>1872271.27951675</v>
      </c>
      <c r="D14" s="108">
        <v>1911935.72312638</v>
      </c>
      <c r="E14" s="108">
        <v>1935285.81520608</v>
      </c>
      <c r="F14" s="108">
        <v>1915047.0872023699</v>
      </c>
    </row>
    <row r="15">
      <c r="B15" s="107" t="s">
        <v>347</v>
      </c>
      <c r="C15" s="108">
        <v>1926168.21261073</v>
      </c>
      <c r="D15" s="108">
        <v>1966974.47358776</v>
      </c>
      <c r="E15" s="108">
        <v>1990996.74301929</v>
      </c>
      <c r="F15" s="108">
        <v>1970175.40426838</v>
      </c>
    </row>
    <row r="16">
      <c r="B16" s="107" t="s">
        <v>348</v>
      </c>
      <c r="C16" s="108">
        <v>2610934.7118959101</v>
      </c>
      <c r="D16" s="108">
        <v>2666247.88888122</v>
      </c>
      <c r="E16" s="108">
        <v>2698810.2459519398</v>
      </c>
      <c r="F16" s="108">
        <v>2670586.77318512</v>
      </c>
    </row>
    <row r="17">
      <c r="B17" s="107" t="s">
        <v>349</v>
      </c>
      <c r="C17" s="108">
        <v>306554.62184873997</v>
      </c>
      <c r="D17" s="108">
        <v>313049.04316717602</v>
      </c>
      <c r="E17" s="108">
        <v>316872.24909141398</v>
      </c>
      <c r="F17" s="108">
        <v>313558.47951231699</v>
      </c>
    </row>
    <row r="18">
      <c r="B18" s="107" t="s">
        <v>350</v>
      </c>
      <c r="C18" s="108">
        <v>1422107.0846039299</v>
      </c>
      <c r="D18" s="108">
        <v>1452234.70920686</v>
      </c>
      <c r="E18" s="108">
        <v>1469970.56390697</v>
      </c>
      <c r="F18" s="108">
        <v>1454597.9847341001</v>
      </c>
    </row>
    <row r="21" ht="18">
      <c r="B21" s="1" t="s">
        <v>351</v>
      </c>
      <c r="C21" s="1"/>
      <c r="D21" s="1"/>
      <c r="E21" s="1"/>
    </row>
    <row r="24" ht="75">
      <c r="B24" s="109" t="s">
        <v>53</v>
      </c>
      <c r="C24" s="110" t="s">
        <v>352</v>
      </c>
      <c r="D24" s="111" t="s">
        <v>353</v>
      </c>
      <c r="E24" s="112" t="s">
        <v>354</v>
      </c>
      <c r="F24" s="112" t="s">
        <v>355</v>
      </c>
      <c r="J24" s="4" t="s">
        <v>356</v>
      </c>
      <c r="K24" s="4"/>
      <c r="L24" s="106" t="s">
        <v>357</v>
      </c>
      <c r="P24" s="113" t="s">
        <v>178</v>
      </c>
      <c r="Q24" s="113" t="s">
        <v>179</v>
      </c>
      <c r="R24" s="113" t="s">
        <v>62</v>
      </c>
    </row>
    <row r="25" ht="45">
      <c r="B25" s="107" t="s">
        <v>343</v>
      </c>
      <c r="C25" s="114">
        <v>234167.92101999701</v>
      </c>
      <c r="D25" s="115">
        <v>0.42703713968075602</v>
      </c>
      <c r="E25" s="116">
        <v>9313601.9835946597</v>
      </c>
      <c r="F25" s="116">
        <v>25.142573349437701</v>
      </c>
      <c r="J25" s="107" t="s">
        <v>358</v>
      </c>
      <c r="K25" s="4">
        <v>0.998</v>
      </c>
      <c r="L25" s="8" t="s">
        <v>359</v>
      </c>
      <c r="O25" s="107" t="s">
        <v>343</v>
      </c>
      <c r="P25" s="117">
        <v>25.0922882027388</v>
      </c>
      <c r="Q25" s="117">
        <v>24.5949350460719</v>
      </c>
      <c r="R25" s="117">
        <v>24.107439904762099</v>
      </c>
    </row>
    <row r="26">
      <c r="B26" s="107" t="s">
        <v>344</v>
      </c>
      <c r="C26" s="118">
        <v>58010.279829999701</v>
      </c>
      <c r="D26" s="115">
        <v>0.050020395428779098</v>
      </c>
      <c r="E26" s="119">
        <v>1090935.68403428</v>
      </c>
      <c r="F26" s="116">
        <v>53.1747936005521</v>
      </c>
      <c r="J26" s="120" t="s">
        <v>360</v>
      </c>
      <c r="K26" s="4">
        <v>1</v>
      </c>
      <c r="L26" s="8"/>
      <c r="O26" s="107" t="s">
        <v>344</v>
      </c>
      <c r="P26" s="117">
        <v>53.1747936005521</v>
      </c>
      <c r="Q26" s="117">
        <v>53.1747936005521</v>
      </c>
      <c r="R26" s="117">
        <v>53.1747936005521</v>
      </c>
    </row>
    <row r="27">
      <c r="B27" s="107" t="s">
        <v>345</v>
      </c>
      <c r="C27" s="118">
        <v>196121.59098000301</v>
      </c>
      <c r="D27" s="115">
        <v>0.149510891879341</v>
      </c>
      <c r="E27" s="119">
        <v>3260805.2316419799</v>
      </c>
      <c r="F27" s="116">
        <v>60.145141168473202</v>
      </c>
      <c r="J27" s="120" t="s">
        <v>361</v>
      </c>
      <c r="K27" s="4">
        <v>1.0029999999999999</v>
      </c>
      <c r="L27" s="8" t="s">
        <v>362</v>
      </c>
      <c r="O27" s="107" t="s">
        <v>345</v>
      </c>
      <c r="P27" s="117">
        <v>60.325576591978603</v>
      </c>
      <c r="Q27" s="117">
        <v>60.506553321754502</v>
      </c>
      <c r="R27" s="117">
        <v>60.688072981719799</v>
      </c>
    </row>
    <row r="28" ht="30">
      <c r="B28" s="107" t="s">
        <v>346</v>
      </c>
      <c r="C28" s="118">
        <v>234402.67068999901</v>
      </c>
      <c r="D28" s="115">
        <v>0.085845344617429806</v>
      </c>
      <c r="E28" s="119">
        <v>1872271.27951675</v>
      </c>
      <c r="F28" s="116">
        <v>125.196959038169</v>
      </c>
      <c r="J28" s="120" t="s">
        <v>363</v>
      </c>
      <c r="K28" s="4">
        <v>1</v>
      </c>
      <c r="L28" s="8"/>
      <c r="O28" s="107" t="s">
        <v>346</v>
      </c>
      <c r="P28" s="117">
        <v>125.196959038169</v>
      </c>
      <c r="Q28" s="117">
        <v>125.196959038169</v>
      </c>
      <c r="R28" s="117">
        <v>125.196959038169</v>
      </c>
    </row>
    <row r="29">
      <c r="B29" s="107" t="s">
        <v>347</v>
      </c>
      <c r="C29" s="118">
        <v>71786.848419999893</v>
      </c>
      <c r="D29" s="115">
        <v>0.088316568123283104</v>
      </c>
      <c r="E29" s="119">
        <v>1926168.21261073</v>
      </c>
      <c r="F29" s="116">
        <v>37.269251953182099</v>
      </c>
      <c r="J29" s="107" t="s">
        <v>364</v>
      </c>
      <c r="K29" s="4">
        <v>1.0029999999999999</v>
      </c>
      <c r="L29" s="8" t="s">
        <v>365</v>
      </c>
      <c r="O29" s="107" t="s">
        <v>347</v>
      </c>
      <c r="P29" s="117">
        <v>37.381059709041601</v>
      </c>
      <c r="Q29" s="117">
        <v>37.493202888168803</v>
      </c>
      <c r="R29" s="117">
        <v>37.605682496833303</v>
      </c>
    </row>
    <row r="30">
      <c r="B30" s="107" t="s">
        <v>348</v>
      </c>
      <c r="C30" s="118">
        <v>113612.79024</v>
      </c>
      <c r="D30" s="115">
        <v>0.119713736234936</v>
      </c>
      <c r="E30" s="119">
        <v>2610934.7118959101</v>
      </c>
      <c r="F30" s="116">
        <v>43.514221065106902</v>
      </c>
      <c r="J30" s="107" t="s">
        <v>366</v>
      </c>
      <c r="K30" s="4">
        <v>1.0049999999999999</v>
      </c>
      <c r="L30" s="8" t="s">
        <v>367</v>
      </c>
      <c r="O30" s="107" t="s">
        <v>348</v>
      </c>
      <c r="P30" s="117">
        <v>43.731792170432399</v>
      </c>
      <c r="Q30" s="117">
        <v>45.968241796408698</v>
      </c>
      <c r="R30" s="117">
        <v>48.319063751560002</v>
      </c>
    </row>
    <row r="31">
      <c r="B31" s="107" t="s">
        <v>349</v>
      </c>
      <c r="C31" s="118">
        <v>79312.648260000205</v>
      </c>
      <c r="D31" s="115">
        <v>0.0140558088160512</v>
      </c>
      <c r="E31" s="119">
        <v>306554.62184873997</v>
      </c>
      <c r="F31" s="116">
        <v>258.722728699014</v>
      </c>
      <c r="J31" s="120" t="s">
        <v>368</v>
      </c>
      <c r="K31" s="4">
        <v>1</v>
      </c>
      <c r="L31" s="8"/>
      <c r="O31" s="107" t="s">
        <v>349</v>
      </c>
      <c r="P31" s="117">
        <v>258.722728699014</v>
      </c>
      <c r="Q31" s="117">
        <v>258.722728699014</v>
      </c>
      <c r="R31" s="117">
        <v>258.722728699014</v>
      </c>
    </row>
    <row r="32">
      <c r="B32" s="107" t="s">
        <v>350</v>
      </c>
      <c r="C32" s="118">
        <v>19004.924760000202</v>
      </c>
      <c r="D32" s="115">
        <v>0.065204905985751696</v>
      </c>
      <c r="E32" s="119">
        <v>1422107.0846039299</v>
      </c>
      <c r="F32" s="116">
        <v>13.363919613193801</v>
      </c>
      <c r="J32" s="120" t="s">
        <v>369</v>
      </c>
      <c r="K32" s="4">
        <v>1</v>
      </c>
      <c r="L32" s="8"/>
      <c r="O32" s="107" t="s">
        <v>350</v>
      </c>
      <c r="P32" s="117">
        <v>13.363919613193801</v>
      </c>
      <c r="Q32" s="117">
        <v>13.363919613193801</v>
      </c>
      <c r="R32" s="117">
        <v>13.363919613193801</v>
      </c>
    </row>
    <row r="35">
      <c r="J35" s="4" t="s">
        <v>370</v>
      </c>
      <c r="K35" s="4"/>
      <c r="L35" s="106" t="s">
        <v>357</v>
      </c>
      <c r="P35" s="113" t="s">
        <v>178</v>
      </c>
      <c r="Q35" s="113" t="s">
        <v>179</v>
      </c>
      <c r="R35" s="113" t="s">
        <v>62</v>
      </c>
    </row>
    <row r="36" ht="45">
      <c r="J36" s="107" t="s">
        <v>358</v>
      </c>
      <c r="K36" s="121">
        <v>0.996</v>
      </c>
      <c r="L36" s="122" t="s">
        <v>371</v>
      </c>
      <c r="O36" s="107" t="s">
        <v>343</v>
      </c>
      <c r="P36" s="117">
        <v>25.042003056039899</v>
      </c>
      <c r="Q36" s="117">
        <v>24.0581621932327</v>
      </c>
      <c r="R36" s="117">
        <v>23.112974102776199</v>
      </c>
    </row>
    <row r="37">
      <c r="J37" s="120" t="s">
        <v>360</v>
      </c>
      <c r="K37" s="121">
        <v>1</v>
      </c>
      <c r="L37" s="122"/>
      <c r="O37" s="107" t="s">
        <v>344</v>
      </c>
      <c r="P37" s="117">
        <v>53.1747936005521</v>
      </c>
      <c r="Q37" s="117">
        <v>53.1747936005521</v>
      </c>
      <c r="R37" s="117">
        <v>53.1747936005521</v>
      </c>
    </row>
    <row r="38">
      <c r="J38" s="120" t="s">
        <v>361</v>
      </c>
      <c r="K38" s="121">
        <v>1</v>
      </c>
      <c r="L38" s="122"/>
      <c r="O38" s="107" t="s">
        <v>345</v>
      </c>
      <c r="P38" s="117">
        <v>60.145141168473202</v>
      </c>
      <c r="Q38" s="117">
        <v>60.145141168473202</v>
      </c>
      <c r="R38" s="117">
        <v>60.145141168473202</v>
      </c>
    </row>
    <row r="39" ht="30">
      <c r="J39" s="120" t="s">
        <v>363</v>
      </c>
      <c r="K39" s="121">
        <v>1</v>
      </c>
      <c r="L39" s="122"/>
      <c r="O39" s="107" t="s">
        <v>346</v>
      </c>
      <c r="P39" s="117">
        <v>125.196959038169</v>
      </c>
      <c r="Q39" s="117">
        <v>125.196959038169</v>
      </c>
      <c r="R39" s="117">
        <v>125.196959038169</v>
      </c>
    </row>
    <row r="40">
      <c r="J40" s="107" t="s">
        <v>364</v>
      </c>
      <c r="K40" s="121">
        <v>1.0009999999999999</v>
      </c>
      <c r="L40" s="122" t="s">
        <v>372</v>
      </c>
      <c r="O40" s="107" t="s">
        <v>347</v>
      </c>
      <c r="P40" s="117">
        <v>37.306521205135297</v>
      </c>
      <c r="Q40" s="117">
        <v>37.3438277263404</v>
      </c>
      <c r="R40" s="117">
        <v>37.381171554066697</v>
      </c>
    </row>
    <row r="41">
      <c r="J41" s="107" t="s">
        <v>366</v>
      </c>
      <c r="K41" s="121">
        <v>1.0049999999999999</v>
      </c>
      <c r="L41" s="122" t="s">
        <v>367</v>
      </c>
      <c r="O41" s="107" t="s">
        <v>348</v>
      </c>
      <c r="P41" s="117">
        <v>43.731792170432399</v>
      </c>
      <c r="Q41" s="117">
        <v>45.968241796408698</v>
      </c>
      <c r="R41" s="117">
        <v>48.319063751560002</v>
      </c>
    </row>
    <row r="42">
      <c r="J42" s="120" t="s">
        <v>368</v>
      </c>
      <c r="K42" s="121">
        <v>1</v>
      </c>
      <c r="L42" s="122"/>
      <c r="O42" s="107" t="s">
        <v>349</v>
      </c>
      <c r="P42" s="117">
        <v>258.722728699014</v>
      </c>
      <c r="Q42" s="117">
        <v>258.722728699014</v>
      </c>
      <c r="R42" s="117">
        <v>258.722728699014</v>
      </c>
    </row>
    <row r="43">
      <c r="J43" s="120" t="s">
        <v>369</v>
      </c>
      <c r="K43" s="121">
        <v>1</v>
      </c>
      <c r="L43" s="122"/>
      <c r="O43" s="107" t="s">
        <v>350</v>
      </c>
      <c r="P43" s="117">
        <v>13.363919613193801</v>
      </c>
      <c r="Q43" s="117">
        <v>13.363919613193801</v>
      </c>
      <c r="R43" s="117">
        <v>13.363919613193801</v>
      </c>
    </row>
    <row r="45" ht="18">
      <c r="B45" s="1" t="s">
        <v>373</v>
      </c>
      <c r="C45" s="1"/>
      <c r="D45" s="1"/>
      <c r="E45" s="1"/>
    </row>
    <row r="47">
      <c r="B47" t="s">
        <v>374</v>
      </c>
      <c r="J47" s="123" t="s">
        <v>375</v>
      </c>
      <c r="O47" s="123" t="s">
        <v>376</v>
      </c>
    </row>
    <row r="48">
      <c r="C48" s="124" t="s">
        <v>377</v>
      </c>
      <c r="D48" s="113" t="s">
        <v>178</v>
      </c>
      <c r="E48" s="113" t="s">
        <v>179</v>
      </c>
      <c r="F48" s="113" t="s">
        <v>62</v>
      </c>
      <c r="J48" s="125" t="s">
        <v>378</v>
      </c>
      <c r="K48" s="126" t="s">
        <v>178</v>
      </c>
      <c r="L48" s="126" t="s">
        <v>179</v>
      </c>
      <c r="M48" s="126" t="s">
        <v>62</v>
      </c>
      <c r="O48" s="125" t="s">
        <v>378</v>
      </c>
      <c r="P48" s="126" t="s">
        <v>178</v>
      </c>
      <c r="Q48" s="126" t="s">
        <v>179</v>
      </c>
      <c r="R48" s="126" t="s">
        <v>62</v>
      </c>
    </row>
    <row r="49">
      <c r="B49" s="127" t="s">
        <v>343</v>
      </c>
      <c r="C49" s="128">
        <v>234167.92101999701</v>
      </c>
      <c r="D49" s="128">
        <v>238650.557891845</v>
      </c>
      <c r="E49" s="128">
        <v>236777.09749663499</v>
      </c>
      <c r="F49" s="128">
        <v>229656.87386223901</v>
      </c>
      <c r="J49" s="129" t="s">
        <v>343</v>
      </c>
      <c r="K49" s="130">
        <v>0.0037995825718915</v>
      </c>
      <c r="L49" s="130">
        <v>-0.0015749982800076199</v>
      </c>
      <c r="M49" s="130">
        <v>-0.0060879606988887298</v>
      </c>
      <c r="O49" s="129" t="s">
        <v>343</v>
      </c>
      <c r="P49" s="131">
        <v>0.00216</v>
      </c>
      <c r="Q49" s="131">
        <v>0.00216</v>
      </c>
      <c r="R49" s="131">
        <v>0.00216</v>
      </c>
    </row>
    <row r="50">
      <c r="B50" s="127" t="s">
        <v>344</v>
      </c>
      <c r="C50" s="132">
        <v>58010.279829999701</v>
      </c>
      <c r="D50" s="128">
        <v>59239.239275283602</v>
      </c>
      <c r="E50" s="128">
        <v>59962.716364538297</v>
      </c>
      <c r="F50" s="128">
        <v>59335.641491498602</v>
      </c>
      <c r="J50" s="133" t="s">
        <v>344</v>
      </c>
      <c r="K50" s="130">
        <v>0.0042015849365273396</v>
      </c>
      <c r="L50" s="130">
        <v>0.0024307148565592099</v>
      </c>
      <c r="M50" s="130">
        <v>-0.0021003537123232001</v>
      </c>
      <c r="O50" s="133" t="s">
        <v>344</v>
      </c>
      <c r="P50" s="131">
        <v>0.0028800000000000002</v>
      </c>
      <c r="Q50" s="131">
        <v>0.0028800000000000002</v>
      </c>
      <c r="R50" s="131">
        <v>0.0028800000000000002</v>
      </c>
    </row>
    <row r="51">
      <c r="B51" s="127" t="s">
        <v>345</v>
      </c>
      <c r="C51" s="132">
        <v>196121.59098000301</v>
      </c>
      <c r="D51" s="128">
        <v>200877.29572807101</v>
      </c>
      <c r="E51" s="128">
        <v>203940.56204198999</v>
      </c>
      <c r="F51" s="128">
        <v>202413.22680139399</v>
      </c>
      <c r="J51" s="133" t="s">
        <v>345</v>
      </c>
      <c r="K51" s="130">
        <v>0.0048033841610663998</v>
      </c>
      <c r="L51" s="130">
        <v>0.0030314528317867402</v>
      </c>
      <c r="M51" s="130">
        <v>-0.0015023311217277099</v>
      </c>
      <c r="O51" s="133" t="s">
        <v>345</v>
      </c>
      <c r="P51" s="131">
        <v>0.00464</v>
      </c>
      <c r="Q51" s="131">
        <v>0.00464</v>
      </c>
      <c r="R51" s="131">
        <v>0.00464</v>
      </c>
    </row>
    <row r="52">
      <c r="B52" s="127" t="s">
        <v>346</v>
      </c>
      <c r="C52" s="132">
        <v>234402.67068999901</v>
      </c>
      <c r="D52" s="128">
        <v>239368.538411866</v>
      </c>
      <c r="E52" s="128">
        <v>242291.89893350599</v>
      </c>
      <c r="F52" s="128">
        <v>239758.07173264</v>
      </c>
      <c r="J52" s="133" t="s">
        <v>346</v>
      </c>
      <c r="K52" s="130">
        <v>0.0042015849365273396</v>
      </c>
      <c r="L52" s="130">
        <v>0.0024307148565592099</v>
      </c>
      <c r="M52" s="130">
        <v>-0.0021003537123232001</v>
      </c>
      <c r="O52" s="133" t="s">
        <v>346</v>
      </c>
      <c r="P52" s="131">
        <v>0.0020122074695686099</v>
      </c>
      <c r="Q52" s="131">
        <v>0.0020122074695686099</v>
      </c>
      <c r="R52" s="131">
        <v>0.0020122074695686099</v>
      </c>
    </row>
    <row r="53">
      <c r="B53" s="127" t="s">
        <v>347</v>
      </c>
      <c r="C53" s="132">
        <v>71786.848419999893</v>
      </c>
      <c r="D53" s="128">
        <v>73527.590243344996</v>
      </c>
      <c r="E53" s="128">
        <v>74648.844835705604</v>
      </c>
      <c r="F53" s="128">
        <v>74089.790715986601</v>
      </c>
      <c r="J53" s="133" t="s">
        <v>379</v>
      </c>
      <c r="K53" s="130">
        <v>0.0048033841610663998</v>
      </c>
      <c r="L53" s="130">
        <v>0.0030314528317867402</v>
      </c>
      <c r="M53" s="130">
        <v>-0.0015023311217276</v>
      </c>
      <c r="O53" s="133" t="s">
        <v>379</v>
      </c>
      <c r="P53" s="131">
        <v>0.00284961264301354</v>
      </c>
      <c r="Q53" s="131">
        <v>0.00284961264301354</v>
      </c>
      <c r="R53" s="131">
        <v>0.00284961264301354</v>
      </c>
    </row>
    <row r="54">
      <c r="B54" s="127" t="s">
        <v>348</v>
      </c>
      <c r="C54" s="132">
        <v>113612.79024</v>
      </c>
      <c r="D54" s="128">
        <v>116599.79855140801</v>
      </c>
      <c r="E54" s="128">
        <v>124059.561948544</v>
      </c>
      <c r="F54" s="128">
        <v>129040.25254760501</v>
      </c>
      <c r="J54" s="133" t="s">
        <v>348</v>
      </c>
      <c r="K54" s="130">
        <v>0.0052037841224949997</v>
      </c>
      <c r="L54" s="130">
        <v>0.012480082772996099</v>
      </c>
      <c r="M54" s="130">
        <v>0.0079035902417106101</v>
      </c>
      <c r="O54" s="133" t="s">
        <v>348</v>
      </c>
      <c r="P54" s="131">
        <v>0.0025858544720225802</v>
      </c>
      <c r="Q54" s="131">
        <v>0.0025858544720225802</v>
      </c>
      <c r="R54" s="131">
        <v>0.0025858544720225802</v>
      </c>
    </row>
    <row r="55">
      <c r="B55" s="127" t="s">
        <v>349</v>
      </c>
      <c r="C55" s="132">
        <v>79312.648260000205</v>
      </c>
      <c r="D55" s="128">
        <v>80992.902664827197</v>
      </c>
      <c r="E55" s="128">
        <v>81982.052933924104</v>
      </c>
      <c r="F55" s="128">
        <v>81124.705426140499</v>
      </c>
      <c r="J55" s="133" t="s">
        <v>349</v>
      </c>
      <c r="K55" s="130">
        <v>0.0042015849365273396</v>
      </c>
      <c r="L55" s="130">
        <v>0.0024307148565592099</v>
      </c>
      <c r="M55" s="130">
        <v>-0.0021003537123232001</v>
      </c>
      <c r="O55" s="133" t="s">
        <v>349</v>
      </c>
      <c r="P55" s="131">
        <v>0.0020122074695686099</v>
      </c>
      <c r="Q55" s="131">
        <v>0.0020122074695686099</v>
      </c>
      <c r="R55" s="131">
        <v>0.0020122074695686099</v>
      </c>
    </row>
    <row r="56">
      <c r="B56" s="127" t="s">
        <v>350</v>
      </c>
      <c r="C56" s="132">
        <v>19004.924760000202</v>
      </c>
      <c r="D56" s="128">
        <v>19407.547913330302</v>
      </c>
      <c r="E56" s="128">
        <v>19644.568449813902</v>
      </c>
      <c r="F56" s="128">
        <v>19439.130537500201</v>
      </c>
      <c r="J56" s="133" t="s">
        <v>350</v>
      </c>
      <c r="K56" s="130">
        <v>0.0042015849365273396</v>
      </c>
      <c r="L56" s="130">
        <v>0.0024307148565592099</v>
      </c>
      <c r="M56" s="130">
        <v>-0.00210035371232309</v>
      </c>
      <c r="O56" s="133" t="s">
        <v>350</v>
      </c>
      <c r="P56" s="131">
        <v>0.0025999999999999999</v>
      </c>
      <c r="Q56" s="131">
        <v>0.0025999999999999999</v>
      </c>
      <c r="R56" s="131">
        <v>0.0025999999999999999</v>
      </c>
    </row>
    <row r="57">
      <c r="B57" s="134" t="s">
        <v>336</v>
      </c>
      <c r="C57" s="128">
        <f>SUM(C49:C56)</f>
        <v>1006419.674199999</v>
      </c>
      <c r="D57" s="128">
        <v>1028663.47067998</v>
      </c>
      <c r="E57" s="128">
        <v>1043307.3030046599</v>
      </c>
      <c r="F57" s="128">
        <v>1034857.693115</v>
      </c>
    </row>
    <row r="59">
      <c r="B59" t="s">
        <v>380</v>
      </c>
    </row>
    <row r="60">
      <c r="C60" s="124" t="s">
        <v>377</v>
      </c>
      <c r="D60" s="113" t="s">
        <v>178</v>
      </c>
      <c r="E60" s="113" t="s">
        <v>179</v>
      </c>
      <c r="F60" s="113" t="s">
        <v>62</v>
      </c>
      <c r="J60" s="123" t="s">
        <v>375</v>
      </c>
      <c r="O60" s="123" t="s">
        <v>376</v>
      </c>
    </row>
    <row r="61">
      <c r="B61" s="127" t="s">
        <v>343</v>
      </c>
      <c r="C61" s="128">
        <v>234167.92101999701</v>
      </c>
      <c r="D61" s="128">
        <v>235318.55213146799</v>
      </c>
      <c r="E61" s="128">
        <v>227744.39245668499</v>
      </c>
      <c r="F61" s="128">
        <v>215698.95406219899</v>
      </c>
      <c r="J61" s="125" t="s">
        <v>378</v>
      </c>
      <c r="K61" s="126" t="s">
        <v>178</v>
      </c>
      <c r="L61" s="126" t="s">
        <v>179</v>
      </c>
      <c r="M61" s="126" t="s">
        <v>62</v>
      </c>
      <c r="O61" s="125" t="s">
        <v>378</v>
      </c>
      <c r="P61" s="126" t="s">
        <v>178</v>
      </c>
      <c r="Q61" s="126" t="s">
        <v>179</v>
      </c>
      <c r="R61" s="126" t="s">
        <v>62</v>
      </c>
    </row>
    <row r="62">
      <c r="B62" s="127" t="s">
        <v>344</v>
      </c>
      <c r="C62" s="132">
        <v>58010.279829999701</v>
      </c>
      <c r="D62" s="128">
        <v>58529.442762088103</v>
      </c>
      <c r="E62" s="128">
        <v>58962.043939171701</v>
      </c>
      <c r="F62" s="128">
        <v>58127.211923865398</v>
      </c>
      <c r="J62" s="129" t="s">
        <v>343</v>
      </c>
      <c r="K62" s="130">
        <v>0.00098081428773166791</v>
      </c>
      <c r="L62" s="130">
        <v>-0.0065218841616994103</v>
      </c>
      <c r="M62" s="130">
        <v>-0.0108091981982683</v>
      </c>
      <c r="O62" s="129" t="s">
        <v>343</v>
      </c>
      <c r="P62" s="131">
        <v>0.041000000000000002</v>
      </c>
      <c r="Q62" s="131">
        <v>0.047</v>
      </c>
      <c r="R62" s="131">
        <v>0.013599999999999999</v>
      </c>
      <c r="S62" s="135" t="s">
        <v>381</v>
      </c>
    </row>
    <row r="63">
      <c r="B63" s="127" t="s">
        <v>345</v>
      </c>
      <c r="C63" s="132">
        <v>196121.59098000301</v>
      </c>
      <c r="D63" s="128">
        <v>197876.780931118</v>
      </c>
      <c r="E63" s="128">
        <v>199339.322248935</v>
      </c>
      <c r="F63" s="128">
        <v>196516.915883671</v>
      </c>
      <c r="J63" s="133" t="s">
        <v>344</v>
      </c>
      <c r="K63" s="130">
        <v>0.0017835264779502099</v>
      </c>
      <c r="L63" s="130">
        <v>0.00147388332274945</v>
      </c>
      <c r="M63" s="130">
        <v>-0.00284793612025247</v>
      </c>
      <c r="O63" s="133" t="s">
        <v>344</v>
      </c>
      <c r="P63" s="131">
        <v>0.0028800000000000002</v>
      </c>
      <c r="Q63" s="131">
        <v>0.0028800000000000002</v>
      </c>
      <c r="R63" s="131">
        <v>0.0028800000000000002</v>
      </c>
    </row>
    <row r="64">
      <c r="B64" s="127" t="s">
        <v>346</v>
      </c>
      <c r="C64" s="132">
        <v>234402.67068999901</v>
      </c>
      <c r="D64" s="128">
        <v>236500.45711960099</v>
      </c>
      <c r="E64" s="128">
        <v>238248.472670452</v>
      </c>
      <c r="F64" s="128">
        <v>234875.159276019</v>
      </c>
      <c r="J64" s="133" t="s">
        <v>345</v>
      </c>
      <c r="K64" s="130">
        <v>0.0017835264779502099</v>
      </c>
      <c r="L64" s="130">
        <v>0.00147388332274945</v>
      </c>
      <c r="M64" s="130">
        <v>-0.00284793612025247</v>
      </c>
      <c r="O64" s="133" t="s">
        <v>345</v>
      </c>
      <c r="P64" s="131">
        <v>0.00464</v>
      </c>
      <c r="Q64" s="131">
        <v>0.00464</v>
      </c>
      <c r="R64" s="131">
        <v>0.00464</v>
      </c>
    </row>
    <row r="65">
      <c r="B65" s="127" t="s">
        <v>347</v>
      </c>
      <c r="C65" s="132">
        <v>71786.848419999893</v>
      </c>
      <c r="D65" s="128">
        <v>72501.734041450298</v>
      </c>
      <c r="E65" s="128">
        <v>73110.644433097405</v>
      </c>
      <c r="F65" s="128">
        <v>72147.560643665798</v>
      </c>
      <c r="J65" s="133" t="s">
        <v>346</v>
      </c>
      <c r="K65" s="130">
        <v>0.0017835264779502099</v>
      </c>
      <c r="L65" s="130">
        <v>0.00147388332274945</v>
      </c>
      <c r="M65" s="130">
        <v>-0.00284793612025247</v>
      </c>
      <c r="O65" s="133" t="s">
        <v>346</v>
      </c>
      <c r="P65" s="131">
        <v>0.0020122074695686099</v>
      </c>
      <c r="Q65" s="131">
        <v>0.0020122074695686099</v>
      </c>
      <c r="R65" s="131">
        <v>0.0020122074695686099</v>
      </c>
    </row>
    <row r="66">
      <c r="B66" s="127" t="s">
        <v>348</v>
      </c>
      <c r="C66" s="132">
        <v>113612.79024</v>
      </c>
      <c r="D66" s="128">
        <v>115202.715613416</v>
      </c>
      <c r="E66" s="128">
        <v>121989.225741787</v>
      </c>
      <c r="F66" s="128">
        <v>126412.218996881</v>
      </c>
      <c r="J66" s="133" t="s">
        <v>379</v>
      </c>
      <c r="K66" s="130">
        <v>0.00198380308861568</v>
      </c>
      <c r="L66" s="130">
        <v>0.0016740980295404399</v>
      </c>
      <c r="M66" s="130">
        <v>-0.0026485854318117901</v>
      </c>
      <c r="O66" s="133" t="s">
        <v>379</v>
      </c>
      <c r="P66" s="131">
        <v>0.00284961264301354</v>
      </c>
      <c r="Q66" s="131">
        <v>0.00284961264301354</v>
      </c>
      <c r="R66" s="131">
        <v>0.00284961264301354</v>
      </c>
    </row>
    <row r="67">
      <c r="B67" s="127" t="s">
        <v>349</v>
      </c>
      <c r="C67" s="132">
        <v>79312.648260000205</v>
      </c>
      <c r="D67" s="128">
        <v>80022.456713657506</v>
      </c>
      <c r="E67" s="128">
        <v>80613.916453128593</v>
      </c>
      <c r="F67" s="128">
        <v>79472.519821700305</v>
      </c>
      <c r="J67" s="133" t="s">
        <v>348</v>
      </c>
      <c r="K67" s="130">
        <v>0.0027833124271183802</v>
      </c>
      <c r="L67" s="130">
        <v>0.0115136590030598</v>
      </c>
      <c r="M67" s="130">
        <v>0.0071485133201418796</v>
      </c>
      <c r="O67" s="133" t="s">
        <v>348</v>
      </c>
      <c r="P67" s="131">
        <v>0.0025858544720225802</v>
      </c>
      <c r="Q67" s="131">
        <v>0.0025858544720225802</v>
      </c>
      <c r="R67" s="131">
        <v>0.0025858544720225802</v>
      </c>
    </row>
    <row r="68">
      <c r="B68" s="127" t="s">
        <v>350</v>
      </c>
      <c r="C68" s="132">
        <v>19004.924760000202</v>
      </c>
      <c r="D68" s="128">
        <v>19175.009312107799</v>
      </c>
      <c r="E68" s="128">
        <v>19316.735103565101</v>
      </c>
      <c r="F68" s="128">
        <v>19043.2332400224</v>
      </c>
      <c r="J68" s="133" t="s">
        <v>349</v>
      </c>
      <c r="K68" s="130">
        <v>0.0017835264779502099</v>
      </c>
      <c r="L68" s="130">
        <v>0.00147388332274945</v>
      </c>
      <c r="M68" s="130">
        <v>-0.00284793612025247</v>
      </c>
      <c r="O68" s="133" t="s">
        <v>349</v>
      </c>
      <c r="P68" s="131">
        <v>0.0020122074695686099</v>
      </c>
      <c r="Q68" s="131">
        <v>0.0020122074695686099</v>
      </c>
      <c r="R68" s="131">
        <v>0.0020122074695686099</v>
      </c>
    </row>
    <row r="69">
      <c r="B69" s="134" t="s">
        <v>336</v>
      </c>
      <c r="C69" s="128">
        <f>SUM(C61:C68)</f>
        <v>1006419.674199999</v>
      </c>
      <c r="D69" s="128">
        <v>1015127.14862491</v>
      </c>
      <c r="E69" s="128">
        <v>1019324.7530468201</v>
      </c>
      <c r="F69" s="128">
        <v>1002293.77384802</v>
      </c>
      <c r="J69" s="133" t="s">
        <v>350</v>
      </c>
      <c r="K69" s="130">
        <v>0.0017835264779502099</v>
      </c>
      <c r="L69" s="130">
        <v>0.00147388332274945</v>
      </c>
      <c r="M69" s="130">
        <v>-0.00284793612025247</v>
      </c>
      <c r="O69" s="133" t="s">
        <v>350</v>
      </c>
      <c r="P69" s="131">
        <v>0.0025999999999999999</v>
      </c>
      <c r="Q69" s="131">
        <v>0.0025999999999999999</v>
      </c>
      <c r="R69" s="131">
        <v>0.0025999999999999999</v>
      </c>
    </row>
    <row r="73" ht="18">
      <c r="B73" s="1" t="s">
        <v>382</v>
      </c>
      <c r="C73" s="1"/>
      <c r="D73" s="1"/>
      <c r="E73" s="1"/>
    </row>
    <row r="76">
      <c r="C76">
        <v>2020</v>
      </c>
      <c r="D76">
        <f t="shared" ref="D76:AG76" si="48">C76+1</f>
        <v>2021</v>
      </c>
      <c r="E76">
        <f t="shared" si="48"/>
        <v>2022</v>
      </c>
      <c r="F76">
        <f t="shared" si="48"/>
        <v>2023</v>
      </c>
      <c r="G76">
        <f t="shared" si="48"/>
        <v>2024</v>
      </c>
      <c r="H76">
        <f t="shared" si="48"/>
        <v>2025</v>
      </c>
      <c r="I76">
        <f t="shared" si="48"/>
        <v>2026</v>
      </c>
      <c r="J76">
        <f t="shared" si="48"/>
        <v>2027</v>
      </c>
      <c r="K76">
        <f t="shared" si="48"/>
        <v>2028</v>
      </c>
      <c r="L76">
        <f t="shared" si="48"/>
        <v>2029</v>
      </c>
      <c r="M76">
        <f t="shared" si="48"/>
        <v>2030</v>
      </c>
      <c r="N76">
        <f t="shared" si="48"/>
        <v>2031</v>
      </c>
      <c r="O76">
        <f t="shared" si="48"/>
        <v>2032</v>
      </c>
      <c r="P76">
        <f t="shared" si="48"/>
        <v>2033</v>
      </c>
      <c r="Q76">
        <f t="shared" si="48"/>
        <v>2034</v>
      </c>
      <c r="R76">
        <f t="shared" si="48"/>
        <v>2035</v>
      </c>
      <c r="S76">
        <f t="shared" si="48"/>
        <v>2036</v>
      </c>
      <c r="T76">
        <f t="shared" si="48"/>
        <v>2037</v>
      </c>
      <c r="U76">
        <f t="shared" si="48"/>
        <v>2038</v>
      </c>
      <c r="V76">
        <f t="shared" si="48"/>
        <v>2039</v>
      </c>
      <c r="W76">
        <f t="shared" si="48"/>
        <v>2040</v>
      </c>
      <c r="X76">
        <f t="shared" si="48"/>
        <v>2041</v>
      </c>
      <c r="Y76">
        <f t="shared" si="48"/>
        <v>2042</v>
      </c>
      <c r="Z76">
        <f t="shared" si="48"/>
        <v>2043</v>
      </c>
      <c r="AA76">
        <f t="shared" si="48"/>
        <v>2044</v>
      </c>
      <c r="AB76">
        <f t="shared" si="48"/>
        <v>2045</v>
      </c>
      <c r="AC76">
        <f t="shared" si="48"/>
        <v>2046</v>
      </c>
      <c r="AD76">
        <f t="shared" si="48"/>
        <v>2047</v>
      </c>
      <c r="AE76">
        <f t="shared" si="48"/>
        <v>2048</v>
      </c>
      <c r="AF76">
        <f t="shared" si="48"/>
        <v>2049</v>
      </c>
      <c r="AG76">
        <f t="shared" si="48"/>
        <v>2050</v>
      </c>
    </row>
    <row r="77">
      <c r="A77" s="109" t="s">
        <v>1</v>
      </c>
      <c r="B77" t="s">
        <v>383</v>
      </c>
      <c r="C77">
        <v>0.5</v>
      </c>
      <c r="D77">
        <f>C77+($H77-$C77)/5</f>
        <v>1.1000000000000001</v>
      </c>
      <c r="E77">
        <f>D77+($H77-$C77)/5</f>
        <v>1.7000000000000002</v>
      </c>
      <c r="F77">
        <f>E77+($H77-$C77)/5</f>
        <v>2.3000000000000003</v>
      </c>
      <c r="G77">
        <f>F77+($H77-$C77)/5</f>
        <v>2.9000000000000004</v>
      </c>
      <c r="H77">
        <v>3.5</v>
      </c>
      <c r="I77">
        <f>H77+($M77-$H77)/5</f>
        <v>4.2000000000000002</v>
      </c>
      <c r="J77">
        <f>I77+($M77-$H77)/5</f>
        <v>4.9000000000000004</v>
      </c>
      <c r="K77">
        <f>J77+($M77-$H77)/5</f>
        <v>5.6000000000000005</v>
      </c>
      <c r="L77">
        <f>K77+($M77-$H77)/5</f>
        <v>6.3000000000000007</v>
      </c>
      <c r="M77">
        <v>7</v>
      </c>
      <c r="N77">
        <f>M77+($R77-$M77)/5</f>
        <v>6.2999999999999998</v>
      </c>
      <c r="O77">
        <f>N77+($R77-$M77)/5</f>
        <v>5.5999999999999996</v>
      </c>
      <c r="P77">
        <f>O77+($R77-$M77)/5</f>
        <v>4.8999999999999995</v>
      </c>
      <c r="Q77">
        <f>P77+($R77-$M77)/5</f>
        <v>4.1999999999999993</v>
      </c>
      <c r="R77">
        <v>3.5</v>
      </c>
      <c r="S77">
        <f>R77+($W77-$R77)/5</f>
        <v>3</v>
      </c>
      <c r="T77">
        <f>S77+($W77-$R77)/5</f>
        <v>2.5</v>
      </c>
      <c r="U77">
        <f>T77+($W77-$R77)/5</f>
        <v>2</v>
      </c>
      <c r="V77">
        <f>U77+($W77-$R77)/5</f>
        <v>1.5</v>
      </c>
      <c r="W77">
        <v>1</v>
      </c>
      <c r="X77">
        <f>W77+($AB77-$W77)/5</f>
        <v>0.80000000000000004</v>
      </c>
      <c r="Y77">
        <f>X77+($AB77-$W77)/5</f>
        <v>0.60000000000000009</v>
      </c>
      <c r="Z77">
        <f>Y77+($AB77-$W77)/5</f>
        <v>0.40000000000000008</v>
      </c>
      <c r="AA77">
        <f>Z77+($AB77-$W77)/5</f>
        <v>0.20000000000000007</v>
      </c>
      <c r="AB77">
        <v>0</v>
      </c>
      <c r="AC77">
        <f>AB77+($AG77-$AB77)/5</f>
        <v>0</v>
      </c>
      <c r="AD77">
        <f>AC77+($AG77-$AB77)/5</f>
        <v>0</v>
      </c>
      <c r="AE77">
        <f>AD77+($AG77-$AB77)/5</f>
        <v>0</v>
      </c>
      <c r="AF77">
        <f>AE77+($AG77-$AB77)/5</f>
        <v>0</v>
      </c>
      <c r="AG77">
        <v>0</v>
      </c>
    </row>
    <row r="78">
      <c r="A78" s="109"/>
      <c r="B78" t="s">
        <v>384</v>
      </c>
      <c r="C78" s="79">
        <f>'Construction neuve rési'!$C12*'Construction neuve rési'!$C13+(1-'Construction neuve rési'!$C12)*'Construction neuve rési'!$C14</f>
        <v>87.806000000000012</v>
      </c>
      <c r="D78" s="79">
        <f>'Construction neuve rési'!$C12*'Construction neuve rési'!$C13+(1-'Construction neuve rési'!$C12)*'Construction neuve rési'!$C14</f>
        <v>87.806000000000012</v>
      </c>
      <c r="E78" s="79">
        <f>'Construction neuve rési'!$C12*'Construction neuve rési'!$C13+(1-'Construction neuve rési'!$C12)*'Construction neuve rési'!$C14</f>
        <v>87.806000000000012</v>
      </c>
      <c r="F78" s="79">
        <f>'Construction neuve rési'!$C12*'Construction neuve rési'!$C13+(1-'Construction neuve rési'!$C12)*'Construction neuve rési'!$C14</f>
        <v>87.806000000000012</v>
      </c>
      <c r="G78" s="79">
        <f>'Construction neuve rési'!$C12*'Construction neuve rési'!$C13+(1-'Construction neuve rési'!$C12)*'Construction neuve rési'!$C14</f>
        <v>87.806000000000012</v>
      </c>
      <c r="H78" s="79">
        <f>'Construction neuve rési'!$H12*'Construction neuve rési'!$H13+(1-'Construction neuve rési'!$H12)*'Construction neuve rési'!$H14</f>
        <v>91.151749999999993</v>
      </c>
      <c r="I78" s="79">
        <f>'Construction neuve rési'!$H12*'Construction neuve rési'!$H13+(1-'Construction neuve rési'!$H12)*'Construction neuve rési'!$H14</f>
        <v>91.151749999999993</v>
      </c>
      <c r="J78" s="79">
        <f>'Construction neuve rési'!$H12*'Construction neuve rési'!$H13+(1-'Construction neuve rési'!$H12)*'Construction neuve rési'!$H14</f>
        <v>91.151749999999993</v>
      </c>
      <c r="K78" s="79">
        <f>'Construction neuve rési'!$H12*'Construction neuve rési'!$H13+(1-'Construction neuve rési'!$H12)*'Construction neuve rési'!$H14</f>
        <v>91.151749999999993</v>
      </c>
      <c r="L78" s="79">
        <f>'Construction neuve rési'!$H12*'Construction neuve rési'!$H13+(1-'Construction neuve rési'!$H12)*'Construction neuve rési'!$H14</f>
        <v>91.151749999999993</v>
      </c>
      <c r="M78" s="79">
        <f>'Construction neuve rési'!$M12*'Construction neuve rési'!$M13+(1-'Construction neuve rési'!$M12)*'Construction neuve rési'!$M14</f>
        <v>94.52000000000001</v>
      </c>
      <c r="N78" s="79">
        <f>'Construction neuve rési'!$M12*'Construction neuve rési'!$M13+(1-'Construction neuve rési'!$M12)*'Construction neuve rési'!$M14</f>
        <v>94.52000000000001</v>
      </c>
      <c r="O78" s="79">
        <f>'Construction neuve rési'!$M12*'Construction neuve rési'!$M13+(1-'Construction neuve rési'!$M12)*'Construction neuve rési'!$M14</f>
        <v>94.52000000000001</v>
      </c>
      <c r="P78" s="79">
        <f>'Construction neuve rési'!$M12*'Construction neuve rési'!$M13+(1-'Construction neuve rési'!$M12)*'Construction neuve rési'!$M14</f>
        <v>94.52000000000001</v>
      </c>
      <c r="Q78" s="79">
        <f>'Construction neuve rési'!$M12*'Construction neuve rési'!$M13+(1-'Construction neuve rési'!$M12)*'Construction neuve rési'!$M14</f>
        <v>94.52000000000001</v>
      </c>
      <c r="R78" s="79">
        <f>'Construction neuve rési'!$R12*'Construction neuve rési'!$R13+(1-'Construction neuve rési'!$R12)*'Construction neuve rési'!$R14</f>
        <v>94.52000000000001</v>
      </c>
      <c r="S78" s="79">
        <f>'Construction neuve rési'!$R12*'Construction neuve rési'!$R13+(1-'Construction neuve rési'!$R12)*'Construction neuve rési'!$R14</f>
        <v>94.52000000000001</v>
      </c>
      <c r="T78" s="79">
        <f>'Construction neuve rési'!$R12*'Construction neuve rési'!$R13+(1-'Construction neuve rési'!$R12)*'Construction neuve rési'!$R14</f>
        <v>94.52000000000001</v>
      </c>
      <c r="U78" s="79">
        <f>'Construction neuve rési'!$R12*'Construction neuve rési'!$R13+(1-'Construction neuve rési'!$R12)*'Construction neuve rési'!$R14</f>
        <v>94.52000000000001</v>
      </c>
      <c r="V78" s="79">
        <f>'Construction neuve rési'!$R12*'Construction neuve rési'!$R13+(1-'Construction neuve rési'!$R12)*'Construction neuve rési'!$R14</f>
        <v>94.52000000000001</v>
      </c>
      <c r="W78" s="79">
        <f>'Construction neuve rési'!$R12*'Construction neuve rési'!$R13+(1-'Construction neuve rési'!$R12)*'Construction neuve rési'!$R14</f>
        <v>94.52000000000001</v>
      </c>
      <c r="X78" s="79">
        <f>'Construction neuve rési'!$R12*'Construction neuve rési'!$R13+(1-'Construction neuve rési'!$R12)*'Construction neuve rési'!$R14</f>
        <v>94.52000000000001</v>
      </c>
      <c r="Y78" s="79">
        <f>'Construction neuve rési'!$R12*'Construction neuve rési'!$R13+(1-'Construction neuve rési'!$R12)*'Construction neuve rési'!$R14</f>
        <v>94.52000000000001</v>
      </c>
      <c r="Z78" s="79">
        <f>'Construction neuve rési'!$R12*'Construction neuve rési'!$R13+(1-'Construction neuve rési'!$R12)*'Construction neuve rési'!$R14</f>
        <v>94.52000000000001</v>
      </c>
      <c r="AA78" s="79">
        <f>'Construction neuve rési'!$R12*'Construction neuve rési'!$R13+(1-'Construction neuve rési'!$R12)*'Construction neuve rési'!$R14</f>
        <v>94.52000000000001</v>
      </c>
      <c r="AB78" s="79">
        <f>'Construction neuve rési'!$R12*'Construction neuve rési'!$R13+(1-'Construction neuve rési'!$R12)*'Construction neuve rési'!$R14</f>
        <v>94.52000000000001</v>
      </c>
      <c r="AC78" s="79">
        <f>'Construction neuve rési'!$R12*'Construction neuve rési'!$R13+(1-'Construction neuve rési'!$R12)*'Construction neuve rési'!$R14</f>
        <v>94.52000000000001</v>
      </c>
      <c r="AD78" s="79">
        <f>'Construction neuve rési'!$R12*'Construction neuve rési'!$R13+(1-'Construction neuve rési'!$R12)*'Construction neuve rési'!$R14</f>
        <v>94.52000000000001</v>
      </c>
      <c r="AE78" s="79">
        <f>'Construction neuve rési'!$R12*'Construction neuve rési'!$R13+(1-'Construction neuve rési'!$R12)*'Construction neuve rési'!$R14</f>
        <v>94.52000000000001</v>
      </c>
      <c r="AF78" s="79">
        <f>'Construction neuve rési'!$R12*'Construction neuve rési'!$R13+(1-'Construction neuve rési'!$R12)*'Construction neuve rési'!$R14</f>
        <v>94.52000000000001</v>
      </c>
      <c r="AG78" s="79">
        <f>'Construction neuve rési'!$R12*'Construction neuve rési'!$R13+(1-'Construction neuve rési'!$R12)*'Construction neuve rési'!$R14</f>
        <v>94.52000000000001</v>
      </c>
    </row>
    <row r="79">
      <c r="A79" s="109"/>
      <c r="B79" t="s">
        <v>385</v>
      </c>
      <c r="C79" s="79">
        <f t="shared" ref="C79:AG79" si="49">C78*C77/1000</f>
        <v>0.043903000000000005</v>
      </c>
      <c r="D79" s="79">
        <f t="shared" si="49"/>
        <v>0.096586600000000022</v>
      </c>
      <c r="E79" s="79">
        <f t="shared" si="49"/>
        <v>0.14927020000000005</v>
      </c>
      <c r="F79" s="79">
        <f t="shared" si="49"/>
        <v>0.20195380000000004</v>
      </c>
      <c r="G79" s="79">
        <f t="shared" si="49"/>
        <v>0.25463740000000007</v>
      </c>
      <c r="H79" s="79">
        <f t="shared" si="49"/>
        <v>0.31903112499999997</v>
      </c>
      <c r="I79" s="79">
        <f t="shared" si="49"/>
        <v>0.38283734999999997</v>
      </c>
      <c r="J79" s="79">
        <f t="shared" si="49"/>
        <v>0.44664357500000001</v>
      </c>
      <c r="K79" s="79">
        <f t="shared" si="49"/>
        <v>0.51044979999999995</v>
      </c>
      <c r="L79" s="79">
        <f t="shared" si="49"/>
        <v>0.57425602500000006</v>
      </c>
      <c r="M79" s="79">
        <f t="shared" si="49"/>
        <v>0.66164000000000012</v>
      </c>
      <c r="N79" s="79">
        <f t="shared" si="49"/>
        <v>0.59547600000000001</v>
      </c>
      <c r="O79" s="79">
        <f t="shared" si="49"/>
        <v>0.529312</v>
      </c>
      <c r="P79" s="79">
        <f t="shared" si="49"/>
        <v>0.463148</v>
      </c>
      <c r="Q79" s="79">
        <f t="shared" si="49"/>
        <v>0.396984</v>
      </c>
      <c r="R79" s="79">
        <f t="shared" si="49"/>
        <v>0.33082000000000006</v>
      </c>
      <c r="S79" s="79">
        <f t="shared" si="49"/>
        <v>0.28356000000000003</v>
      </c>
      <c r="T79" s="79">
        <f t="shared" si="49"/>
        <v>0.23630000000000001</v>
      </c>
      <c r="U79" s="79">
        <f t="shared" si="49"/>
        <v>0.18904000000000001</v>
      </c>
      <c r="V79" s="79">
        <f t="shared" si="49"/>
        <v>0.14178000000000002</v>
      </c>
      <c r="W79" s="79">
        <f t="shared" si="49"/>
        <v>0.094520000000000007</v>
      </c>
      <c r="X79" s="79">
        <f t="shared" si="49"/>
        <v>0.075616000000000017</v>
      </c>
      <c r="Y79" s="79">
        <f t="shared" si="49"/>
        <v>0.056712000000000019</v>
      </c>
      <c r="Z79" s="79">
        <f t="shared" si="49"/>
        <v>0.037808000000000015</v>
      </c>
      <c r="AA79" s="79">
        <f t="shared" si="49"/>
        <v>0.018904000000000008</v>
      </c>
      <c r="AB79" s="79">
        <f t="shared" si="49"/>
        <v>0</v>
      </c>
      <c r="AC79" s="79">
        <f t="shared" si="49"/>
        <v>0</v>
      </c>
      <c r="AD79" s="79">
        <f t="shared" si="49"/>
        <v>0</v>
      </c>
      <c r="AE79" s="79">
        <f t="shared" si="49"/>
        <v>0</v>
      </c>
      <c r="AF79" s="79">
        <f t="shared" si="49"/>
        <v>0</v>
      </c>
      <c r="AG79" s="79">
        <f t="shared" si="49"/>
        <v>0</v>
      </c>
    </row>
    <row r="80">
      <c r="A80" s="109"/>
      <c r="B80" t="s">
        <v>386</v>
      </c>
      <c r="C80">
        <f>C79</f>
        <v>0.043903000000000005</v>
      </c>
      <c r="D80" s="79">
        <f t="shared" ref="D80:AG80" si="50">C80+D79</f>
        <v>0.14048960000000002</v>
      </c>
      <c r="E80" s="79">
        <f t="shared" si="50"/>
        <v>0.28975980000000007</v>
      </c>
      <c r="F80" s="79">
        <f t="shared" si="50"/>
        <v>0.49171360000000008</v>
      </c>
      <c r="G80" s="79">
        <f t="shared" si="50"/>
        <v>0.74635100000000021</v>
      </c>
      <c r="H80" s="79">
        <f t="shared" si="50"/>
        <v>1.0653821250000002</v>
      </c>
      <c r="I80" s="79">
        <f t="shared" si="50"/>
        <v>1.4482194750000001</v>
      </c>
      <c r="J80" s="79">
        <f t="shared" si="50"/>
        <v>1.8948630500000001</v>
      </c>
      <c r="K80" s="79">
        <f t="shared" si="50"/>
        <v>2.4053128500000001</v>
      </c>
      <c r="L80" s="79">
        <f t="shared" si="50"/>
        <v>2.979568875</v>
      </c>
      <c r="M80" s="79">
        <f t="shared" si="50"/>
        <v>3.6412088750000002</v>
      </c>
      <c r="N80" s="79">
        <f t="shared" si="50"/>
        <v>4.2366848749999999</v>
      </c>
      <c r="O80" s="79">
        <f t="shared" si="50"/>
        <v>4.7659968749999999</v>
      </c>
      <c r="P80" s="79">
        <f t="shared" si="50"/>
        <v>5.2291448750000002</v>
      </c>
      <c r="Q80" s="79">
        <f t="shared" si="50"/>
        <v>5.626128875</v>
      </c>
      <c r="R80" s="79">
        <f t="shared" si="50"/>
        <v>5.9569488750000001</v>
      </c>
      <c r="S80" s="79">
        <f t="shared" si="50"/>
        <v>6.2405088749999997</v>
      </c>
      <c r="T80" s="79">
        <f t="shared" si="50"/>
        <v>6.4768088749999997</v>
      </c>
      <c r="U80" s="79">
        <f t="shared" si="50"/>
        <v>6.665848875</v>
      </c>
      <c r="V80" s="79">
        <f t="shared" si="50"/>
        <v>6.8076288749999998</v>
      </c>
      <c r="W80" s="79">
        <f t="shared" si="50"/>
        <v>6.902148875</v>
      </c>
      <c r="X80" s="79">
        <f t="shared" si="50"/>
        <v>6.9777648750000001</v>
      </c>
      <c r="Y80" s="79">
        <f t="shared" si="50"/>
        <v>7.0344768750000002</v>
      </c>
      <c r="Z80" s="79">
        <f t="shared" si="50"/>
        <v>7.0722848750000002</v>
      </c>
      <c r="AA80" s="79">
        <f t="shared" si="50"/>
        <v>7.0911888750000003</v>
      </c>
      <c r="AB80" s="79">
        <f t="shared" si="50"/>
        <v>7.0911888750000003</v>
      </c>
      <c r="AC80" s="79">
        <f t="shared" si="50"/>
        <v>7.0911888750000003</v>
      </c>
      <c r="AD80" s="79">
        <f t="shared" si="50"/>
        <v>7.0911888750000003</v>
      </c>
      <c r="AE80" s="79">
        <f t="shared" si="50"/>
        <v>7.0911888750000003</v>
      </c>
      <c r="AF80" s="79">
        <f t="shared" si="50"/>
        <v>7.0911888750000003</v>
      </c>
      <c r="AG80" s="79">
        <f t="shared" si="50"/>
        <v>7.0911888750000003</v>
      </c>
    </row>
    <row r="81">
      <c r="A81" s="109" t="s">
        <v>30</v>
      </c>
      <c r="B81" t="s">
        <v>383</v>
      </c>
      <c r="C81">
        <v>0.5</v>
      </c>
      <c r="D81">
        <f>C81+($H81-$C81)/5</f>
        <v>2.3999999999999999</v>
      </c>
      <c r="E81">
        <f>D81+($H81-$C81)/5</f>
        <v>4.2999999999999998</v>
      </c>
      <c r="F81">
        <f>E81+($H81-$C81)/5</f>
        <v>6.1999999999999993</v>
      </c>
      <c r="G81">
        <f>F81+($H81-$C81)/5</f>
        <v>8.0999999999999996</v>
      </c>
      <c r="H81">
        <v>10</v>
      </c>
      <c r="I81">
        <f>H81+($M81-$H81)/5</f>
        <v>12</v>
      </c>
      <c r="J81">
        <f>I81+($M81-$H81)/5</f>
        <v>14</v>
      </c>
      <c r="K81">
        <f>J81+($M81-$H81)/5</f>
        <v>16</v>
      </c>
      <c r="L81">
        <f>K81+($M81-$H81)/5</f>
        <v>18</v>
      </c>
      <c r="M81">
        <v>20</v>
      </c>
      <c r="N81">
        <f>M81+($R81-$M81)/5</f>
        <v>19</v>
      </c>
      <c r="O81">
        <f>N81+($R81-$M81)/5</f>
        <v>18</v>
      </c>
      <c r="P81">
        <f>O81+($R81-$M81)/5</f>
        <v>17</v>
      </c>
      <c r="Q81">
        <f>P81+($R81-$M81)/5</f>
        <v>16</v>
      </c>
      <c r="R81">
        <v>15</v>
      </c>
      <c r="S81">
        <f>R81+($W81-$R81)/5</f>
        <v>14</v>
      </c>
      <c r="T81">
        <f>S81+($W81-$R81)/5</f>
        <v>13</v>
      </c>
      <c r="U81">
        <f>T81+($W81-$R81)/5</f>
        <v>12</v>
      </c>
      <c r="V81">
        <f>U81+($W81-$R81)/5</f>
        <v>11</v>
      </c>
      <c r="W81">
        <v>10</v>
      </c>
      <c r="X81">
        <f>W81+($AB81-$W81)/5</f>
        <v>9</v>
      </c>
      <c r="Y81">
        <f>X81+($AB81-$W81)/5</f>
        <v>8</v>
      </c>
      <c r="Z81">
        <f>Y81+($AB81-$W81)/5</f>
        <v>7</v>
      </c>
      <c r="AA81">
        <f>Z81+($AB81-$W81)/5</f>
        <v>6</v>
      </c>
      <c r="AB81">
        <v>5</v>
      </c>
      <c r="AC81">
        <f>AB81+($AG81-$AB81)/5</f>
        <v>4</v>
      </c>
      <c r="AD81">
        <f>AC81+($AG81-$AB81)/5</f>
        <v>3</v>
      </c>
      <c r="AE81">
        <f>AD81+($AG81-$AB81)/5</f>
        <v>2</v>
      </c>
      <c r="AF81">
        <f>AE81+($AG81-$AB81)/5</f>
        <v>1</v>
      </c>
      <c r="AG81">
        <v>0</v>
      </c>
    </row>
    <row r="82">
      <c r="A82" s="109"/>
      <c r="B82" t="s">
        <v>384</v>
      </c>
      <c r="C82" s="79">
        <f>'Construction neuve rési'!$C27*'Construction neuve rési'!$C28+(1-'Construction neuve rési'!$C27)*'Construction neuve rési'!$C29</f>
        <v>87.806000000000012</v>
      </c>
      <c r="D82" s="79">
        <f>'Construction neuve rési'!$C27*'Construction neuve rési'!$C28+(1-'Construction neuve rési'!$C27)*'Construction neuve rési'!$C29</f>
        <v>87.806000000000012</v>
      </c>
      <c r="E82" s="79">
        <f>'Construction neuve rési'!$C27*'Construction neuve rési'!$C28+(1-'Construction neuve rési'!$C27)*'Construction neuve rési'!$C29</f>
        <v>87.806000000000012</v>
      </c>
      <c r="F82" s="79">
        <f>'Construction neuve rési'!$C27*'Construction neuve rési'!$C28+(1-'Construction neuve rési'!$C27)*'Construction neuve rési'!$C29</f>
        <v>87.806000000000012</v>
      </c>
      <c r="G82" s="79">
        <f>'Construction neuve rési'!$C27*'Construction neuve rési'!$C28+(1-'Construction neuve rési'!$C27)*'Construction neuve rési'!$C29</f>
        <v>87.806000000000012</v>
      </c>
      <c r="H82" s="79">
        <f>'Construction neuve rési'!$H27*'Construction neuve rési'!$H28+(1-'Construction neuve rési'!$H27)*'Construction neuve rési'!$H29</f>
        <v>86.528500000000008</v>
      </c>
      <c r="I82" s="79">
        <f>'Construction neuve rési'!$H27*'Construction neuve rési'!$H28+(1-'Construction neuve rési'!$H27)*'Construction neuve rési'!$H29</f>
        <v>86.528500000000008</v>
      </c>
      <c r="J82" s="79">
        <f>'Construction neuve rési'!$H27*'Construction neuve rési'!$H28+(1-'Construction neuve rési'!$H27)*'Construction neuve rési'!$H29</f>
        <v>86.528500000000008</v>
      </c>
      <c r="K82" s="79">
        <f>'Construction neuve rési'!$H27*'Construction neuve rési'!$H28+(1-'Construction neuve rési'!$H27)*'Construction neuve rési'!$H29</f>
        <v>86.528500000000008</v>
      </c>
      <c r="L82" s="79">
        <f>'Construction neuve rési'!$H27*'Construction neuve rési'!$H28+(1-'Construction neuve rési'!$H27)*'Construction neuve rési'!$H29</f>
        <v>86.528500000000008</v>
      </c>
      <c r="M82" s="79">
        <f>'Construction neuve rési'!$M27*'Construction neuve rési'!$M28+(1-'Construction neuve rési'!$M27)*'Construction neuve rési'!$M29</f>
        <v>85.251000000000005</v>
      </c>
      <c r="N82" s="79">
        <f>'Construction neuve rési'!$M27*'Construction neuve rési'!$M28+(1-'Construction neuve rési'!$M27)*'Construction neuve rési'!$M29</f>
        <v>85.251000000000005</v>
      </c>
      <c r="O82" s="79">
        <f>'Construction neuve rési'!$M27*'Construction neuve rési'!$M28+(1-'Construction neuve rési'!$M27)*'Construction neuve rési'!$M29</f>
        <v>85.251000000000005</v>
      </c>
      <c r="P82" s="79">
        <f>'Construction neuve rési'!$M27*'Construction neuve rési'!$M28+(1-'Construction neuve rési'!$M27)*'Construction neuve rési'!$M29</f>
        <v>85.251000000000005</v>
      </c>
      <c r="Q82" s="79">
        <f>'Construction neuve rési'!$M27*'Construction neuve rési'!$M28+(1-'Construction neuve rési'!$M27)*'Construction neuve rési'!$M29</f>
        <v>85.251000000000005</v>
      </c>
      <c r="R82" s="79">
        <f>'Construction neuve rési'!$R27*'Construction neuve rési'!$R28+(1-'Construction neuve rési'!$R27)*'Construction neuve rési'!$R29</f>
        <v>83.206999999999994</v>
      </c>
      <c r="S82" s="79">
        <f>'Construction neuve rési'!$R27*'Construction neuve rési'!$R28+(1-'Construction neuve rési'!$R27)*'Construction neuve rési'!$R29</f>
        <v>83.206999999999994</v>
      </c>
      <c r="T82" s="79">
        <f>'Construction neuve rési'!$R27*'Construction neuve rési'!$R28+(1-'Construction neuve rési'!$R27)*'Construction neuve rési'!$R29</f>
        <v>83.206999999999994</v>
      </c>
      <c r="U82" s="79">
        <f>'Construction neuve rési'!$R27*'Construction neuve rési'!$R28+(1-'Construction neuve rési'!$R27)*'Construction neuve rési'!$R29</f>
        <v>83.206999999999994</v>
      </c>
      <c r="V82" s="79">
        <f>'Construction neuve rési'!$R27*'Construction neuve rési'!$R28+(1-'Construction neuve rési'!$R27)*'Construction neuve rési'!$R29</f>
        <v>83.206999999999994</v>
      </c>
      <c r="W82" s="79">
        <f>'Construction neuve rési'!$W27*'Construction neuve rési'!$W28+(1-'Construction neuve rési'!$W27)*'Construction neuve rési'!$W29</f>
        <v>81.162999999999997</v>
      </c>
      <c r="X82" s="79">
        <f>'Construction neuve rési'!$W27*'Construction neuve rési'!$W28+(1-'Construction neuve rési'!$W27)*'Construction neuve rési'!$W29</f>
        <v>81.162999999999997</v>
      </c>
      <c r="Y82" s="79">
        <f>'Construction neuve rési'!$W27*'Construction neuve rési'!$W28+(1-'Construction neuve rési'!$W27)*'Construction neuve rési'!$W29</f>
        <v>81.162999999999997</v>
      </c>
      <c r="Z82" s="79">
        <f>'Construction neuve rési'!$W27*'Construction neuve rési'!$W28+(1-'Construction neuve rési'!$W27)*'Construction neuve rési'!$W29</f>
        <v>81.162999999999997</v>
      </c>
      <c r="AA82" s="79">
        <f>'Construction neuve rési'!$W27*'Construction neuve rési'!$W28+(1-'Construction neuve rési'!$W27)*'Construction neuve rési'!$W29</f>
        <v>81.162999999999997</v>
      </c>
      <c r="AB82" s="79">
        <f>'Construction neuve rési'!$AB27*'Construction neuve rési'!$AB28+(1-'Construction neuve rési'!$AB27)*'Construction neuve rési'!$AB29</f>
        <v>79.119</v>
      </c>
      <c r="AC82" s="79">
        <f>'Construction neuve rési'!$AB27*'Construction neuve rési'!$AB28+(1-'Construction neuve rési'!$AB27)*'Construction neuve rési'!$AB29</f>
        <v>79.119</v>
      </c>
      <c r="AD82" s="79">
        <f>'Construction neuve rési'!$AB27*'Construction neuve rési'!$AB28+(1-'Construction neuve rési'!$AB27)*'Construction neuve rési'!$AB29</f>
        <v>79.119</v>
      </c>
      <c r="AE82" s="79">
        <f>'Construction neuve rési'!$AB27*'Construction neuve rési'!$AB28+(1-'Construction neuve rési'!$AB27)*'Construction neuve rési'!$AB29</f>
        <v>79.119</v>
      </c>
      <c r="AF82" s="79">
        <f>'Construction neuve rési'!$AB27*'Construction neuve rési'!$AB28+(1-'Construction neuve rési'!$AB27)*'Construction neuve rési'!$AB29</f>
        <v>79.119</v>
      </c>
      <c r="AG82" s="79">
        <f>'Construction neuve rési'!$AG27*'Construction neuve rési'!$AG28+(1-'Construction neuve rési'!$AG27)*'Construction neuve rési'!$AG29</f>
        <v>77.074999999999989</v>
      </c>
    </row>
    <row r="83">
      <c r="A83" s="109"/>
      <c r="B83" t="s">
        <v>385</v>
      </c>
      <c r="C83" s="79">
        <f t="shared" ref="C83:AG83" si="51">C82*C81/1000</f>
        <v>0.043903000000000005</v>
      </c>
      <c r="D83" s="79">
        <f t="shared" si="51"/>
        <v>0.21073440000000002</v>
      </c>
      <c r="E83" s="79">
        <f t="shared" si="51"/>
        <v>0.37756580000000001</v>
      </c>
      <c r="F83" s="79">
        <f t="shared" si="51"/>
        <v>0.54439720000000003</v>
      </c>
      <c r="G83" s="79">
        <f t="shared" si="51"/>
        <v>0.71122859999999999</v>
      </c>
      <c r="H83" s="79">
        <f t="shared" si="51"/>
        <v>0.86528500000000008</v>
      </c>
      <c r="I83" s="79">
        <f t="shared" si="51"/>
        <v>1.0383420000000001</v>
      </c>
      <c r="J83" s="79">
        <f t="shared" si="51"/>
        <v>1.2113990000000001</v>
      </c>
      <c r="K83" s="79">
        <f t="shared" si="51"/>
        <v>1.3844560000000001</v>
      </c>
      <c r="L83" s="79">
        <f t="shared" si="51"/>
        <v>1.5575130000000001</v>
      </c>
      <c r="M83" s="79">
        <f t="shared" si="51"/>
        <v>1.70502</v>
      </c>
      <c r="N83" s="79">
        <f t="shared" si="51"/>
        <v>1.619769</v>
      </c>
      <c r="O83" s="79">
        <f t="shared" si="51"/>
        <v>1.534518</v>
      </c>
      <c r="P83" s="79">
        <f t="shared" si="51"/>
        <v>1.4492670000000001</v>
      </c>
      <c r="Q83" s="79">
        <f t="shared" si="51"/>
        <v>1.3640160000000001</v>
      </c>
      <c r="R83" s="79">
        <f t="shared" si="51"/>
        <v>1.248105</v>
      </c>
      <c r="S83" s="79">
        <f t="shared" si="51"/>
        <v>1.164898</v>
      </c>
      <c r="T83" s="79">
        <f t="shared" si="51"/>
        <v>1.0816909999999997</v>
      </c>
      <c r="U83" s="79">
        <f t="shared" si="51"/>
        <v>0.99848399999999993</v>
      </c>
      <c r="V83" s="79">
        <f t="shared" si="51"/>
        <v>0.9152769999999999</v>
      </c>
      <c r="W83" s="79">
        <f t="shared" si="51"/>
        <v>0.81162999999999996</v>
      </c>
      <c r="X83" s="79">
        <f t="shared" si="51"/>
        <v>0.73046699999999998</v>
      </c>
      <c r="Y83" s="79">
        <f t="shared" si="51"/>
        <v>0.64930399999999999</v>
      </c>
      <c r="Z83" s="79">
        <f t="shared" si="51"/>
        <v>0.56814100000000001</v>
      </c>
      <c r="AA83" s="79">
        <f t="shared" si="51"/>
        <v>0.48697799999999997</v>
      </c>
      <c r="AB83" s="79">
        <f t="shared" si="51"/>
        <v>0.39559500000000003</v>
      </c>
      <c r="AC83" s="79">
        <f t="shared" si="51"/>
        <v>0.31647599999999998</v>
      </c>
      <c r="AD83" s="79">
        <f t="shared" si="51"/>
        <v>0.23735700000000001</v>
      </c>
      <c r="AE83" s="79">
        <f t="shared" si="51"/>
        <v>0.15823799999999999</v>
      </c>
      <c r="AF83" s="79">
        <f t="shared" si="51"/>
        <v>0.079118999999999995</v>
      </c>
      <c r="AG83" s="79">
        <f t="shared" si="51"/>
        <v>0</v>
      </c>
    </row>
    <row r="84">
      <c r="A84" s="109"/>
      <c r="B84" t="s">
        <v>386</v>
      </c>
      <c r="C84" s="79">
        <f>C83</f>
        <v>0.043903000000000005</v>
      </c>
      <c r="D84" s="79">
        <f t="shared" ref="D84:AG84" si="52">C84+D83</f>
        <v>0.25463740000000001</v>
      </c>
      <c r="E84" s="79">
        <f t="shared" si="52"/>
        <v>0.63220319999999997</v>
      </c>
      <c r="F84" s="79">
        <f t="shared" si="52"/>
        <v>1.1766003999999999</v>
      </c>
      <c r="G84" s="79">
        <f t="shared" si="52"/>
        <v>1.887829</v>
      </c>
      <c r="H84" s="79">
        <f t="shared" si="52"/>
        <v>2.7531140000000001</v>
      </c>
      <c r="I84" s="79">
        <f t="shared" si="52"/>
        <v>3.7914560000000002</v>
      </c>
      <c r="J84" s="79">
        <f t="shared" si="52"/>
        <v>5.0028550000000003</v>
      </c>
      <c r="K84" s="79">
        <f t="shared" si="52"/>
        <v>6.3873110000000004</v>
      </c>
      <c r="L84" s="79">
        <f t="shared" si="52"/>
        <v>7.9448240000000006</v>
      </c>
      <c r="M84" s="79">
        <f t="shared" si="52"/>
        <v>9.6498439999999999</v>
      </c>
      <c r="N84" s="79">
        <f t="shared" si="52"/>
        <v>11.269613</v>
      </c>
      <c r="O84" s="79">
        <f t="shared" si="52"/>
        <v>12.804131</v>
      </c>
      <c r="P84" s="79">
        <f t="shared" si="52"/>
        <v>14.253398000000001</v>
      </c>
      <c r="Q84" s="79">
        <f t="shared" si="52"/>
        <v>15.617414</v>
      </c>
      <c r="R84" s="79">
        <f t="shared" si="52"/>
        <v>16.865518999999999</v>
      </c>
      <c r="S84" s="79">
        <f t="shared" si="52"/>
        <v>18.030417</v>
      </c>
      <c r="T84" s="79">
        <f t="shared" si="52"/>
        <v>19.112107999999999</v>
      </c>
      <c r="U84" s="79">
        <f t="shared" si="52"/>
        <v>20.110592</v>
      </c>
      <c r="V84" s="79">
        <f t="shared" si="52"/>
        <v>21.025869</v>
      </c>
      <c r="W84" s="79">
        <f t="shared" si="52"/>
        <v>21.837499000000001</v>
      </c>
      <c r="X84" s="79">
        <f t="shared" si="52"/>
        <v>22.567966000000002</v>
      </c>
      <c r="Y84" s="79">
        <f t="shared" si="52"/>
        <v>23.217270000000003</v>
      </c>
      <c r="Z84" s="79">
        <f t="shared" si="52"/>
        <v>23.785411000000003</v>
      </c>
      <c r="AA84" s="79">
        <f t="shared" si="52"/>
        <v>24.272389000000004</v>
      </c>
      <c r="AB84" s="79">
        <f t="shared" si="52"/>
        <v>24.667984000000004</v>
      </c>
      <c r="AC84" s="79">
        <f t="shared" si="52"/>
        <v>24.984460000000006</v>
      </c>
      <c r="AD84" s="79">
        <f t="shared" si="52"/>
        <v>25.221817000000005</v>
      </c>
      <c r="AE84" s="79">
        <f t="shared" si="52"/>
        <v>25.380055000000006</v>
      </c>
      <c r="AF84" s="79">
        <f t="shared" si="52"/>
        <v>25.459174000000004</v>
      </c>
      <c r="AG84" s="79">
        <f t="shared" si="52"/>
        <v>25.459174000000004</v>
      </c>
    </row>
  </sheetData>
  <mergeCells count="6">
    <mergeCell ref="A81:A84"/>
    <mergeCell ref="B3:E3"/>
    <mergeCell ref="B21:E21"/>
    <mergeCell ref="B45:E45"/>
    <mergeCell ref="B73:E73"/>
    <mergeCell ref="A77:A80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77" workbookViewId="0">
      <selection activeCell="C37" activeCellId="0" sqref="C37"/>
    </sheetView>
  </sheetViews>
  <sheetFormatPr baseColWidth="10" defaultColWidth="9.140625" defaultRowHeight="15"/>
  <cols>
    <col customWidth="1" min="1" max="1" width="8.42578125"/>
    <col customWidth="1" min="2" max="2" width="30.85546875"/>
    <col customWidth="1" min="3" max="10" width="17.140625"/>
    <col customWidth="1" min="11" max="1025" width="8.42578125"/>
  </cols>
  <sheetData>
    <row r="1">
      <c r="A1" s="78"/>
    </row>
    <row r="5">
      <c r="B5" s="71" t="s">
        <v>196</v>
      </c>
      <c r="C5" s="71"/>
      <c r="D5" s="71"/>
      <c r="E5" s="71"/>
    </row>
    <row r="8">
      <c r="C8" s="3" t="s">
        <v>119</v>
      </c>
      <c r="D8" s="3"/>
      <c r="E8" s="3"/>
      <c r="F8" s="3"/>
      <c r="G8" s="3" t="s">
        <v>91</v>
      </c>
      <c r="H8" s="3"/>
      <c r="I8" s="3"/>
      <c r="J8" s="3"/>
      <c r="L8" s="3" t="s">
        <v>31</v>
      </c>
      <c r="M8" s="3"/>
      <c r="N8" s="3"/>
      <c r="O8" s="3"/>
      <c r="P8" s="3" t="s">
        <v>2</v>
      </c>
      <c r="Q8" s="3"/>
      <c r="R8" s="3"/>
      <c r="S8" s="3"/>
    </row>
    <row r="9" ht="12.75" customHeight="1">
      <c r="B9" s="33" t="s">
        <v>197</v>
      </c>
      <c r="C9" s="72" t="s">
        <v>198</v>
      </c>
      <c r="D9" s="72"/>
      <c r="E9" s="72"/>
      <c r="F9" s="72"/>
      <c r="G9" s="3" t="s">
        <v>199</v>
      </c>
      <c r="H9" s="3"/>
      <c r="I9" s="3"/>
      <c r="J9" s="3"/>
      <c r="P9" s="3" t="s">
        <v>201</v>
      </c>
      <c r="Q9" s="3"/>
      <c r="R9" s="3"/>
      <c r="S9" s="3"/>
    </row>
    <row r="10" ht="23.449999999999999" customHeight="1">
      <c r="B10" s="33"/>
      <c r="C10" s="3" t="s">
        <v>202</v>
      </c>
      <c r="D10" s="3"/>
      <c r="E10" s="3"/>
      <c r="F10" s="3"/>
      <c r="G10" s="3" t="s">
        <v>203</v>
      </c>
      <c r="H10" s="3"/>
      <c r="I10" s="3"/>
      <c r="J10" s="3"/>
      <c r="L10" s="72" t="s">
        <v>204</v>
      </c>
      <c r="M10" s="72"/>
      <c r="N10" s="72"/>
      <c r="O10" s="72"/>
      <c r="P10" s="72" t="s">
        <v>205</v>
      </c>
      <c r="Q10" s="72"/>
      <c r="R10" s="72"/>
      <c r="S10" s="72"/>
    </row>
    <row r="11" ht="23.449999999999999" customHeight="1">
      <c r="B11" s="73" t="s">
        <v>206</v>
      </c>
      <c r="C11" s="33" t="s">
        <v>207</v>
      </c>
      <c r="D11" s="33"/>
      <c r="E11" s="33"/>
      <c r="F11" s="33"/>
      <c r="G11" s="33" t="s">
        <v>208</v>
      </c>
      <c r="H11" s="33"/>
      <c r="I11" s="33"/>
      <c r="J11" s="33"/>
      <c r="L11" s="75" t="s">
        <v>209</v>
      </c>
      <c r="M11" s="75"/>
      <c r="N11" s="75"/>
      <c r="O11" s="75"/>
      <c r="P11" s="136"/>
      <c r="Q11" s="136"/>
      <c r="R11" s="136"/>
      <c r="S11" s="136"/>
    </row>
    <row r="12" ht="12.75" customHeight="1">
      <c r="B12" s="73" t="s">
        <v>210</v>
      </c>
      <c r="C12" s="33" t="s">
        <v>211</v>
      </c>
      <c r="D12" s="33"/>
      <c r="E12" s="33"/>
      <c r="F12" s="33"/>
      <c r="G12" s="33" t="s">
        <v>212</v>
      </c>
      <c r="H12" s="33"/>
      <c r="I12" s="33"/>
      <c r="J12" s="33"/>
      <c r="L12" s="72" t="s">
        <v>213</v>
      </c>
      <c r="M12" s="72"/>
      <c r="N12" s="72"/>
      <c r="O12" s="72"/>
      <c r="P12" s="136"/>
      <c r="Q12" s="136"/>
      <c r="R12" s="136"/>
      <c r="S12" s="136"/>
    </row>
    <row r="13" ht="23.449999999999999" customHeight="1">
      <c r="B13" s="73" t="s">
        <v>214</v>
      </c>
      <c r="C13" s="33" t="s">
        <v>387</v>
      </c>
      <c r="D13" s="33"/>
      <c r="E13" s="33"/>
      <c r="F13" s="33"/>
      <c r="G13" s="33"/>
      <c r="H13" s="33"/>
      <c r="I13" s="33"/>
      <c r="J13" s="33"/>
      <c r="L13" s="136"/>
      <c r="M13" s="136"/>
      <c r="N13" s="136"/>
      <c r="O13" s="136"/>
      <c r="P13" s="136"/>
      <c r="Q13" s="136"/>
      <c r="R13" s="136"/>
      <c r="S13" s="136"/>
    </row>
    <row r="14" ht="34.350000000000001" customHeight="1">
      <c r="B14" s="73" t="s">
        <v>216</v>
      </c>
      <c r="C14" s="33" t="s">
        <v>388</v>
      </c>
      <c r="D14" s="33"/>
      <c r="E14" s="33"/>
      <c r="F14" s="33"/>
      <c r="G14" s="33"/>
      <c r="H14" s="33"/>
      <c r="I14" s="33"/>
      <c r="J14" s="33"/>
      <c r="L14" s="72" t="s">
        <v>218</v>
      </c>
      <c r="M14" s="72"/>
      <c r="N14" s="72"/>
      <c r="O14" s="72"/>
      <c r="P14" s="136"/>
      <c r="Q14" s="136"/>
      <c r="R14" s="136"/>
      <c r="S14" s="136"/>
    </row>
    <row r="15" ht="23.449999999999999" customHeight="1">
      <c r="B15" s="33" t="s">
        <v>219</v>
      </c>
      <c r="C15" s="72" t="s">
        <v>220</v>
      </c>
      <c r="D15" s="72"/>
      <c r="E15" s="72"/>
      <c r="F15" s="72"/>
      <c r="G15" s="72" t="s">
        <v>221</v>
      </c>
      <c r="H15" s="72"/>
      <c r="I15" s="72"/>
      <c r="J15" s="72"/>
      <c r="L15" s="72" t="s">
        <v>222</v>
      </c>
      <c r="M15" s="72"/>
      <c r="N15" s="72"/>
      <c r="O15" s="72"/>
      <c r="P15" s="72" t="s">
        <v>223</v>
      </c>
      <c r="Q15" s="72"/>
      <c r="R15" s="72"/>
      <c r="S15" s="72"/>
    </row>
    <row r="16" ht="12.75" customHeight="1">
      <c r="B16" s="33"/>
      <c r="C16" s="72" t="s">
        <v>389</v>
      </c>
      <c r="D16" s="72"/>
      <c r="E16" s="72"/>
      <c r="F16" s="72"/>
      <c r="G16" s="72" t="s">
        <v>225</v>
      </c>
      <c r="H16" s="72"/>
      <c r="I16" s="72"/>
      <c r="J16" s="72"/>
      <c r="L16" s="72"/>
      <c r="M16" s="72"/>
      <c r="N16" s="72"/>
      <c r="O16" s="72"/>
      <c r="P16" s="72" t="s">
        <v>226</v>
      </c>
      <c r="Q16" s="72"/>
      <c r="R16" s="72"/>
      <c r="S16" s="72"/>
    </row>
    <row r="17" ht="12.949999999999999" customHeight="1">
      <c r="B17" s="33"/>
      <c r="C17" s="72" t="s">
        <v>390</v>
      </c>
      <c r="D17" s="72"/>
      <c r="E17" s="72"/>
      <c r="F17" s="72"/>
      <c r="G17" s="72" t="s">
        <v>391</v>
      </c>
      <c r="H17" s="72"/>
      <c r="I17" s="72"/>
      <c r="J17" s="72"/>
      <c r="L17" s="72"/>
      <c r="M17" s="72"/>
      <c r="N17" s="72"/>
      <c r="O17" s="72"/>
      <c r="P17" s="72" t="s">
        <v>392</v>
      </c>
      <c r="Q17" s="72"/>
      <c r="R17" s="72"/>
      <c r="S17" s="72"/>
    </row>
    <row r="18" ht="116.25" customHeight="1">
      <c r="B18" s="76" t="s">
        <v>393</v>
      </c>
      <c r="C18" s="43" t="s">
        <v>394</v>
      </c>
      <c r="D18" s="43"/>
      <c r="E18" s="43"/>
      <c r="F18" s="43"/>
      <c r="G18" s="72" t="s">
        <v>395</v>
      </c>
      <c r="H18" s="72"/>
      <c r="I18" s="72"/>
      <c r="J18" s="72"/>
      <c r="L18" s="3"/>
      <c r="M18" s="3"/>
      <c r="N18" s="3"/>
      <c r="O18" s="3"/>
      <c r="P18" s="3"/>
      <c r="Q18" s="3"/>
      <c r="R18" s="3"/>
      <c r="S18" s="3"/>
    </row>
    <row r="19" ht="56.450000000000003" customHeight="1">
      <c r="B19" s="76" t="s">
        <v>396</v>
      </c>
      <c r="C19" s="33" t="s">
        <v>397</v>
      </c>
      <c r="D19" s="33"/>
      <c r="E19" s="33"/>
      <c r="F19" s="33"/>
      <c r="G19" s="33" t="s">
        <v>398</v>
      </c>
      <c r="H19" s="33"/>
      <c r="I19" s="33"/>
      <c r="J19" s="33"/>
      <c r="L19" s="72"/>
      <c r="M19" s="72"/>
      <c r="N19" s="72"/>
      <c r="O19" s="72"/>
      <c r="P19" s="3"/>
      <c r="Q19" s="3"/>
      <c r="R19" s="3"/>
      <c r="S19" s="3"/>
      <c r="U19" s="43"/>
      <c r="V19" s="72"/>
      <c r="W19" s="72"/>
      <c r="X19" s="72"/>
      <c r="Y19" s="72"/>
      <c r="Z19" s="3"/>
      <c r="AA19" s="3"/>
      <c r="AB19" s="3"/>
      <c r="AC19" s="3"/>
    </row>
    <row r="20">
      <c r="B20" s="76" t="s">
        <v>399</v>
      </c>
      <c r="C20" s="3" t="s">
        <v>400</v>
      </c>
      <c r="D20" s="3"/>
      <c r="E20" s="3"/>
      <c r="F20" s="3"/>
      <c r="G20" s="3" t="s">
        <v>401</v>
      </c>
      <c r="H20" s="3"/>
      <c r="I20" s="3"/>
      <c r="J20" s="3"/>
      <c r="L20" s="3"/>
      <c r="M20" s="3"/>
      <c r="N20" s="3"/>
      <c r="O20" s="3"/>
      <c r="P20" s="3"/>
      <c r="Q20" s="3"/>
      <c r="R20" s="3"/>
      <c r="S20" s="3"/>
      <c r="U20" s="43"/>
      <c r="V20" s="3"/>
      <c r="W20" s="3"/>
      <c r="X20" s="3"/>
      <c r="Y20" s="3"/>
      <c r="Z20" s="3"/>
      <c r="AA20" s="3"/>
      <c r="AB20" s="3"/>
      <c r="AC20" s="3"/>
    </row>
    <row r="21">
      <c r="B21" s="73"/>
    </row>
    <row r="22">
      <c r="B22" s="73"/>
    </row>
    <row r="23">
      <c r="B23" s="73"/>
    </row>
    <row r="24" ht="13.699999999999999" customHeight="1">
      <c r="B24" s="137" t="s">
        <v>253</v>
      </c>
      <c r="C24" s="137"/>
      <c r="D24" s="137"/>
      <c r="E24" s="137"/>
    </row>
    <row r="25">
      <c r="B25" s="73"/>
    </row>
    <row r="26" ht="26.25">
      <c r="B26" s="138" t="s">
        <v>254</v>
      </c>
    </row>
    <row r="27">
      <c r="B27" s="73"/>
      <c r="C27" s="43" t="s">
        <v>255</v>
      </c>
      <c r="D27" s="43"/>
      <c r="E27" s="43"/>
      <c r="F27" s="43"/>
      <c r="G27" s="43"/>
      <c r="J27" s="43" t="s">
        <v>256</v>
      </c>
      <c r="K27" s="43"/>
      <c r="L27" s="43"/>
      <c r="M27" s="43"/>
      <c r="N27" s="43"/>
    </row>
    <row r="28">
      <c r="B28" s="73"/>
      <c r="C28">
        <v>2020</v>
      </c>
      <c r="D28">
        <v>2025</v>
      </c>
      <c r="E28">
        <v>2030</v>
      </c>
      <c r="F28">
        <v>2040</v>
      </c>
      <c r="G28">
        <v>2050</v>
      </c>
      <c r="J28">
        <v>2015</v>
      </c>
      <c r="K28">
        <v>2020</v>
      </c>
      <c r="L28">
        <v>2025</v>
      </c>
      <c r="M28">
        <v>2030</v>
      </c>
      <c r="N28">
        <v>2050</v>
      </c>
    </row>
    <row r="29" ht="26.25">
      <c r="B29" s="73" t="s">
        <v>257</v>
      </c>
      <c r="C29" s="77">
        <v>1</v>
      </c>
      <c r="D29" s="77">
        <v>0.95284948723465301</v>
      </c>
      <c r="E29" s="77">
        <v>0.90569897446930503</v>
      </c>
      <c r="F29" s="77">
        <v>0.86821723041283105</v>
      </c>
      <c r="G29" s="77">
        <v>0.85527761372129096</v>
      </c>
      <c r="J29" s="77">
        <v>1</v>
      </c>
      <c r="K29" s="77">
        <v>0.99466666666666703</v>
      </c>
      <c r="L29" s="77">
        <v>0.98933333333333295</v>
      </c>
      <c r="M29" s="77">
        <v>0.98399999999999999</v>
      </c>
      <c r="N29" s="77">
        <v>0.94699999999999995</v>
      </c>
    </row>
    <row r="30" ht="26.25">
      <c r="A30" s="23"/>
      <c r="B30" s="73" t="s">
        <v>258</v>
      </c>
      <c r="C30" s="77">
        <v>1</v>
      </c>
      <c r="D30" s="77">
        <v>1.0833797193571599</v>
      </c>
      <c r="E30" s="77">
        <v>1.1667594387143301</v>
      </c>
      <c r="F30" s="77">
        <v>1.23790389075473</v>
      </c>
      <c r="G30" s="77">
        <v>1.2390882867861499</v>
      </c>
      <c r="H30" s="23"/>
      <c r="I30" s="23"/>
      <c r="J30">
        <v>1</v>
      </c>
      <c r="K30">
        <v>1.04</v>
      </c>
      <c r="L30">
        <v>1.0800000000000001</v>
      </c>
      <c r="M30">
        <v>1.1200000000000001</v>
      </c>
      <c r="N30">
        <v>1.27</v>
      </c>
      <c r="Q30" s="23"/>
      <c r="R30" s="23"/>
      <c r="S30" s="23"/>
    </row>
    <row r="31">
      <c r="A31" s="23"/>
      <c r="B31" s="73"/>
      <c r="C31" s="23" t="s">
        <v>259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>
      <c r="A32" s="23"/>
      <c r="B32" s="7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>
      <c r="A33" s="23"/>
      <c r="B33" s="2" t="s">
        <v>260</v>
      </c>
      <c r="D33">
        <v>2020</v>
      </c>
      <c r="E33">
        <v>2030</v>
      </c>
      <c r="F33">
        <v>2040</v>
      </c>
      <c r="G33">
        <v>2050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>
      <c r="A34" s="23"/>
      <c r="B34" t="s">
        <v>261</v>
      </c>
      <c r="C34" s="78" t="s">
        <v>262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ht="26.25">
      <c r="A35" s="23"/>
      <c r="B35" s="73" t="s">
        <v>266</v>
      </c>
      <c r="D35">
        <v>1</v>
      </c>
      <c r="E35">
        <v>0.93000000000000005</v>
      </c>
      <c r="F35">
        <v>0.91500000000000004</v>
      </c>
      <c r="G35">
        <v>0.90000000000000002</v>
      </c>
      <c r="H35" t="s">
        <v>402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>
      <c r="A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>
      <c r="B37" s="73"/>
    </row>
    <row r="38">
      <c r="B38" s="73"/>
    </row>
    <row r="39">
      <c r="B39" s="138" t="s">
        <v>270</v>
      </c>
      <c r="C39" s="23"/>
      <c r="D39" s="23"/>
      <c r="E39" s="23"/>
      <c r="F39" s="23"/>
      <c r="G39" s="23"/>
    </row>
    <row r="40">
      <c r="B40" s="73"/>
      <c r="C40" s="23" t="s">
        <v>91</v>
      </c>
      <c r="D40" s="23" t="s">
        <v>119</v>
      </c>
      <c r="E40" s="23"/>
      <c r="F40" s="23" t="s">
        <v>2</v>
      </c>
      <c r="G40" s="23" t="s">
        <v>119</v>
      </c>
    </row>
    <row r="41" ht="26.25">
      <c r="B41" s="73" t="s">
        <v>403</v>
      </c>
      <c r="C41" s="22">
        <v>0.10000000000000001</v>
      </c>
      <c r="D41" s="22">
        <v>0.10000000000000001</v>
      </c>
      <c r="E41" s="23"/>
      <c r="F41" s="22">
        <v>0.10000000000000001</v>
      </c>
      <c r="G41" s="22">
        <v>0.10000000000000001</v>
      </c>
    </row>
    <row r="42">
      <c r="B42" s="73"/>
    </row>
    <row r="43">
      <c r="B43" s="2" t="s">
        <v>219</v>
      </c>
    </row>
    <row r="44">
      <c r="C44">
        <v>2019</v>
      </c>
      <c r="D44">
        <v>2020</v>
      </c>
      <c r="E44">
        <v>2021</v>
      </c>
      <c r="F44">
        <v>2022</v>
      </c>
      <c r="G44">
        <v>2023</v>
      </c>
      <c r="H44">
        <v>2024</v>
      </c>
      <c r="I44">
        <v>2025</v>
      </c>
      <c r="J44">
        <v>2026</v>
      </c>
      <c r="K44">
        <v>2027</v>
      </c>
      <c r="L44">
        <v>2028</v>
      </c>
      <c r="M44">
        <v>2029</v>
      </c>
      <c r="N44">
        <v>2030</v>
      </c>
      <c r="O44">
        <v>2031</v>
      </c>
      <c r="P44">
        <v>2032</v>
      </c>
      <c r="Q44">
        <v>2033</v>
      </c>
      <c r="R44">
        <v>2034</v>
      </c>
      <c r="S44">
        <v>2035</v>
      </c>
      <c r="T44">
        <v>2036</v>
      </c>
      <c r="U44">
        <v>2037</v>
      </c>
      <c r="V44">
        <v>2038</v>
      </c>
      <c r="W44">
        <v>2039</v>
      </c>
      <c r="X44">
        <v>2040</v>
      </c>
      <c r="Y44">
        <v>2041</v>
      </c>
      <c r="Z44">
        <v>2042</v>
      </c>
      <c r="AA44">
        <v>2043</v>
      </c>
      <c r="AB44">
        <v>2044</v>
      </c>
      <c r="AC44">
        <v>2045</v>
      </c>
      <c r="AD44">
        <v>2046</v>
      </c>
      <c r="AE44">
        <v>2047</v>
      </c>
      <c r="AF44">
        <v>2048</v>
      </c>
      <c r="AG44">
        <v>2049</v>
      </c>
      <c r="AH44">
        <v>2050</v>
      </c>
    </row>
    <row r="45">
      <c r="A45" t="s">
        <v>30</v>
      </c>
      <c r="B45" t="s">
        <v>404</v>
      </c>
      <c r="C45" s="79">
        <v>2.8543225266280001</v>
      </c>
      <c r="D45" s="79">
        <v>3.3300429477326698</v>
      </c>
      <c r="E45" s="79">
        <v>3.3100626900462702</v>
      </c>
      <c r="F45" s="79">
        <v>3.4760755249997701</v>
      </c>
      <c r="G45" s="79">
        <v>4.1970773952259997</v>
      </c>
      <c r="H45" s="79">
        <v>5.5520650746524103</v>
      </c>
      <c r="I45" s="79">
        <v>6.4222256849130002</v>
      </c>
      <c r="J45" s="79">
        <v>6.3632363526960196</v>
      </c>
      <c r="K45" s="79">
        <v>6.3004412571102097</v>
      </c>
      <c r="L45" s="79">
        <v>6.2338403981555599</v>
      </c>
      <c r="M45" s="79">
        <v>6.1634337758320603</v>
      </c>
      <c r="N45" s="79">
        <v>6.0892213901397403</v>
      </c>
      <c r="O45" s="79">
        <v>6.0112032410785696</v>
      </c>
      <c r="P45" s="79">
        <v>5.9293793286485696</v>
      </c>
      <c r="Q45" s="79">
        <v>5.8437496528497297</v>
      </c>
      <c r="R45" s="79">
        <v>5.7543142136820498</v>
      </c>
      <c r="S45" s="79">
        <v>5.6610730111455299</v>
      </c>
      <c r="T45" s="79">
        <v>5.5640260452401797</v>
      </c>
      <c r="U45" s="79">
        <v>5.4631733159659897</v>
      </c>
      <c r="V45" s="79">
        <v>5.3585148233229702</v>
      </c>
      <c r="W45" s="79">
        <v>5.2500505673111002</v>
      </c>
      <c r="X45" s="79">
        <v>5.1377805479304</v>
      </c>
      <c r="Y45" s="79">
        <v>5.0217047651808597</v>
      </c>
      <c r="Z45" s="79">
        <v>4.9018232190624902</v>
      </c>
      <c r="AA45" s="79">
        <v>4.77813590957527</v>
      </c>
      <c r="AB45" s="79">
        <v>4.6506428367192196</v>
      </c>
      <c r="AC45" s="79">
        <v>4.5193440004943302</v>
      </c>
      <c r="AD45" s="79">
        <v>4.3842394009006096</v>
      </c>
      <c r="AE45" s="79">
        <v>4.2453290379380402</v>
      </c>
      <c r="AF45" s="79">
        <v>4.1026129116066397</v>
      </c>
      <c r="AG45" s="79">
        <v>3.9560910219064098</v>
      </c>
      <c r="AH45" s="79">
        <v>3.8057633688373298</v>
      </c>
    </row>
    <row r="46">
      <c r="A46" t="s">
        <v>1</v>
      </c>
      <c r="B46" t="s">
        <v>404</v>
      </c>
      <c r="C46" s="79">
        <v>2.8543225266280001</v>
      </c>
      <c r="D46" s="79">
        <v>3.3300429477326698</v>
      </c>
      <c r="E46" s="79">
        <v>3.3100626900462702</v>
      </c>
      <c r="F46" s="79">
        <v>3.4760755249997701</v>
      </c>
      <c r="G46">
        <v>0</v>
      </c>
      <c r="H46">
        <f t="shared" ref="H46:AH46" si="53">G46</f>
        <v>0</v>
      </c>
      <c r="I46">
        <f t="shared" si="53"/>
        <v>0</v>
      </c>
      <c r="J46">
        <f t="shared" si="53"/>
        <v>0</v>
      </c>
      <c r="K46">
        <f t="shared" si="53"/>
        <v>0</v>
      </c>
      <c r="L46">
        <f t="shared" si="53"/>
        <v>0</v>
      </c>
      <c r="M46">
        <f t="shared" si="53"/>
        <v>0</v>
      </c>
      <c r="N46">
        <f t="shared" si="53"/>
        <v>0</v>
      </c>
      <c r="O46">
        <f t="shared" si="53"/>
        <v>0</v>
      </c>
      <c r="P46">
        <f t="shared" si="53"/>
        <v>0</v>
      </c>
      <c r="Q46">
        <f t="shared" si="53"/>
        <v>0</v>
      </c>
      <c r="R46">
        <f t="shared" si="53"/>
        <v>0</v>
      </c>
      <c r="S46">
        <f t="shared" si="53"/>
        <v>0</v>
      </c>
      <c r="T46">
        <f t="shared" si="53"/>
        <v>0</v>
      </c>
      <c r="U46">
        <f t="shared" si="53"/>
        <v>0</v>
      </c>
      <c r="V46">
        <f t="shared" si="53"/>
        <v>0</v>
      </c>
      <c r="W46">
        <f t="shared" si="53"/>
        <v>0</v>
      </c>
      <c r="X46">
        <f t="shared" si="53"/>
        <v>0</v>
      </c>
      <c r="Y46">
        <f t="shared" si="53"/>
        <v>0</v>
      </c>
      <c r="Z46">
        <f t="shared" si="53"/>
        <v>0</v>
      </c>
      <c r="AA46">
        <f t="shared" si="53"/>
        <v>0</v>
      </c>
      <c r="AB46">
        <f t="shared" si="53"/>
        <v>0</v>
      </c>
      <c r="AC46">
        <f t="shared" si="53"/>
        <v>0</v>
      </c>
      <c r="AD46">
        <f t="shared" si="53"/>
        <v>0</v>
      </c>
      <c r="AE46">
        <f t="shared" si="53"/>
        <v>0</v>
      </c>
      <c r="AF46">
        <f t="shared" si="53"/>
        <v>0</v>
      </c>
      <c r="AG46">
        <f t="shared" si="53"/>
        <v>0</v>
      </c>
      <c r="AH46">
        <f t="shared" si="53"/>
        <v>0</v>
      </c>
    </row>
    <row r="47">
      <c r="B47" s="73"/>
    </row>
    <row r="48">
      <c r="B48" s="73"/>
    </row>
    <row r="49">
      <c r="B49" s="73"/>
    </row>
    <row r="50">
      <c r="B50" s="73"/>
    </row>
    <row r="51">
      <c r="B51" s="73"/>
    </row>
    <row r="52">
      <c r="B52" s="73"/>
    </row>
    <row r="53">
      <c r="B53" s="73"/>
    </row>
    <row r="54">
      <c r="B54" s="73"/>
    </row>
    <row r="55">
      <c r="B55" s="73"/>
    </row>
    <row r="56">
      <c r="B56" s="73"/>
    </row>
    <row r="57">
      <c r="B57" s="73"/>
    </row>
    <row r="58">
      <c r="B58" s="73"/>
    </row>
    <row r="59">
      <c r="B59" s="73"/>
    </row>
    <row r="60">
      <c r="B60" s="73"/>
    </row>
    <row r="61">
      <c r="B61" s="73"/>
    </row>
    <row r="62">
      <c r="B62" s="73"/>
    </row>
    <row r="63">
      <c r="B63" s="73"/>
    </row>
    <row r="64">
      <c r="B64" s="73"/>
    </row>
    <row r="65">
      <c r="B65" s="73"/>
    </row>
    <row r="66">
      <c r="B66" s="73"/>
    </row>
    <row r="67">
      <c r="B67" s="73"/>
    </row>
    <row r="68">
      <c r="B68" s="73"/>
    </row>
    <row r="69">
      <c r="B69" s="73"/>
    </row>
    <row r="70">
      <c r="B70" s="73"/>
    </row>
    <row r="71">
      <c r="B71" s="73"/>
    </row>
    <row r="72">
      <c r="B72" s="73"/>
    </row>
    <row r="73">
      <c r="B73" s="73"/>
    </row>
    <row r="74">
      <c r="B74" s="73"/>
    </row>
    <row r="75">
      <c r="B75" s="73"/>
    </row>
    <row r="76">
      <c r="B76" s="73"/>
    </row>
    <row r="77">
      <c r="B77" s="73"/>
    </row>
    <row r="78">
      <c r="B78" s="73"/>
    </row>
    <row r="79">
      <c r="B79" s="73"/>
    </row>
    <row r="80">
      <c r="B80" s="73"/>
    </row>
    <row r="81">
      <c r="B81" s="73"/>
    </row>
    <row r="82">
      <c r="B82" s="73"/>
    </row>
    <row r="83">
      <c r="B83" s="73"/>
    </row>
  </sheetData>
  <mergeCells count="62">
    <mergeCell ref="B24:E24"/>
    <mergeCell ref="C27:G27"/>
    <mergeCell ref="J27:N27"/>
    <mergeCell ref="U19:U20"/>
    <mergeCell ref="V19:Y19"/>
    <mergeCell ref="Z19:AC19"/>
    <mergeCell ref="C20:F20"/>
    <mergeCell ref="G20:J20"/>
    <mergeCell ref="L20:O20"/>
    <mergeCell ref="P20:S20"/>
    <mergeCell ref="V20:Y20"/>
    <mergeCell ref="Z20:AC20"/>
    <mergeCell ref="C18:F18"/>
    <mergeCell ref="G18:J18"/>
    <mergeCell ref="L18:O18"/>
    <mergeCell ref="P18:S18"/>
    <mergeCell ref="C19:F19"/>
    <mergeCell ref="G19:J19"/>
    <mergeCell ref="L19:O19"/>
    <mergeCell ref="P19:S19"/>
    <mergeCell ref="B15:B17"/>
    <mergeCell ref="C15:F15"/>
    <mergeCell ref="G15:J15"/>
    <mergeCell ref="L15:O15"/>
    <mergeCell ref="P15:S15"/>
    <mergeCell ref="C16:F16"/>
    <mergeCell ref="G16:J16"/>
    <mergeCell ref="L16:O16"/>
    <mergeCell ref="P16:S16"/>
    <mergeCell ref="C17:F17"/>
    <mergeCell ref="G17:J17"/>
    <mergeCell ref="L17:O17"/>
    <mergeCell ref="P17:S17"/>
    <mergeCell ref="C13:F13"/>
    <mergeCell ref="G13:J13"/>
    <mergeCell ref="L13:O13"/>
    <mergeCell ref="P13:S13"/>
    <mergeCell ref="C14:F14"/>
    <mergeCell ref="G14:J14"/>
    <mergeCell ref="L14:O14"/>
    <mergeCell ref="P14:S14"/>
    <mergeCell ref="C11:F11"/>
    <mergeCell ref="G11:J11"/>
    <mergeCell ref="L11:O11"/>
    <mergeCell ref="P11:S11"/>
    <mergeCell ref="C12:F12"/>
    <mergeCell ref="G12:J12"/>
    <mergeCell ref="L12:O12"/>
    <mergeCell ref="P12:S12"/>
    <mergeCell ref="B9:B10"/>
    <mergeCell ref="C9:F9"/>
    <mergeCell ref="G9:J9"/>
    <mergeCell ref="P9:S9"/>
    <mergeCell ref="C10:F10"/>
    <mergeCell ref="G10:J10"/>
    <mergeCell ref="L10:O10"/>
    <mergeCell ref="P10:S10"/>
    <mergeCell ref="B5:E5"/>
    <mergeCell ref="C8:F8"/>
    <mergeCell ref="G8:J8"/>
    <mergeCell ref="L8:O8"/>
    <mergeCell ref="P8:S8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&amp;C&amp;"Arial,Normal"&amp;10&amp;A</oddHeader>
    <oddFooter>&amp;C&amp;"Arial,Normal"&amp;10Page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7" workbookViewId="0">
      <selection activeCell="M35" activeCellId="0" sqref="M35"/>
    </sheetView>
  </sheetViews>
  <sheetFormatPr baseColWidth="10" defaultColWidth="9.140625" defaultRowHeight="15"/>
  <cols>
    <col customWidth="1" min="1" max="1025" width="8.42578125"/>
  </cols>
  <sheetData>
    <row r="1">
      <c r="A1" s="78"/>
    </row>
    <row r="2">
      <c r="H2" s="80" t="s">
        <v>273</v>
      </c>
      <c r="I2" s="80"/>
      <c r="J2" s="80"/>
      <c r="K2" s="80"/>
    </row>
    <row r="3">
      <c r="B3" s="71" t="s">
        <v>274</v>
      </c>
      <c r="C3" s="71"/>
      <c r="D3" s="71"/>
      <c r="E3" s="71"/>
      <c r="F3" s="71"/>
    </row>
    <row r="5">
      <c r="C5" t="s">
        <v>405</v>
      </c>
      <c r="I5" t="s">
        <v>406</v>
      </c>
    </row>
    <row r="6">
      <c r="A6" t="s">
        <v>53</v>
      </c>
      <c r="B6" s="66" t="s">
        <v>407</v>
      </c>
      <c r="C6" s="66">
        <v>2015</v>
      </c>
      <c r="D6" s="66">
        <v>2016</v>
      </c>
      <c r="E6" s="66">
        <v>2017</v>
      </c>
      <c r="F6" s="66">
        <v>2018</v>
      </c>
      <c r="G6" s="66">
        <v>2019</v>
      </c>
      <c r="I6" s="66">
        <v>2015</v>
      </c>
      <c r="J6" s="66">
        <v>2020</v>
      </c>
    </row>
    <row r="7">
      <c r="B7" s="66" t="s">
        <v>408</v>
      </c>
      <c r="C7" s="82">
        <v>22.872827718868798</v>
      </c>
      <c r="D7" s="82">
        <v>22.866386623005301</v>
      </c>
      <c r="E7" s="82">
        <v>22.946108850038499</v>
      </c>
      <c r="F7" s="82">
        <v>23.061000824742301</v>
      </c>
      <c r="G7" s="82">
        <v>23.066065485637299</v>
      </c>
      <c r="I7" s="82">
        <v>22.303103038720099</v>
      </c>
      <c r="J7" s="82">
        <v>21.8385150295858</v>
      </c>
    </row>
    <row r="8">
      <c r="B8" s="66" t="s">
        <v>285</v>
      </c>
      <c r="C8" s="82">
        <v>11.2784342315692</v>
      </c>
      <c r="D8" s="82">
        <v>11.3172030155824</v>
      </c>
      <c r="E8" s="82">
        <v>11.3054318645052</v>
      </c>
      <c r="F8" s="82">
        <v>11.3503932511468</v>
      </c>
      <c r="G8" s="82">
        <v>11.3608119386609</v>
      </c>
      <c r="I8" s="82">
        <v>11.0898383791216</v>
      </c>
      <c r="J8" s="82">
        <v>10.8136400768269</v>
      </c>
    </row>
    <row r="9">
      <c r="B9" s="66" t="s">
        <v>409</v>
      </c>
      <c r="C9" s="82">
        <v>71.376116837789795</v>
      </c>
      <c r="D9" s="82">
        <v>71.575718786025107</v>
      </c>
      <c r="E9" s="82">
        <v>71.878036951387898</v>
      </c>
      <c r="F9" s="82">
        <v>72.526878677207094</v>
      </c>
      <c r="G9" s="82">
        <v>71.6676788134492</v>
      </c>
      <c r="I9" s="82">
        <v>61.295561262873903</v>
      </c>
      <c r="J9" s="82">
        <v>60.156780270982402</v>
      </c>
    </row>
    <row r="10">
      <c r="B10" s="66" t="s">
        <v>410</v>
      </c>
      <c r="C10" s="82">
        <v>20.302609541528899</v>
      </c>
      <c r="D10" s="82">
        <v>20.749526128889499</v>
      </c>
      <c r="E10" s="82">
        <v>21.155494277294402</v>
      </c>
      <c r="F10" s="82">
        <v>21.6902098428695</v>
      </c>
      <c r="G10" s="82">
        <v>22.081637858522999</v>
      </c>
      <c r="I10" s="82"/>
      <c r="J10" s="82">
        <v>26.442059291257799</v>
      </c>
    </row>
    <row r="12">
      <c r="A12" t="s">
        <v>1</v>
      </c>
      <c r="B12" s="66" t="s">
        <v>407</v>
      </c>
      <c r="C12" s="66">
        <v>2020</v>
      </c>
      <c r="D12" s="66">
        <f t="shared" ref="D12:I12" si="54">C12+5</f>
        <v>2025</v>
      </c>
      <c r="E12" s="66">
        <f t="shared" si="54"/>
        <v>2030</v>
      </c>
      <c r="F12" s="66">
        <f t="shared" si="54"/>
        <v>2035</v>
      </c>
      <c r="G12" s="66">
        <f t="shared" si="54"/>
        <v>2040</v>
      </c>
      <c r="H12" s="66">
        <f t="shared" si="54"/>
        <v>2045</v>
      </c>
      <c r="I12" s="66">
        <f t="shared" si="54"/>
        <v>2050</v>
      </c>
      <c r="L12" t="s">
        <v>2</v>
      </c>
      <c r="M12" t="s">
        <v>280</v>
      </c>
      <c r="P12">
        <v>2030</v>
      </c>
      <c r="Q12">
        <v>2050</v>
      </c>
    </row>
    <row r="13">
      <c r="B13" s="66" t="s">
        <v>408</v>
      </c>
      <c r="C13" s="82">
        <v>23</v>
      </c>
      <c r="D13" s="82">
        <v>23</v>
      </c>
      <c r="E13" s="82">
        <v>23</v>
      </c>
      <c r="F13" s="82">
        <f>(E13+G13)/2</f>
        <v>22.682296583231341</v>
      </c>
      <c r="G13" s="82">
        <f>(E13+I13)/2</f>
        <v>22.364593166462679</v>
      </c>
      <c r="H13" s="82">
        <f>(G13+I13)/2</f>
        <v>22.046889749694017</v>
      </c>
      <c r="I13" s="82">
        <f>C7*0.95</f>
        <v>21.729186332925359</v>
      </c>
      <c r="J13" t="s">
        <v>411</v>
      </c>
      <c r="M13" t="s">
        <v>283</v>
      </c>
      <c r="P13" s="22">
        <v>0</v>
      </c>
      <c r="Q13" s="22">
        <v>-0.050000000000000003</v>
      </c>
    </row>
    <row r="14">
      <c r="B14" s="66" t="s">
        <v>285</v>
      </c>
      <c r="C14" s="82">
        <v>11.4</v>
      </c>
      <c r="D14" s="82">
        <f t="shared" ref="D14:H15" si="55">C14+($I14-$C14)/6</f>
        <v>11.59</v>
      </c>
      <c r="E14" s="82">
        <f t="shared" si="55"/>
        <v>11.779999999999999</v>
      </c>
      <c r="F14" s="82">
        <f t="shared" si="55"/>
        <v>11.969999999999999</v>
      </c>
      <c r="G14" s="82">
        <f t="shared" si="55"/>
        <v>12.159999999999998</v>
      </c>
      <c r="H14" s="82">
        <f t="shared" si="55"/>
        <v>12.349999999999998</v>
      </c>
      <c r="I14" s="82">
        <f>C14*1.1</f>
        <v>12.540000000000001</v>
      </c>
      <c r="J14" t="s">
        <v>412</v>
      </c>
      <c r="M14" t="s">
        <v>310</v>
      </c>
      <c r="P14" s="22">
        <v>0</v>
      </c>
      <c r="Q14" s="22">
        <v>0</v>
      </c>
    </row>
    <row r="15">
      <c r="B15" s="66" t="s">
        <v>409</v>
      </c>
      <c r="C15" s="82">
        <v>71.700000000000003</v>
      </c>
      <c r="D15" s="82">
        <f t="shared" si="55"/>
        <v>71.102500000000006</v>
      </c>
      <c r="E15" s="82">
        <f t="shared" si="55"/>
        <v>70.50500000000001</v>
      </c>
      <c r="F15" s="82">
        <f t="shared" si="55"/>
        <v>69.907500000000013</v>
      </c>
      <c r="G15" s="82">
        <f t="shared" si="55"/>
        <v>69.310000000000016</v>
      </c>
      <c r="H15" s="82">
        <f t="shared" si="55"/>
        <v>68.71250000000002</v>
      </c>
      <c r="I15" s="82">
        <f>C15*0.95</f>
        <v>68.114999999999995</v>
      </c>
      <c r="J15" t="s">
        <v>413</v>
      </c>
      <c r="M15" t="s">
        <v>287</v>
      </c>
      <c r="P15" s="22">
        <v>-0.050000000000000003</v>
      </c>
      <c r="Q15" s="22">
        <v>-0.040000000000000001</v>
      </c>
    </row>
    <row r="16">
      <c r="B16" s="66" t="s">
        <v>410</v>
      </c>
      <c r="C16" s="66"/>
      <c r="D16" s="66"/>
      <c r="E16" s="66"/>
      <c r="F16" s="66"/>
      <c r="G16" s="66"/>
      <c r="H16" s="66"/>
      <c r="I16" s="66"/>
      <c r="M16" t="s">
        <v>410</v>
      </c>
      <c r="P16" s="22">
        <v>0.14999999999999999</v>
      </c>
      <c r="Q16" s="22">
        <v>0.20000000000000001</v>
      </c>
      <c r="AE16" s="23" t="s">
        <v>327</v>
      </c>
    </row>
    <row r="17">
      <c r="AE17" s="23" t="s">
        <v>120</v>
      </c>
      <c r="AF17" t="s">
        <v>414</v>
      </c>
    </row>
    <row r="18">
      <c r="A18" t="s">
        <v>30</v>
      </c>
      <c r="B18" s="66" t="s">
        <v>407</v>
      </c>
      <c r="C18" s="66">
        <v>2020</v>
      </c>
      <c r="D18" s="66">
        <f t="shared" ref="D18:I18" si="56">C18+5</f>
        <v>2025</v>
      </c>
      <c r="E18" s="66">
        <f t="shared" si="56"/>
        <v>2030</v>
      </c>
      <c r="F18" s="66">
        <f t="shared" si="56"/>
        <v>2035</v>
      </c>
      <c r="G18" s="66">
        <f t="shared" si="56"/>
        <v>2040</v>
      </c>
      <c r="H18" s="66">
        <f t="shared" si="56"/>
        <v>2045</v>
      </c>
      <c r="I18" s="66">
        <f t="shared" si="56"/>
        <v>2050</v>
      </c>
      <c r="L18" t="s">
        <v>31</v>
      </c>
      <c r="N18">
        <v>2020</v>
      </c>
      <c r="O18">
        <f>N18+5</f>
        <v>2025</v>
      </c>
      <c r="P18">
        <f>O18+5</f>
        <v>2030</v>
      </c>
      <c r="Q18">
        <v>2050</v>
      </c>
      <c r="V18" s="23" t="s">
        <v>36</v>
      </c>
      <c r="W18" s="23"/>
      <c r="X18" s="23" t="s">
        <v>37</v>
      </c>
      <c r="Y18" s="23"/>
      <c r="Z18" s="23" t="s">
        <v>38</v>
      </c>
      <c r="AA18" s="23"/>
      <c r="AB18" s="23" t="s">
        <v>39</v>
      </c>
      <c r="AC18" s="23"/>
      <c r="AE18" s="4" t="s">
        <v>407</v>
      </c>
      <c r="AF18" s="4">
        <v>2015</v>
      </c>
      <c r="AG18" s="4">
        <v>2020</v>
      </c>
      <c r="AH18" s="4">
        <f t="shared" ref="AH18:AM18" si="57">AG18+5</f>
        <v>2025</v>
      </c>
      <c r="AI18" s="4">
        <f t="shared" si="57"/>
        <v>2030</v>
      </c>
      <c r="AJ18" s="4">
        <f t="shared" si="57"/>
        <v>2035</v>
      </c>
      <c r="AK18" s="4">
        <f t="shared" si="57"/>
        <v>2040</v>
      </c>
      <c r="AL18" s="4">
        <f t="shared" si="57"/>
        <v>2045</v>
      </c>
      <c r="AM18" s="4">
        <f t="shared" si="57"/>
        <v>2050</v>
      </c>
    </row>
    <row r="19">
      <c r="B19" s="66" t="s">
        <v>408</v>
      </c>
      <c r="C19" s="82">
        <v>23</v>
      </c>
      <c r="D19" s="82">
        <v>21</v>
      </c>
      <c r="E19" s="82">
        <v>19</v>
      </c>
      <c r="F19" s="82">
        <f t="shared" ref="F19:F20" si="58">(E19+G19)/2</f>
        <v>18.16</v>
      </c>
      <c r="G19" s="82">
        <f t="shared" ref="G19:G20" si="59">(E19+I19)/2</f>
        <v>17.32</v>
      </c>
      <c r="H19" s="82">
        <f t="shared" ref="H19:H20" si="60">(G19+I19)/2</f>
        <v>16.48</v>
      </c>
      <c r="I19" s="82">
        <f>C19*0.68</f>
        <v>15.640000000000001</v>
      </c>
      <c r="J19" t="s">
        <v>415</v>
      </c>
      <c r="M19" t="s">
        <v>276</v>
      </c>
      <c r="N19">
        <v>23.800000000000001</v>
      </c>
      <c r="O19">
        <v>23.699999999999999</v>
      </c>
      <c r="P19">
        <v>22.899999999999999</v>
      </c>
      <c r="Q19">
        <v>16.399999999999999</v>
      </c>
      <c r="S19" t="s">
        <v>141</v>
      </c>
      <c r="T19" t="s">
        <v>281</v>
      </c>
      <c r="U19">
        <v>2015</v>
      </c>
      <c r="V19">
        <v>2030</v>
      </c>
      <c r="W19">
        <v>2050</v>
      </c>
      <c r="X19">
        <v>2030</v>
      </c>
      <c r="Y19">
        <v>2050</v>
      </c>
      <c r="Z19">
        <v>2030</v>
      </c>
      <c r="AA19">
        <v>2050</v>
      </c>
      <c r="AB19">
        <v>2030</v>
      </c>
      <c r="AC19">
        <v>2050</v>
      </c>
      <c r="AE19" s="4" t="s">
        <v>410</v>
      </c>
      <c r="AF19" s="139">
        <v>13.858088763558699</v>
      </c>
      <c r="AG19" s="139">
        <v>13.431073040269601</v>
      </c>
      <c r="AH19" s="139">
        <v>12.6683908081416</v>
      </c>
      <c r="AI19" s="139">
        <v>11.978387396464401</v>
      </c>
      <c r="AJ19" s="139">
        <v>11.3296102049346</v>
      </c>
      <c r="AK19" s="139">
        <v>10.7059016742824</v>
      </c>
      <c r="AL19" s="139">
        <v>10.0819143640287</v>
      </c>
      <c r="AM19" s="139">
        <v>9.4918480460956491</v>
      </c>
    </row>
    <row r="20">
      <c r="B20" s="66" t="s">
        <v>285</v>
      </c>
      <c r="C20" s="82">
        <v>11.4</v>
      </c>
      <c r="D20" s="82">
        <f>(C20+E20)/2</f>
        <v>10.699999999999999</v>
      </c>
      <c r="E20" s="82">
        <v>10</v>
      </c>
      <c r="F20" s="82">
        <f t="shared" si="58"/>
        <v>9.5</v>
      </c>
      <c r="G20" s="82">
        <f t="shared" si="59"/>
        <v>9</v>
      </c>
      <c r="H20" s="82">
        <f t="shared" si="60"/>
        <v>8.5</v>
      </c>
      <c r="I20" s="82">
        <v>8</v>
      </c>
      <c r="J20" t="s">
        <v>416</v>
      </c>
      <c r="M20" t="s">
        <v>277</v>
      </c>
      <c r="N20">
        <v>15.199999999999999</v>
      </c>
      <c r="O20">
        <v>15.1</v>
      </c>
      <c r="P20">
        <v>15</v>
      </c>
      <c r="Q20">
        <v>13.699999999999999</v>
      </c>
      <c r="T20" t="s">
        <v>283</v>
      </c>
      <c r="U20">
        <v>22</v>
      </c>
      <c r="V20">
        <v>18</v>
      </c>
      <c r="W20">
        <v>11</v>
      </c>
      <c r="X20">
        <v>19</v>
      </c>
      <c r="Y20">
        <v>15</v>
      </c>
      <c r="Z20">
        <v>20</v>
      </c>
      <c r="AA20">
        <v>17</v>
      </c>
      <c r="AB20">
        <v>22</v>
      </c>
      <c r="AC20">
        <v>21</v>
      </c>
      <c r="AE20" s="4" t="s">
        <v>408</v>
      </c>
      <c r="AF20" s="139">
        <v>24.093226210580301</v>
      </c>
      <c r="AG20" s="139">
        <v>23.191239548752101</v>
      </c>
      <c r="AH20" s="139">
        <v>21.7699369405818</v>
      </c>
      <c r="AI20" s="139">
        <v>18.140983609579099</v>
      </c>
      <c r="AJ20" s="139">
        <v>12.699546984096299</v>
      </c>
      <c r="AK20" s="139">
        <v>9.2987919595210506</v>
      </c>
      <c r="AL20" s="139">
        <v>8.0409923304662705</v>
      </c>
      <c r="AM20" s="139">
        <v>7.5641161751548598</v>
      </c>
    </row>
    <row r="21">
      <c r="B21" s="66" t="s">
        <v>409</v>
      </c>
      <c r="C21" s="82">
        <v>71.700000000000003</v>
      </c>
      <c r="D21" s="82">
        <f>C21+($I21-$C21)/6</f>
        <v>68.712500000000006</v>
      </c>
      <c r="E21" s="82">
        <f>D21+($I21-$C21)/6</f>
        <v>65.725000000000009</v>
      </c>
      <c r="F21" s="82">
        <f>E21+($I21-$C21)/6</f>
        <v>62.737500000000011</v>
      </c>
      <c r="G21" s="82">
        <f>F21+($I21-$C21)/6</f>
        <v>59.750000000000014</v>
      </c>
      <c r="H21" s="82">
        <f>G21+($I21-$C21)/6</f>
        <v>56.762500000000017</v>
      </c>
      <c r="I21" s="82">
        <f>C21*0.75</f>
        <v>53.775000000000006</v>
      </c>
      <c r="J21" t="s">
        <v>417</v>
      </c>
      <c r="M21" t="s">
        <v>291</v>
      </c>
      <c r="N21">
        <v>23.399999999999999</v>
      </c>
      <c r="O21">
        <v>19.399999999999999</v>
      </c>
      <c r="P21">
        <v>15.300000000000001</v>
      </c>
      <c r="Q21">
        <v>9.8000000000000007</v>
      </c>
      <c r="T21" t="s">
        <v>285</v>
      </c>
      <c r="U21">
        <v>11</v>
      </c>
      <c r="V21">
        <v>10</v>
      </c>
      <c r="W21">
        <v>8</v>
      </c>
      <c r="X21">
        <v>10</v>
      </c>
      <c r="Y21">
        <v>8</v>
      </c>
      <c r="Z21">
        <v>10</v>
      </c>
      <c r="AA21">
        <v>8</v>
      </c>
      <c r="AB21">
        <v>10</v>
      </c>
      <c r="AC21">
        <v>8</v>
      </c>
      <c r="AE21" s="4" t="s">
        <v>285</v>
      </c>
      <c r="AF21" s="139">
        <v>8.9749615982581492</v>
      </c>
      <c r="AG21" s="139">
        <v>9.0458621775000001</v>
      </c>
      <c r="AH21" s="139">
        <v>8.1053636415832493</v>
      </c>
      <c r="AI21" s="139">
        <v>7.5127388379789402</v>
      </c>
      <c r="AJ21" s="139">
        <v>6.9825806803564703</v>
      </c>
      <c r="AK21" s="139">
        <v>6.5200187936538798</v>
      </c>
      <c r="AL21" s="139">
        <v>6.2059559775700297</v>
      </c>
      <c r="AM21" s="139">
        <v>5.9616571182789997</v>
      </c>
    </row>
    <row r="22">
      <c r="B22" s="66" t="s">
        <v>410</v>
      </c>
      <c r="C22" s="66"/>
      <c r="D22" s="66"/>
      <c r="E22" s="66"/>
      <c r="F22" s="66"/>
      <c r="G22" s="66"/>
      <c r="H22" s="66"/>
      <c r="I22" s="66"/>
      <c r="M22" t="s">
        <v>278</v>
      </c>
      <c r="N22">
        <v>46.700000000000003</v>
      </c>
      <c r="O22">
        <v>46.399999999999999</v>
      </c>
      <c r="P22">
        <v>45.899999999999999</v>
      </c>
      <c r="Q22">
        <v>42.899999999999999</v>
      </c>
      <c r="T22" t="s">
        <v>287</v>
      </c>
      <c r="U22">
        <v>61</v>
      </c>
      <c r="V22">
        <v>53</v>
      </c>
      <c r="W22">
        <v>43</v>
      </c>
      <c r="X22">
        <v>53</v>
      </c>
      <c r="Y22">
        <v>43</v>
      </c>
      <c r="Z22">
        <v>55</v>
      </c>
      <c r="AA22">
        <v>46</v>
      </c>
      <c r="AB22">
        <v>55</v>
      </c>
      <c r="AC22">
        <v>49</v>
      </c>
      <c r="AE22" s="4" t="s">
        <v>409</v>
      </c>
      <c r="AF22" s="139">
        <v>64.585579801064895</v>
      </c>
      <c r="AG22" s="139">
        <v>57.716675851170898</v>
      </c>
      <c r="AH22" s="139">
        <v>51.9900555768942</v>
      </c>
      <c r="AI22" s="139">
        <v>47.007451639583003</v>
      </c>
      <c r="AJ22" s="139">
        <v>42.599124332702601</v>
      </c>
      <c r="AK22" s="139">
        <v>38.902948926186497</v>
      </c>
      <c r="AL22" s="139">
        <v>35.663141297341298</v>
      </c>
      <c r="AM22" s="139">
        <v>33.271600806753497</v>
      </c>
    </row>
    <row r="23">
      <c r="M23" t="s">
        <v>279</v>
      </c>
      <c r="N23">
        <v>21.399999999999999</v>
      </c>
      <c r="O23">
        <v>20.899999999999999</v>
      </c>
      <c r="P23">
        <v>24.899999999999999</v>
      </c>
      <c r="Q23">
        <v>29.899999999999999</v>
      </c>
    </row>
    <row r="27">
      <c r="B27" s="71" t="s">
        <v>292</v>
      </c>
      <c r="C27" s="71"/>
      <c r="D27" s="71"/>
      <c r="E27" s="71"/>
      <c r="F27" s="71"/>
      <c r="I27" s="78" t="s">
        <v>293</v>
      </c>
    </row>
    <row r="28">
      <c r="I28" s="78" t="s">
        <v>294</v>
      </c>
    </row>
    <row r="29">
      <c r="B29" s="2" t="s">
        <v>53</v>
      </c>
      <c r="D29" t="s">
        <v>418</v>
      </c>
    </row>
    <row r="30">
      <c r="B30" s="2"/>
    </row>
    <row r="31">
      <c r="C31" s="28" t="s">
        <v>67</v>
      </c>
      <c r="D31" s="28" t="s">
        <v>315</v>
      </c>
      <c r="E31" s="28" t="s">
        <v>419</v>
      </c>
      <c r="F31" s="28" t="s">
        <v>71</v>
      </c>
      <c r="G31" s="28" t="s">
        <v>420</v>
      </c>
      <c r="H31" s="28" t="s">
        <v>421</v>
      </c>
    </row>
    <row r="32">
      <c r="A32" s="34" t="s">
        <v>322</v>
      </c>
      <c r="B32" s="28">
        <v>2015</v>
      </c>
      <c r="C32" s="30">
        <v>0.30425000206643299</v>
      </c>
      <c r="D32" s="30">
        <v>0.47337470608240401</v>
      </c>
      <c r="E32" s="30">
        <v>0.13248493361541699</v>
      </c>
      <c r="F32" s="30">
        <v>0.0184643270906788</v>
      </c>
      <c r="G32" s="30">
        <v>0.065425304086609903</v>
      </c>
      <c r="H32" s="30">
        <v>0.00600072705845769</v>
      </c>
      <c r="J32" s="22"/>
    </row>
    <row r="33">
      <c r="A33" s="34"/>
      <c r="B33" s="28">
        <v>2016</v>
      </c>
      <c r="C33" s="30">
        <v>0.30468138479638901</v>
      </c>
      <c r="D33" s="30">
        <v>0.47422962541224001</v>
      </c>
      <c r="E33" s="30">
        <v>0.13120480232456</v>
      </c>
      <c r="F33" s="30">
        <v>0.018285916140630801</v>
      </c>
      <c r="G33" s="30">
        <v>0.065611151723578995</v>
      </c>
      <c r="H33" s="30">
        <v>0.0059871196026003897</v>
      </c>
      <c r="J33" s="22"/>
    </row>
    <row r="34">
      <c r="A34" s="34"/>
      <c r="B34" s="28">
        <v>2017</v>
      </c>
      <c r="C34" s="30">
        <v>0.303203493418298</v>
      </c>
      <c r="D34" s="30">
        <v>0.47518894650518401</v>
      </c>
      <c r="E34" s="30">
        <v>0.13122172628082901</v>
      </c>
      <c r="F34" s="30">
        <v>0.018288274819883502</v>
      </c>
      <c r="G34" s="30">
        <v>0.066077012732826707</v>
      </c>
      <c r="H34" s="30">
        <v>0.0060205462429781904</v>
      </c>
      <c r="J34" s="22"/>
    </row>
    <row r="35">
      <c r="A35" s="34"/>
      <c r="B35" s="28">
        <v>2018</v>
      </c>
      <c r="C35" s="30">
        <v>0.303789552686068</v>
      </c>
      <c r="D35" s="30">
        <v>0.47639903080898699</v>
      </c>
      <c r="E35" s="30">
        <v>0.12946196260324</v>
      </c>
      <c r="F35" s="30">
        <v>0.018718286286510798</v>
      </c>
      <c r="G35" s="30">
        <v>0.065281900901561898</v>
      </c>
      <c r="H35" s="30">
        <v>0.0063492667136329003</v>
      </c>
      <c r="J35" s="22"/>
    </row>
    <row r="36">
      <c r="A36" s="34"/>
      <c r="B36" s="28">
        <v>2019</v>
      </c>
      <c r="C36" s="30">
        <v>0.30436996905591901</v>
      </c>
      <c r="D36" s="30">
        <v>0.47559495085709802</v>
      </c>
      <c r="E36" s="30">
        <v>0.12951810100427399</v>
      </c>
      <c r="F36" s="30">
        <v>0.019209543463861799</v>
      </c>
      <c r="G36" s="30">
        <v>0.065264849886637902</v>
      </c>
      <c r="H36" s="30">
        <v>0.0060425857322091497</v>
      </c>
      <c r="J36" s="22"/>
    </row>
    <row r="37">
      <c r="A37" s="34" t="s">
        <v>325</v>
      </c>
      <c r="B37" s="28">
        <v>2015</v>
      </c>
      <c r="C37" s="30">
        <v>0.37924298730601702</v>
      </c>
      <c r="D37" s="30">
        <v>0.49176796189081701</v>
      </c>
      <c r="E37" s="30">
        <v>0.0065631883011703102</v>
      </c>
      <c r="F37" s="30">
        <v>0.116301327704287</v>
      </c>
      <c r="G37" s="28"/>
      <c r="H37" s="30">
        <v>0.0061245347977083101</v>
      </c>
    </row>
    <row r="38">
      <c r="A38" s="34"/>
      <c r="B38" s="28">
        <v>2016</v>
      </c>
      <c r="C38" s="30">
        <v>0.38069456709482202</v>
      </c>
      <c r="D38" s="30">
        <v>0.49141195598788001</v>
      </c>
      <c r="E38" s="30">
        <v>0.0065075874811472596</v>
      </c>
      <c r="F38" s="30">
        <v>0.115316067356207</v>
      </c>
      <c r="G38" s="28"/>
      <c r="H38" s="30">
        <v>0.0060698220799446298</v>
      </c>
    </row>
    <row r="39">
      <c r="A39" s="34"/>
      <c r="B39" s="28">
        <v>2017</v>
      </c>
      <c r="C39" s="30">
        <v>0.38055301937458003</v>
      </c>
      <c r="D39" s="30">
        <v>0.49143380316870799</v>
      </c>
      <c r="E39" s="30">
        <v>0.0065137064741819699</v>
      </c>
      <c r="F39" s="30">
        <v>0.11542449743340299</v>
      </c>
      <c r="G39" s="28"/>
      <c r="H39" s="30">
        <v>0.0060749735491265099</v>
      </c>
    </row>
    <row r="40">
      <c r="A40" s="34"/>
      <c r="B40" s="28">
        <v>2018</v>
      </c>
      <c r="C40" s="30">
        <v>0.38337627494545901</v>
      </c>
      <c r="D40" s="30">
        <v>0.48989325065167499</v>
      </c>
      <c r="E40" s="30">
        <v>0.0063939725312840597</v>
      </c>
      <c r="F40" s="30">
        <v>0.11431967677653899</v>
      </c>
      <c r="G40" s="28"/>
      <c r="H40" s="30">
        <v>0.0060168250950424001</v>
      </c>
    </row>
    <row r="41">
      <c r="A41" s="34"/>
      <c r="B41" s="28">
        <v>2019</v>
      </c>
      <c r="C41" s="30">
        <v>0.381458947958563</v>
      </c>
      <c r="D41" s="30">
        <v>0.49084803596181698</v>
      </c>
      <c r="E41" s="30">
        <v>0.0065151411670806804</v>
      </c>
      <c r="F41" s="30">
        <v>0.11511449173079299</v>
      </c>
      <c r="G41" s="28"/>
      <c r="H41" s="30">
        <v>0.0060633831817471602</v>
      </c>
    </row>
    <row r="43">
      <c r="B43" s="2" t="s">
        <v>1</v>
      </c>
    </row>
    <row r="44">
      <c r="C44" s="66" t="s">
        <v>422</v>
      </c>
      <c r="D44" s="66" t="s">
        <v>300</v>
      </c>
      <c r="E44" s="66" t="s">
        <v>128</v>
      </c>
      <c r="F44" s="66" t="s">
        <v>301</v>
      </c>
      <c r="G44" s="66" t="s">
        <v>84</v>
      </c>
      <c r="H44" s="66" t="s">
        <v>303</v>
      </c>
      <c r="I44" s="66" t="s">
        <v>304</v>
      </c>
      <c r="M44" s="140"/>
      <c r="N44" s="141"/>
      <c r="O44" s="141"/>
      <c r="P44" s="141"/>
    </row>
    <row r="45" ht="12.75" customHeight="1">
      <c r="A45" s="29" t="s">
        <v>322</v>
      </c>
      <c r="B45" s="28">
        <v>2020</v>
      </c>
      <c r="C45" s="41">
        <v>0.30499999999999999</v>
      </c>
      <c r="D45" s="41">
        <v>0.47599999999999998</v>
      </c>
      <c r="E45" s="41"/>
      <c r="F45" s="41">
        <v>0.14799999999999999</v>
      </c>
      <c r="G45" s="41">
        <v>0.0060000000000000001</v>
      </c>
      <c r="H45" s="41">
        <v>0.065000000000000002</v>
      </c>
      <c r="I45" s="41"/>
      <c r="K45" s="22"/>
      <c r="M45" s="22"/>
      <c r="P45" t="s">
        <v>2</v>
      </c>
      <c r="R45" t="s">
        <v>299</v>
      </c>
      <c r="S45" t="s">
        <v>300</v>
      </c>
      <c r="T45" t="s">
        <v>128</v>
      </c>
      <c r="U45" t="s">
        <v>301</v>
      </c>
      <c r="V45" t="s">
        <v>84</v>
      </c>
      <c r="W45" t="s">
        <v>302</v>
      </c>
      <c r="X45" t="s">
        <v>303</v>
      </c>
      <c r="Y45" t="s">
        <v>304</v>
      </c>
      <c r="Z45" t="s">
        <v>305</v>
      </c>
    </row>
    <row r="46">
      <c r="A46" s="29"/>
      <c r="B46" s="66">
        <f t="shared" ref="B46:B75" si="61">B45+5</f>
        <v>2025</v>
      </c>
      <c r="C46" s="41">
        <f>(C45+C47)/2</f>
        <v>0.36249999999999999</v>
      </c>
      <c r="D46" s="41">
        <f>(D45+D47)/2</f>
        <v>0.45899999999999996</v>
      </c>
      <c r="E46" s="41"/>
      <c r="F46" s="41">
        <f>(F45+F47)/2</f>
        <v>0.099000000000000005</v>
      </c>
      <c r="G46" s="41">
        <f>(G45+G47)/2</f>
        <v>0.0070000000000000001</v>
      </c>
      <c r="H46" s="41">
        <f>(H45+H47)/2</f>
        <v>0.072500000000000009</v>
      </c>
      <c r="I46" s="41"/>
      <c r="K46" s="22"/>
      <c r="P46" s="34" t="s">
        <v>322</v>
      </c>
      <c r="Q46" s="66">
        <v>2015</v>
      </c>
      <c r="R46" s="30">
        <v>0.29999999999999999</v>
      </c>
      <c r="S46" s="30">
        <v>0.34000000000000002</v>
      </c>
      <c r="T46" s="30">
        <v>0.040000000000000001</v>
      </c>
      <c r="U46" s="30">
        <v>0.10000000000000001</v>
      </c>
      <c r="V46" s="30">
        <v>0</v>
      </c>
      <c r="W46" s="30">
        <v>0.050000000000000003</v>
      </c>
      <c r="X46" s="30">
        <v>0.050000000000000003</v>
      </c>
      <c r="Y46" s="30">
        <v>0.040000000000000001</v>
      </c>
      <c r="Z46" s="30">
        <v>0.070000000000000007</v>
      </c>
    </row>
    <row r="47">
      <c r="A47" s="29"/>
      <c r="B47" s="66">
        <f t="shared" si="61"/>
        <v>2030</v>
      </c>
      <c r="C47" s="41">
        <v>0.41999999999999998</v>
      </c>
      <c r="D47" s="41">
        <v>0.442</v>
      </c>
      <c r="E47" s="41"/>
      <c r="F47" s="41">
        <v>0.050000000000000003</v>
      </c>
      <c r="G47" s="41">
        <v>0.0080000000000000002</v>
      </c>
      <c r="H47" s="41">
        <v>0.080000000000000002</v>
      </c>
      <c r="I47" s="41"/>
      <c r="K47" s="22"/>
      <c r="P47" s="34"/>
      <c r="Q47" s="66">
        <v>2030</v>
      </c>
      <c r="R47" s="30">
        <v>0.32000000000000001</v>
      </c>
      <c r="S47" s="30">
        <v>0.32000000000000001</v>
      </c>
      <c r="T47" s="30">
        <v>0</v>
      </c>
      <c r="U47" s="30">
        <v>0.02</v>
      </c>
      <c r="V47" s="30">
        <v>0</v>
      </c>
      <c r="W47" s="30">
        <v>0.14999999999999999</v>
      </c>
      <c r="X47" s="30">
        <v>0.059999999999999998</v>
      </c>
      <c r="Y47" s="30">
        <v>0.050000000000000003</v>
      </c>
      <c r="Z47" s="30">
        <v>0.080000000000000002</v>
      </c>
    </row>
    <row r="48">
      <c r="A48" s="29"/>
      <c r="B48" s="66">
        <f t="shared" si="61"/>
        <v>2035</v>
      </c>
      <c r="C48" s="41">
        <f>(C47+C49)/2</f>
        <v>0.46499999999999997</v>
      </c>
      <c r="D48" s="41">
        <f>(D47+D49)/2</f>
        <v>0.40900000000000003</v>
      </c>
      <c r="E48" s="41"/>
      <c r="F48" s="41">
        <f>(F47+F49)/2</f>
        <v>0.037500000000000006</v>
      </c>
      <c r="G48" s="41">
        <f>(G47+G49)/2</f>
        <v>0.0085000000000000006</v>
      </c>
      <c r="H48" s="41">
        <f>(H47+H49)/2</f>
        <v>0.080000000000000002</v>
      </c>
      <c r="I48" s="41"/>
      <c r="K48" s="22"/>
      <c r="P48" s="34"/>
      <c r="Q48" s="66">
        <v>2050</v>
      </c>
      <c r="R48" s="30">
        <v>0.32000000000000001</v>
      </c>
      <c r="S48" s="30">
        <v>0.25</v>
      </c>
      <c r="T48" s="30">
        <v>0</v>
      </c>
      <c r="U48" s="30">
        <v>0</v>
      </c>
      <c r="V48" s="30">
        <v>0</v>
      </c>
      <c r="W48" s="30">
        <v>0.23999999999999999</v>
      </c>
      <c r="X48" s="66">
        <v>6</v>
      </c>
      <c r="Y48" s="30">
        <v>0.050000000000000003</v>
      </c>
      <c r="Z48" s="30">
        <v>0.080000000000000002</v>
      </c>
    </row>
    <row r="49">
      <c r="A49" s="29"/>
      <c r="B49" s="66">
        <f t="shared" si="61"/>
        <v>2040</v>
      </c>
      <c r="C49" s="41">
        <f>(C47+C51)/2</f>
        <v>0.51000000000000001</v>
      </c>
      <c r="D49" s="41">
        <f>(D47+D51)/2</f>
        <v>0.376</v>
      </c>
      <c r="E49" s="41"/>
      <c r="F49" s="41">
        <f>(F47+F51)/2</f>
        <v>0.025000000000000001</v>
      </c>
      <c r="G49" s="41">
        <f>(G47+G51)/2</f>
        <v>0.0090000000000000011</v>
      </c>
      <c r="H49" s="41">
        <f>(H47+H51)/2</f>
        <v>0.080000000000000002</v>
      </c>
      <c r="I49" s="41"/>
      <c r="K49" s="22"/>
    </row>
    <row r="50" ht="12.75" customHeight="1">
      <c r="A50" s="29"/>
      <c r="B50" s="66">
        <f t="shared" si="61"/>
        <v>2045</v>
      </c>
      <c r="C50" s="41">
        <f>(C49+C51)/2</f>
        <v>0.55499999999999994</v>
      </c>
      <c r="D50" s="41">
        <f>(D49+D51)/2</f>
        <v>0.34299999999999997</v>
      </c>
      <c r="E50" s="41"/>
      <c r="F50" s="41">
        <f>(F49+F51)/2</f>
        <v>0.012500000000000001</v>
      </c>
      <c r="G50" s="41">
        <f>(G49+G51)/2</f>
        <v>0.0095000000000000015</v>
      </c>
      <c r="H50" s="41">
        <f>(H49+H51)/2</f>
        <v>0.080000000000000002</v>
      </c>
      <c r="I50" s="41"/>
      <c r="K50" s="22"/>
      <c r="P50" s="29" t="s">
        <v>324</v>
      </c>
      <c r="Q50" s="66">
        <v>2015</v>
      </c>
      <c r="R50" s="30">
        <v>0.62</v>
      </c>
      <c r="S50" s="30">
        <v>0.28000000000000003</v>
      </c>
      <c r="T50" s="66"/>
      <c r="U50" s="30">
        <v>0.10000000000000001</v>
      </c>
      <c r="V50" s="66"/>
      <c r="W50" s="30"/>
      <c r="X50" s="66"/>
      <c r="Y50" s="66"/>
      <c r="Z50" s="66"/>
    </row>
    <row r="51">
      <c r="A51" s="29"/>
      <c r="B51" s="66">
        <f t="shared" si="61"/>
        <v>2050</v>
      </c>
      <c r="C51" s="41">
        <v>0.59999999999999998</v>
      </c>
      <c r="D51" s="41">
        <v>0.31</v>
      </c>
      <c r="E51" s="41"/>
      <c r="F51" s="41">
        <v>0</v>
      </c>
      <c r="G51" s="41">
        <v>0.01</v>
      </c>
      <c r="H51" s="41">
        <v>0.080000000000000002</v>
      </c>
      <c r="I51" s="41"/>
      <c r="K51" s="22"/>
      <c r="P51" s="29"/>
      <c r="Q51" s="66">
        <v>2030</v>
      </c>
      <c r="R51" s="30">
        <v>0.62</v>
      </c>
      <c r="S51" s="30">
        <v>0.28000000000000003</v>
      </c>
      <c r="T51" s="66"/>
      <c r="U51" s="30">
        <v>0.10000000000000001</v>
      </c>
      <c r="V51" s="66"/>
      <c r="W51" s="30"/>
      <c r="X51" s="66"/>
      <c r="Y51" s="66"/>
      <c r="Z51" s="66"/>
    </row>
    <row r="52" ht="12.75" customHeight="1">
      <c r="A52" s="29" t="s">
        <v>325</v>
      </c>
      <c r="B52" s="28">
        <v>2020</v>
      </c>
      <c r="C52" s="41">
        <v>0.38200000000000001</v>
      </c>
      <c r="D52" s="41">
        <v>0.49099999999999999</v>
      </c>
      <c r="E52" s="41"/>
      <c r="F52" s="41">
        <v>0.121</v>
      </c>
      <c r="G52" s="41">
        <v>0.0060000000000000001</v>
      </c>
      <c r="H52" s="41"/>
      <c r="I52" s="41"/>
      <c r="K52" s="22"/>
      <c r="P52" s="29"/>
      <c r="Q52" s="66">
        <v>2050</v>
      </c>
      <c r="R52" s="30">
        <v>0.62</v>
      </c>
      <c r="S52" s="30">
        <v>0.28000000000000003</v>
      </c>
      <c r="T52" s="66"/>
      <c r="U52" s="30">
        <v>0.10000000000000001</v>
      </c>
      <c r="V52" s="66"/>
      <c r="W52" s="30"/>
      <c r="X52" s="66"/>
      <c r="Y52" s="66"/>
      <c r="Z52" s="66"/>
    </row>
    <row r="53">
      <c r="A53" s="29"/>
      <c r="B53" s="66">
        <f t="shared" si="61"/>
        <v>2025</v>
      </c>
      <c r="C53" s="41">
        <f>(C52+C54)/2</f>
        <v>0.39300000000000002</v>
      </c>
      <c r="D53" s="41">
        <f>(D52+D54)/2</f>
        <v>0.49049999999999999</v>
      </c>
      <c r="E53" s="41"/>
      <c r="F53" s="41">
        <f>(F52+F54)/2</f>
        <v>0.1105</v>
      </c>
      <c r="G53" s="41">
        <f>(G52+G54)/2</f>
        <v>0.0060000000000000001</v>
      </c>
      <c r="H53" s="41"/>
      <c r="I53" s="41"/>
      <c r="K53" s="22"/>
    </row>
    <row r="54">
      <c r="A54" s="29"/>
      <c r="B54" s="66">
        <f t="shared" si="61"/>
        <v>2030</v>
      </c>
      <c r="C54" s="41">
        <v>0.40400000000000003</v>
      </c>
      <c r="D54" s="41">
        <v>0.48999999999999999</v>
      </c>
      <c r="E54" s="41"/>
      <c r="F54" s="41">
        <v>0.10000000000000001</v>
      </c>
      <c r="G54" s="41">
        <v>0.0060000000000000001</v>
      </c>
      <c r="H54" s="41"/>
      <c r="I54" s="41"/>
      <c r="K54" s="22"/>
    </row>
    <row r="55">
      <c r="A55" s="29"/>
      <c r="B55" s="66">
        <f t="shared" si="61"/>
        <v>2035</v>
      </c>
      <c r="C55" s="41">
        <f>(C54+C56)/2</f>
        <v>0.40400000000000003</v>
      </c>
      <c r="D55" s="41">
        <f>(D54+D56)/2</f>
        <v>0.48999999999999999</v>
      </c>
      <c r="E55" s="41"/>
      <c r="F55" s="41">
        <f>(F54+F56)/2</f>
        <v>0.10000000000000001</v>
      </c>
      <c r="G55" s="41">
        <f>(G54+G56)/2</f>
        <v>0.0060000000000000001</v>
      </c>
      <c r="H55" s="41"/>
      <c r="I55" s="41"/>
      <c r="K55" s="22"/>
    </row>
    <row r="56">
      <c r="A56" s="29"/>
      <c r="B56" s="66">
        <f t="shared" si="61"/>
        <v>2040</v>
      </c>
      <c r="C56" s="41">
        <f>(C54+C58)/2</f>
        <v>0.40400000000000003</v>
      </c>
      <c r="D56" s="41">
        <f>(D54+D58)/2</f>
        <v>0.48999999999999999</v>
      </c>
      <c r="E56" s="41"/>
      <c r="F56" s="41">
        <f>(F54+F58)/2</f>
        <v>0.10000000000000001</v>
      </c>
      <c r="G56" s="41">
        <f>(G54+G58)/2</f>
        <v>0.0060000000000000001</v>
      </c>
      <c r="H56" s="41"/>
      <c r="I56" s="41"/>
      <c r="K56" s="22"/>
    </row>
    <row r="57">
      <c r="A57" s="29"/>
      <c r="B57" s="66">
        <f t="shared" si="61"/>
        <v>2045</v>
      </c>
      <c r="C57" s="41">
        <f>(C56+C58)/2</f>
        <v>0.40400000000000003</v>
      </c>
      <c r="D57" s="41">
        <f>(D56+D58)/2</f>
        <v>0.48999999999999999</v>
      </c>
      <c r="E57" s="41"/>
      <c r="F57" s="41">
        <f>(F56+F58)/2</f>
        <v>0.10000000000000001</v>
      </c>
      <c r="G57" s="41">
        <f>(G56+G58)/2</f>
        <v>0.0060000000000000001</v>
      </c>
      <c r="H57" s="41"/>
      <c r="I57" s="41"/>
      <c r="K57" s="22"/>
    </row>
    <row r="58">
      <c r="A58" s="29"/>
      <c r="B58" s="66">
        <f t="shared" si="61"/>
        <v>2050</v>
      </c>
      <c r="C58" s="41">
        <v>0.40400000000000003</v>
      </c>
      <c r="D58" s="41">
        <v>0.48999999999999999</v>
      </c>
      <c r="E58" s="41"/>
      <c r="F58" s="41">
        <v>0.10000000000000001</v>
      </c>
      <c r="G58" s="41">
        <v>0.0060000000000000001</v>
      </c>
      <c r="H58" s="41"/>
      <c r="I58" s="41"/>
    </row>
    <row r="60">
      <c r="B60" s="2" t="s">
        <v>30</v>
      </c>
    </row>
    <row r="61">
      <c r="C61" s="66" t="s">
        <v>422</v>
      </c>
      <c r="D61" s="66" t="s">
        <v>300</v>
      </c>
      <c r="E61" s="66" t="s">
        <v>128</v>
      </c>
      <c r="F61" s="66" t="s">
        <v>301</v>
      </c>
      <c r="G61" s="66" t="s">
        <v>84</v>
      </c>
      <c r="H61" s="66" t="s">
        <v>303</v>
      </c>
      <c r="I61" s="66" t="s">
        <v>304</v>
      </c>
    </row>
    <row r="62" ht="12.75" customHeight="1">
      <c r="A62" s="29" t="s">
        <v>322</v>
      </c>
      <c r="B62" s="28">
        <v>2020</v>
      </c>
      <c r="C62" s="41">
        <v>0.30499999999999999</v>
      </c>
      <c r="D62" s="41">
        <v>0.47599999999999998</v>
      </c>
      <c r="E62" s="41"/>
      <c r="F62" s="41">
        <v>0.14799999999999999</v>
      </c>
      <c r="G62" s="41">
        <v>0.0060000000000000001</v>
      </c>
      <c r="H62" s="41">
        <v>0.065000000000000002</v>
      </c>
      <c r="I62" s="41">
        <v>0</v>
      </c>
      <c r="K62" s="22"/>
      <c r="N62" s="21"/>
      <c r="AG62" s="23"/>
      <c r="AH62" s="23"/>
    </row>
    <row r="63">
      <c r="A63" s="29"/>
      <c r="B63" s="66">
        <f t="shared" si="61"/>
        <v>2025</v>
      </c>
      <c r="C63" s="41">
        <f>(C62+C64)/2</f>
        <v>0.39749999999999996</v>
      </c>
      <c r="D63" s="41">
        <f>(D62+D64)/2</f>
        <v>0.39300000000000002</v>
      </c>
      <c r="E63" s="41"/>
      <c r="F63" s="41">
        <f>(F62+F64)/2</f>
        <v>0.083999999999999991</v>
      </c>
      <c r="G63" s="41">
        <f>(G62+G64)/2</f>
        <v>0.017999999999999999</v>
      </c>
      <c r="H63" s="41">
        <f>(H62+H64)/2</f>
        <v>0.082500000000000004</v>
      </c>
      <c r="I63" s="41">
        <f>(I62+I64)/2</f>
        <v>0.025000000000000001</v>
      </c>
      <c r="K63" s="22"/>
      <c r="N63" s="21"/>
      <c r="AD63" s="23" t="s">
        <v>327</v>
      </c>
      <c r="AF63" s="23" t="s">
        <v>328</v>
      </c>
    </row>
    <row r="64">
      <c r="A64" s="29"/>
      <c r="B64" s="66">
        <f t="shared" si="61"/>
        <v>2030</v>
      </c>
      <c r="C64" s="41">
        <v>0.48999999999999999</v>
      </c>
      <c r="D64" s="41">
        <v>0.31</v>
      </c>
      <c r="E64" s="41"/>
      <c r="F64" s="41">
        <v>0.02</v>
      </c>
      <c r="G64" s="41">
        <v>0.029999999999999999</v>
      </c>
      <c r="H64" s="41">
        <v>0.10000000000000001</v>
      </c>
      <c r="I64" s="41">
        <v>0.050000000000000003</v>
      </c>
      <c r="K64" s="22"/>
      <c r="P64" t="s">
        <v>31</v>
      </c>
      <c r="R64" t="s">
        <v>299</v>
      </c>
      <c r="S64" t="s">
        <v>300</v>
      </c>
      <c r="T64" t="s">
        <v>128</v>
      </c>
      <c r="U64" t="s">
        <v>301</v>
      </c>
      <c r="V64" t="s">
        <v>84</v>
      </c>
      <c r="W64" t="s">
        <v>302</v>
      </c>
      <c r="X64" t="s">
        <v>303</v>
      </c>
      <c r="Y64" t="s">
        <v>304</v>
      </c>
      <c r="Z64" t="s">
        <v>305</v>
      </c>
      <c r="AD64" s="6" t="s">
        <v>120</v>
      </c>
      <c r="AE64" s="4"/>
      <c r="AF64" s="4" t="s">
        <v>299</v>
      </c>
      <c r="AG64" s="4" t="s">
        <v>300</v>
      </c>
      <c r="AH64" s="4" t="s">
        <v>128</v>
      </c>
      <c r="AI64" s="4" t="s">
        <v>301</v>
      </c>
      <c r="AJ64" s="4" t="s">
        <v>84</v>
      </c>
      <c r="AK64" s="4" t="s">
        <v>302</v>
      </c>
      <c r="AL64" s="4" t="s">
        <v>83</v>
      </c>
      <c r="AM64" s="4" t="s">
        <v>304</v>
      </c>
      <c r="AN64" s="4" t="s">
        <v>305</v>
      </c>
    </row>
    <row r="65">
      <c r="A65" s="29"/>
      <c r="B65" s="66">
        <f t="shared" si="61"/>
        <v>2035</v>
      </c>
      <c r="C65" s="41">
        <f>55.25%</f>
        <v>0.55249999999999999</v>
      </c>
      <c r="D65" s="41">
        <v>0.25</v>
      </c>
      <c r="E65" s="41"/>
      <c r="F65" s="41">
        <v>0</v>
      </c>
      <c r="G65" s="41">
        <f>(G64+G66)/2</f>
        <v>0.029999999999999999</v>
      </c>
      <c r="H65" s="41">
        <f>(H64+H66)/2</f>
        <v>0.10500000000000001</v>
      </c>
      <c r="I65" s="41">
        <f>(I64+I66)/2</f>
        <v>0.0625</v>
      </c>
      <c r="K65" s="22"/>
      <c r="P65" s="34" t="s">
        <v>322</v>
      </c>
      <c r="Q65" s="66">
        <v>2015</v>
      </c>
      <c r="R65" s="58">
        <v>0.29596380321351401</v>
      </c>
      <c r="S65" s="58">
        <v>0.34476771821396901</v>
      </c>
      <c r="T65" s="58">
        <v>0.044276957985255598</v>
      </c>
      <c r="U65" s="58">
        <v>0.10220548479180799</v>
      </c>
      <c r="V65" s="58">
        <v>0</v>
      </c>
      <c r="W65" s="58">
        <v>0.046190882582455697</v>
      </c>
      <c r="X65" s="58">
        <v>0.053031871354058999</v>
      </c>
      <c r="Y65" s="58">
        <v>0.044276957985255598</v>
      </c>
      <c r="Z65" s="58">
        <v>0.069286323873683997</v>
      </c>
      <c r="AD65" s="26" t="s">
        <v>322</v>
      </c>
      <c r="AE65" s="4">
        <v>2015</v>
      </c>
      <c r="AF65" s="17">
        <v>0.30848501930126099</v>
      </c>
      <c r="AG65" s="17">
        <v>0.47844389558517703</v>
      </c>
      <c r="AH65" s="17">
        <v>0</v>
      </c>
      <c r="AI65" s="17">
        <v>0.16479045013994501</v>
      </c>
      <c r="AJ65" s="17">
        <v>0.0097221935754176602</v>
      </c>
      <c r="AK65" s="17">
        <v>-0.0186291885413769</v>
      </c>
      <c r="AL65" s="17">
        <v>0.0571876299395764</v>
      </c>
      <c r="AM65" s="17">
        <v>0</v>
      </c>
      <c r="AN65" s="17">
        <v>0</v>
      </c>
    </row>
    <row r="66">
      <c r="A66" s="29"/>
      <c r="B66" s="66">
        <f t="shared" si="61"/>
        <v>2040</v>
      </c>
      <c r="C66" s="41">
        <f>58%</f>
        <v>0.57999999999999996</v>
      </c>
      <c r="D66" s="41">
        <f>(D64+D68)/2</f>
        <v>0.20500000000000002</v>
      </c>
      <c r="E66" s="41"/>
      <c r="F66" s="41">
        <v>0</v>
      </c>
      <c r="G66" s="41">
        <f>(G64+G68)/2</f>
        <v>0.029999999999999999</v>
      </c>
      <c r="H66" s="41">
        <f>(H64+H68)/2</f>
        <v>0.11</v>
      </c>
      <c r="I66" s="41">
        <f>(I64+I68)/2</f>
        <v>0.075000000000000011</v>
      </c>
      <c r="K66" s="22"/>
      <c r="N66" s="21"/>
      <c r="P66" s="34"/>
      <c r="Q66" s="66">
        <v>2030</v>
      </c>
      <c r="R66" s="58">
        <v>0.32000000000000001</v>
      </c>
      <c r="S66" s="58">
        <v>0.32000000000000001</v>
      </c>
      <c r="T66" s="58">
        <v>0</v>
      </c>
      <c r="U66" s="58">
        <v>0.02</v>
      </c>
      <c r="V66" s="58">
        <v>0</v>
      </c>
      <c r="W66" s="58">
        <v>0.14999999999999999</v>
      </c>
      <c r="X66" s="58">
        <v>0.059999999999999998</v>
      </c>
      <c r="Y66" s="58">
        <v>0.050000000000000003</v>
      </c>
      <c r="Z66" s="58">
        <v>0.080000000000000002</v>
      </c>
      <c r="AD66" s="26"/>
      <c r="AE66" s="4">
        <v>2030</v>
      </c>
      <c r="AF66" s="17">
        <v>0.26664099886069298</v>
      </c>
      <c r="AG66" s="17">
        <v>0.449782719823278</v>
      </c>
      <c r="AH66" s="17">
        <v>0</v>
      </c>
      <c r="AI66" s="17">
        <v>0.133150440156169</v>
      </c>
      <c r="AJ66" s="17">
        <v>0.0440945246344258</v>
      </c>
      <c r="AK66" s="17">
        <v>-0.0047704700456802102</v>
      </c>
      <c r="AL66" s="17">
        <v>0.098151807605843702</v>
      </c>
      <c r="AM66" s="17">
        <v>0.00054131471289505201</v>
      </c>
      <c r="AN66" s="17">
        <v>0.0124086642523745</v>
      </c>
    </row>
    <row r="67">
      <c r="A67" s="29"/>
      <c r="B67" s="66">
        <f t="shared" si="61"/>
        <v>2045</v>
      </c>
      <c r="C67" s="41">
        <f>(C66+C68)/2</f>
        <v>0.61499999999999999</v>
      </c>
      <c r="D67" s="41">
        <f>(D66+D68)/2</f>
        <v>0.15250000000000002</v>
      </c>
      <c r="E67" s="41"/>
      <c r="F67" s="41">
        <v>0</v>
      </c>
      <c r="G67" s="41">
        <f>(G66+G68)/2</f>
        <v>0.029999999999999999</v>
      </c>
      <c r="H67" s="41">
        <f>(H66+H68)/2</f>
        <v>0.11499999999999999</v>
      </c>
      <c r="I67" s="41">
        <f>(I66+I68)/2</f>
        <v>0.087500000000000008</v>
      </c>
      <c r="K67" s="22"/>
      <c r="N67" s="21"/>
      <c r="P67" s="34"/>
      <c r="Q67" s="66">
        <v>2050</v>
      </c>
      <c r="R67" s="58">
        <v>0.01</v>
      </c>
      <c r="S67" s="58">
        <v>0.10000000000000001</v>
      </c>
      <c r="T67" s="58">
        <v>0</v>
      </c>
      <c r="U67" s="58">
        <v>0</v>
      </c>
      <c r="V67" s="58">
        <v>0</v>
      </c>
      <c r="W67" s="58">
        <v>0.63</v>
      </c>
      <c r="X67" s="58">
        <v>0.057000000000000002</v>
      </c>
      <c r="Y67" s="58">
        <v>0.20300000000000001</v>
      </c>
      <c r="Z67" s="58">
        <v>0</v>
      </c>
      <c r="AD67" s="26"/>
      <c r="AE67" s="4">
        <v>2050</v>
      </c>
      <c r="AF67" s="17">
        <v>0.0206834499080428</v>
      </c>
      <c r="AG67" s="17">
        <v>0.21270050613842501</v>
      </c>
      <c r="AH67" s="17">
        <v>0</v>
      </c>
      <c r="AI67" s="17">
        <v>0</v>
      </c>
      <c r="AJ67" s="17">
        <v>0.22333553144534701</v>
      </c>
      <c r="AK67" s="17">
        <v>0.0821152303949233</v>
      </c>
      <c r="AL67" s="17">
        <v>0.28714568328687401</v>
      </c>
      <c r="AM67" s="17">
        <v>0.0095426298877431606</v>
      </c>
      <c r="AN67" s="17">
        <v>0.164476968938644</v>
      </c>
    </row>
    <row r="68">
      <c r="A68" s="29"/>
      <c r="B68" s="66">
        <f t="shared" si="61"/>
        <v>2050</v>
      </c>
      <c r="C68" s="41">
        <v>0.65000000000000002</v>
      </c>
      <c r="D68" s="41">
        <v>0.10000000000000001</v>
      </c>
      <c r="E68" s="41"/>
      <c r="F68" s="41">
        <v>0</v>
      </c>
      <c r="G68" s="41">
        <v>0.029999999999999999</v>
      </c>
      <c r="H68" s="41">
        <v>0.12</v>
      </c>
      <c r="I68" s="41">
        <v>0.10000000000000001</v>
      </c>
      <c r="K68" s="2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ht="12.75" customHeight="1">
      <c r="A69" s="29" t="s">
        <v>325</v>
      </c>
      <c r="B69" s="28">
        <v>2020</v>
      </c>
      <c r="C69" s="41">
        <v>0.38200000000000001</v>
      </c>
      <c r="D69" s="41">
        <v>0.49099999999999999</v>
      </c>
      <c r="E69" s="41"/>
      <c r="F69" s="41">
        <v>0.121</v>
      </c>
      <c r="G69" s="41">
        <v>0.0060000000000000001</v>
      </c>
      <c r="H69" s="41"/>
      <c r="I69" s="41"/>
      <c r="P69" s="29" t="s">
        <v>324</v>
      </c>
      <c r="Q69" s="66">
        <v>2015</v>
      </c>
      <c r="R69" s="58">
        <v>0.61631512642602804</v>
      </c>
      <c r="S69" s="58">
        <v>0.28354316367266802</v>
      </c>
      <c r="T69" s="58">
        <v>0</v>
      </c>
      <c r="U69" s="58">
        <v>0.100141709901304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D69" s="13" t="s">
        <v>324</v>
      </c>
      <c r="AE69" s="4">
        <v>2015</v>
      </c>
      <c r="AF69" s="17">
        <v>0.44058055663972501</v>
      </c>
      <c r="AG69" s="17">
        <v>0.45446474801494102</v>
      </c>
      <c r="AH69" s="4"/>
      <c r="AI69" s="17">
        <v>0.104954695345334</v>
      </c>
      <c r="AJ69" s="4"/>
      <c r="AK69" s="17"/>
      <c r="AL69" s="4"/>
      <c r="AM69" s="4"/>
      <c r="AN69" s="4"/>
    </row>
    <row r="70">
      <c r="A70" s="29"/>
      <c r="B70" s="66">
        <f t="shared" si="61"/>
        <v>2025</v>
      </c>
      <c r="C70" s="41">
        <f>(C69+C71)/2</f>
        <v>0.54600000000000004</v>
      </c>
      <c r="D70" s="41">
        <f>(D69+D71)/2</f>
        <v>0.38550000000000001</v>
      </c>
      <c r="E70" s="41"/>
      <c r="F70" s="41">
        <f>(F69+F71)/2</f>
        <v>0.060499999999999998</v>
      </c>
      <c r="G70" s="41">
        <f>(G69+G71)/2</f>
        <v>0.0080000000000000002</v>
      </c>
      <c r="H70" s="41"/>
      <c r="I70" s="41"/>
      <c r="K70" s="22"/>
      <c r="P70" s="29"/>
      <c r="Q70" s="66">
        <v>2030</v>
      </c>
      <c r="R70" s="58">
        <v>0.61631512642602804</v>
      </c>
      <c r="S70" s="58">
        <v>0.28354316367266802</v>
      </c>
      <c r="T70" s="58">
        <v>0</v>
      </c>
      <c r="U70" s="58">
        <v>0.100141709901304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D70" s="13"/>
      <c r="AE70" s="4">
        <v>2030</v>
      </c>
      <c r="AF70" s="17">
        <v>0.57451986978709602</v>
      </c>
      <c r="AG70" s="17">
        <v>0.42382800561380801</v>
      </c>
      <c r="AH70" s="4"/>
      <c r="AI70" s="17">
        <v>0.0016521245990967499</v>
      </c>
      <c r="AJ70" s="4"/>
      <c r="AK70" s="17"/>
      <c r="AL70" s="4"/>
      <c r="AM70" s="4"/>
      <c r="AN70" s="4"/>
    </row>
    <row r="71">
      <c r="A71" s="29"/>
      <c r="B71" s="66">
        <f t="shared" si="61"/>
        <v>2030</v>
      </c>
      <c r="C71" s="41">
        <v>0.70999999999999996</v>
      </c>
      <c r="D71" s="41">
        <v>0.28000000000000003</v>
      </c>
      <c r="E71" s="41"/>
      <c r="F71" s="41">
        <v>0</v>
      </c>
      <c r="G71" s="41">
        <v>0.01</v>
      </c>
      <c r="H71" s="41"/>
      <c r="I71" s="41"/>
      <c r="K71" s="22"/>
      <c r="P71" s="29"/>
      <c r="Q71" s="66">
        <v>2050</v>
      </c>
      <c r="R71" s="58">
        <v>0.88300000000000001</v>
      </c>
      <c r="S71" s="58">
        <v>0.10000000000000001</v>
      </c>
      <c r="T71" s="58">
        <v>0</v>
      </c>
      <c r="U71" s="58">
        <v>0.017000000000000001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D71" s="13"/>
      <c r="AE71" s="4">
        <v>2050</v>
      </c>
      <c r="AF71" s="17">
        <v>0.57474695449886204</v>
      </c>
      <c r="AG71" s="17">
        <v>0.42525304550113802</v>
      </c>
      <c r="AH71" s="4"/>
      <c r="AI71" s="17">
        <v>0</v>
      </c>
      <c r="AJ71" s="4"/>
      <c r="AK71" s="17"/>
      <c r="AL71" s="4"/>
      <c r="AM71" s="4"/>
      <c r="AN71" s="4"/>
    </row>
    <row r="72">
      <c r="A72" s="29"/>
      <c r="B72" s="66">
        <f t="shared" si="61"/>
        <v>2035</v>
      </c>
      <c r="C72" s="41">
        <f>(C71+C73)/2</f>
        <v>0.75749999999999995</v>
      </c>
      <c r="D72" s="41">
        <f>(D71+D73)/2</f>
        <v>0.23250000000000001</v>
      </c>
      <c r="E72" s="41"/>
      <c r="F72" s="41">
        <f>(F71+F73)/2</f>
        <v>0</v>
      </c>
      <c r="G72" s="41">
        <f>(G71+G73)/2</f>
        <v>0.01</v>
      </c>
      <c r="H72" s="41"/>
      <c r="I72" s="41"/>
      <c r="K72" s="22"/>
    </row>
    <row r="73">
      <c r="A73" s="29"/>
      <c r="B73" s="66">
        <f t="shared" si="61"/>
        <v>2040</v>
      </c>
      <c r="C73" s="41">
        <f>(C71+C75)/2</f>
        <v>0.80499999999999994</v>
      </c>
      <c r="D73" s="41">
        <f>(D71+D75)/2</f>
        <v>0.185</v>
      </c>
      <c r="E73" s="41"/>
      <c r="F73" s="41">
        <f>(F71+F75)/2</f>
        <v>0</v>
      </c>
      <c r="G73" s="41">
        <f>(G71+G75)/2</f>
        <v>0.01</v>
      </c>
      <c r="H73" s="41"/>
      <c r="I73" s="41"/>
      <c r="K73" s="22"/>
    </row>
    <row r="74">
      <c r="A74" s="29"/>
      <c r="B74" s="66">
        <f t="shared" si="61"/>
        <v>2045</v>
      </c>
      <c r="C74" s="41">
        <f>(C73+C75)/2</f>
        <v>0.85250000000000004</v>
      </c>
      <c r="D74" s="41">
        <f>(D73+D75)/2</f>
        <v>0.13750000000000001</v>
      </c>
      <c r="E74" s="41"/>
      <c r="F74" s="41">
        <f>(F73+F75)/2</f>
        <v>0</v>
      </c>
      <c r="G74" s="41">
        <f>(G73+G75)/2</f>
        <v>0.01</v>
      </c>
      <c r="H74" s="41"/>
      <c r="I74" s="41"/>
      <c r="K74" s="22"/>
    </row>
    <row r="75">
      <c r="A75" s="29"/>
      <c r="B75" s="66">
        <f t="shared" si="61"/>
        <v>2050</v>
      </c>
      <c r="C75" s="41">
        <v>0.90000000000000002</v>
      </c>
      <c r="D75" s="41">
        <v>0.089999999999999997</v>
      </c>
      <c r="E75" s="41"/>
      <c r="F75" s="41">
        <v>0</v>
      </c>
      <c r="G75" s="41">
        <v>0.01</v>
      </c>
      <c r="H75" s="41"/>
      <c r="I75" s="41"/>
      <c r="K75" s="22"/>
    </row>
  </sheetData>
  <mergeCells count="19">
    <mergeCell ref="A62:A68"/>
    <mergeCell ref="P65:P67"/>
    <mergeCell ref="AD65:AD67"/>
    <mergeCell ref="A69:A75"/>
    <mergeCell ref="P69:P71"/>
    <mergeCell ref="AD69:AD71"/>
    <mergeCell ref="AB18:AC18"/>
    <mergeCell ref="B27:F27"/>
    <mergeCell ref="A32:A36"/>
    <mergeCell ref="A37:A41"/>
    <mergeCell ref="A45:A51"/>
    <mergeCell ref="P46:P48"/>
    <mergeCell ref="P50:P52"/>
    <mergeCell ref="A52:A58"/>
    <mergeCell ref="H2:K2"/>
    <mergeCell ref="B3:F3"/>
    <mergeCell ref="V18:W18"/>
    <mergeCell ref="X18:Y18"/>
    <mergeCell ref="Z18:AA18"/>
  </mergeCells>
  <printOptions headings="0" gridLines="0"/>
  <pageMargins left="0.78750000000000009" right="0.78750000000000009" top="1.0249999999999997" bottom="1.0249999999999997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&amp;C&amp;"Arial,Normal"&amp;10&amp;A</oddHeader>
    <oddFooter>&amp;C&amp;"Arial,Normal"&amp;10Page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7" workbookViewId="0">
      <selection activeCell="I40" activeCellId="0" sqref="I40"/>
    </sheetView>
  </sheetViews>
  <sheetFormatPr baseColWidth="10" defaultColWidth="9.140625" defaultRowHeight="15"/>
  <cols>
    <col customWidth="1" min="1" max="1" width="28.85546875"/>
    <col customWidth="1" min="2" max="1025" width="8.42578125"/>
  </cols>
  <sheetData>
    <row r="5">
      <c r="A5" t="s">
        <v>53</v>
      </c>
    </row>
    <row r="6">
      <c r="A6" s="142" t="s">
        <v>423</v>
      </c>
      <c r="B6" s="143">
        <v>2015</v>
      </c>
      <c r="C6" s="143">
        <v>2020</v>
      </c>
    </row>
    <row r="7">
      <c r="A7" s="144" t="s">
        <v>424</v>
      </c>
      <c r="B7" s="145">
        <v>6500</v>
      </c>
      <c r="C7" s="145">
        <v>6500</v>
      </c>
    </row>
    <row r="8">
      <c r="A8" s="144" t="s">
        <v>425</v>
      </c>
      <c r="B8" s="145">
        <v>7700</v>
      </c>
      <c r="C8" s="145">
        <v>7700</v>
      </c>
      <c r="D8" t="s">
        <v>426</v>
      </c>
    </row>
    <row r="9">
      <c r="A9" s="144" t="s">
        <v>427</v>
      </c>
      <c r="B9" s="145">
        <v>1270</v>
      </c>
      <c r="C9" s="145">
        <v>1270</v>
      </c>
    </row>
    <row r="10">
      <c r="A10" s="144" t="s">
        <v>428</v>
      </c>
      <c r="B10" s="145">
        <v>1364</v>
      </c>
      <c r="C10" s="145">
        <v>1364</v>
      </c>
    </row>
    <row r="11">
      <c r="A11" s="144" t="s">
        <v>429</v>
      </c>
      <c r="B11" s="145">
        <v>2296</v>
      </c>
      <c r="C11" s="145">
        <v>2296</v>
      </c>
    </row>
    <row r="12">
      <c r="A12" s="144" t="s">
        <v>430</v>
      </c>
      <c r="B12" s="145">
        <v>4000</v>
      </c>
      <c r="C12" s="145">
        <v>4000</v>
      </c>
    </row>
    <row r="13">
      <c r="A13" s="144" t="s">
        <v>431</v>
      </c>
      <c r="B13" s="145">
        <v>6363</v>
      </c>
      <c r="C13" s="145">
        <v>6363</v>
      </c>
    </row>
    <row r="14">
      <c r="A14" s="144" t="s">
        <v>270</v>
      </c>
      <c r="B14" s="145">
        <v>1920</v>
      </c>
      <c r="C14" s="145">
        <v>1920</v>
      </c>
    </row>
    <row r="15" ht="26.25">
      <c r="A15" s="142" t="s">
        <v>432</v>
      </c>
      <c r="B15" s="146">
        <v>31413</v>
      </c>
      <c r="C15" s="146">
        <v>31413</v>
      </c>
      <c r="V15" s="147"/>
    </row>
    <row r="16">
      <c r="A16" t="s">
        <v>406</v>
      </c>
    </row>
    <row r="19">
      <c r="A19" s="2" t="s">
        <v>91</v>
      </c>
      <c r="O19" s="2" t="s">
        <v>433</v>
      </c>
    </row>
    <row r="20">
      <c r="A20" t="s">
        <v>434</v>
      </c>
      <c r="B20" s="28">
        <v>2020</v>
      </c>
      <c r="C20" s="28">
        <f t="shared" ref="C20:H20" si="62">B20+5</f>
        <v>2025</v>
      </c>
      <c r="D20" s="28">
        <f t="shared" si="62"/>
        <v>2030</v>
      </c>
      <c r="E20" s="28">
        <f t="shared" si="62"/>
        <v>2035</v>
      </c>
      <c r="F20" s="28">
        <f t="shared" si="62"/>
        <v>2040</v>
      </c>
      <c r="G20" s="28">
        <f t="shared" si="62"/>
        <v>2045</v>
      </c>
      <c r="H20" s="28">
        <f t="shared" si="62"/>
        <v>2050</v>
      </c>
    </row>
    <row r="21">
      <c r="A21" s="28" t="s">
        <v>424</v>
      </c>
      <c r="B21" s="82">
        <f t="shared" ref="B21:B23" si="63">C7/1000</f>
        <v>6.5</v>
      </c>
      <c r="C21" s="82">
        <v>6</v>
      </c>
      <c r="D21" s="82">
        <v>5.5</v>
      </c>
      <c r="E21" s="82">
        <f t="shared" ref="E21:E23" si="64">(D21+F21)/2</f>
        <v>5.2000000000000002</v>
      </c>
      <c r="F21" s="82">
        <f t="shared" ref="F21:F23" si="65">(D21+H21)/2</f>
        <v>4.9000000000000004</v>
      </c>
      <c r="G21" s="82">
        <f t="shared" ref="G21:G23" si="66">(F21+H21)/2</f>
        <v>4.5999999999999996</v>
      </c>
      <c r="H21" s="82">
        <v>4.2999999999999998</v>
      </c>
      <c r="I21" t="s">
        <v>435</v>
      </c>
      <c r="S21" t="s">
        <v>436</v>
      </c>
    </row>
    <row r="22">
      <c r="A22" s="28" t="s">
        <v>425</v>
      </c>
      <c r="B22" s="82">
        <f t="shared" si="63"/>
        <v>7.7000000000000002</v>
      </c>
      <c r="C22" s="82">
        <f t="shared" ref="C22:C23" si="67">(B22+D22)/2</f>
        <v>8.8979999999999997</v>
      </c>
      <c r="D22" s="82">
        <v>10.096</v>
      </c>
      <c r="E22" s="82">
        <f t="shared" si="64"/>
        <v>13.347</v>
      </c>
      <c r="F22" s="82">
        <f t="shared" si="65"/>
        <v>16.597999999999999</v>
      </c>
      <c r="G22" s="82">
        <f t="shared" si="66"/>
        <v>19.849</v>
      </c>
      <c r="H22" s="82">
        <f>B22*3</f>
        <v>23.100000000000001</v>
      </c>
      <c r="I22" t="s">
        <v>437</v>
      </c>
      <c r="J22" t="s">
        <v>438</v>
      </c>
    </row>
    <row r="23">
      <c r="A23" s="28" t="s">
        <v>439</v>
      </c>
      <c r="B23" s="82">
        <f t="shared" si="63"/>
        <v>1.27</v>
      </c>
      <c r="C23" s="82">
        <f t="shared" si="67"/>
        <v>1.3017500000000002</v>
      </c>
      <c r="D23" s="82">
        <f>B23*1.05</f>
        <v>1.3335000000000001</v>
      </c>
      <c r="E23" s="82">
        <f t="shared" si="64"/>
        <v>1.41859</v>
      </c>
      <c r="F23" s="82">
        <f t="shared" si="65"/>
        <v>1.5036800000000001</v>
      </c>
      <c r="G23" s="82">
        <f t="shared" si="66"/>
        <v>1.5887700000000002</v>
      </c>
      <c r="H23" s="82">
        <f>B23*1.318</f>
        <v>1.6738600000000001</v>
      </c>
      <c r="I23" s="23" t="s">
        <v>440</v>
      </c>
    </row>
    <row r="24">
      <c r="A24" s="28" t="s">
        <v>441</v>
      </c>
      <c r="B24" s="82">
        <f>C10/1000</f>
        <v>1.3640000000000001</v>
      </c>
      <c r="C24" s="82">
        <f>$B24*('Construction neuve rési'!H9/'Construction neuve rési'!$C9)</f>
        <v>1.3783241646930562</v>
      </c>
      <c r="D24" s="82">
        <f>$B24*('Construction neuve rési'!M9/'Construction neuve rési'!$C9)</f>
        <v>1.3905453076033989</v>
      </c>
      <c r="E24" s="82">
        <f>$B24*('Construction neuve rési'!R9/'Construction neuve rési'!$C9)</f>
        <v>1.3985924909797756</v>
      </c>
      <c r="F24" s="82">
        <f>$B24*('Construction neuve rési'!W9/'Construction neuve rési'!$C9)</f>
        <v>1.402494701126376</v>
      </c>
      <c r="G24" s="82">
        <f>$B24*('Construction neuve rési'!AB9/'Construction neuve rési'!$C9)</f>
        <v>1.404315717055008</v>
      </c>
      <c r="H24" s="82">
        <f>$B24*('Construction neuve rési'!AG9/'Construction neuve rési'!$C9)</f>
        <v>1.4020086574724688</v>
      </c>
      <c r="I24" t="s">
        <v>442</v>
      </c>
    </row>
    <row r="25">
      <c r="A25" s="28" t="s">
        <v>443</v>
      </c>
      <c r="B25" s="82">
        <f>(C11+C12)/1000</f>
        <v>6.2960000000000003</v>
      </c>
      <c r="C25" s="82">
        <v>6.4000000000000004</v>
      </c>
      <c r="D25" s="82">
        <v>6.5</v>
      </c>
      <c r="E25" s="82">
        <v>6.5999999999999996</v>
      </c>
      <c r="F25" s="82">
        <v>6.7000000000000002</v>
      </c>
      <c r="G25" s="82">
        <v>6.7999999999999998</v>
      </c>
      <c r="H25" s="82">
        <v>6.9000000000000004</v>
      </c>
      <c r="I25" t="s">
        <v>444</v>
      </c>
    </row>
    <row r="26">
      <c r="A26" s="28" t="s">
        <v>445</v>
      </c>
      <c r="B26" s="82">
        <f t="shared" ref="B26:B27" si="68">C13/1000</f>
        <v>6.3630000000000004</v>
      </c>
      <c r="C26" s="82">
        <f>$B26*('Construction neuve rési'!H9/'Construction neuve rési'!$C9)</f>
        <v>6.4298215981978863</v>
      </c>
      <c r="D26" s="82">
        <f>$B26*('Construction neuve rési'!M9/'Construction neuve rési'!$C9)</f>
        <v>6.4868326922877024</v>
      </c>
      <c r="E26" s="82">
        <f>$B26*('Construction neuve rési'!R9/'Construction neuve rési'!$C9)</f>
        <v>6.5243724487568269</v>
      </c>
      <c r="F26" s="82">
        <f>$B26*('Construction neuve rési'!W9/'Construction neuve rési'!$C9)</f>
        <v>6.5425760874392447</v>
      </c>
      <c r="G26" s="82">
        <f>$B26*('Construction neuve rési'!AB9/'Construction neuve rési'!$C9)</f>
        <v>6.5510710466429742</v>
      </c>
      <c r="H26" s="82">
        <f>$B26*('Construction neuve rési'!AG9/'Construction neuve rési'!$C9)</f>
        <v>6.5403087151739872</v>
      </c>
      <c r="I26" t="s">
        <v>442</v>
      </c>
    </row>
    <row r="27">
      <c r="A27" s="28" t="s">
        <v>446</v>
      </c>
      <c r="B27" s="82">
        <f t="shared" si="68"/>
        <v>1.9199999999999999</v>
      </c>
      <c r="C27" s="82">
        <f t="shared" ref="C27:H27" si="69">B27</f>
        <v>1.9199999999999999</v>
      </c>
      <c r="D27" s="82">
        <f t="shared" si="69"/>
        <v>1.9199999999999999</v>
      </c>
      <c r="E27" s="82">
        <f t="shared" si="69"/>
        <v>1.9199999999999999</v>
      </c>
      <c r="F27" s="82">
        <f t="shared" si="69"/>
        <v>1.9199999999999999</v>
      </c>
      <c r="G27" s="82">
        <f t="shared" si="69"/>
        <v>1.9199999999999999</v>
      </c>
      <c r="H27" s="82">
        <f t="shared" si="69"/>
        <v>1.9199999999999999</v>
      </c>
      <c r="I27" t="s">
        <v>447</v>
      </c>
    </row>
    <row r="28">
      <c r="A28" t="s">
        <v>270</v>
      </c>
      <c r="B28" s="79"/>
    </row>
    <row r="29">
      <c r="A29" s="2" t="s">
        <v>129</v>
      </c>
      <c r="B29" s="148">
        <f t="shared" ref="B29:H29" si="70">SUM(B21:B28)</f>
        <v>31.412999999999997</v>
      </c>
      <c r="C29" s="148">
        <f t="shared" si="70"/>
        <v>32.32789576289094</v>
      </c>
      <c r="D29" s="148">
        <f t="shared" si="70"/>
        <v>33.226877999891101</v>
      </c>
      <c r="E29" s="148">
        <f t="shared" si="70"/>
        <v>36.408554939736604</v>
      </c>
      <c r="F29" s="148">
        <f t="shared" si="70"/>
        <v>39.566750788565621</v>
      </c>
      <c r="G29" s="148">
        <f t="shared" si="70"/>
        <v>42.713156763697981</v>
      </c>
      <c r="H29" s="148">
        <f t="shared" si="70"/>
        <v>45.836177372646461</v>
      </c>
    </row>
    <row r="32">
      <c r="A32" s="2" t="s">
        <v>119</v>
      </c>
      <c r="O32" s="2" t="s">
        <v>31</v>
      </c>
      <c r="Z32" s="149" t="s">
        <v>120</v>
      </c>
    </row>
    <row r="33">
      <c r="A33" t="s">
        <v>434</v>
      </c>
      <c r="B33" s="28">
        <v>2020</v>
      </c>
      <c r="C33" s="28">
        <f t="shared" ref="C33:H33" si="71">B33+5</f>
        <v>2025</v>
      </c>
      <c r="D33" s="28">
        <f t="shared" si="71"/>
        <v>2030</v>
      </c>
      <c r="E33" s="28">
        <f t="shared" si="71"/>
        <v>2035</v>
      </c>
      <c r="F33" s="28">
        <f t="shared" si="71"/>
        <v>2040</v>
      </c>
      <c r="G33" s="28">
        <f t="shared" si="71"/>
        <v>2045</v>
      </c>
      <c r="H33" s="28">
        <f t="shared" si="71"/>
        <v>2050</v>
      </c>
      <c r="O33">
        <v>2015</v>
      </c>
      <c r="P33">
        <v>2020</v>
      </c>
      <c r="Q33">
        <v>2025</v>
      </c>
      <c r="R33">
        <v>2030</v>
      </c>
      <c r="S33">
        <v>2050</v>
      </c>
      <c r="Z33" s="4" t="s">
        <v>434</v>
      </c>
      <c r="AA33" s="4">
        <v>2019</v>
      </c>
      <c r="AB33" s="4">
        <v>2020</v>
      </c>
      <c r="AC33" s="4">
        <f t="shared" ref="AC33:AH33" si="72">AB33+5</f>
        <v>2025</v>
      </c>
      <c r="AD33" s="4">
        <f t="shared" si="72"/>
        <v>2030</v>
      </c>
      <c r="AE33" s="4">
        <f t="shared" si="72"/>
        <v>2035</v>
      </c>
      <c r="AF33" s="4">
        <f t="shared" si="72"/>
        <v>2040</v>
      </c>
      <c r="AG33" s="4">
        <f t="shared" si="72"/>
        <v>2045</v>
      </c>
      <c r="AH33" s="4">
        <f t="shared" si="72"/>
        <v>2050</v>
      </c>
    </row>
    <row r="34">
      <c r="A34" s="28" t="s">
        <v>424</v>
      </c>
      <c r="B34" s="150">
        <f t="shared" ref="B34:B42" si="73">B21</f>
        <v>6.5</v>
      </c>
      <c r="C34" s="28">
        <v>5.5</v>
      </c>
      <c r="D34" s="28">
        <v>4</v>
      </c>
      <c r="E34" s="28">
        <v>3.5</v>
      </c>
      <c r="F34" s="28">
        <v>3</v>
      </c>
      <c r="G34" s="28">
        <v>2.5</v>
      </c>
      <c r="H34" s="28">
        <v>2</v>
      </c>
      <c r="I34" t="s">
        <v>448</v>
      </c>
      <c r="O34" s="79">
        <v>4.1519927827443199</v>
      </c>
      <c r="P34" s="79">
        <v>3.91473605230179</v>
      </c>
      <c r="Q34" s="79">
        <v>3.6774793218592499</v>
      </c>
      <c r="R34" s="79">
        <v>3.4402225914167199</v>
      </c>
      <c r="S34" s="79">
        <v>2.49119566964659</v>
      </c>
      <c r="T34" t="s">
        <v>449</v>
      </c>
      <c r="Z34" s="4" t="s">
        <v>424</v>
      </c>
      <c r="AA34" s="139">
        <v>5.8458399999999999</v>
      </c>
      <c r="AB34" s="139">
        <v>4.2194000000000003</v>
      </c>
      <c r="AC34" s="139">
        <v>3.2559489795918299</v>
      </c>
      <c r="AD34" s="139">
        <v>2.5537731092436902</v>
      </c>
      <c r="AE34" s="139">
        <v>2.0648571428571398</v>
      </c>
      <c r="AF34" s="139">
        <v>1.8163095238095199</v>
      </c>
      <c r="AG34" s="139">
        <v>1.6042918719211801</v>
      </c>
      <c r="AH34" s="139">
        <v>1.41290322580645</v>
      </c>
    </row>
    <row r="35">
      <c r="A35" s="28" t="s">
        <v>425</v>
      </c>
      <c r="B35" s="150">
        <f t="shared" si="73"/>
        <v>7.7000000000000002</v>
      </c>
      <c r="C35" s="28">
        <f>(B35+D35)/2</f>
        <v>7.0999999999999996</v>
      </c>
      <c r="D35" s="28">
        <v>6.5</v>
      </c>
      <c r="E35" s="28">
        <f>(D35+F35)/2</f>
        <v>5.9500000000000002</v>
      </c>
      <c r="F35" s="28">
        <v>5.4000000000000004</v>
      </c>
      <c r="G35" s="28">
        <f>(F35+H35)/2</f>
        <v>4.6500000000000004</v>
      </c>
      <c r="H35" s="28">
        <v>3.8999999999999999</v>
      </c>
      <c r="I35" t="s">
        <v>450</v>
      </c>
      <c r="O35" s="79">
        <v>2.68658356530515</v>
      </c>
      <c r="P35" s="79">
        <v>3.0447947073458299</v>
      </c>
      <c r="Q35" s="79">
        <v>3.4030058493865201</v>
      </c>
      <c r="R35" s="79">
        <v>3.7612169914272</v>
      </c>
      <c r="S35" s="79">
        <v>3.7612169914272</v>
      </c>
      <c r="T35" t="s">
        <v>451</v>
      </c>
      <c r="Z35" s="4" t="s">
        <v>425</v>
      </c>
      <c r="AA35" s="139">
        <v>6</v>
      </c>
      <c r="AB35" s="139">
        <v>7.3333333333333304</v>
      </c>
      <c r="AC35" s="139">
        <v>8.6666666666666696</v>
      </c>
      <c r="AD35" s="139">
        <v>9.4000000000000004</v>
      </c>
      <c r="AE35" s="139">
        <v>9.4000000000000004</v>
      </c>
      <c r="AF35" s="139">
        <v>9.0999999999999996</v>
      </c>
      <c r="AG35" s="139">
        <v>8.6005835464128797</v>
      </c>
      <c r="AH35" s="139">
        <v>8.1790693759723094</v>
      </c>
    </row>
    <row r="36">
      <c r="A36" s="28" t="s">
        <v>439</v>
      </c>
      <c r="B36" s="150">
        <f t="shared" si="73"/>
        <v>1.27</v>
      </c>
      <c r="C36" s="150">
        <f t="shared" ref="C36:H40" si="74">B36</f>
        <v>1.27</v>
      </c>
      <c r="D36" s="150">
        <f t="shared" si="74"/>
        <v>1.27</v>
      </c>
      <c r="E36" s="150">
        <f t="shared" si="74"/>
        <v>1.27</v>
      </c>
      <c r="F36" s="150">
        <f t="shared" si="74"/>
        <v>1.27</v>
      </c>
      <c r="G36" s="150">
        <f t="shared" si="74"/>
        <v>1.27</v>
      </c>
      <c r="H36" s="150">
        <f t="shared" si="74"/>
        <v>1.27</v>
      </c>
      <c r="I36" t="s">
        <v>452</v>
      </c>
      <c r="O36" s="79">
        <v>6.8385763480494601</v>
      </c>
      <c r="P36" s="79">
        <v>6.3826712581795002</v>
      </c>
      <c r="Q36" s="79">
        <v>5.9267661683095403</v>
      </c>
      <c r="R36" s="79">
        <v>5.4708610784395697</v>
      </c>
      <c r="S36" s="79">
        <v>5.1289322610371002</v>
      </c>
      <c r="T36" t="s">
        <v>453</v>
      </c>
      <c r="Z36" s="4" t="s">
        <v>439</v>
      </c>
      <c r="AA36" s="139"/>
      <c r="AB36" s="139"/>
      <c r="AC36" s="139"/>
      <c r="AD36" s="139"/>
      <c r="AE36" s="139"/>
      <c r="AF36" s="139"/>
      <c r="AG36" s="139"/>
      <c r="AH36" s="139"/>
    </row>
    <row r="37">
      <c r="A37" s="28" t="s">
        <v>441</v>
      </c>
      <c r="B37" s="150">
        <f t="shared" si="73"/>
        <v>1.3640000000000001</v>
      </c>
      <c r="C37" s="150">
        <f t="shared" si="74"/>
        <v>1.3640000000000001</v>
      </c>
      <c r="D37" s="150">
        <f t="shared" si="74"/>
        <v>1.3640000000000001</v>
      </c>
      <c r="E37" s="150">
        <f t="shared" si="74"/>
        <v>1.3640000000000001</v>
      </c>
      <c r="F37" s="150">
        <f t="shared" si="74"/>
        <v>1.3640000000000001</v>
      </c>
      <c r="G37" s="150">
        <f t="shared" si="74"/>
        <v>1.3640000000000001</v>
      </c>
      <c r="H37" s="150">
        <f t="shared" si="74"/>
        <v>1.3640000000000001</v>
      </c>
      <c r="I37" t="s">
        <v>452</v>
      </c>
      <c r="O37" s="79">
        <v>2.1167022029676898</v>
      </c>
      <c r="P37" s="79">
        <v>1.9755887227698501</v>
      </c>
      <c r="Q37" s="79">
        <v>1.8344752425719999</v>
      </c>
      <c r="R37" s="79">
        <v>1.6933617623741499</v>
      </c>
      <c r="S37" s="79">
        <v>1.5875266522257701</v>
      </c>
      <c r="T37" t="s">
        <v>453</v>
      </c>
      <c r="Z37" s="4" t="s">
        <v>441</v>
      </c>
      <c r="AA37" s="139">
        <v>3.5</v>
      </c>
      <c r="AB37" s="139">
        <v>3.8999999999999999</v>
      </c>
      <c r="AC37" s="139">
        <v>4.2999999999999998</v>
      </c>
      <c r="AD37" s="139">
        <v>4.7000000000000002</v>
      </c>
      <c r="AE37" s="139">
        <v>5.0999999999999996</v>
      </c>
      <c r="AF37" s="139">
        <v>5.5</v>
      </c>
      <c r="AG37" s="139">
        <v>5.5</v>
      </c>
      <c r="AH37" s="139">
        <v>5.5</v>
      </c>
    </row>
    <row r="38">
      <c r="A38" s="28" t="s">
        <v>443</v>
      </c>
      <c r="B38" s="150">
        <f t="shared" si="73"/>
        <v>6.2960000000000003</v>
      </c>
      <c r="C38" s="28">
        <v>6.5999999999999996</v>
      </c>
      <c r="D38" s="28">
        <v>7</v>
      </c>
      <c r="E38" s="28">
        <f t="shared" ref="E38:H40" si="75">D38</f>
        <v>7</v>
      </c>
      <c r="F38" s="28">
        <f t="shared" si="75"/>
        <v>7</v>
      </c>
      <c r="G38" s="28">
        <f t="shared" si="75"/>
        <v>7</v>
      </c>
      <c r="H38" s="28">
        <f t="shared" si="75"/>
        <v>7</v>
      </c>
      <c r="I38" t="s">
        <v>454</v>
      </c>
      <c r="O38" s="79">
        <v>3.4192881740247301</v>
      </c>
      <c r="P38" s="79">
        <v>3.7042288551934601</v>
      </c>
      <c r="Q38" s="79">
        <v>3.9891695363621902</v>
      </c>
      <c r="R38" s="79">
        <v>4.2741102175309198</v>
      </c>
      <c r="S38" s="79">
        <v>4.2741102175309198</v>
      </c>
      <c r="T38" t="s">
        <v>455</v>
      </c>
      <c r="Z38" s="4" t="s">
        <v>443</v>
      </c>
      <c r="AA38" s="139">
        <v>8.4000000000000004</v>
      </c>
      <c r="AB38" s="139">
        <v>7.6333333333333302</v>
      </c>
      <c r="AC38" s="139">
        <v>7.0222222222222301</v>
      </c>
      <c r="AD38" s="139">
        <v>6.4111111111111203</v>
      </c>
      <c r="AE38" s="139">
        <v>5.7999999999999998</v>
      </c>
      <c r="AF38" s="139">
        <v>5.2000000000000002</v>
      </c>
      <c r="AG38" s="139">
        <v>4.5999999999999996</v>
      </c>
      <c r="AH38" s="139">
        <v>4.0800000000000001</v>
      </c>
    </row>
    <row r="39">
      <c r="A39" s="28" t="s">
        <v>445</v>
      </c>
      <c r="B39" s="150">
        <f t="shared" si="73"/>
        <v>6.3630000000000004</v>
      </c>
      <c r="C39" s="150">
        <f t="shared" si="74"/>
        <v>6.3630000000000004</v>
      </c>
      <c r="D39" s="150">
        <f t="shared" ref="D39:D40" si="76">C39</f>
        <v>6.3630000000000004</v>
      </c>
      <c r="E39" s="150">
        <f t="shared" si="75"/>
        <v>6.3630000000000004</v>
      </c>
      <c r="F39" s="150">
        <f t="shared" si="75"/>
        <v>6.3630000000000004</v>
      </c>
      <c r="G39" s="150">
        <f t="shared" si="75"/>
        <v>6.3630000000000004</v>
      </c>
      <c r="H39" s="150">
        <f t="shared" si="75"/>
        <v>6.3630000000000004</v>
      </c>
      <c r="I39" t="s">
        <v>456</v>
      </c>
      <c r="O39" s="79">
        <v>5.6988136233745497</v>
      </c>
      <c r="P39" s="79">
        <v>5.3188927151495804</v>
      </c>
      <c r="Q39" s="79">
        <v>4.9389718069246102</v>
      </c>
      <c r="R39" s="79">
        <v>4.5590508986996401</v>
      </c>
      <c r="S39" s="79">
        <v>4.27411021753091</v>
      </c>
      <c r="T39" t="s">
        <v>453</v>
      </c>
      <c r="Z39" s="4" t="s">
        <v>445</v>
      </c>
      <c r="AA39" s="139"/>
      <c r="AB39" s="139"/>
      <c r="AC39" s="139"/>
      <c r="AD39" s="139"/>
      <c r="AE39" s="139"/>
      <c r="AF39" s="139"/>
      <c r="AG39" s="139"/>
      <c r="AH39" s="139"/>
    </row>
    <row r="40">
      <c r="A40" s="28" t="s">
        <v>446</v>
      </c>
      <c r="B40" s="150">
        <f t="shared" si="73"/>
        <v>1.9199999999999999</v>
      </c>
      <c r="C40" s="150">
        <f t="shared" si="74"/>
        <v>1.9199999999999999</v>
      </c>
      <c r="D40" s="150">
        <f t="shared" si="76"/>
        <v>1.9199999999999999</v>
      </c>
      <c r="E40" s="150">
        <f t="shared" si="75"/>
        <v>1.9199999999999999</v>
      </c>
      <c r="F40" s="150">
        <f t="shared" si="75"/>
        <v>1.9199999999999999</v>
      </c>
      <c r="G40" s="150">
        <f t="shared" si="75"/>
        <v>1.9199999999999999</v>
      </c>
      <c r="H40" s="150">
        <f t="shared" si="75"/>
        <v>1.9199999999999999</v>
      </c>
      <c r="I40" s="78"/>
      <c r="O40" s="79">
        <v>1.13976272467491</v>
      </c>
      <c r="P40" s="79">
        <v>1.02578645220742</v>
      </c>
      <c r="Q40" s="79">
        <v>0.91181017973992895</v>
      </c>
      <c r="R40" s="79">
        <v>0.79783390727243797</v>
      </c>
      <c r="S40" s="79">
        <v>0.79783390727243797</v>
      </c>
      <c r="T40" t="s">
        <v>457</v>
      </c>
      <c r="Z40" s="4" t="s">
        <v>446</v>
      </c>
      <c r="AA40" s="139"/>
      <c r="AB40" s="139"/>
      <c r="AC40" s="139"/>
      <c r="AD40" s="139"/>
      <c r="AE40" s="139"/>
      <c r="AF40" s="139"/>
      <c r="AG40" s="139"/>
      <c r="AH40" s="139"/>
    </row>
    <row r="41">
      <c r="A41" t="s">
        <v>270</v>
      </c>
      <c r="B41" s="151"/>
      <c r="O41" s="79">
        <v>1.6282324638212999</v>
      </c>
      <c r="P41" s="79">
        <v>1.6282324638212999</v>
      </c>
      <c r="Q41" s="79">
        <v>1.6282324638212999</v>
      </c>
      <c r="R41" s="79">
        <v>1.6282324638212999</v>
      </c>
      <c r="S41" s="79">
        <v>1.6282324638212999</v>
      </c>
      <c r="T41" t="s">
        <v>458</v>
      </c>
      <c r="Z41" s="4" t="s">
        <v>270</v>
      </c>
      <c r="AA41" s="139"/>
      <c r="AB41" s="139"/>
      <c r="AC41" s="139"/>
      <c r="AD41" s="139"/>
      <c r="AE41" s="139"/>
      <c r="AF41" s="139"/>
      <c r="AG41" s="139"/>
      <c r="AH41" s="139"/>
    </row>
    <row r="42">
      <c r="A42" s="2" t="s">
        <v>129</v>
      </c>
      <c r="B42" s="152">
        <f t="shared" si="73"/>
        <v>31.412999999999997</v>
      </c>
      <c r="C42" s="148">
        <f t="shared" ref="C42:H42" si="77">SUM(C34:C40)</f>
        <v>30.116999999999997</v>
      </c>
      <c r="D42" s="148">
        <f t="shared" si="77"/>
        <v>28.417000000000002</v>
      </c>
      <c r="E42" s="148">
        <f t="shared" si="77"/>
        <v>27.366999999999997</v>
      </c>
      <c r="F42" s="148">
        <f t="shared" si="77"/>
        <v>26.317</v>
      </c>
      <c r="G42" s="148">
        <f t="shared" si="77"/>
        <v>25.067</v>
      </c>
      <c r="H42" s="148">
        <f t="shared" si="77"/>
        <v>23.817</v>
      </c>
      <c r="O42" s="79">
        <v>27.679951884962101</v>
      </c>
      <c r="P42" s="79">
        <v>26.994931226968699</v>
      </c>
      <c r="Q42" s="79">
        <v>26.309910568975301</v>
      </c>
      <c r="R42" s="79">
        <v>25.624889910981899</v>
      </c>
      <c r="S42" s="79">
        <v>23.9431583804922</v>
      </c>
      <c r="Z42" s="4" t="s">
        <v>129</v>
      </c>
      <c r="AA42" s="139">
        <f t="shared" ref="AA42:AH42" si="78">SUM(AA34:AA41)</f>
        <v>23.745840000000001</v>
      </c>
      <c r="AB42" s="139">
        <f t="shared" si="78"/>
        <v>23.08606666666666</v>
      </c>
      <c r="AC42" s="139">
        <f t="shared" si="78"/>
        <v>23.24483786848073</v>
      </c>
      <c r="AD42" s="139">
        <f t="shared" si="78"/>
        <v>23.064884220354813</v>
      </c>
      <c r="AE42" s="139">
        <f t="shared" si="78"/>
        <v>22.36485714285714</v>
      </c>
      <c r="AF42" s="139">
        <f t="shared" si="78"/>
        <v>21.61630952380952</v>
      </c>
      <c r="AG42" s="139">
        <f t="shared" si="78"/>
        <v>20.30487541833406</v>
      </c>
      <c r="AH42" s="139">
        <f t="shared" si="78"/>
        <v>19.171972601778762</v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&amp;C&amp;"Arial,Normal"&amp;10&amp;A</oddHeader>
    <oddFooter>&amp;C&amp;"Arial,Normal"&amp;10Page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4" zoomScale="77" workbookViewId="0">
      <selection activeCell="A6" activeCellId="0" sqref="A6"/>
    </sheetView>
  </sheetViews>
  <sheetFormatPr baseColWidth="10" defaultColWidth="9.140625" defaultRowHeight="15"/>
  <cols>
    <col customWidth="1" min="1" max="1" width="8.42578125"/>
    <col customWidth="1" min="2" max="2" width="16.28515625"/>
    <col customWidth="1" min="3" max="3" width="11.85546875"/>
    <col min="4" max="4" width="11.42578125"/>
    <col customWidth="1" min="5" max="5" width="14.5703125"/>
    <col customWidth="1" min="6" max="1025" width="8.42578125"/>
  </cols>
  <sheetData>
    <row r="2">
      <c r="B2" s="153" t="s">
        <v>459</v>
      </c>
      <c r="C2" s="153"/>
      <c r="D2" s="153"/>
      <c r="E2" s="153"/>
      <c r="F2" s="153"/>
      <c r="G2" s="153"/>
      <c r="H2" s="153"/>
      <c r="I2" s="153"/>
    </row>
    <row r="5" ht="18">
      <c r="B5" s="1" t="s">
        <v>460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>
      <c r="B7" s="154" t="s">
        <v>461</v>
      </c>
      <c r="C7" s="155"/>
      <c r="D7" s="155">
        <v>2015</v>
      </c>
      <c r="E7" s="155">
        <v>2017</v>
      </c>
      <c r="F7" s="155">
        <v>2020</v>
      </c>
      <c r="G7" s="155">
        <v>2022</v>
      </c>
      <c r="H7" s="155">
        <v>2025</v>
      </c>
      <c r="I7" s="155">
        <v>2030</v>
      </c>
      <c r="J7" s="155">
        <v>2035</v>
      </c>
      <c r="K7" s="155">
        <v>2040</v>
      </c>
      <c r="L7" s="155">
        <v>2045</v>
      </c>
      <c r="M7" s="156">
        <v>2050</v>
      </c>
      <c r="O7" s="154" t="s">
        <v>37</v>
      </c>
      <c r="P7" s="157"/>
      <c r="Q7" s="155">
        <v>2015</v>
      </c>
      <c r="R7" s="155">
        <v>2017</v>
      </c>
      <c r="S7" s="155">
        <v>2020</v>
      </c>
      <c r="T7" s="155">
        <v>2022</v>
      </c>
      <c r="U7" s="155">
        <v>2025</v>
      </c>
      <c r="V7" s="155">
        <v>2030</v>
      </c>
      <c r="W7" s="155">
        <v>2035</v>
      </c>
      <c r="X7" s="155">
        <v>2040</v>
      </c>
      <c r="Y7" s="155">
        <v>2045</v>
      </c>
      <c r="Z7" s="156">
        <v>2050</v>
      </c>
    </row>
    <row r="8">
      <c r="B8" s="158" t="s">
        <v>462</v>
      </c>
      <c r="C8" s="159"/>
      <c r="D8" s="160">
        <v>0.082638280080537599</v>
      </c>
      <c r="E8" s="160">
        <v>0.086020121913760406</v>
      </c>
      <c r="F8" s="160">
        <v>0.26847589488554602</v>
      </c>
      <c r="G8" s="160">
        <v>0.30347199041591899</v>
      </c>
      <c r="H8" s="160">
        <v>0.36529987816808801</v>
      </c>
      <c r="I8" s="160">
        <v>0.49989560176576597</v>
      </c>
      <c r="J8" s="160">
        <v>0.60370310882621203</v>
      </c>
      <c r="K8" s="160">
        <v>0.72987497446577698</v>
      </c>
      <c r="L8" s="160">
        <v>0.82959293846398896</v>
      </c>
      <c r="M8" s="161">
        <v>0.95008466226982002</v>
      </c>
      <c r="O8" s="158" t="s">
        <v>462</v>
      </c>
      <c r="P8" s="159"/>
      <c r="Q8" s="162">
        <v>0.082638280080537599</v>
      </c>
      <c r="R8" s="162">
        <v>0.086020121913760406</v>
      </c>
      <c r="S8" s="162">
        <v>0.26847136310478598</v>
      </c>
      <c r="T8" s="162">
        <v>0.28021009642314398</v>
      </c>
      <c r="U8" s="162">
        <v>0.30203338291255</v>
      </c>
      <c r="V8" s="162">
        <v>0.41046862037689102</v>
      </c>
      <c r="W8" s="162">
        <v>0.487829369960878</v>
      </c>
      <c r="X8" s="162">
        <v>0.58047329412370297</v>
      </c>
      <c r="Y8" s="162">
        <v>0.67643314363296403</v>
      </c>
      <c r="Z8" s="162">
        <v>0.79985318376700498</v>
      </c>
    </row>
    <row r="9">
      <c r="B9" s="163" t="s">
        <v>463</v>
      </c>
      <c r="C9" s="164"/>
      <c r="D9" s="165">
        <v>0.050000000000000003</v>
      </c>
      <c r="E9" s="165">
        <v>0.050999999999999997</v>
      </c>
      <c r="F9" s="165">
        <v>0.17000000000000001</v>
      </c>
      <c r="G9" s="165">
        <v>0.19914315836042401</v>
      </c>
      <c r="H9" s="165">
        <v>0.25248762345905201</v>
      </c>
      <c r="I9" s="165">
        <v>0.375</v>
      </c>
      <c r="J9" s="165">
        <v>0.466368952654441</v>
      </c>
      <c r="K9" s="165">
        <v>0.57999999999999996</v>
      </c>
      <c r="L9" s="165">
        <v>0.73443856107914096</v>
      </c>
      <c r="M9" s="166">
        <v>0.93000000000000005</v>
      </c>
      <c r="O9" s="167" t="s">
        <v>463</v>
      </c>
      <c r="P9" s="168"/>
      <c r="Q9" s="169">
        <v>0.050000000000000003</v>
      </c>
      <c r="R9" s="170">
        <v>0.050999999999999997</v>
      </c>
      <c r="S9" s="171">
        <v>0.17000000000000001</v>
      </c>
      <c r="T9" s="171">
        <v>0.16130595827194399</v>
      </c>
      <c r="U9" s="171">
        <v>0.181384397682439</v>
      </c>
      <c r="V9" s="171">
        <v>0.28999999999999998</v>
      </c>
      <c r="W9" s="171">
        <v>0.35312887166019102</v>
      </c>
      <c r="X9" s="171">
        <v>0.42999999999999999</v>
      </c>
      <c r="Y9" s="171">
        <v>0.58651513194460703</v>
      </c>
      <c r="Z9" s="172">
        <v>0.80000000000000004</v>
      </c>
    </row>
    <row r="10">
      <c r="B10" s="173" t="s">
        <v>464</v>
      </c>
      <c r="C10" s="174"/>
      <c r="D10" s="175">
        <v>0.055</v>
      </c>
      <c r="E10" s="175">
        <v>0.056099999999999997</v>
      </c>
      <c r="F10" s="175">
        <v>0.31</v>
      </c>
      <c r="G10" s="175">
        <v>0.33832773597806898</v>
      </c>
      <c r="H10" s="175">
        <v>0.385746030439718</v>
      </c>
      <c r="I10" s="175">
        <v>0.47999999999999998</v>
      </c>
      <c r="J10" s="175">
        <v>0.58787753826796296</v>
      </c>
      <c r="K10" s="175">
        <v>0.71999999999999997</v>
      </c>
      <c r="L10" s="175">
        <v>0.827042925125413</v>
      </c>
      <c r="M10" s="176">
        <v>0.94999999999999996</v>
      </c>
      <c r="O10" s="177" t="s">
        <v>464</v>
      </c>
      <c r="P10" s="178"/>
      <c r="Q10" s="179">
        <v>0.055</v>
      </c>
      <c r="R10" s="180">
        <v>0.056099999999999997</v>
      </c>
      <c r="S10" s="181">
        <v>0.31</v>
      </c>
      <c r="T10" s="181">
        <v>0.32141134917916597</v>
      </c>
      <c r="U10" s="181">
        <v>0.33408877775710999</v>
      </c>
      <c r="V10" s="181">
        <v>0.39000000000000001</v>
      </c>
      <c r="W10" s="181">
        <v>0.471487009365052</v>
      </c>
      <c r="X10" s="181">
        <v>0.56999999999999995</v>
      </c>
      <c r="Y10" s="181">
        <v>0.67527772064536495</v>
      </c>
      <c r="Z10" s="182">
        <v>0.80000000000000004</v>
      </c>
    </row>
    <row r="11">
      <c r="B11" s="163" t="s">
        <v>465</v>
      </c>
      <c r="C11" s="164"/>
      <c r="D11" s="165">
        <v>0.059999999999999998</v>
      </c>
      <c r="E11" s="165">
        <v>0.061199999999999997</v>
      </c>
      <c r="F11" s="165">
        <v>0.28000000000000003</v>
      </c>
      <c r="G11" s="165">
        <v>0.31811313305807898</v>
      </c>
      <c r="H11" s="165">
        <v>0.385227205685164</v>
      </c>
      <c r="I11" s="165">
        <v>0.53000000000000003</v>
      </c>
      <c r="J11" s="165">
        <v>0.64296189622713995</v>
      </c>
      <c r="K11" s="165">
        <v>0.78000000000000003</v>
      </c>
      <c r="L11" s="165">
        <v>0.856270985144305</v>
      </c>
      <c r="M11" s="166">
        <v>0.93999999999999995</v>
      </c>
      <c r="O11" s="167" t="s">
        <v>465</v>
      </c>
      <c r="P11" s="168"/>
      <c r="Q11" s="169">
        <v>0.059999999999999998</v>
      </c>
      <c r="R11" s="170">
        <v>0.061199999999999997</v>
      </c>
      <c r="S11" s="171">
        <v>0.28000000000000003</v>
      </c>
      <c r="T11" s="171">
        <v>0.30220747640517498</v>
      </c>
      <c r="U11" s="171">
        <v>0.32429320922582899</v>
      </c>
      <c r="V11" s="171">
        <v>0.42999999999999999</v>
      </c>
      <c r="W11" s="171">
        <v>0.52048054718692405</v>
      </c>
      <c r="X11" s="171">
        <v>0.63</v>
      </c>
      <c r="Y11" s="171">
        <v>0.709929573971954</v>
      </c>
      <c r="Z11" s="172">
        <v>0.80000000000000004</v>
      </c>
    </row>
    <row r="12">
      <c r="B12" s="173" t="s">
        <v>466</v>
      </c>
      <c r="C12" s="174"/>
      <c r="D12" s="175">
        <v>0.050000000000000003</v>
      </c>
      <c r="E12" s="175">
        <v>0.050999999999999997</v>
      </c>
      <c r="F12" s="175">
        <v>0.11</v>
      </c>
      <c r="G12" s="175">
        <v>0.13785100337053999</v>
      </c>
      <c r="H12" s="175">
        <v>0.193390796058137</v>
      </c>
      <c r="I12" s="175">
        <v>0.34000000000000002</v>
      </c>
      <c r="J12" s="175">
        <v>0.428485705712571</v>
      </c>
      <c r="K12" s="175">
        <v>0.54000000000000004</v>
      </c>
      <c r="L12" s="175">
        <v>0.68934751758456403</v>
      </c>
      <c r="M12" s="176">
        <v>0.88</v>
      </c>
      <c r="O12" s="177" t="s">
        <v>466</v>
      </c>
      <c r="P12" s="178"/>
      <c r="Q12" s="179">
        <v>0.050000000000000003</v>
      </c>
      <c r="R12" s="180">
        <v>0.050999999999999997</v>
      </c>
      <c r="S12" s="181">
        <v>0.11</v>
      </c>
      <c r="T12" s="181">
        <v>0.13095845320201299</v>
      </c>
      <c r="U12" s="181">
        <v>0.150210917576793</v>
      </c>
      <c r="V12" s="181">
        <v>0.26000000000000001</v>
      </c>
      <c r="W12" s="181">
        <v>0.322490309931942</v>
      </c>
      <c r="X12" s="181">
        <v>0.40000000000000002</v>
      </c>
      <c r="Y12" s="181">
        <v>0.54772255750516596</v>
      </c>
      <c r="Z12" s="182">
        <v>0.75</v>
      </c>
    </row>
    <row r="13">
      <c r="B13" s="163" t="s">
        <v>467</v>
      </c>
      <c r="C13" s="164"/>
      <c r="D13" s="165">
        <v>0.050000000000000003</v>
      </c>
      <c r="E13" s="165">
        <v>0.050999999999999997</v>
      </c>
      <c r="F13" s="165">
        <v>0.23999999999999999</v>
      </c>
      <c r="G13" s="165">
        <v>0.27335093246109599</v>
      </c>
      <c r="H13" s="165">
        <v>0.332264954516723</v>
      </c>
      <c r="I13" s="165">
        <v>0.46000000000000002</v>
      </c>
      <c r="J13" s="165">
        <v>0.56745043836444398</v>
      </c>
      <c r="K13" s="165">
        <v>0.69999999999999996</v>
      </c>
      <c r="L13" s="165">
        <v>0.82825116963394596</v>
      </c>
      <c r="M13" s="166">
        <v>0.97999999999999998</v>
      </c>
      <c r="O13" s="167" t="s">
        <v>467</v>
      </c>
      <c r="P13" s="168"/>
      <c r="Q13" s="169">
        <v>0.050000000000000003</v>
      </c>
      <c r="R13" s="170">
        <v>0.050999999999999997</v>
      </c>
      <c r="S13" s="171">
        <v>0.23999999999999999</v>
      </c>
      <c r="T13" s="171">
        <v>0.25968338583804101</v>
      </c>
      <c r="U13" s="171">
        <v>0.28022833816742698</v>
      </c>
      <c r="V13" s="171">
        <v>0.38</v>
      </c>
      <c r="W13" s="171">
        <v>0.46130250378683202</v>
      </c>
      <c r="X13" s="171">
        <v>0.56000000000000005</v>
      </c>
      <c r="Y13" s="171">
        <v>0.68176242196237302</v>
      </c>
      <c r="Z13" s="172">
        <v>0.82999999999999996</v>
      </c>
    </row>
    <row r="14">
      <c r="B14" s="173" t="s">
        <v>468</v>
      </c>
      <c r="C14" s="174"/>
      <c r="D14" s="175">
        <v>0.12</v>
      </c>
      <c r="E14" s="175">
        <v>0.12239999999999999</v>
      </c>
      <c r="F14" s="175">
        <v>0.32000000000000001</v>
      </c>
      <c r="G14" s="175">
        <v>0.35916578149825501</v>
      </c>
      <c r="H14" s="175">
        <v>0.42708313008125298</v>
      </c>
      <c r="I14" s="175">
        <v>0.56999999999999995</v>
      </c>
      <c r="J14" s="175">
        <v>0.69195375568024797</v>
      </c>
      <c r="K14" s="175">
        <v>0.83999999999999997</v>
      </c>
      <c r="L14" s="175">
        <v>0.90730369777709996</v>
      </c>
      <c r="M14" s="176">
        <v>0.97999999999999998</v>
      </c>
      <c r="O14" s="177" t="s">
        <v>468</v>
      </c>
      <c r="P14" s="178"/>
      <c r="Q14" s="179">
        <v>0.12</v>
      </c>
      <c r="R14" s="180">
        <v>0.12239999999999999</v>
      </c>
      <c r="S14" s="181">
        <v>0.32000000000000001</v>
      </c>
      <c r="T14" s="181">
        <v>0.34120749242334197</v>
      </c>
      <c r="U14" s="181">
        <v>0.36531129032246501</v>
      </c>
      <c r="V14" s="181">
        <v>0.47999999999999998</v>
      </c>
      <c r="W14" s="181">
        <v>0.575499782797527</v>
      </c>
      <c r="X14" s="181">
        <v>0.68999999999999995</v>
      </c>
      <c r="Y14" s="181">
        <v>0.75676944970050197</v>
      </c>
      <c r="Z14" s="182">
        <v>0.82999999999999996</v>
      </c>
    </row>
    <row r="15">
      <c r="B15" s="163" t="s">
        <v>469</v>
      </c>
      <c r="C15" s="164"/>
      <c r="D15" s="165">
        <v>0.14999999999999999</v>
      </c>
      <c r="E15" s="165">
        <v>0.153</v>
      </c>
      <c r="F15" s="165">
        <v>0.40500000000000003</v>
      </c>
      <c r="G15" s="165">
        <v>0.45183890918233299</v>
      </c>
      <c r="H15" s="165">
        <v>0.532447180478965</v>
      </c>
      <c r="I15" s="165">
        <v>0.69999999999999996</v>
      </c>
      <c r="J15" s="165">
        <v>0.82825116963394596</v>
      </c>
      <c r="K15" s="165">
        <v>0.97999999999999998</v>
      </c>
      <c r="L15" s="165">
        <v>0.97999999999999998</v>
      </c>
      <c r="M15" s="166">
        <v>0.97999999999999998</v>
      </c>
      <c r="O15" s="167" t="s">
        <v>469</v>
      </c>
      <c r="P15" s="168"/>
      <c r="Q15" s="169">
        <v>0.14999999999999999</v>
      </c>
      <c r="R15" s="170">
        <v>0.153</v>
      </c>
      <c r="S15" s="171">
        <v>0.40500000000000003</v>
      </c>
      <c r="T15" s="171">
        <v>0.42924696372321602</v>
      </c>
      <c r="U15" s="171">
        <v>0.46050224576413901</v>
      </c>
      <c r="V15" s="171">
        <v>0.60999999999999999</v>
      </c>
      <c r="W15" s="171">
        <v>0.70724818840347703</v>
      </c>
      <c r="X15" s="171">
        <v>0.81999999999999995</v>
      </c>
      <c r="Y15" s="171">
        <v>0.82498484834571395</v>
      </c>
      <c r="Z15" s="172">
        <v>0.82999999999999996</v>
      </c>
    </row>
    <row r="16">
      <c r="B16" s="173" t="s">
        <v>470</v>
      </c>
      <c r="C16" s="174"/>
      <c r="D16" s="175">
        <v>0.17999999999999999</v>
      </c>
      <c r="E16" s="175">
        <v>0.18360000000000001</v>
      </c>
      <c r="F16" s="175">
        <v>0.46500000000000002</v>
      </c>
      <c r="G16" s="175">
        <v>0.51300911401597205</v>
      </c>
      <c r="H16" s="175">
        <v>0.59447455790807402</v>
      </c>
      <c r="I16" s="175">
        <v>0.76000000000000001</v>
      </c>
      <c r="J16" s="175">
        <v>0.86301796041565704</v>
      </c>
      <c r="K16" s="175">
        <v>0.97999999999999998</v>
      </c>
      <c r="L16" s="175">
        <v>0.97999999999999998</v>
      </c>
      <c r="M16" s="176">
        <v>0.97999999999999998</v>
      </c>
      <c r="O16" s="177" t="s">
        <v>470</v>
      </c>
      <c r="P16" s="178"/>
      <c r="Q16" s="179">
        <v>0.17999999999999999</v>
      </c>
      <c r="R16" s="180">
        <v>0.18360000000000001</v>
      </c>
      <c r="S16" s="181">
        <v>0.46500000000000002</v>
      </c>
      <c r="T16" s="181">
        <v>0.487358658315174</v>
      </c>
      <c r="U16" s="181">
        <v>0.51783063036940102</v>
      </c>
      <c r="V16" s="181">
        <v>0.66000000000000003</v>
      </c>
      <c r="W16" s="181">
        <v>0.73566296630998096</v>
      </c>
      <c r="X16" s="181">
        <v>0.81999999999999995</v>
      </c>
      <c r="Y16" s="181">
        <v>0.78943017423962203</v>
      </c>
      <c r="Z16" s="182">
        <v>0.76000000000000001</v>
      </c>
    </row>
    <row r="17">
      <c r="B17" s="163" t="s">
        <v>471</v>
      </c>
      <c r="C17" s="164"/>
      <c r="D17" s="165">
        <v>0.28000000000000003</v>
      </c>
      <c r="E17" s="165">
        <v>0.28560000000000002</v>
      </c>
      <c r="F17" s="165">
        <v>0.27000000000000002</v>
      </c>
      <c r="G17" s="165">
        <v>0.31128883866200602</v>
      </c>
      <c r="H17" s="165">
        <v>0.385356977359954</v>
      </c>
      <c r="I17" s="165">
        <v>0.55000000000000004</v>
      </c>
      <c r="J17" s="165">
        <v>0.66332495807108005</v>
      </c>
      <c r="K17" s="165">
        <v>0.80000000000000004</v>
      </c>
      <c r="L17" s="165">
        <v>0.88543774484714599</v>
      </c>
      <c r="M17" s="166">
        <v>0.97999999999999998</v>
      </c>
      <c r="O17" s="167" t="s">
        <v>471</v>
      </c>
      <c r="P17" s="168"/>
      <c r="Q17" s="169">
        <v>0.28000000000000003</v>
      </c>
      <c r="R17" s="170">
        <v>0.28560000000000002</v>
      </c>
      <c r="S17" s="171">
        <v>0.27000000000000002</v>
      </c>
      <c r="T17" s="171">
        <v>0.29572439672890599</v>
      </c>
      <c r="U17" s="171">
        <v>0.323043710490169</v>
      </c>
      <c r="V17" s="171">
        <v>0.46000000000000002</v>
      </c>
      <c r="W17" s="171">
        <v>0.54680892457969299</v>
      </c>
      <c r="X17" s="171">
        <v>0.65000000000000002</v>
      </c>
      <c r="Y17" s="171">
        <v>0.73450663713815401</v>
      </c>
      <c r="Z17" s="172">
        <v>0.82999999999999996</v>
      </c>
    </row>
    <row r="18">
      <c r="B18" s="173" t="s">
        <v>472</v>
      </c>
      <c r="C18" s="174"/>
      <c r="D18" s="175">
        <v>0.28000000000000003</v>
      </c>
      <c r="E18" s="175">
        <v>0.28560000000000002</v>
      </c>
      <c r="F18" s="175">
        <v>0.5</v>
      </c>
      <c r="G18" s="175">
        <v>0.54790015302060002</v>
      </c>
      <c r="H18" s="175">
        <v>0.62849025449882701</v>
      </c>
      <c r="I18" s="175">
        <v>0.79000000000000004</v>
      </c>
      <c r="J18" s="175">
        <v>0.87988635629835699</v>
      </c>
      <c r="K18" s="175">
        <v>0.97999999999999998</v>
      </c>
      <c r="L18" s="175">
        <v>0.97999999999999998</v>
      </c>
      <c r="M18" s="176">
        <v>0.97999999999999998</v>
      </c>
      <c r="O18" s="177" t="s">
        <v>472</v>
      </c>
      <c r="P18" s="178"/>
      <c r="Q18" s="179">
        <v>0.28000000000000003</v>
      </c>
      <c r="R18" s="180">
        <v>0.28560000000000002</v>
      </c>
      <c r="S18" s="181">
        <v>0.5</v>
      </c>
      <c r="T18" s="181">
        <v>0.52050514536957004</v>
      </c>
      <c r="U18" s="181">
        <v>0.55069335970150401</v>
      </c>
      <c r="V18" s="181">
        <v>0.68999999999999995</v>
      </c>
      <c r="W18" s="181">
        <v>0.75219678276365898</v>
      </c>
      <c r="X18" s="181">
        <v>0.81999999999999995</v>
      </c>
      <c r="Y18" s="181">
        <v>0.82498484834571395</v>
      </c>
      <c r="Z18" s="182">
        <v>0.82999999999999996</v>
      </c>
    </row>
    <row r="19">
      <c r="B19" s="163" t="s">
        <v>473</v>
      </c>
      <c r="C19" s="164"/>
      <c r="D19" s="165">
        <v>0.28000000000000003</v>
      </c>
      <c r="E19" s="165">
        <v>0.28560000000000002</v>
      </c>
      <c r="F19" s="165">
        <v>0.46000000000000002</v>
      </c>
      <c r="G19" s="165">
        <v>0.50724586805301197</v>
      </c>
      <c r="H19" s="165">
        <v>0.58736700622353699</v>
      </c>
      <c r="I19" s="165">
        <v>0.75</v>
      </c>
      <c r="J19" s="165">
        <v>0.85732140997411199</v>
      </c>
      <c r="K19" s="165">
        <v>0.97999999999999998</v>
      </c>
      <c r="L19" s="165">
        <v>0.97999999999999998</v>
      </c>
      <c r="M19" s="166">
        <v>0.97999999999999998</v>
      </c>
      <c r="O19" s="167" t="s">
        <v>473</v>
      </c>
      <c r="P19" s="168"/>
      <c r="Q19" s="169">
        <v>0.28000000000000003</v>
      </c>
      <c r="R19" s="170">
        <v>0.28560000000000002</v>
      </c>
      <c r="S19" s="171">
        <v>0.46000000000000002</v>
      </c>
      <c r="T19" s="171">
        <v>0.48188357465036202</v>
      </c>
      <c r="U19" s="171">
        <v>0.51160687271545702</v>
      </c>
      <c r="V19" s="171">
        <v>0.65000000000000002</v>
      </c>
      <c r="W19" s="171">
        <v>0.73006848993775897</v>
      </c>
      <c r="X19" s="171">
        <v>0.81999999999999995</v>
      </c>
      <c r="Y19" s="171">
        <v>0.82498484834571395</v>
      </c>
      <c r="Z19" s="172">
        <v>0.82999999999999996</v>
      </c>
    </row>
    <row r="20">
      <c r="B20" s="173" t="s">
        <v>474</v>
      </c>
      <c r="C20" s="174"/>
      <c r="D20" s="175">
        <v>0.28000000000000003</v>
      </c>
      <c r="E20" s="175">
        <v>0.28560000000000002</v>
      </c>
      <c r="F20" s="175">
        <v>0.20999999999999999</v>
      </c>
      <c r="G20" s="175">
        <v>0.24978677258264201</v>
      </c>
      <c r="H20" s="175">
        <v>0.32403703492039299</v>
      </c>
      <c r="I20" s="175">
        <v>0.5</v>
      </c>
      <c r="J20" s="175">
        <v>0.60827625302982202</v>
      </c>
      <c r="K20" s="175">
        <v>0.73999999999999999</v>
      </c>
      <c r="L20" s="175">
        <v>0.85592055706122605</v>
      </c>
      <c r="M20" s="176">
        <v>0.98999999999999999</v>
      </c>
      <c r="O20" s="177" t="s">
        <v>474</v>
      </c>
      <c r="P20" s="178"/>
      <c r="Q20" s="179">
        <v>0.28000000000000003</v>
      </c>
      <c r="R20" s="180">
        <v>0.28560000000000002</v>
      </c>
      <c r="S20" s="181">
        <v>0.20999999999999999</v>
      </c>
      <c r="T20" s="181">
        <v>0.23729743395351</v>
      </c>
      <c r="U20" s="181">
        <v>0.26600162616151701</v>
      </c>
      <c r="V20" s="181">
        <v>0.41999999999999998</v>
      </c>
      <c r="W20" s="181">
        <v>0.49779513858614599</v>
      </c>
      <c r="X20" s="181">
        <v>0.58999999999999997</v>
      </c>
      <c r="Y20" s="181">
        <v>0.70398863627192199</v>
      </c>
      <c r="Z20" s="182">
        <v>0.83999999999999997</v>
      </c>
    </row>
    <row r="21">
      <c r="B21" s="183" t="s">
        <v>475</v>
      </c>
      <c r="C21" s="184"/>
      <c r="D21" s="185">
        <v>0.25</v>
      </c>
      <c r="E21" s="185">
        <v>0.255</v>
      </c>
      <c r="F21" s="185">
        <v>0.26000000000000001</v>
      </c>
      <c r="G21" s="185">
        <v>0.29632799275872401</v>
      </c>
      <c r="H21" s="185">
        <v>0.36055512754639901</v>
      </c>
      <c r="I21" s="185">
        <v>0.5</v>
      </c>
      <c r="J21" s="185">
        <v>0.60827625302982202</v>
      </c>
      <c r="K21" s="185">
        <v>0.73999999999999999</v>
      </c>
      <c r="L21" s="185">
        <v>0.85592055706122605</v>
      </c>
      <c r="M21" s="186">
        <v>0.98999999999999999</v>
      </c>
      <c r="O21" s="187" t="s">
        <v>475</v>
      </c>
      <c r="P21" s="188"/>
      <c r="Q21" s="189">
        <v>0.25</v>
      </c>
      <c r="R21" s="190">
        <v>0.255</v>
      </c>
      <c r="S21" s="191">
        <v>0.26000000000000001</v>
      </c>
      <c r="T21" s="191">
        <v>0.281511593120788</v>
      </c>
      <c r="U21" s="191">
        <v>0.30496281353645699</v>
      </c>
      <c r="V21" s="191">
        <v>0.41999999999999998</v>
      </c>
      <c r="W21" s="191">
        <v>0.49779513858614599</v>
      </c>
      <c r="X21" s="191">
        <v>0.58999999999999997</v>
      </c>
      <c r="Y21" s="191">
        <v>0.70398863627192199</v>
      </c>
      <c r="Z21" s="192">
        <v>0.83999999999999997</v>
      </c>
    </row>
    <row r="25" ht="18">
      <c r="B25" s="1" t="s">
        <v>476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7" ht="13.9" customHeight="1">
      <c r="B27" s="193"/>
      <c r="C27" s="157"/>
      <c r="D27" s="157"/>
      <c r="E27" s="155" t="s">
        <v>477</v>
      </c>
      <c r="F27" s="155"/>
      <c r="G27" s="155"/>
      <c r="H27" s="155"/>
      <c r="I27" s="155"/>
      <c r="J27" s="155"/>
      <c r="K27" s="155"/>
      <c r="L27" s="155"/>
      <c r="M27" s="155"/>
      <c r="N27" s="155"/>
      <c r="O27" s="194" t="s">
        <v>478</v>
      </c>
      <c r="Q27" s="193"/>
      <c r="R27" s="157"/>
      <c r="S27" s="157"/>
      <c r="T27" s="155" t="s">
        <v>477</v>
      </c>
      <c r="U27" s="155"/>
      <c r="V27" s="155"/>
      <c r="W27" s="155"/>
      <c r="X27" s="155"/>
      <c r="Y27" s="155"/>
      <c r="Z27" s="155"/>
      <c r="AA27" s="155"/>
      <c r="AB27" s="155"/>
      <c r="AC27" s="155"/>
      <c r="AD27" s="194" t="s">
        <v>478</v>
      </c>
    </row>
    <row r="28" ht="30.600000000000001" customHeight="1">
      <c r="B28" s="195" t="s">
        <v>461</v>
      </c>
      <c r="C28" s="195"/>
      <c r="D28" s="196"/>
      <c r="E28" s="197" t="s">
        <v>479</v>
      </c>
      <c r="F28" s="197" t="s">
        <v>480</v>
      </c>
      <c r="G28" s="197" t="s">
        <v>481</v>
      </c>
      <c r="H28" s="198" t="s">
        <v>482</v>
      </c>
      <c r="I28" s="198" t="s">
        <v>483</v>
      </c>
      <c r="J28" s="198" t="s">
        <v>484</v>
      </c>
      <c r="K28" s="198" t="s">
        <v>485</v>
      </c>
      <c r="L28" s="198" t="s">
        <v>486</v>
      </c>
      <c r="M28" s="198" t="s">
        <v>487</v>
      </c>
      <c r="N28" s="197" t="s">
        <v>129</v>
      </c>
      <c r="O28" s="194"/>
      <c r="Q28" s="195" t="s">
        <v>37</v>
      </c>
      <c r="R28" s="195"/>
      <c r="S28" s="196"/>
      <c r="T28" s="197" t="s">
        <v>479</v>
      </c>
      <c r="U28" s="197" t="s">
        <v>480</v>
      </c>
      <c r="V28" s="197" t="s">
        <v>481</v>
      </c>
      <c r="W28" s="198" t="s">
        <v>482</v>
      </c>
      <c r="X28" s="198" t="s">
        <v>483</v>
      </c>
      <c r="Y28" s="198" t="s">
        <v>484</v>
      </c>
      <c r="Z28" s="198" t="s">
        <v>485</v>
      </c>
      <c r="AA28" s="198" t="s">
        <v>486</v>
      </c>
      <c r="AB28" s="198" t="s">
        <v>487</v>
      </c>
      <c r="AC28" s="197" t="s">
        <v>129</v>
      </c>
      <c r="AD28" s="194"/>
    </row>
    <row r="29">
      <c r="B29" s="199" t="s">
        <v>488</v>
      </c>
      <c r="C29" s="200"/>
      <c r="D29" s="200">
        <v>2006</v>
      </c>
      <c r="E29" s="200">
        <v>0.37</v>
      </c>
      <c r="F29" s="200">
        <v>0.34999999999999998</v>
      </c>
      <c r="G29" s="200">
        <v>0.25</v>
      </c>
      <c r="H29" s="200">
        <v>0.029999999999999999</v>
      </c>
      <c r="I29" s="200">
        <v>0</v>
      </c>
      <c r="J29" s="200">
        <v>0</v>
      </c>
      <c r="K29" s="200">
        <v>0</v>
      </c>
      <c r="L29" s="200">
        <v>0</v>
      </c>
      <c r="M29" s="200">
        <v>0</v>
      </c>
      <c r="N29" s="201">
        <v>1</v>
      </c>
      <c r="O29" s="202">
        <v>59.746000000000002</v>
      </c>
      <c r="Q29" s="199" t="s">
        <v>488</v>
      </c>
      <c r="R29" s="200"/>
      <c r="S29" s="200">
        <v>2006</v>
      </c>
      <c r="T29" s="200">
        <v>0.37</v>
      </c>
      <c r="U29" s="200">
        <v>0.34999999999999998</v>
      </c>
      <c r="V29" s="200">
        <v>0.27000000000000002</v>
      </c>
      <c r="W29" s="200">
        <v>0.01</v>
      </c>
      <c r="X29" s="200">
        <v>0</v>
      </c>
      <c r="Y29" s="200">
        <v>0</v>
      </c>
      <c r="Z29" s="200">
        <v>0</v>
      </c>
      <c r="AA29" s="200">
        <v>0</v>
      </c>
      <c r="AB29" s="200">
        <v>0</v>
      </c>
      <c r="AC29" s="201">
        <v>1</v>
      </c>
      <c r="AD29" s="202">
        <v>59.746000000000002</v>
      </c>
    </row>
    <row r="30">
      <c r="B30" s="203" t="s">
        <v>488</v>
      </c>
      <c r="C30" s="204"/>
      <c r="D30" s="204">
        <v>2015</v>
      </c>
      <c r="E30" s="204">
        <v>0.37</v>
      </c>
      <c r="F30" s="204">
        <v>0.34999999999999998</v>
      </c>
      <c r="G30" s="204">
        <v>0.26000000000000001</v>
      </c>
      <c r="H30" s="204">
        <v>0.02</v>
      </c>
      <c r="I30" s="204">
        <v>0</v>
      </c>
      <c r="J30" s="204">
        <v>0</v>
      </c>
      <c r="K30" s="204">
        <v>0</v>
      </c>
      <c r="L30" s="204">
        <v>0</v>
      </c>
      <c r="M30" s="204">
        <v>0</v>
      </c>
      <c r="N30" s="205">
        <v>1</v>
      </c>
      <c r="O30" s="206">
        <v>59.746000000000002</v>
      </c>
      <c r="Q30" s="203" t="s">
        <v>488</v>
      </c>
      <c r="R30" s="204"/>
      <c r="S30" s="204">
        <v>2015</v>
      </c>
      <c r="T30" s="204">
        <v>0.37</v>
      </c>
      <c r="U30" s="204">
        <v>0.34999999999999998</v>
      </c>
      <c r="V30" s="204">
        <v>0.26000000000000001</v>
      </c>
      <c r="W30" s="204">
        <v>0.02</v>
      </c>
      <c r="X30" s="204">
        <v>0</v>
      </c>
      <c r="Y30" s="204">
        <v>0</v>
      </c>
      <c r="Z30" s="204">
        <v>0</v>
      </c>
      <c r="AA30" s="204">
        <v>0</v>
      </c>
      <c r="AB30" s="204">
        <v>0</v>
      </c>
      <c r="AC30" s="205">
        <v>1</v>
      </c>
      <c r="AD30" s="206">
        <v>59.746000000000002</v>
      </c>
    </row>
    <row r="31">
      <c r="B31" s="207" t="s">
        <v>488</v>
      </c>
      <c r="C31" s="208"/>
      <c r="D31" s="208">
        <v>2020</v>
      </c>
      <c r="E31" s="208">
        <v>0.37</v>
      </c>
      <c r="F31" s="208">
        <v>0.34999999999999998</v>
      </c>
      <c r="G31" s="208">
        <v>0.25</v>
      </c>
      <c r="H31" s="208">
        <v>0.029999999999999999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1">
        <v>1</v>
      </c>
      <c r="O31" s="202">
        <v>59.746000000000002</v>
      </c>
      <c r="Q31" s="207" t="s">
        <v>488</v>
      </c>
      <c r="R31" s="208"/>
      <c r="S31" s="208">
        <v>2020</v>
      </c>
      <c r="T31" s="208">
        <v>0.37</v>
      </c>
      <c r="U31" s="208">
        <v>0.34999999999999998</v>
      </c>
      <c r="V31" s="208">
        <v>0.25</v>
      </c>
      <c r="W31" s="208">
        <v>0.029999999999999999</v>
      </c>
      <c r="X31" s="208">
        <v>0</v>
      </c>
      <c r="Y31" s="208">
        <v>0</v>
      </c>
      <c r="Z31" s="208">
        <v>0</v>
      </c>
      <c r="AA31" s="208">
        <v>0</v>
      </c>
      <c r="AB31" s="208">
        <v>0</v>
      </c>
      <c r="AC31" s="201">
        <v>1</v>
      </c>
      <c r="AD31" s="202">
        <v>59.746000000000002</v>
      </c>
    </row>
    <row r="32">
      <c r="B32" s="203" t="s">
        <v>488</v>
      </c>
      <c r="C32" s="204"/>
      <c r="D32" s="204">
        <v>2030</v>
      </c>
      <c r="E32" s="204">
        <v>0.29999999999999999</v>
      </c>
      <c r="F32" s="204">
        <v>0.29999999999999999</v>
      </c>
      <c r="G32" s="204">
        <v>0.23999999999999999</v>
      </c>
      <c r="H32" s="204">
        <v>0.10000000000000001</v>
      </c>
      <c r="I32" s="204">
        <v>0</v>
      </c>
      <c r="J32" s="204">
        <v>0.01</v>
      </c>
      <c r="K32" s="204">
        <v>0.02</v>
      </c>
      <c r="L32" s="204">
        <v>0.029999999999999999</v>
      </c>
      <c r="M32" s="204">
        <v>0</v>
      </c>
      <c r="N32" s="205">
        <v>1</v>
      </c>
      <c r="O32" s="206">
        <v>62.020000000000003</v>
      </c>
      <c r="Q32" s="203" t="s">
        <v>488</v>
      </c>
      <c r="R32" s="204"/>
      <c r="S32" s="204">
        <v>2030</v>
      </c>
      <c r="T32" s="204">
        <v>0.28000000000000003</v>
      </c>
      <c r="U32" s="204">
        <v>0.27000000000000002</v>
      </c>
      <c r="V32" s="204">
        <v>0.25</v>
      </c>
      <c r="W32" s="204">
        <v>0.11</v>
      </c>
      <c r="X32" s="204">
        <v>0</v>
      </c>
      <c r="Y32" s="204">
        <v>0.02</v>
      </c>
      <c r="Z32" s="204">
        <v>0.02</v>
      </c>
      <c r="AA32" s="204">
        <v>0.029999999999999999</v>
      </c>
      <c r="AB32" s="204">
        <v>0.02</v>
      </c>
      <c r="AC32" s="205">
        <v>1</v>
      </c>
      <c r="AD32" s="206">
        <v>62.786000000000001</v>
      </c>
    </row>
    <row r="33">
      <c r="B33" s="207" t="s">
        <v>488</v>
      </c>
      <c r="C33" s="208"/>
      <c r="D33" s="208">
        <v>2040</v>
      </c>
      <c r="E33" s="208">
        <v>0.26000000000000001</v>
      </c>
      <c r="F33" s="208">
        <v>0.26000000000000001</v>
      </c>
      <c r="G33" s="208">
        <v>0.22</v>
      </c>
      <c r="H33" s="208">
        <v>0.14999999999999999</v>
      </c>
      <c r="I33" s="208">
        <v>0</v>
      </c>
      <c r="J33" s="208">
        <v>0.029999999999999999</v>
      </c>
      <c r="K33" s="208">
        <v>0.02</v>
      </c>
      <c r="L33" s="208">
        <v>0.050000000000000003</v>
      </c>
      <c r="M33" s="208">
        <v>0.01</v>
      </c>
      <c r="N33" s="201">
        <v>1</v>
      </c>
      <c r="O33" s="202">
        <v>63.404000000000003</v>
      </c>
      <c r="Q33" s="207" t="s">
        <v>488</v>
      </c>
      <c r="R33" s="208"/>
      <c r="S33" s="208">
        <v>2040</v>
      </c>
      <c r="T33" s="208">
        <v>0.25</v>
      </c>
      <c r="U33" s="208">
        <v>0.19</v>
      </c>
      <c r="V33" s="208">
        <v>0.25</v>
      </c>
      <c r="W33" s="208">
        <v>0.14999999999999999</v>
      </c>
      <c r="X33" s="208">
        <v>0</v>
      </c>
      <c r="Y33" s="208">
        <v>0.029999999999999999</v>
      </c>
      <c r="Z33" s="208">
        <v>0.029999999999999999</v>
      </c>
      <c r="AA33" s="208">
        <v>0.070000000000000007</v>
      </c>
      <c r="AB33" s="208">
        <v>0.029999999999999999</v>
      </c>
      <c r="AC33" s="201">
        <v>1</v>
      </c>
      <c r="AD33" s="202">
        <v>64.194000000000003</v>
      </c>
    </row>
    <row r="34">
      <c r="B34" s="209" t="s">
        <v>488</v>
      </c>
      <c r="C34" s="210"/>
      <c r="D34" s="210">
        <v>2050</v>
      </c>
      <c r="E34" s="210">
        <v>0.23000000000000001</v>
      </c>
      <c r="F34" s="210">
        <v>0.23000000000000001</v>
      </c>
      <c r="G34" s="210">
        <v>0.22</v>
      </c>
      <c r="H34" s="210">
        <v>0.14999999999999999</v>
      </c>
      <c r="I34" s="210">
        <v>0</v>
      </c>
      <c r="J34" s="210">
        <v>0.050000000000000003</v>
      </c>
      <c r="K34" s="210">
        <v>0.02</v>
      </c>
      <c r="L34" s="210">
        <v>0.050000000000000003</v>
      </c>
      <c r="M34" s="210">
        <v>0.050000000000000003</v>
      </c>
      <c r="N34" s="211">
        <v>1</v>
      </c>
      <c r="O34" s="212">
        <v>64.441999999999993</v>
      </c>
      <c r="Q34" s="209" t="s">
        <v>488</v>
      </c>
      <c r="R34" s="210"/>
      <c r="S34" s="210">
        <v>2050</v>
      </c>
      <c r="T34" s="210">
        <v>0.20000000000000001</v>
      </c>
      <c r="U34" s="210">
        <v>0.10000000000000001</v>
      </c>
      <c r="V34" s="210">
        <v>0.25</v>
      </c>
      <c r="W34" s="210">
        <v>0.20000000000000001</v>
      </c>
      <c r="X34" s="210">
        <v>0</v>
      </c>
      <c r="Y34" s="210">
        <v>0.050000000000000003</v>
      </c>
      <c r="Z34" s="210">
        <v>0.050000000000000003</v>
      </c>
      <c r="AA34" s="210">
        <v>0.10000000000000001</v>
      </c>
      <c r="AB34" s="210">
        <v>0.050000000000000003</v>
      </c>
      <c r="AC34" s="211">
        <v>1</v>
      </c>
      <c r="AD34" s="212">
        <v>66.219999999999999</v>
      </c>
    </row>
    <row r="35">
      <c r="B35" s="213" t="s">
        <v>489</v>
      </c>
      <c r="C35" s="214"/>
      <c r="D35" s="200">
        <v>2006</v>
      </c>
      <c r="E35" s="200">
        <v>0.62</v>
      </c>
      <c r="F35" s="200">
        <v>0.12</v>
      </c>
      <c r="G35" s="200">
        <v>0.26000000000000001</v>
      </c>
      <c r="H35" s="200">
        <v>0</v>
      </c>
      <c r="I35" s="200">
        <v>0</v>
      </c>
      <c r="J35" s="200">
        <v>0</v>
      </c>
      <c r="K35" s="200">
        <v>0</v>
      </c>
      <c r="L35" s="200">
        <v>0</v>
      </c>
      <c r="M35" s="200">
        <v>0</v>
      </c>
      <c r="N35" s="215">
        <v>1</v>
      </c>
      <c r="O35" s="202">
        <v>40.265999999999998</v>
      </c>
      <c r="Q35" s="213" t="s">
        <v>489</v>
      </c>
      <c r="R35" s="214"/>
      <c r="S35" s="200">
        <v>2006</v>
      </c>
      <c r="T35" s="200">
        <v>0.62</v>
      </c>
      <c r="U35" s="200">
        <v>0.12</v>
      </c>
      <c r="V35" s="200">
        <v>0.26000000000000001</v>
      </c>
      <c r="W35" s="200">
        <v>0</v>
      </c>
      <c r="X35" s="200">
        <v>0</v>
      </c>
      <c r="Y35" s="200">
        <v>0</v>
      </c>
      <c r="Z35" s="200">
        <v>0</v>
      </c>
      <c r="AA35" s="200">
        <v>0</v>
      </c>
      <c r="AB35" s="200">
        <v>0</v>
      </c>
      <c r="AC35" s="215">
        <v>1</v>
      </c>
      <c r="AD35" s="202">
        <v>40.265999999999998</v>
      </c>
    </row>
    <row r="36">
      <c r="B36" s="216" t="s">
        <v>489</v>
      </c>
      <c r="C36" s="204"/>
      <c r="D36" s="204">
        <v>2015</v>
      </c>
      <c r="E36" s="204">
        <v>0.62</v>
      </c>
      <c r="F36" s="204">
        <v>0.12</v>
      </c>
      <c r="G36" s="204">
        <v>0.26000000000000001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5">
        <v>1</v>
      </c>
      <c r="O36" s="206">
        <v>40.265999999999998</v>
      </c>
      <c r="Q36" s="216" t="s">
        <v>489</v>
      </c>
      <c r="R36" s="204"/>
      <c r="S36" s="204">
        <v>2015</v>
      </c>
      <c r="T36" s="204">
        <v>0.62</v>
      </c>
      <c r="U36" s="204">
        <v>0.12</v>
      </c>
      <c r="V36" s="204">
        <v>0.26000000000000001</v>
      </c>
      <c r="W36" s="204">
        <v>0</v>
      </c>
      <c r="X36" s="204">
        <v>0</v>
      </c>
      <c r="Y36" s="204">
        <v>0</v>
      </c>
      <c r="Z36" s="204">
        <v>0</v>
      </c>
      <c r="AA36" s="204">
        <v>0</v>
      </c>
      <c r="AB36" s="204">
        <v>0</v>
      </c>
      <c r="AC36" s="205">
        <v>1</v>
      </c>
      <c r="AD36" s="206">
        <v>40.265999999999998</v>
      </c>
    </row>
    <row r="37">
      <c r="B37" s="199" t="s">
        <v>489</v>
      </c>
      <c r="C37" s="208"/>
      <c r="D37" s="208">
        <v>2020</v>
      </c>
      <c r="E37" s="208">
        <v>0.60999999999999999</v>
      </c>
      <c r="F37" s="208">
        <v>0.12</v>
      </c>
      <c r="G37" s="208">
        <v>0.26000000000000001</v>
      </c>
      <c r="H37" s="208">
        <v>0.01</v>
      </c>
      <c r="I37" s="208">
        <v>0</v>
      </c>
      <c r="J37" s="208">
        <v>0</v>
      </c>
      <c r="K37" s="208">
        <v>0</v>
      </c>
      <c r="L37" s="208">
        <v>0</v>
      </c>
      <c r="M37" s="208">
        <v>0</v>
      </c>
      <c r="N37" s="201">
        <v>1</v>
      </c>
      <c r="O37" s="202">
        <v>40.423000000000002</v>
      </c>
      <c r="Q37" s="199" t="s">
        <v>489</v>
      </c>
      <c r="R37" s="208"/>
      <c r="S37" s="208">
        <v>2020</v>
      </c>
      <c r="T37" s="208">
        <v>0.62</v>
      </c>
      <c r="U37" s="208">
        <v>0.12</v>
      </c>
      <c r="V37" s="208">
        <v>0.26000000000000001</v>
      </c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01">
        <v>1</v>
      </c>
      <c r="AD37" s="202">
        <v>40.265999999999998</v>
      </c>
    </row>
    <row r="38">
      <c r="B38" s="216" t="s">
        <v>489</v>
      </c>
      <c r="C38" s="204"/>
      <c r="D38" s="204">
        <v>2030</v>
      </c>
      <c r="E38" s="204">
        <v>0.56000000000000005</v>
      </c>
      <c r="F38" s="204">
        <v>0.11</v>
      </c>
      <c r="G38" s="204">
        <v>0.26000000000000001</v>
      </c>
      <c r="H38" s="204">
        <v>0.050000000000000003</v>
      </c>
      <c r="I38" s="204">
        <v>0</v>
      </c>
      <c r="J38" s="204">
        <v>0.02</v>
      </c>
      <c r="K38" s="204">
        <v>0</v>
      </c>
      <c r="L38" s="204">
        <v>0</v>
      </c>
      <c r="M38" s="204">
        <v>0</v>
      </c>
      <c r="N38" s="205">
        <v>1</v>
      </c>
      <c r="O38" s="206">
        <v>41.207999999999998</v>
      </c>
      <c r="Q38" s="216" t="s">
        <v>489</v>
      </c>
      <c r="R38" s="204"/>
      <c r="S38" s="204">
        <v>2030</v>
      </c>
      <c r="T38" s="204">
        <v>0.45000000000000001</v>
      </c>
      <c r="U38" s="204">
        <v>0.11</v>
      </c>
      <c r="V38" s="204">
        <v>0.23999999999999999</v>
      </c>
      <c r="W38" s="204">
        <v>0.10000000000000001</v>
      </c>
      <c r="X38" s="204">
        <v>0</v>
      </c>
      <c r="Y38" s="204">
        <v>0.040000000000000001</v>
      </c>
      <c r="Z38" s="204">
        <v>0.02</v>
      </c>
      <c r="AA38" s="204">
        <v>0.040000000000000001</v>
      </c>
      <c r="AB38" s="204">
        <v>0</v>
      </c>
      <c r="AC38" s="205">
        <v>1</v>
      </c>
      <c r="AD38" s="206">
        <v>42.935000000000002</v>
      </c>
    </row>
    <row r="39">
      <c r="B39" s="207" t="s">
        <v>489</v>
      </c>
      <c r="C39" s="208"/>
      <c r="D39" s="208">
        <v>2040</v>
      </c>
      <c r="E39" s="208">
        <v>0.46999999999999997</v>
      </c>
      <c r="F39" s="208">
        <v>0.10000000000000001</v>
      </c>
      <c r="G39" s="208">
        <v>0.23999999999999999</v>
      </c>
      <c r="H39" s="208">
        <v>0.12</v>
      </c>
      <c r="I39" s="208">
        <v>0</v>
      </c>
      <c r="J39" s="208">
        <v>0.050000000000000003</v>
      </c>
      <c r="K39" s="208">
        <v>0</v>
      </c>
      <c r="L39" s="208">
        <v>0</v>
      </c>
      <c r="M39" s="208">
        <v>0.02</v>
      </c>
      <c r="N39" s="201">
        <v>1</v>
      </c>
      <c r="O39" s="202">
        <v>42.621000000000002</v>
      </c>
      <c r="Q39" s="207" t="s">
        <v>489</v>
      </c>
      <c r="R39" s="208"/>
      <c r="S39" s="208">
        <v>2040</v>
      </c>
      <c r="T39" s="208">
        <v>0.28000000000000003</v>
      </c>
      <c r="U39" s="208">
        <v>0.11</v>
      </c>
      <c r="V39" s="208">
        <v>0.22</v>
      </c>
      <c r="W39" s="208">
        <v>0.17999999999999999</v>
      </c>
      <c r="X39" s="208">
        <v>0</v>
      </c>
      <c r="Y39" s="208">
        <v>0.089999999999999997</v>
      </c>
      <c r="Z39" s="208">
        <v>0.029999999999999999</v>
      </c>
      <c r="AA39" s="208">
        <v>0.070000000000000007</v>
      </c>
      <c r="AB39" s="208">
        <v>0.02</v>
      </c>
      <c r="AC39" s="201">
        <v>1</v>
      </c>
      <c r="AD39" s="202">
        <v>45.603999999999999</v>
      </c>
    </row>
    <row r="40">
      <c r="B40" s="217" t="s">
        <v>489</v>
      </c>
      <c r="C40" s="218"/>
      <c r="D40" s="210">
        <v>2050</v>
      </c>
      <c r="E40" s="210">
        <v>0.41999999999999998</v>
      </c>
      <c r="F40" s="210">
        <v>0.089999999999999997</v>
      </c>
      <c r="G40" s="210">
        <v>0.14999999999999999</v>
      </c>
      <c r="H40" s="210">
        <v>0.14999999999999999</v>
      </c>
      <c r="I40" s="210">
        <v>0</v>
      </c>
      <c r="J40" s="210">
        <v>0.070000000000000007</v>
      </c>
      <c r="K40" s="210">
        <v>0.02</v>
      </c>
      <c r="L40" s="210">
        <v>0.050000000000000003</v>
      </c>
      <c r="M40" s="210">
        <v>0.050000000000000003</v>
      </c>
      <c r="N40" s="219">
        <v>1</v>
      </c>
      <c r="O40" s="220">
        <v>43.405999999999999</v>
      </c>
      <c r="Q40" s="217" t="s">
        <v>489</v>
      </c>
      <c r="R40" s="218"/>
      <c r="S40" s="210">
        <v>2050</v>
      </c>
      <c r="T40" s="210">
        <v>0.29999999999999999</v>
      </c>
      <c r="U40" s="210">
        <v>0.10000000000000001</v>
      </c>
      <c r="V40" s="210">
        <v>0.20000000000000001</v>
      </c>
      <c r="W40" s="210">
        <v>0.10000000000000001</v>
      </c>
      <c r="X40" s="210">
        <v>0</v>
      </c>
      <c r="Y40" s="210">
        <v>0.10000000000000001</v>
      </c>
      <c r="Z40" s="210">
        <v>0.050000000000000003</v>
      </c>
      <c r="AA40" s="210">
        <v>0.10000000000000001</v>
      </c>
      <c r="AB40" s="210">
        <v>0.050000000000000003</v>
      </c>
      <c r="AC40" s="219">
        <v>1</v>
      </c>
      <c r="AD40" s="220">
        <v>45.289999999999999</v>
      </c>
    </row>
    <row r="42" ht="13.9" customHeight="1">
      <c r="B42" s="221" t="s">
        <v>461</v>
      </c>
      <c r="C42" s="221"/>
      <c r="D42" s="222" t="s">
        <v>490</v>
      </c>
      <c r="E42" s="223"/>
      <c r="F42" s="223"/>
      <c r="G42" s="223"/>
      <c r="H42" s="223"/>
      <c r="I42" s="224"/>
      <c r="J42" s="225" t="s">
        <v>491</v>
      </c>
      <c r="K42" s="225"/>
      <c r="Q42" s="221" t="s">
        <v>37</v>
      </c>
      <c r="R42" s="221"/>
      <c r="S42" s="222" t="s">
        <v>490</v>
      </c>
      <c r="T42" s="223"/>
      <c r="U42" s="223"/>
      <c r="V42" s="223"/>
      <c r="W42" s="223"/>
      <c r="X42" s="224"/>
      <c r="Y42" s="225" t="s">
        <v>491</v>
      </c>
      <c r="Z42" s="225"/>
    </row>
    <row r="43">
      <c r="B43" s="221"/>
      <c r="C43" s="221"/>
      <c r="D43" s="226" t="s">
        <v>492</v>
      </c>
      <c r="E43" s="226">
        <v>2015</v>
      </c>
      <c r="F43" s="226">
        <v>2020</v>
      </c>
      <c r="G43" s="226">
        <v>2030</v>
      </c>
      <c r="H43" s="226">
        <v>2040</v>
      </c>
      <c r="I43" s="226">
        <v>2050</v>
      </c>
      <c r="J43" s="227" t="s">
        <v>493</v>
      </c>
      <c r="K43" s="228" t="s">
        <v>494</v>
      </c>
      <c r="Q43" s="221"/>
      <c r="R43" s="221"/>
      <c r="S43" s="226" t="s">
        <v>492</v>
      </c>
      <c r="T43" s="226">
        <v>2015</v>
      </c>
      <c r="U43" s="226">
        <v>2020</v>
      </c>
      <c r="V43" s="226">
        <v>2030</v>
      </c>
      <c r="W43" s="226">
        <v>2040</v>
      </c>
      <c r="X43" s="226">
        <v>2050</v>
      </c>
      <c r="Y43" s="227" t="s">
        <v>493</v>
      </c>
      <c r="Z43" s="228" t="s">
        <v>494</v>
      </c>
    </row>
    <row r="44">
      <c r="B44" s="229" t="s">
        <v>479</v>
      </c>
      <c r="C44" s="229"/>
      <c r="D44" s="230">
        <v>1.84593572778828</v>
      </c>
      <c r="E44" s="230">
        <v>2.1228260869565201</v>
      </c>
      <c r="F44" s="230">
        <v>2.2970752756858501</v>
      </c>
      <c r="G44" s="230">
        <v>2.8001219433689699</v>
      </c>
      <c r="H44" s="230">
        <v>2.94332054928317</v>
      </c>
      <c r="I44" s="230">
        <v>3.09384235081188</v>
      </c>
      <c r="J44" s="230">
        <v>1.02</v>
      </c>
      <c r="K44" s="230">
        <v>1.0049999999999999</v>
      </c>
      <c r="Q44" s="229" t="s">
        <v>479</v>
      </c>
      <c r="R44" s="229"/>
      <c r="S44" s="230">
        <v>1.84593572778828</v>
      </c>
      <c r="T44" s="230">
        <v>2.1228260869565201</v>
      </c>
      <c r="U44" s="230">
        <v>2.2970752756858501</v>
      </c>
      <c r="V44" s="230">
        <v>2.8001219433689699</v>
      </c>
      <c r="W44" s="230">
        <v>2.94332054928317</v>
      </c>
      <c r="X44" s="230">
        <v>3.09384235081188</v>
      </c>
      <c r="Y44" s="230">
        <v>1.02</v>
      </c>
      <c r="Z44" s="230">
        <v>1.0049999999999999</v>
      </c>
    </row>
    <row r="45">
      <c r="B45" s="229" t="s">
        <v>480</v>
      </c>
      <c r="C45" s="229"/>
      <c r="D45" s="230">
        <v>2.68123566477631</v>
      </c>
      <c r="E45" s="230">
        <v>3.0834210144927501</v>
      </c>
      <c r="F45" s="230">
        <v>3.5459341666666702</v>
      </c>
      <c r="G45" s="230">
        <v>5.2488487849050296</v>
      </c>
      <c r="H45" s="230">
        <v>5.7979945007438101</v>
      </c>
      <c r="I45" s="230">
        <v>6.4045930085340999</v>
      </c>
      <c r="J45" s="230">
        <v>1.04</v>
      </c>
      <c r="K45" s="230">
        <v>1.01</v>
      </c>
      <c r="Q45" s="229" t="s">
        <v>480</v>
      </c>
      <c r="R45" s="229"/>
      <c r="S45" s="230">
        <v>2.68123566477631</v>
      </c>
      <c r="T45" s="230">
        <v>3.0834210144927501</v>
      </c>
      <c r="U45" s="230">
        <v>3.5459341666666702</v>
      </c>
      <c r="V45" s="230">
        <v>5.2488487849050296</v>
      </c>
      <c r="W45" s="230">
        <v>5.7979945007438101</v>
      </c>
      <c r="X45" s="230">
        <v>6.4045930085340999</v>
      </c>
      <c r="Y45" s="230">
        <v>1.04</v>
      </c>
      <c r="Z45" s="230">
        <v>1.01</v>
      </c>
    </row>
    <row r="46">
      <c r="B46" s="229" t="s">
        <v>481</v>
      </c>
      <c r="C46" s="229"/>
      <c r="D46" s="230">
        <v>2.68123566477631</v>
      </c>
      <c r="E46" s="230">
        <v>3.0834210144927501</v>
      </c>
      <c r="F46" s="230">
        <v>3.5459341666666702</v>
      </c>
      <c r="G46" s="230">
        <v>5.2488487849050296</v>
      </c>
      <c r="H46" s="230">
        <v>5.7979945007438101</v>
      </c>
      <c r="I46" s="230">
        <v>6.4045930085340999</v>
      </c>
      <c r="J46" s="230">
        <v>1.04</v>
      </c>
      <c r="K46" s="230">
        <v>1.01</v>
      </c>
      <c r="Q46" s="229" t="s">
        <v>481</v>
      </c>
      <c r="R46" s="229"/>
      <c r="S46" s="230">
        <v>2.68123566477631</v>
      </c>
      <c r="T46" s="230">
        <v>3.0834210144927501</v>
      </c>
      <c r="U46" s="230">
        <v>3.5459341666666702</v>
      </c>
      <c r="V46" s="230">
        <v>5.2488487849050296</v>
      </c>
      <c r="W46" s="230">
        <v>5.7979945007438101</v>
      </c>
      <c r="X46" s="230">
        <v>6.4045930085340999</v>
      </c>
      <c r="Y46" s="230">
        <v>1.04</v>
      </c>
      <c r="Z46" s="230">
        <v>1.01</v>
      </c>
    </row>
    <row r="47">
      <c r="B47" s="229" t="s">
        <v>482</v>
      </c>
      <c r="C47" s="229"/>
      <c r="D47" s="230">
        <v>1.84593572778828</v>
      </c>
      <c r="E47" s="230">
        <v>2.1228260869565201</v>
      </c>
      <c r="F47" s="230">
        <v>3.2549999999999999</v>
      </c>
      <c r="G47" s="230">
        <v>4.5914989658217502</v>
      </c>
      <c r="H47" s="230">
        <v>5.0718713464493703</v>
      </c>
      <c r="I47" s="230">
        <v>5.6025013065270901</v>
      </c>
      <c r="J47" s="230">
        <v>1.0349999999999999</v>
      </c>
      <c r="K47" s="230">
        <v>1.01</v>
      </c>
      <c r="Q47" s="229" t="s">
        <v>482</v>
      </c>
      <c r="R47" s="229"/>
      <c r="S47" s="230">
        <v>1.84593572778828</v>
      </c>
      <c r="T47" s="230">
        <v>2.1228260869565201</v>
      </c>
      <c r="U47" s="230">
        <v>3.2549999999999999</v>
      </c>
      <c r="V47" s="230">
        <v>4.5914989658217502</v>
      </c>
      <c r="W47" s="230">
        <v>5.0718713464493703</v>
      </c>
      <c r="X47" s="230">
        <v>5.6025013065270901</v>
      </c>
      <c r="Y47" s="230">
        <v>1.0349999999999999</v>
      </c>
      <c r="Z47" s="230">
        <v>1.01</v>
      </c>
    </row>
    <row r="48">
      <c r="B48" s="229" t="s">
        <v>483</v>
      </c>
      <c r="C48" s="229"/>
      <c r="D48" s="230">
        <v>1.84593572778828</v>
      </c>
      <c r="E48" s="230">
        <v>2.1228260869565201</v>
      </c>
      <c r="F48" s="230">
        <v>3.2549999999999999</v>
      </c>
      <c r="G48" s="230">
        <v>4.8181951474092104</v>
      </c>
      <c r="H48" s="230">
        <v>5.3222849643771202</v>
      </c>
      <c r="I48" s="230">
        <v>5.8791137293943496</v>
      </c>
      <c r="J48" s="230">
        <v>1.04</v>
      </c>
      <c r="K48" s="230">
        <v>1.01</v>
      </c>
      <c r="Q48" s="229" t="s">
        <v>483</v>
      </c>
      <c r="R48" s="229"/>
      <c r="S48" s="230">
        <v>1.84593572778828</v>
      </c>
      <c r="T48" s="230">
        <v>2.1228260869565201</v>
      </c>
      <c r="U48" s="230">
        <v>3.2549999999999999</v>
      </c>
      <c r="V48" s="230">
        <v>4.5914989658217502</v>
      </c>
      <c r="W48" s="230">
        <v>5.0718713464493703</v>
      </c>
      <c r="X48" s="230">
        <v>5.6025013065270901</v>
      </c>
      <c r="Y48" s="230">
        <v>1.0349999999999999</v>
      </c>
      <c r="Z48" s="230">
        <v>1.01</v>
      </c>
    </row>
    <row r="49">
      <c r="B49" s="229" t="s">
        <v>484</v>
      </c>
      <c r="C49" s="229"/>
      <c r="D49" s="230">
        <v>1.84593572778828</v>
      </c>
      <c r="E49" s="230">
        <v>2.1228260869565201</v>
      </c>
      <c r="F49" s="230">
        <v>3.2549999999999999</v>
      </c>
      <c r="G49" s="230">
        <v>4.8181951474092104</v>
      </c>
      <c r="H49" s="230">
        <v>5.3222849643771202</v>
      </c>
      <c r="I49" s="230">
        <v>5.8791137293943496</v>
      </c>
      <c r="J49" s="230">
        <v>1.04</v>
      </c>
      <c r="K49" s="230">
        <v>1.01</v>
      </c>
      <c r="Q49" s="229" t="s">
        <v>484</v>
      </c>
      <c r="R49" s="229"/>
      <c r="S49" s="230">
        <v>1.84593572778828</v>
      </c>
      <c r="T49" s="230">
        <v>2.1228260869565201</v>
      </c>
      <c r="U49" s="230">
        <v>3.2549999999999999</v>
      </c>
      <c r="V49" s="230">
        <v>4.8181951474092104</v>
      </c>
      <c r="W49" s="230">
        <v>5.3222849643771202</v>
      </c>
      <c r="X49" s="230">
        <v>5.8791137293943496</v>
      </c>
      <c r="Y49" s="230">
        <v>1.04</v>
      </c>
      <c r="Z49" s="230">
        <v>1.01</v>
      </c>
    </row>
    <row r="50">
      <c r="B50" s="229" t="s">
        <v>485</v>
      </c>
      <c r="C50" s="229"/>
      <c r="D50" s="230">
        <v>3.4933837429111501</v>
      </c>
      <c r="E50" s="230">
        <v>4.0173913043478304</v>
      </c>
      <c r="F50" s="230">
        <v>5</v>
      </c>
      <c r="G50" s="230">
        <v>7</v>
      </c>
      <c r="H50" s="230">
        <v>9</v>
      </c>
      <c r="I50" s="230">
        <v>10</v>
      </c>
      <c r="J50" s="230">
        <v>1.04</v>
      </c>
      <c r="K50" s="230">
        <v>1.01</v>
      </c>
      <c r="Q50" s="229" t="s">
        <v>485</v>
      </c>
      <c r="R50" s="229"/>
      <c r="S50" s="230">
        <v>3.4933837429111501</v>
      </c>
      <c r="T50" s="230">
        <v>4.0173913043478304</v>
      </c>
      <c r="U50" s="230">
        <v>5</v>
      </c>
      <c r="V50" s="230">
        <v>7</v>
      </c>
      <c r="W50" s="230">
        <v>9</v>
      </c>
      <c r="X50" s="230">
        <v>10</v>
      </c>
      <c r="Y50" s="230">
        <v>1.04</v>
      </c>
      <c r="Z50" s="230">
        <v>1.01</v>
      </c>
    </row>
    <row r="51">
      <c r="B51" s="229" t="s">
        <v>486</v>
      </c>
      <c r="C51" s="229"/>
      <c r="D51" s="230">
        <v>1</v>
      </c>
      <c r="E51" s="230">
        <v>1</v>
      </c>
      <c r="F51" s="230">
        <v>5</v>
      </c>
      <c r="G51" s="230">
        <v>5</v>
      </c>
      <c r="H51" s="230">
        <v>6</v>
      </c>
      <c r="I51" s="230">
        <v>7</v>
      </c>
      <c r="J51" s="230">
        <v>1.04</v>
      </c>
      <c r="K51" s="230">
        <v>1.01</v>
      </c>
      <c r="Q51" s="229" t="s">
        <v>486</v>
      </c>
      <c r="R51" s="229"/>
      <c r="S51" s="230">
        <v>1</v>
      </c>
      <c r="T51" s="230">
        <v>1</v>
      </c>
      <c r="U51" s="230">
        <v>5</v>
      </c>
      <c r="V51" s="230">
        <v>5</v>
      </c>
      <c r="W51" s="230">
        <v>6</v>
      </c>
      <c r="X51" s="230">
        <v>7</v>
      </c>
      <c r="Y51" s="230">
        <v>1.04</v>
      </c>
      <c r="Z51" s="230">
        <v>1.01</v>
      </c>
    </row>
    <row r="52">
      <c r="B52" s="231" t="s">
        <v>495</v>
      </c>
      <c r="C52" s="231"/>
      <c r="D52" s="230">
        <v>1</v>
      </c>
      <c r="E52" s="230">
        <v>1</v>
      </c>
      <c r="F52" s="230">
        <v>5</v>
      </c>
      <c r="G52" s="230">
        <v>8</v>
      </c>
      <c r="H52" s="230">
        <v>10</v>
      </c>
      <c r="I52" s="230">
        <v>12</v>
      </c>
      <c r="J52" s="230">
        <v>1.04</v>
      </c>
      <c r="K52" s="230">
        <v>1.01</v>
      </c>
      <c r="Q52" s="231" t="s">
        <v>495</v>
      </c>
      <c r="R52" s="231"/>
      <c r="S52" s="230">
        <v>1</v>
      </c>
      <c r="T52" s="230">
        <v>1</v>
      </c>
      <c r="U52" s="230">
        <v>5</v>
      </c>
      <c r="V52" s="230">
        <v>8</v>
      </c>
      <c r="W52" s="230">
        <v>10</v>
      </c>
      <c r="X52" s="230">
        <v>12</v>
      </c>
      <c r="Y52" s="230">
        <v>1.04</v>
      </c>
      <c r="Z52" s="230">
        <v>1.01</v>
      </c>
    </row>
    <row r="56" ht="18">
      <c r="B56" s="1" t="s">
        <v>496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9" ht="60">
      <c r="C59" s="232" t="s">
        <v>497</v>
      </c>
      <c r="D59" s="232" t="s">
        <v>498</v>
      </c>
      <c r="E59" s="232" t="s">
        <v>499</v>
      </c>
    </row>
    <row r="60">
      <c r="B60">
        <v>2015</v>
      </c>
      <c r="C60">
        <v>22</v>
      </c>
      <c r="D60">
        <v>27</v>
      </c>
      <c r="E60">
        <v>12</v>
      </c>
    </row>
    <row r="61">
      <c r="B61" t="s">
        <v>500</v>
      </c>
      <c r="C61">
        <v>22</v>
      </c>
      <c r="D61">
        <v>27</v>
      </c>
      <c r="E61">
        <v>12</v>
      </c>
    </row>
    <row r="62">
      <c r="B62" t="s">
        <v>501</v>
      </c>
      <c r="C62">
        <v>26</v>
      </c>
      <c r="D62">
        <v>30</v>
      </c>
      <c r="E62">
        <v>8</v>
      </c>
    </row>
  </sheetData>
  <mergeCells count="28">
    <mergeCell ref="B51:C51"/>
    <mergeCell ref="Q51:R51"/>
    <mergeCell ref="B56:R56"/>
    <mergeCell ref="B48:C48"/>
    <mergeCell ref="Q48:R48"/>
    <mergeCell ref="B49:C49"/>
    <mergeCell ref="Q49:R49"/>
    <mergeCell ref="B50:C50"/>
    <mergeCell ref="Q50:R50"/>
    <mergeCell ref="B45:C45"/>
    <mergeCell ref="Q45:R45"/>
    <mergeCell ref="B46:C46"/>
    <mergeCell ref="Q46:R46"/>
    <mergeCell ref="B47:C47"/>
    <mergeCell ref="Q47:R47"/>
    <mergeCell ref="B42:C43"/>
    <mergeCell ref="J42:K42"/>
    <mergeCell ref="Q42:R43"/>
    <mergeCell ref="Y42:Z42"/>
    <mergeCell ref="B44:C44"/>
    <mergeCell ref="Q44:R44"/>
    <mergeCell ref="B2:I2"/>
    <mergeCell ref="B5:R5"/>
    <mergeCell ref="B25:R25"/>
    <mergeCell ref="O27:O28"/>
    <mergeCell ref="AD27:AD28"/>
    <mergeCell ref="B28:C28"/>
    <mergeCell ref="Q28:R28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HAJJAR Joseph</dc:creator>
  <dc:description/>
  <dc:language>fr-FR</dc:language>
  <cp:lastModifiedBy>Alma MONSERAND</cp:lastModifiedBy>
  <cp:revision>2</cp:revision>
  <dcterms:created xsi:type="dcterms:W3CDTF">2022-05-30T15:21:49Z</dcterms:created>
  <dcterms:modified xsi:type="dcterms:W3CDTF">2023-06-09T09:55:07Z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