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0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1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2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4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6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17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2-Bâtiments\42_Hypothèses run2\Vivaldi\"/>
    </mc:Choice>
  </mc:AlternateContent>
  <bookViews>
    <workbookView xWindow="-120" yWindow="-120" windowWidth="20730" windowHeight="11120" tabRatio="884" activeTab="1"/>
  </bookViews>
  <sheets>
    <sheet name="Tableau de bord" sheetId="100" r:id="rId1"/>
    <sheet name="Résultats" sheetId="101" r:id="rId2"/>
    <sheet name="Init. énergie" sheetId="98" r:id="rId3"/>
    <sheet name="Init. parc" sheetId="99" r:id="rId4"/>
    <sheet name="Bureaux - AME" sheetId="35" r:id="rId5"/>
    <sheet name="CaHoREs - AME" sheetId="104" r:id="rId6"/>
    <sheet name="Commerce - AME" sheetId="105" r:id="rId7"/>
    <sheet name="Enseignement - AME" sheetId="106" r:id="rId8"/>
    <sheet name="Hab. com. - AME" sheetId="118" r:id="rId9"/>
    <sheet name="Santé social - AME" sheetId="107" r:id="rId10"/>
    <sheet name="Sport Loisir Culture - AME" sheetId="108" r:id="rId11"/>
    <sheet name="Transport - AME" sheetId="103" r:id="rId12"/>
    <sheet name="Hors chauffage - AME" sheetId="116" r:id="rId13"/>
    <sheet name="Bureaux - AMS" sheetId="109" r:id="rId14"/>
    <sheet name="CaHoREs - AMS" sheetId="110" r:id="rId15"/>
    <sheet name="Commerce - AMS" sheetId="111" r:id="rId16"/>
    <sheet name="Enseignement - AMS" sheetId="112" r:id="rId17"/>
    <sheet name="Hab. com. - AMS" sheetId="120" r:id="rId18"/>
    <sheet name="Santé social - AMS" sheetId="113" r:id="rId19"/>
    <sheet name="Sport Loisir Culture - AMS" sheetId="114" r:id="rId20"/>
    <sheet name="Transport - AMS" sheetId="115" r:id="rId21"/>
    <sheet name="Hors chauffage - AMS" sheetId="117" r:id="rId22"/>
    <sheet name="Sources" sheetId="102" r:id="rId23"/>
  </sheets>
  <definedNames>
    <definedName name="_xlnm.Print_Area" localSheetId="4">'Bureaux - AME'!$C$1:$O$172</definedName>
    <definedName name="_xlnm.Print_Area" localSheetId="13">'Bureaux - AMS'!$C$1:$O$172</definedName>
    <definedName name="_xlnm.Print_Area" localSheetId="5">'CaHoREs - AME'!$C$1:$O$172</definedName>
    <definedName name="_xlnm.Print_Area" localSheetId="14">'CaHoREs - AMS'!$C$1:$O$172</definedName>
    <definedName name="_xlnm.Print_Area" localSheetId="6">'Commerce - AME'!$C$1:$O$172</definedName>
    <definedName name="_xlnm.Print_Area" localSheetId="15">'Commerce - AMS'!$C$1:$O$172</definedName>
    <definedName name="_xlnm.Print_Area" localSheetId="7">'Enseignement - AME'!$C$1:$O$172</definedName>
    <definedName name="_xlnm.Print_Area" localSheetId="16">'Enseignement - AMS'!$C$1:$O$172</definedName>
    <definedName name="_xlnm.Print_Area" localSheetId="8">'Hab. com. - AME'!$C$1:$O$172</definedName>
    <definedName name="_xlnm.Print_Area" localSheetId="17">'Hab. com. - AMS'!$C$1:$O$172</definedName>
    <definedName name="_xlnm.Print_Area" localSheetId="9">'Santé social - AME'!$C$1:$O$172</definedName>
    <definedName name="_xlnm.Print_Area" localSheetId="18">'Santé social - AMS'!$C$1:$O$172</definedName>
    <definedName name="_xlnm.Print_Area" localSheetId="10">'Sport Loisir Culture - AME'!$C$1:$O$172</definedName>
    <definedName name="_xlnm.Print_Area" localSheetId="19">'Sport Loisir Culture - AMS'!$C$1:$O$172</definedName>
    <definedName name="_xlnm.Print_Area" localSheetId="11">'Transport - AME'!$C$1:$O$172</definedName>
    <definedName name="_xlnm.Print_Area" localSheetId="20">'Transport - AMS'!$C$1:$O$172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120" l="1"/>
  <c r="K64" i="120"/>
  <c r="I64" i="120"/>
  <c r="I131" i="35" l="1"/>
  <c r="I15" i="35"/>
  <c r="I50" i="111"/>
  <c r="F10" i="116" l="1"/>
  <c r="E7" i="116"/>
  <c r="G6" i="116"/>
  <c r="F6" i="116"/>
  <c r="E6" i="116"/>
  <c r="E5" i="116" s="1"/>
  <c r="E9" i="116"/>
  <c r="K19" i="98" l="1"/>
  <c r="L19" i="98"/>
  <c r="J19" i="98"/>
  <c r="E26" i="100" l="1"/>
  <c r="Y41" i="101" l="1"/>
  <c r="Y40" i="101"/>
  <c r="Y39" i="101"/>
  <c r="Y38" i="101"/>
  <c r="Y37" i="101"/>
  <c r="Y36" i="101"/>
  <c r="Y95" i="101"/>
  <c r="Y96" i="101"/>
  <c r="Y97" i="101"/>
  <c r="Z97" i="101"/>
  <c r="AA97" i="101"/>
  <c r="AB97" i="101"/>
  <c r="Y98" i="101"/>
  <c r="Z98" i="101"/>
  <c r="AB98" i="101"/>
  <c r="Y99" i="101"/>
  <c r="Y100" i="101"/>
  <c r="Z100" i="101"/>
  <c r="AB100" i="101"/>
  <c r="Z94" i="101"/>
  <c r="AA94" i="101"/>
  <c r="AB94" i="101"/>
  <c r="Y94" i="101"/>
  <c r="Y88" i="101"/>
  <c r="Y83" i="101"/>
  <c r="Y84" i="101"/>
  <c r="Y85" i="101"/>
  <c r="Y86" i="101"/>
  <c r="Y87" i="101"/>
  <c r="Y82" i="101"/>
  <c r="Y59" i="101"/>
  <c r="Y60" i="101"/>
  <c r="Y61" i="101"/>
  <c r="Y62" i="101"/>
  <c r="Y63" i="101"/>
  <c r="Y64" i="101"/>
  <c r="Y58" i="101"/>
  <c r="AA26" i="101"/>
  <c r="AB26" i="101"/>
  <c r="AC26" i="101"/>
  <c r="Z26" i="101"/>
  <c r="AA25" i="101"/>
  <c r="AB25" i="101"/>
  <c r="AC25" i="101"/>
  <c r="Z25" i="101"/>
  <c r="Z18" i="101"/>
  <c r="AA18" i="101"/>
  <c r="AB18" i="101"/>
  <c r="AC18" i="101"/>
  <c r="AA17" i="101"/>
  <c r="AB17" i="101"/>
  <c r="AC17" i="101"/>
  <c r="Z17" i="101"/>
  <c r="D25" i="101"/>
  <c r="E25" i="101"/>
  <c r="F25" i="101"/>
  <c r="C25" i="101"/>
  <c r="D26" i="101"/>
  <c r="E26" i="101"/>
  <c r="F26" i="101"/>
  <c r="C26" i="101"/>
  <c r="C18" i="101"/>
  <c r="D18" i="101"/>
  <c r="E18" i="101"/>
  <c r="F18" i="101"/>
  <c r="D17" i="101"/>
  <c r="E17" i="101"/>
  <c r="F17" i="101"/>
  <c r="C17" i="101"/>
  <c r="I142" i="120"/>
  <c r="I143" i="120"/>
  <c r="I144" i="120"/>
  <c r="I145" i="120"/>
  <c r="I146" i="120"/>
  <c r="I148" i="120"/>
  <c r="J143" i="120"/>
  <c r="J144" i="120"/>
  <c r="J145" i="120"/>
  <c r="J146" i="120"/>
  <c r="J148" i="120"/>
  <c r="J142" i="120"/>
  <c r="K143" i="120"/>
  <c r="K144" i="120"/>
  <c r="K145" i="120"/>
  <c r="K146" i="120"/>
  <c r="K147" i="120"/>
  <c r="J147" i="120" s="1"/>
  <c r="I147" i="120" s="1"/>
  <c r="K148" i="120"/>
  <c r="K142" i="120"/>
  <c r="K101" i="120"/>
  <c r="H73" i="120"/>
  <c r="G73" i="120"/>
  <c r="H169" i="120"/>
  <c r="H168" i="120"/>
  <c r="H166" i="120"/>
  <c r="H165" i="120"/>
  <c r="H163" i="120"/>
  <c r="H149" i="120"/>
  <c r="H148" i="120"/>
  <c r="H147" i="120"/>
  <c r="H146" i="120"/>
  <c r="H167" i="120" s="1"/>
  <c r="H145" i="120"/>
  <c r="H144" i="120"/>
  <c r="H143" i="120"/>
  <c r="H164" i="120" s="1"/>
  <c r="H170" i="120" s="1"/>
  <c r="H142" i="120"/>
  <c r="H118" i="120"/>
  <c r="H111" i="120"/>
  <c r="H109" i="120"/>
  <c r="H107" i="120"/>
  <c r="H129" i="120" s="1"/>
  <c r="H103" i="120"/>
  <c r="H100" i="120"/>
  <c r="K100" i="120" s="1"/>
  <c r="M100" i="120" s="1"/>
  <c r="H99" i="120"/>
  <c r="H98" i="120"/>
  <c r="K98" i="120" s="1"/>
  <c r="M98" i="120" s="1"/>
  <c r="H97" i="120"/>
  <c r="J97" i="120" s="1"/>
  <c r="F92" i="120"/>
  <c r="F93" i="120" s="1"/>
  <c r="G93" i="120" s="1"/>
  <c r="G91" i="120"/>
  <c r="F91" i="120"/>
  <c r="F90" i="120"/>
  <c r="G90" i="120" s="1"/>
  <c r="F89" i="120"/>
  <c r="G89" i="120" s="1"/>
  <c r="G88" i="120"/>
  <c r="F88" i="120"/>
  <c r="G87" i="120"/>
  <c r="F87" i="120"/>
  <c r="H83" i="120"/>
  <c r="G83" i="120" s="1"/>
  <c r="H82" i="120"/>
  <c r="G82" i="120" s="1"/>
  <c r="H81" i="120"/>
  <c r="H101" i="120" s="1"/>
  <c r="G81" i="120"/>
  <c r="H80" i="120"/>
  <c r="G80" i="120"/>
  <c r="G100" i="120" s="1"/>
  <c r="H79" i="120"/>
  <c r="G79" i="120"/>
  <c r="G99" i="120" s="1"/>
  <c r="H78" i="120"/>
  <c r="G78" i="120"/>
  <c r="G98" i="120" s="1"/>
  <c r="H77" i="120"/>
  <c r="G77" i="120"/>
  <c r="F73" i="120"/>
  <c r="K66" i="120"/>
  <c r="H62" i="120"/>
  <c r="J62" i="120" s="1"/>
  <c r="G62" i="120"/>
  <c r="H59" i="120"/>
  <c r="J59" i="120" s="1"/>
  <c r="G59" i="120"/>
  <c r="H51" i="120"/>
  <c r="H65" i="120" s="1"/>
  <c r="K50" i="120"/>
  <c r="K52" i="120" s="1"/>
  <c r="H50" i="120"/>
  <c r="H64" i="120" s="1"/>
  <c r="G50" i="120"/>
  <c r="J49" i="120"/>
  <c r="I49" i="120"/>
  <c r="H49" i="120"/>
  <c r="H63" i="120" s="1"/>
  <c r="G49" i="120"/>
  <c r="J48" i="120"/>
  <c r="I48" i="120"/>
  <c r="H48" i="120"/>
  <c r="G48" i="120"/>
  <c r="H47" i="120"/>
  <c r="H61" i="120" s="1"/>
  <c r="G47" i="120"/>
  <c r="J46" i="120"/>
  <c r="H46" i="120"/>
  <c r="H60" i="120" s="1"/>
  <c r="G46" i="120"/>
  <c r="J45" i="120"/>
  <c r="I45" i="120"/>
  <c r="H45" i="120"/>
  <c r="G45" i="120"/>
  <c r="I36" i="120"/>
  <c r="H36" i="120"/>
  <c r="H9" i="120" s="1"/>
  <c r="K35" i="120"/>
  <c r="J35" i="120"/>
  <c r="I35" i="120"/>
  <c r="K34" i="120"/>
  <c r="K7" i="120" s="1"/>
  <c r="J34" i="120"/>
  <c r="J36" i="120" s="1"/>
  <c r="I34" i="120"/>
  <c r="H34" i="120"/>
  <c r="G34" i="120"/>
  <c r="G36" i="120" s="1"/>
  <c r="I9" i="120"/>
  <c r="J8" i="120"/>
  <c r="I8" i="120"/>
  <c r="H8" i="120"/>
  <c r="I7" i="120"/>
  <c r="H7" i="120"/>
  <c r="H78" i="118"/>
  <c r="H79" i="118"/>
  <c r="H80" i="118"/>
  <c r="H81" i="118"/>
  <c r="H82" i="118"/>
  <c r="H83" i="118"/>
  <c r="H77" i="118"/>
  <c r="F73" i="118"/>
  <c r="I101" i="120" l="1"/>
  <c r="I122" i="120" s="1"/>
  <c r="M101" i="120"/>
  <c r="J101" i="120"/>
  <c r="G102" i="120"/>
  <c r="G123" i="120" s="1"/>
  <c r="G64" i="120"/>
  <c r="I103" i="120"/>
  <c r="J122" i="120"/>
  <c r="J118" i="120"/>
  <c r="J9" i="120"/>
  <c r="J60" i="120"/>
  <c r="J66" i="120" s="1"/>
  <c r="I60" i="120"/>
  <c r="G60" i="120"/>
  <c r="I65" i="120"/>
  <c r="J65" i="120"/>
  <c r="G65" i="120"/>
  <c r="H13" i="120"/>
  <c r="J63" i="120"/>
  <c r="I63" i="120"/>
  <c r="G63" i="120"/>
  <c r="G61" i="120"/>
  <c r="G66" i="120" s="1"/>
  <c r="G122" i="120"/>
  <c r="G120" i="120"/>
  <c r="G111" i="120"/>
  <c r="G109" i="120"/>
  <c r="G107" i="120"/>
  <c r="G121" i="120"/>
  <c r="G119" i="120"/>
  <c r="G112" i="120"/>
  <c r="G110" i="120"/>
  <c r="G108" i="120"/>
  <c r="G103" i="120"/>
  <c r="J99" i="120"/>
  <c r="H102" i="120"/>
  <c r="I98" i="120"/>
  <c r="I119" i="120" s="1"/>
  <c r="H52" i="120"/>
  <c r="G97" i="120"/>
  <c r="H69" i="120" s="1"/>
  <c r="G101" i="120"/>
  <c r="H110" i="120"/>
  <c r="H123" i="120"/>
  <c r="I97" i="120"/>
  <c r="I50" i="120"/>
  <c r="H113" i="120"/>
  <c r="H121" i="120"/>
  <c r="I99" i="120"/>
  <c r="J7" i="120"/>
  <c r="K36" i="120"/>
  <c r="J47" i="120"/>
  <c r="J50" i="120"/>
  <c r="K97" i="120"/>
  <c r="K99" i="120"/>
  <c r="M99" i="120" s="1"/>
  <c r="K103" i="120"/>
  <c r="M103" i="120" s="1"/>
  <c r="H108" i="120"/>
  <c r="H114" i="120" s="1"/>
  <c r="H119" i="120"/>
  <c r="H125" i="120" s="1"/>
  <c r="J103" i="120"/>
  <c r="H112" i="120"/>
  <c r="G51" i="120"/>
  <c r="G113" i="120" s="1"/>
  <c r="H120" i="120"/>
  <c r="H131" i="120" s="1"/>
  <c r="H15" i="120" s="1"/>
  <c r="H122" i="120"/>
  <c r="H133" i="120" s="1"/>
  <c r="H17" i="120" s="1"/>
  <c r="H124" i="120"/>
  <c r="I100" i="120"/>
  <c r="I121" i="120" s="1"/>
  <c r="K8" i="120"/>
  <c r="J51" i="120"/>
  <c r="J124" i="120" s="1"/>
  <c r="I59" i="120"/>
  <c r="I62" i="120"/>
  <c r="G92" i="120"/>
  <c r="J98" i="120"/>
  <c r="J119" i="120" s="1"/>
  <c r="J100" i="120"/>
  <c r="J121" i="120" s="1"/>
  <c r="E22" i="100"/>
  <c r="E25" i="100" s="1"/>
  <c r="I22" i="100"/>
  <c r="I23" i="100"/>
  <c r="I26" i="100" s="1"/>
  <c r="M4" i="100"/>
  <c r="E11" i="100"/>
  <c r="H46" i="118"/>
  <c r="H47" i="118"/>
  <c r="H48" i="118"/>
  <c r="H49" i="118"/>
  <c r="H50" i="118"/>
  <c r="H51" i="118"/>
  <c r="H45" i="118"/>
  <c r="I25" i="100" l="1"/>
  <c r="H73" i="118" s="1"/>
  <c r="G73" i="118"/>
  <c r="I69" i="120"/>
  <c r="J52" i="120"/>
  <c r="H135" i="120"/>
  <c r="H19" i="120" s="1"/>
  <c r="H132" i="120"/>
  <c r="H16" i="120" s="1"/>
  <c r="I123" i="120"/>
  <c r="I149" i="120"/>
  <c r="G118" i="120"/>
  <c r="H134" i="120"/>
  <c r="H18" i="120" s="1"/>
  <c r="J69" i="120"/>
  <c r="I118" i="120"/>
  <c r="I124" i="120"/>
  <c r="K102" i="120"/>
  <c r="M102" i="120" s="1"/>
  <c r="J102" i="120"/>
  <c r="J123" i="120" s="1"/>
  <c r="I102" i="120"/>
  <c r="M97" i="120"/>
  <c r="G124" i="120"/>
  <c r="G52" i="120"/>
  <c r="J149" i="120"/>
  <c r="H55" i="120"/>
  <c r="I120" i="120"/>
  <c r="I55" i="120"/>
  <c r="G114" i="120"/>
  <c r="J120" i="120"/>
  <c r="K124" i="120"/>
  <c r="K122" i="120"/>
  <c r="M122" i="120" s="1"/>
  <c r="K120" i="120"/>
  <c r="M120" i="120" s="1"/>
  <c r="K118" i="120"/>
  <c r="K9" i="120"/>
  <c r="K123" i="120"/>
  <c r="M123" i="120" s="1"/>
  <c r="K121" i="120"/>
  <c r="M121" i="120" s="1"/>
  <c r="K119" i="120"/>
  <c r="M119" i="120" s="1"/>
  <c r="I66" i="120"/>
  <c r="I52" i="120"/>
  <c r="H130" i="120"/>
  <c r="J125" i="120" l="1"/>
  <c r="M124" i="120"/>
  <c r="K69" i="120"/>
  <c r="G125" i="120"/>
  <c r="J24" i="120" s="1"/>
  <c r="I77" i="120"/>
  <c r="I78" i="120"/>
  <c r="I108" i="120" s="1"/>
  <c r="I130" i="120" s="1"/>
  <c r="I83" i="120"/>
  <c r="I113" i="120" s="1"/>
  <c r="I135" i="120" s="1"/>
  <c r="I82" i="120"/>
  <c r="I112" i="120" s="1"/>
  <c r="I134" i="120" s="1"/>
  <c r="I80" i="120"/>
  <c r="I110" i="120" s="1"/>
  <c r="I132" i="120" s="1"/>
  <c r="I79" i="120"/>
  <c r="I109" i="120" s="1"/>
  <c r="I131" i="120" s="1"/>
  <c r="I81" i="120"/>
  <c r="I111" i="120" s="1"/>
  <c r="I133" i="120" s="1"/>
  <c r="H14" i="120"/>
  <c r="H20" i="120" s="1"/>
  <c r="H136" i="120"/>
  <c r="K125" i="120"/>
  <c r="M118" i="120"/>
  <c r="K149" i="120"/>
  <c r="I125" i="120"/>
  <c r="I24" i="120" l="1"/>
  <c r="J55" i="120"/>
  <c r="I107" i="120"/>
  <c r="M125" i="120"/>
  <c r="K24" i="120"/>
  <c r="I129" i="120" l="1"/>
  <c r="I114" i="120"/>
  <c r="I23" i="120" s="1"/>
  <c r="J79" i="120"/>
  <c r="J109" i="120" s="1"/>
  <c r="J131" i="120" s="1"/>
  <c r="J83" i="120"/>
  <c r="J113" i="120" s="1"/>
  <c r="J135" i="120" s="1"/>
  <c r="J80" i="120"/>
  <c r="J110" i="120" s="1"/>
  <c r="J132" i="120" s="1"/>
  <c r="J77" i="120"/>
  <c r="J78" i="120"/>
  <c r="J108" i="120" s="1"/>
  <c r="J130" i="120" s="1"/>
  <c r="J81" i="120"/>
  <c r="J111" i="120" s="1"/>
  <c r="J133" i="120" s="1"/>
  <c r="J82" i="120"/>
  <c r="J112" i="120" s="1"/>
  <c r="J134" i="120" s="1"/>
  <c r="K55" i="120" l="1"/>
  <c r="J107" i="120"/>
  <c r="I136" i="120"/>
  <c r="J129" i="120" l="1"/>
  <c r="J114" i="120"/>
  <c r="J23" i="120" s="1"/>
  <c r="K83" i="120"/>
  <c r="K80" i="120"/>
  <c r="K81" i="120"/>
  <c r="K78" i="120"/>
  <c r="K82" i="120"/>
  <c r="K79" i="120"/>
  <c r="K77" i="120"/>
  <c r="K153" i="120" l="1"/>
  <c r="K107" i="120"/>
  <c r="K158" i="120"/>
  <c r="K112" i="120"/>
  <c r="K154" i="120"/>
  <c r="K108" i="120"/>
  <c r="K157" i="120"/>
  <c r="K111" i="120"/>
  <c r="K156" i="120"/>
  <c r="K110" i="120"/>
  <c r="K155" i="120"/>
  <c r="K109" i="120"/>
  <c r="K159" i="120"/>
  <c r="K113" i="120"/>
  <c r="J136" i="120"/>
  <c r="J157" i="120" l="1"/>
  <c r="K167" i="120"/>
  <c r="M108" i="120"/>
  <c r="K130" i="120"/>
  <c r="M110" i="120"/>
  <c r="K132" i="120"/>
  <c r="J154" i="120"/>
  <c r="K164" i="120"/>
  <c r="K133" i="120"/>
  <c r="M111" i="120"/>
  <c r="K134" i="120"/>
  <c r="M112" i="120"/>
  <c r="K131" i="120"/>
  <c r="M109" i="120"/>
  <c r="J156" i="120"/>
  <c r="K166" i="120"/>
  <c r="J158" i="120"/>
  <c r="K168" i="120"/>
  <c r="J155" i="120"/>
  <c r="K165" i="120"/>
  <c r="K135" i="120"/>
  <c r="M113" i="120"/>
  <c r="K129" i="120"/>
  <c r="K114" i="120"/>
  <c r="M107" i="120"/>
  <c r="J159" i="120"/>
  <c r="K169" i="120"/>
  <c r="J153" i="120"/>
  <c r="K163" i="120"/>
  <c r="K18" i="120" l="1"/>
  <c r="M134" i="120"/>
  <c r="M131" i="120"/>
  <c r="K15" i="120"/>
  <c r="K17" i="120"/>
  <c r="M133" i="120"/>
  <c r="M129" i="120"/>
  <c r="K136" i="120"/>
  <c r="M136" i="120" s="1"/>
  <c r="K13" i="120"/>
  <c r="K16" i="120"/>
  <c r="M132" i="120"/>
  <c r="I158" i="120"/>
  <c r="I168" i="120" s="1"/>
  <c r="I18" i="120" s="1"/>
  <c r="J168" i="120"/>
  <c r="J18" i="120" s="1"/>
  <c r="I155" i="120"/>
  <c r="I165" i="120" s="1"/>
  <c r="I15" i="120" s="1"/>
  <c r="J165" i="120"/>
  <c r="J15" i="120" s="1"/>
  <c r="K170" i="120"/>
  <c r="I153" i="120"/>
  <c r="I163" i="120" s="1"/>
  <c r="J163" i="120"/>
  <c r="K14" i="120"/>
  <c r="M130" i="120"/>
  <c r="M114" i="120"/>
  <c r="K23" i="120"/>
  <c r="K19" i="120"/>
  <c r="M135" i="120"/>
  <c r="I154" i="120"/>
  <c r="I164" i="120" s="1"/>
  <c r="I14" i="120" s="1"/>
  <c r="J164" i="120"/>
  <c r="J14" i="120" s="1"/>
  <c r="I156" i="120"/>
  <c r="I166" i="120" s="1"/>
  <c r="I16" i="120" s="1"/>
  <c r="J166" i="120"/>
  <c r="J16" i="120" s="1"/>
  <c r="I159" i="120"/>
  <c r="I169" i="120" s="1"/>
  <c r="I19" i="120" s="1"/>
  <c r="J169" i="120"/>
  <c r="J19" i="120" s="1"/>
  <c r="I157" i="120"/>
  <c r="I167" i="120" s="1"/>
  <c r="I17" i="120" s="1"/>
  <c r="J167" i="120"/>
  <c r="J17" i="120" s="1"/>
  <c r="C46" i="98"/>
  <c r="B46" i="98"/>
  <c r="I34" i="118"/>
  <c r="J34" i="118"/>
  <c r="K34" i="118"/>
  <c r="H34" i="118"/>
  <c r="G34" i="118" s="1"/>
  <c r="G36" i="118" s="1"/>
  <c r="H165" i="118"/>
  <c r="H164" i="118"/>
  <c r="I148" i="118"/>
  <c r="J148" i="118" s="1"/>
  <c r="K148" i="118" s="1"/>
  <c r="H148" i="118"/>
  <c r="H169" i="118" s="1"/>
  <c r="H147" i="118"/>
  <c r="H168" i="118" s="1"/>
  <c r="H146" i="118"/>
  <c r="I146" i="118" s="1"/>
  <c r="J146" i="118" s="1"/>
  <c r="K146" i="118" s="1"/>
  <c r="I145" i="118"/>
  <c r="J145" i="118" s="1"/>
  <c r="K145" i="118" s="1"/>
  <c r="H145" i="118"/>
  <c r="H166" i="118" s="1"/>
  <c r="I144" i="118"/>
  <c r="J144" i="118" s="1"/>
  <c r="K144" i="118" s="1"/>
  <c r="H144" i="118"/>
  <c r="H143" i="118"/>
  <c r="I143" i="118" s="1"/>
  <c r="J143" i="118" s="1"/>
  <c r="K143" i="118" s="1"/>
  <c r="I142" i="118"/>
  <c r="H142" i="118"/>
  <c r="H163" i="118" s="1"/>
  <c r="H97" i="118"/>
  <c r="F92" i="118"/>
  <c r="G92" i="118" s="1"/>
  <c r="F91" i="118"/>
  <c r="G91" i="118" s="1"/>
  <c r="F90" i="118"/>
  <c r="G90" i="118" s="1"/>
  <c r="F89" i="118"/>
  <c r="G89" i="118" s="1"/>
  <c r="F88" i="118"/>
  <c r="G88" i="118" s="1"/>
  <c r="F87" i="118"/>
  <c r="G87" i="118" s="1"/>
  <c r="H103" i="118"/>
  <c r="H102" i="118"/>
  <c r="G81" i="118"/>
  <c r="G80" i="118"/>
  <c r="G79" i="118"/>
  <c r="G78" i="118"/>
  <c r="G77" i="118"/>
  <c r="K64" i="118"/>
  <c r="I64" i="118" s="1"/>
  <c r="H64" i="118"/>
  <c r="J64" i="118" s="1"/>
  <c r="H65" i="118"/>
  <c r="K50" i="118"/>
  <c r="J50" i="118" s="1"/>
  <c r="I50" i="118"/>
  <c r="G50" i="118"/>
  <c r="G49" i="118"/>
  <c r="J48" i="118"/>
  <c r="I48" i="118"/>
  <c r="H62" i="118"/>
  <c r="G48" i="118"/>
  <c r="I47" i="118"/>
  <c r="G47" i="118"/>
  <c r="I46" i="118"/>
  <c r="G46" i="118"/>
  <c r="H59" i="118"/>
  <c r="G45" i="118"/>
  <c r="K35" i="118"/>
  <c r="J35" i="118"/>
  <c r="I35" i="118"/>
  <c r="J7" i="118"/>
  <c r="I36" i="118"/>
  <c r="I8" i="118"/>
  <c r="H8" i="118"/>
  <c r="K7" i="118"/>
  <c r="I7" i="118"/>
  <c r="N28" i="99"/>
  <c r="I28" i="99"/>
  <c r="K28" i="99"/>
  <c r="J28" i="99"/>
  <c r="N24" i="99"/>
  <c r="O24" i="99"/>
  <c r="P24" i="99"/>
  <c r="F29" i="99"/>
  <c r="E29" i="99"/>
  <c r="D29" i="99"/>
  <c r="N8" i="99"/>
  <c r="O8" i="99"/>
  <c r="P8" i="99"/>
  <c r="E13" i="99"/>
  <c r="F13" i="99"/>
  <c r="D13" i="99"/>
  <c r="C51" i="99"/>
  <c r="K20" i="120" l="1"/>
  <c r="J170" i="120"/>
  <c r="J13" i="120"/>
  <c r="J20" i="120" s="1"/>
  <c r="I170" i="120"/>
  <c r="I13" i="120"/>
  <c r="I20" i="120" s="1"/>
  <c r="F93" i="118"/>
  <c r="G93" i="118" s="1"/>
  <c r="K103" i="118" s="1"/>
  <c r="G83" i="118"/>
  <c r="G103" i="118" s="1"/>
  <c r="K97" i="118"/>
  <c r="H98" i="118"/>
  <c r="K98" i="118" s="1"/>
  <c r="I45" i="118"/>
  <c r="I49" i="118"/>
  <c r="H100" i="118"/>
  <c r="K100" i="118" s="1"/>
  <c r="I147" i="118"/>
  <c r="J147" i="118" s="1"/>
  <c r="K147" i="118" s="1"/>
  <c r="J45" i="118"/>
  <c r="H101" i="118"/>
  <c r="K101" i="118" s="1"/>
  <c r="H170" i="118"/>
  <c r="H52" i="118"/>
  <c r="H167" i="118"/>
  <c r="J47" i="118"/>
  <c r="H61" i="118"/>
  <c r="J62" i="118"/>
  <c r="I62" i="118"/>
  <c r="G62" i="118"/>
  <c r="K102" i="118"/>
  <c r="J102" i="118"/>
  <c r="I102" i="118"/>
  <c r="J59" i="118"/>
  <c r="I59" i="118"/>
  <c r="G59" i="118"/>
  <c r="G98" i="118"/>
  <c r="M98" i="118" s="1"/>
  <c r="I9" i="118"/>
  <c r="I65" i="118"/>
  <c r="G65" i="118"/>
  <c r="J65" i="118"/>
  <c r="G99" i="118"/>
  <c r="I149" i="118"/>
  <c r="G100" i="118"/>
  <c r="J46" i="118"/>
  <c r="J49" i="118"/>
  <c r="H60" i="118"/>
  <c r="H63" i="118"/>
  <c r="G82" i="118"/>
  <c r="G97" i="118"/>
  <c r="G101" i="118"/>
  <c r="J142" i="118"/>
  <c r="H36" i="118"/>
  <c r="H99" i="118"/>
  <c r="H7" i="118"/>
  <c r="K52" i="118"/>
  <c r="I97" i="118"/>
  <c r="I101" i="118"/>
  <c r="I103" i="118"/>
  <c r="H149" i="118"/>
  <c r="J36" i="118"/>
  <c r="G61" i="118"/>
  <c r="G64" i="118"/>
  <c r="K66" i="118"/>
  <c r="J97" i="118"/>
  <c r="J103" i="118"/>
  <c r="K36" i="118"/>
  <c r="G51" i="118"/>
  <c r="J8" i="118"/>
  <c r="I51" i="118"/>
  <c r="I55" i="118" s="1"/>
  <c r="I98" i="118"/>
  <c r="K8" i="118"/>
  <c r="J51" i="118"/>
  <c r="J98" i="118"/>
  <c r="K147" i="115"/>
  <c r="K50" i="114"/>
  <c r="K64" i="109"/>
  <c r="K50" i="109"/>
  <c r="J101" i="118" l="1"/>
  <c r="I52" i="118"/>
  <c r="M103" i="118"/>
  <c r="M100" i="118"/>
  <c r="J100" i="118"/>
  <c r="I100" i="118"/>
  <c r="J61" i="118"/>
  <c r="I61" i="118"/>
  <c r="H55" i="118"/>
  <c r="I83" i="118"/>
  <c r="I79" i="118"/>
  <c r="I81" i="118"/>
  <c r="I80" i="118"/>
  <c r="I77" i="118"/>
  <c r="I78" i="118"/>
  <c r="G63" i="118"/>
  <c r="J63" i="118"/>
  <c r="I63" i="118"/>
  <c r="J60" i="118"/>
  <c r="I60" i="118"/>
  <c r="G60" i="118"/>
  <c r="M97" i="118"/>
  <c r="J9" i="118"/>
  <c r="K99" i="118"/>
  <c r="M99" i="118" s="1"/>
  <c r="J99" i="118"/>
  <c r="I99" i="118"/>
  <c r="G52" i="118"/>
  <c r="H9" i="118"/>
  <c r="J52" i="118"/>
  <c r="M101" i="118"/>
  <c r="K9" i="118"/>
  <c r="J149" i="118"/>
  <c r="K142" i="118"/>
  <c r="G102" i="118"/>
  <c r="I82" i="118"/>
  <c r="J8" i="98"/>
  <c r="L20" i="98"/>
  <c r="J20" i="98" s="1"/>
  <c r="K20" i="98" s="1"/>
  <c r="J24" i="98"/>
  <c r="K24" i="98" s="1"/>
  <c r="J23" i="98"/>
  <c r="K23" i="98" s="1"/>
  <c r="J69" i="118" l="1"/>
  <c r="I69" i="118"/>
  <c r="J66" i="118"/>
  <c r="H69" i="118"/>
  <c r="M102" i="118"/>
  <c r="I66" i="118"/>
  <c r="K69" i="118"/>
  <c r="G66" i="118"/>
  <c r="J55" i="118"/>
  <c r="K149" i="118"/>
  <c r="K13" i="98"/>
  <c r="J13" i="98"/>
  <c r="K9" i="98"/>
  <c r="J9" i="98"/>
  <c r="K8" i="98"/>
  <c r="K12" i="98"/>
  <c r="J12" i="98"/>
  <c r="J78" i="118" l="1"/>
  <c r="J77" i="118"/>
  <c r="J82" i="118"/>
  <c r="J79" i="118"/>
  <c r="J80" i="118"/>
  <c r="J81" i="118"/>
  <c r="J83" i="118"/>
  <c r="K55" i="118" l="1"/>
  <c r="N4" i="99"/>
  <c r="I12" i="99"/>
  <c r="K78" i="118" l="1"/>
  <c r="K81" i="118"/>
  <c r="K79" i="118"/>
  <c r="K80" i="118"/>
  <c r="K83" i="118"/>
  <c r="K77" i="118"/>
  <c r="K82" i="118"/>
  <c r="I20" i="116"/>
  <c r="I46" i="116" s="1"/>
  <c r="G20" i="116"/>
  <c r="G46" i="116" s="1"/>
  <c r="E20" i="116"/>
  <c r="E73" i="116" s="1"/>
  <c r="C20" i="116"/>
  <c r="C46" i="116" s="1"/>
  <c r="I23" i="117"/>
  <c r="I49" i="117" s="1"/>
  <c r="G23" i="117"/>
  <c r="G76" i="117" s="1"/>
  <c r="E23" i="117"/>
  <c r="E76" i="117" s="1"/>
  <c r="C23" i="117"/>
  <c r="C49" i="117" s="1"/>
  <c r="E23" i="100"/>
  <c r="K158" i="118" l="1"/>
  <c r="K153" i="118"/>
  <c r="K159" i="118"/>
  <c r="K156" i="118"/>
  <c r="K155" i="118"/>
  <c r="K157" i="118"/>
  <c r="K154" i="118"/>
  <c r="D23" i="117"/>
  <c r="E46" i="116"/>
  <c r="G49" i="117"/>
  <c r="C73" i="116"/>
  <c r="E49" i="117"/>
  <c r="I73" i="116"/>
  <c r="F23" i="117"/>
  <c r="G73" i="116"/>
  <c r="I76" i="117"/>
  <c r="H23" i="117"/>
  <c r="C76" i="117"/>
  <c r="C78" i="117" s="1"/>
  <c r="H20" i="116"/>
  <c r="F20" i="116"/>
  <c r="D20" i="116"/>
  <c r="Y31" i="101"/>
  <c r="B31" i="101"/>
  <c r="C121" i="116"/>
  <c r="G106" i="117"/>
  <c r="F106" i="117"/>
  <c r="E106" i="117"/>
  <c r="D106" i="117"/>
  <c r="G105" i="117"/>
  <c r="F105" i="117"/>
  <c r="E105" i="117"/>
  <c r="D105" i="117"/>
  <c r="E74" i="117"/>
  <c r="F74" i="117" s="1"/>
  <c r="G74" i="117" s="1"/>
  <c r="H74" i="117" s="1"/>
  <c r="I74" i="117" s="1"/>
  <c r="D74" i="117"/>
  <c r="C64" i="117"/>
  <c r="C65" i="117" s="1"/>
  <c r="C66" i="117" s="1"/>
  <c r="C67" i="117" s="1"/>
  <c r="C68" i="117" s="1"/>
  <c r="C69" i="117" s="1"/>
  <c r="C56" i="117"/>
  <c r="C57" i="117" s="1"/>
  <c r="C58" i="117" s="1"/>
  <c r="C59" i="117" s="1"/>
  <c r="C60" i="117" s="1"/>
  <c r="C61" i="117" s="1"/>
  <c r="C51" i="117"/>
  <c r="F63" i="117" s="1"/>
  <c r="D47" i="117"/>
  <c r="E47" i="117" s="1"/>
  <c r="F47" i="117" s="1"/>
  <c r="G47" i="117" s="1"/>
  <c r="H47" i="117" s="1"/>
  <c r="I47" i="117" s="1"/>
  <c r="C37" i="117"/>
  <c r="C38" i="117" s="1"/>
  <c r="C39" i="117" s="1"/>
  <c r="C40" i="117" s="1"/>
  <c r="C41" i="117" s="1"/>
  <c r="C42" i="117" s="1"/>
  <c r="H33" i="117"/>
  <c r="E33" i="117"/>
  <c r="J32" i="117"/>
  <c r="J31" i="117" s="1"/>
  <c r="I32" i="117"/>
  <c r="I31" i="117" s="1"/>
  <c r="H32" i="117"/>
  <c r="H31" i="117" s="1"/>
  <c r="E32" i="117"/>
  <c r="D32" i="117"/>
  <c r="D33" i="117" s="1"/>
  <c r="D31" i="117"/>
  <c r="J29" i="117"/>
  <c r="I29" i="117"/>
  <c r="H29" i="117"/>
  <c r="G29" i="117"/>
  <c r="E29" i="117"/>
  <c r="D29" i="117"/>
  <c r="C29" i="117"/>
  <c r="C30" i="117" s="1"/>
  <c r="C31" i="117" s="1"/>
  <c r="C32" i="117" s="1"/>
  <c r="C33" i="117" s="1"/>
  <c r="C34" i="117" s="1"/>
  <c r="C25" i="117"/>
  <c r="F36" i="117" s="1"/>
  <c r="D21" i="117"/>
  <c r="E21" i="117" s="1"/>
  <c r="F21" i="117" s="1"/>
  <c r="G21" i="117" s="1"/>
  <c r="H21" i="117" s="1"/>
  <c r="I21" i="117" s="1"/>
  <c r="AJ137" i="101"/>
  <c r="I33" i="117" l="1"/>
  <c r="J157" i="118"/>
  <c r="K167" i="118"/>
  <c r="J156" i="118"/>
  <c r="K166" i="118"/>
  <c r="J155" i="118"/>
  <c r="K165" i="118"/>
  <c r="J159" i="118"/>
  <c r="K169" i="118"/>
  <c r="J153" i="118"/>
  <c r="K163" i="118"/>
  <c r="J154" i="118"/>
  <c r="K164" i="118"/>
  <c r="J158" i="118"/>
  <c r="K168" i="118"/>
  <c r="H46" i="116"/>
  <c r="H73" i="116"/>
  <c r="H76" i="117"/>
  <c r="H49" i="117"/>
  <c r="F76" i="117"/>
  <c r="F49" i="117"/>
  <c r="D73" i="116"/>
  <c r="D46" i="116"/>
  <c r="F73" i="116"/>
  <c r="F46" i="116"/>
  <c r="D76" i="117"/>
  <c r="D49" i="117"/>
  <c r="D63" i="117"/>
  <c r="E63" i="117"/>
  <c r="H63" i="117"/>
  <c r="E36" i="117"/>
  <c r="E7" i="117" s="1"/>
  <c r="Y116" i="101" s="1"/>
  <c r="J33" i="117"/>
  <c r="G63" i="117"/>
  <c r="J36" i="117"/>
  <c r="E11" i="117" s="1"/>
  <c r="Y120" i="101" s="1"/>
  <c r="H36" i="117"/>
  <c r="I36" i="117"/>
  <c r="E10" i="117" s="1"/>
  <c r="Y119" i="101" s="1"/>
  <c r="D36" i="117"/>
  <c r="E6" i="117" s="1"/>
  <c r="G36" i="117"/>
  <c r="B78" i="101"/>
  <c r="Y78" i="101"/>
  <c r="I153" i="118" l="1"/>
  <c r="I163" i="118" s="1"/>
  <c r="J163" i="118"/>
  <c r="K170" i="118"/>
  <c r="I155" i="118"/>
  <c r="I165" i="118" s="1"/>
  <c r="J165" i="118"/>
  <c r="I156" i="118"/>
  <c r="I166" i="118" s="1"/>
  <c r="J166" i="118"/>
  <c r="I159" i="118"/>
  <c r="I169" i="118" s="1"/>
  <c r="J169" i="118"/>
  <c r="I157" i="118"/>
  <c r="I167" i="118" s="1"/>
  <c r="J167" i="118"/>
  <c r="I158" i="118"/>
  <c r="I168" i="118" s="1"/>
  <c r="J168" i="118"/>
  <c r="I154" i="118"/>
  <c r="I164" i="118" s="1"/>
  <c r="J164" i="118"/>
  <c r="Y115" i="101"/>
  <c r="E8" i="117"/>
  <c r="Y117" i="101" s="1"/>
  <c r="E9" i="117"/>
  <c r="Y118" i="101" s="1"/>
  <c r="J170" i="118" l="1"/>
  <c r="I170" i="118"/>
  <c r="E5" i="117"/>
  <c r="AK131" i="101"/>
  <c r="AL131" i="101" s="1"/>
  <c r="AK132" i="101"/>
  <c r="AL132" i="101" s="1"/>
  <c r="AK133" i="101"/>
  <c r="AL133" i="101" s="1"/>
  <c r="AK134" i="101"/>
  <c r="AL134" i="101" s="1"/>
  <c r="AK135" i="101"/>
  <c r="AL135" i="101" s="1"/>
  <c r="AK129" i="101"/>
  <c r="AL129" i="101" s="1"/>
  <c r="AL128" i="101"/>
  <c r="D102" i="116"/>
  <c r="E115" i="116"/>
  <c r="I114" i="116"/>
  <c r="G113" i="116"/>
  <c r="D112" i="116"/>
  <c r="E112" i="116" s="1"/>
  <c r="F112" i="116" s="1"/>
  <c r="G112" i="116" s="1"/>
  <c r="H112" i="116" s="1"/>
  <c r="I112" i="116" s="1"/>
  <c r="G103" i="116"/>
  <c r="F103" i="116"/>
  <c r="E103" i="116"/>
  <c r="D103" i="116"/>
  <c r="G102" i="116"/>
  <c r="F102" i="116"/>
  <c r="E102" i="116"/>
  <c r="I75" i="116"/>
  <c r="H75" i="116"/>
  <c r="G75" i="116"/>
  <c r="F75" i="116"/>
  <c r="E75" i="116"/>
  <c r="D75" i="116"/>
  <c r="C75" i="116"/>
  <c r="D71" i="116"/>
  <c r="E71" i="116" s="1"/>
  <c r="F71" i="116" s="1"/>
  <c r="G71" i="116" s="1"/>
  <c r="H71" i="116" s="1"/>
  <c r="I71" i="116" s="1"/>
  <c r="C61" i="116"/>
  <c r="C62" i="116" s="1"/>
  <c r="C63" i="116" s="1"/>
  <c r="C64" i="116" s="1"/>
  <c r="C65" i="116" s="1"/>
  <c r="C66" i="116" s="1"/>
  <c r="C53" i="116"/>
  <c r="C54" i="116" s="1"/>
  <c r="C55" i="116" s="1"/>
  <c r="C56" i="116" s="1"/>
  <c r="C57" i="116" s="1"/>
  <c r="C58" i="116" s="1"/>
  <c r="I48" i="116"/>
  <c r="H48" i="116"/>
  <c r="H66" i="116" s="1"/>
  <c r="G48" i="116"/>
  <c r="H65" i="116" s="1"/>
  <c r="F48" i="116"/>
  <c r="H64" i="116" s="1"/>
  <c r="E48" i="116"/>
  <c r="H63" i="116" s="1"/>
  <c r="D48" i="116"/>
  <c r="F62" i="116" s="1"/>
  <c r="C48" i="116"/>
  <c r="H61" i="116" s="1"/>
  <c r="D44" i="116"/>
  <c r="E44" i="116" s="1"/>
  <c r="F44" i="116" s="1"/>
  <c r="G44" i="116" s="1"/>
  <c r="H44" i="116" s="1"/>
  <c r="I44" i="116" s="1"/>
  <c r="C34" i="116"/>
  <c r="C35" i="116" s="1"/>
  <c r="C36" i="116" s="1"/>
  <c r="C37" i="116" s="1"/>
  <c r="C38" i="116" s="1"/>
  <c r="C39" i="116" s="1"/>
  <c r="I29" i="116"/>
  <c r="I30" i="116" s="1"/>
  <c r="H29" i="116"/>
  <c r="H30" i="116" s="1"/>
  <c r="G29" i="116"/>
  <c r="G30" i="116" s="1"/>
  <c r="E29" i="116"/>
  <c r="E30" i="116" s="1"/>
  <c r="D29" i="116"/>
  <c r="D28" i="116" s="1"/>
  <c r="I26" i="116"/>
  <c r="H26" i="116"/>
  <c r="G26" i="116"/>
  <c r="E26" i="116"/>
  <c r="D26" i="116"/>
  <c r="C26" i="116"/>
  <c r="C27" i="116" s="1"/>
  <c r="C28" i="116" s="1"/>
  <c r="C29" i="116" s="1"/>
  <c r="C30" i="116" s="1"/>
  <c r="C31" i="116" s="1"/>
  <c r="I22" i="116"/>
  <c r="H22" i="116"/>
  <c r="G22" i="116"/>
  <c r="F22" i="116"/>
  <c r="E22" i="116"/>
  <c r="D22" i="116"/>
  <c r="C22" i="116"/>
  <c r="D18" i="116"/>
  <c r="E18" i="116" s="1"/>
  <c r="F18" i="116" s="1"/>
  <c r="G18" i="116" s="1"/>
  <c r="H18" i="116" s="1"/>
  <c r="I18" i="116" s="1"/>
  <c r="D36" i="116" l="1"/>
  <c r="E36" i="116"/>
  <c r="F36" i="116"/>
  <c r="G36" i="116"/>
  <c r="H36" i="116"/>
  <c r="I36" i="116"/>
  <c r="D38" i="116"/>
  <c r="E38" i="116"/>
  <c r="F38" i="116"/>
  <c r="G38" i="116"/>
  <c r="H38" i="116"/>
  <c r="I38" i="116"/>
  <c r="F35" i="116"/>
  <c r="G35" i="116"/>
  <c r="H35" i="116"/>
  <c r="I35" i="116"/>
  <c r="C119" i="101" s="1"/>
  <c r="D35" i="116"/>
  <c r="E35" i="116"/>
  <c r="D39" i="116"/>
  <c r="H39" i="116"/>
  <c r="H9" i="116" s="1"/>
  <c r="E118" i="101" s="1"/>
  <c r="I39" i="116"/>
  <c r="H10" i="116" s="1"/>
  <c r="E119" i="101" s="1"/>
  <c r="G39" i="116"/>
  <c r="E39" i="116"/>
  <c r="F39" i="116"/>
  <c r="H37" i="116"/>
  <c r="G9" i="116" s="1"/>
  <c r="D118" i="101" s="1"/>
  <c r="I37" i="116"/>
  <c r="D37" i="116"/>
  <c r="G37" i="116"/>
  <c r="F37" i="116"/>
  <c r="E37" i="116"/>
  <c r="E33" i="116"/>
  <c r="F33" i="116"/>
  <c r="G33" i="116"/>
  <c r="H33" i="116"/>
  <c r="I33" i="116"/>
  <c r="E10" i="116" s="1"/>
  <c r="B119" i="101" s="1"/>
  <c r="D33" i="116"/>
  <c r="I34" i="116"/>
  <c r="D34" i="116"/>
  <c r="E34" i="116"/>
  <c r="F34" i="116"/>
  <c r="H34" i="116"/>
  <c r="G34" i="116"/>
  <c r="Y121" i="101"/>
  <c r="E14" i="117"/>
  <c r="AK137" i="101"/>
  <c r="AL137" i="101"/>
  <c r="F60" i="116"/>
  <c r="E60" i="116"/>
  <c r="H60" i="116"/>
  <c r="D60" i="116"/>
  <c r="G60" i="116"/>
  <c r="D114" i="116"/>
  <c r="D64" i="116"/>
  <c r="D66" i="116"/>
  <c r="G115" i="116"/>
  <c r="G66" i="116"/>
  <c r="I115" i="116"/>
  <c r="I121" i="116" s="1"/>
  <c r="E121" i="116"/>
  <c r="F115" i="116"/>
  <c r="G114" i="116"/>
  <c r="D115" i="116"/>
  <c r="F113" i="116"/>
  <c r="H113" i="116"/>
  <c r="G62" i="116"/>
  <c r="H62" i="116"/>
  <c r="D61" i="116"/>
  <c r="D63" i="116"/>
  <c r="D65" i="116"/>
  <c r="E65" i="116"/>
  <c r="G64" i="116"/>
  <c r="G8" i="116" s="1"/>
  <c r="D117" i="101" s="1"/>
  <c r="F65" i="116"/>
  <c r="E61" i="116"/>
  <c r="E63" i="116"/>
  <c r="F61" i="116"/>
  <c r="F63" i="116"/>
  <c r="G61" i="116"/>
  <c r="G63" i="116"/>
  <c r="G65" i="116"/>
  <c r="D62" i="116"/>
  <c r="E62" i="116"/>
  <c r="E64" i="116"/>
  <c r="E66" i="116"/>
  <c r="F64" i="116"/>
  <c r="F66" i="116"/>
  <c r="D30" i="116"/>
  <c r="E28" i="116"/>
  <c r="G28" i="116"/>
  <c r="H28" i="116"/>
  <c r="I28" i="116"/>
  <c r="B116" i="101" l="1"/>
  <c r="H6" i="116"/>
  <c r="B115" i="101"/>
  <c r="E8" i="116"/>
  <c r="B117" i="101" s="1"/>
  <c r="F8" i="116"/>
  <c r="C117" i="101" s="1"/>
  <c r="Y42" i="101"/>
  <c r="Y32" i="101"/>
  <c r="D121" i="116"/>
  <c r="G7" i="116"/>
  <c r="D116" i="101" s="1"/>
  <c r="F7" i="116"/>
  <c r="C116" i="101" s="1"/>
  <c r="B118" i="101"/>
  <c r="H8" i="116"/>
  <c r="E117" i="101" s="1"/>
  <c r="G10" i="116"/>
  <c r="D119" i="101" s="1"/>
  <c r="F9" i="116"/>
  <c r="C118" i="101" s="1"/>
  <c r="E115" i="101"/>
  <c r="H7" i="116"/>
  <c r="E116" i="101" s="1"/>
  <c r="H115" i="116"/>
  <c r="H114" i="116"/>
  <c r="F114" i="116"/>
  <c r="F121" i="116" s="1"/>
  <c r="G121" i="116"/>
  <c r="C115" i="101" l="1"/>
  <c r="F5" i="116"/>
  <c r="H5" i="116"/>
  <c r="H121" i="116"/>
  <c r="D115" i="101" l="1"/>
  <c r="G5" i="116"/>
  <c r="E121" i="101"/>
  <c r="H13" i="116"/>
  <c r="B121" i="101"/>
  <c r="E13" i="116"/>
  <c r="F13" i="116"/>
  <c r="C121" i="101"/>
  <c r="K12" i="99"/>
  <c r="J12" i="99"/>
  <c r="N21" i="99"/>
  <c r="O21" i="99"/>
  <c r="P21" i="99"/>
  <c r="N22" i="99"/>
  <c r="O22" i="99"/>
  <c r="P22" i="99"/>
  <c r="N23" i="99"/>
  <c r="O23" i="99"/>
  <c r="P23" i="99"/>
  <c r="N25" i="99"/>
  <c r="O25" i="99"/>
  <c r="P25" i="99"/>
  <c r="N26" i="99"/>
  <c r="O26" i="99"/>
  <c r="P26" i="99"/>
  <c r="N27" i="99"/>
  <c r="O27" i="99"/>
  <c r="P27" i="99"/>
  <c r="O20" i="99"/>
  <c r="P20" i="99"/>
  <c r="N20" i="99"/>
  <c r="P11" i="99"/>
  <c r="P10" i="99"/>
  <c r="P9" i="99"/>
  <c r="N5" i="99"/>
  <c r="O5" i="99"/>
  <c r="P5" i="99"/>
  <c r="N6" i="99"/>
  <c r="O6" i="99"/>
  <c r="P6" i="99"/>
  <c r="N7" i="99"/>
  <c r="O7" i="99"/>
  <c r="P7" i="99"/>
  <c r="N9" i="99"/>
  <c r="O9" i="99"/>
  <c r="N10" i="99"/>
  <c r="O10" i="99"/>
  <c r="N11" i="99"/>
  <c r="O11" i="99"/>
  <c r="O4" i="99"/>
  <c r="P4" i="99"/>
  <c r="C32" i="101" l="1"/>
  <c r="C124" i="101"/>
  <c r="B124" i="101"/>
  <c r="B32" i="101"/>
  <c r="B42" i="101"/>
  <c r="Y124" i="101"/>
  <c r="E32" i="101"/>
  <c r="E124" i="101"/>
  <c r="D121" i="101"/>
  <c r="G13" i="116"/>
  <c r="F11" i="100"/>
  <c r="G11" i="100"/>
  <c r="H11" i="100"/>
  <c r="J11" i="100"/>
  <c r="K11" i="100"/>
  <c r="L11" i="100"/>
  <c r="D124" i="101" l="1"/>
  <c r="D32" i="101"/>
  <c r="F22" i="100"/>
  <c r="I144" i="104"/>
  <c r="J144" i="104" s="1"/>
  <c r="K144" i="104" s="1"/>
  <c r="H143" i="110"/>
  <c r="H164" i="110" s="1"/>
  <c r="H144" i="110"/>
  <c r="H145" i="110"/>
  <c r="H146" i="110"/>
  <c r="H147" i="110"/>
  <c r="H148" i="110"/>
  <c r="H143" i="104"/>
  <c r="I143" i="104" s="1"/>
  <c r="J143" i="104" s="1"/>
  <c r="K143" i="104" s="1"/>
  <c r="H144" i="104"/>
  <c r="H145" i="104"/>
  <c r="I145" i="104" s="1"/>
  <c r="J145" i="104" s="1"/>
  <c r="K145" i="104" s="1"/>
  <c r="H146" i="104"/>
  <c r="I146" i="104" s="1"/>
  <c r="J146" i="104" s="1"/>
  <c r="K146" i="104" s="1"/>
  <c r="H147" i="104"/>
  <c r="I147" i="104" s="1"/>
  <c r="J147" i="104" s="1"/>
  <c r="K147" i="104" s="1"/>
  <c r="H148" i="104"/>
  <c r="I148" i="104" s="1"/>
  <c r="J148" i="104" s="1"/>
  <c r="K148" i="104" s="1"/>
  <c r="H142" i="110"/>
  <c r="H163" i="110" s="1"/>
  <c r="H142" i="104"/>
  <c r="I142" i="104" s="1"/>
  <c r="J142" i="104" s="1"/>
  <c r="K142" i="104" s="1"/>
  <c r="J147" i="114"/>
  <c r="H143" i="109"/>
  <c r="H144" i="109"/>
  <c r="H145" i="109"/>
  <c r="H146" i="109"/>
  <c r="H147" i="109"/>
  <c r="H148" i="109"/>
  <c r="H143" i="35"/>
  <c r="I143" i="35" s="1"/>
  <c r="J143" i="35" s="1"/>
  <c r="K143" i="35" s="1"/>
  <c r="H144" i="35"/>
  <c r="I144" i="35" s="1"/>
  <c r="J144" i="35" s="1"/>
  <c r="K144" i="35" s="1"/>
  <c r="H145" i="35"/>
  <c r="I145" i="35" s="1"/>
  <c r="J145" i="35" s="1"/>
  <c r="K145" i="35" s="1"/>
  <c r="H146" i="35"/>
  <c r="I146" i="35" s="1"/>
  <c r="J146" i="35" s="1"/>
  <c r="K146" i="35" s="1"/>
  <c r="H147" i="35"/>
  <c r="I147" i="35" s="1"/>
  <c r="J147" i="35" s="1"/>
  <c r="K147" i="35" s="1"/>
  <c r="H148" i="35"/>
  <c r="I148" i="35" s="1"/>
  <c r="J148" i="35" s="1"/>
  <c r="K148" i="35" s="1"/>
  <c r="H142" i="109"/>
  <c r="H142" i="35"/>
  <c r="I142" i="35" s="1"/>
  <c r="J142" i="35" s="1"/>
  <c r="K142" i="35" s="1"/>
  <c r="Z23" i="101"/>
  <c r="C23" i="101"/>
  <c r="Z21" i="101"/>
  <c r="C21" i="101"/>
  <c r="Z19" i="101"/>
  <c r="C19" i="101"/>
  <c r="Z15" i="101"/>
  <c r="C15" i="101"/>
  <c r="Z13" i="101"/>
  <c r="C13" i="101"/>
  <c r="Z11" i="101"/>
  <c r="C11" i="101"/>
  <c r="Z9" i="101"/>
  <c r="C9" i="101"/>
  <c r="K64" i="115"/>
  <c r="K64" i="114"/>
  <c r="K64" i="113"/>
  <c r="K66" i="113" s="1"/>
  <c r="K64" i="112"/>
  <c r="K64" i="111"/>
  <c r="K50" i="110"/>
  <c r="K64" i="110"/>
  <c r="K66" i="110" s="1"/>
  <c r="H73" i="109"/>
  <c r="G73" i="109"/>
  <c r="H148" i="115"/>
  <c r="H169" i="115" s="1"/>
  <c r="H147" i="115"/>
  <c r="H146" i="115"/>
  <c r="H167" i="115" s="1"/>
  <c r="H145" i="115"/>
  <c r="I145" i="115" s="1"/>
  <c r="H144" i="115"/>
  <c r="J144" i="115" s="1"/>
  <c r="H143" i="115"/>
  <c r="H164" i="115" s="1"/>
  <c r="H142" i="115"/>
  <c r="H163" i="115" s="1"/>
  <c r="F92" i="115"/>
  <c r="F93" i="115" s="1"/>
  <c r="G93" i="115" s="1"/>
  <c r="F91" i="115"/>
  <c r="G91" i="115" s="1"/>
  <c r="F90" i="115"/>
  <c r="G90" i="115" s="1"/>
  <c r="F89" i="115"/>
  <c r="G89" i="115" s="1"/>
  <c r="F88" i="115"/>
  <c r="G88" i="115" s="1"/>
  <c r="F87" i="115"/>
  <c r="G87" i="115" s="1"/>
  <c r="H83" i="115"/>
  <c r="G83" i="115" s="1"/>
  <c r="H82" i="115"/>
  <c r="H102" i="115" s="1"/>
  <c r="H81" i="115"/>
  <c r="H101" i="115" s="1"/>
  <c r="H80" i="115"/>
  <c r="H100" i="115" s="1"/>
  <c r="H79" i="115"/>
  <c r="G79" i="115" s="1"/>
  <c r="H78" i="115"/>
  <c r="H98" i="115" s="1"/>
  <c r="H77" i="115"/>
  <c r="H97" i="115" s="1"/>
  <c r="F73" i="115"/>
  <c r="K66" i="115"/>
  <c r="H51" i="115"/>
  <c r="H65" i="115" s="1"/>
  <c r="K50" i="115"/>
  <c r="K52" i="115" s="1"/>
  <c r="H50" i="115"/>
  <c r="H64" i="115" s="1"/>
  <c r="H49" i="115"/>
  <c r="J49" i="115" s="1"/>
  <c r="H48" i="115"/>
  <c r="H62" i="115" s="1"/>
  <c r="I62" i="115" s="1"/>
  <c r="H47" i="115"/>
  <c r="H61" i="115" s="1"/>
  <c r="H46" i="115"/>
  <c r="G46" i="115" s="1"/>
  <c r="H45" i="115"/>
  <c r="H59" i="115" s="1"/>
  <c r="K35" i="115"/>
  <c r="K8" i="115" s="1"/>
  <c r="AC23" i="101" s="1"/>
  <c r="J35" i="115"/>
  <c r="J8" i="115" s="1"/>
  <c r="AB23" i="101" s="1"/>
  <c r="I35" i="115"/>
  <c r="K34" i="115"/>
  <c r="K7" i="115" s="1"/>
  <c r="J34" i="115"/>
  <c r="J7" i="115" s="1"/>
  <c r="I34" i="115"/>
  <c r="I7" i="115" s="1"/>
  <c r="H34" i="115"/>
  <c r="H36" i="115" s="1"/>
  <c r="H9" i="115" s="1"/>
  <c r="Z24" i="101" s="1"/>
  <c r="H8" i="115"/>
  <c r="H148" i="114"/>
  <c r="H169" i="114" s="1"/>
  <c r="H147" i="114"/>
  <c r="H168" i="114" s="1"/>
  <c r="H146" i="114"/>
  <c r="H167" i="114" s="1"/>
  <c r="H145" i="114"/>
  <c r="I145" i="114" s="1"/>
  <c r="I147" i="114" s="1"/>
  <c r="H144" i="114"/>
  <c r="H165" i="114" s="1"/>
  <c r="H143" i="114"/>
  <c r="H142" i="114"/>
  <c r="H163" i="114" s="1"/>
  <c r="F92" i="114"/>
  <c r="F91" i="114"/>
  <c r="G91" i="114" s="1"/>
  <c r="F90" i="114"/>
  <c r="G90" i="114" s="1"/>
  <c r="F89" i="114"/>
  <c r="G89" i="114" s="1"/>
  <c r="F88" i="114"/>
  <c r="G88" i="114" s="1"/>
  <c r="F87" i="114"/>
  <c r="G87" i="114" s="1"/>
  <c r="H83" i="114"/>
  <c r="H82" i="114"/>
  <c r="H102" i="114" s="1"/>
  <c r="H81" i="114"/>
  <c r="H80" i="114"/>
  <c r="H100" i="114" s="1"/>
  <c r="H79" i="114"/>
  <c r="H99" i="114" s="1"/>
  <c r="H78" i="114"/>
  <c r="H98" i="114" s="1"/>
  <c r="H77" i="114"/>
  <c r="H97" i="114" s="1"/>
  <c r="G77" i="114"/>
  <c r="F73" i="114"/>
  <c r="K66" i="114"/>
  <c r="H51" i="114"/>
  <c r="H50" i="114"/>
  <c r="H64" i="114" s="1"/>
  <c r="H49" i="114"/>
  <c r="G49" i="114" s="1"/>
  <c r="H48" i="114"/>
  <c r="H62" i="114" s="1"/>
  <c r="J62" i="114" s="1"/>
  <c r="H47" i="114"/>
  <c r="G47" i="114" s="1"/>
  <c r="H46" i="114"/>
  <c r="G46" i="114" s="1"/>
  <c r="H45" i="114"/>
  <c r="H59" i="114" s="1"/>
  <c r="K35" i="114"/>
  <c r="J35" i="114"/>
  <c r="I35" i="114"/>
  <c r="I8" i="114" s="1"/>
  <c r="AA21" i="101" s="1"/>
  <c r="K34" i="114"/>
  <c r="K7" i="114" s="1"/>
  <c r="J34" i="114"/>
  <c r="I34" i="114"/>
  <c r="H34" i="114"/>
  <c r="H36" i="114" s="1"/>
  <c r="H9" i="114" s="1"/>
  <c r="Z22" i="101" s="1"/>
  <c r="H8" i="114"/>
  <c r="H148" i="113"/>
  <c r="H169" i="113" s="1"/>
  <c r="H147" i="113"/>
  <c r="H146" i="113"/>
  <c r="H167" i="113" s="1"/>
  <c r="H145" i="113"/>
  <c r="H166" i="113" s="1"/>
  <c r="H144" i="113"/>
  <c r="H143" i="113"/>
  <c r="H164" i="113" s="1"/>
  <c r="H142" i="113"/>
  <c r="H163" i="113" s="1"/>
  <c r="F92" i="113"/>
  <c r="G92" i="113" s="1"/>
  <c r="F91" i="113"/>
  <c r="G91" i="113" s="1"/>
  <c r="F90" i="113"/>
  <c r="G90" i="113" s="1"/>
  <c r="F89" i="113"/>
  <c r="G89" i="113" s="1"/>
  <c r="F88" i="113"/>
  <c r="G88" i="113" s="1"/>
  <c r="F87" i="113"/>
  <c r="G87" i="113" s="1"/>
  <c r="H83" i="113"/>
  <c r="H103" i="113" s="1"/>
  <c r="G83" i="113"/>
  <c r="H82" i="113"/>
  <c r="G82" i="113" s="1"/>
  <c r="H81" i="113"/>
  <c r="H101" i="113" s="1"/>
  <c r="H80" i="113"/>
  <c r="H100" i="113" s="1"/>
  <c r="H79" i="113"/>
  <c r="H78" i="113"/>
  <c r="H77" i="113"/>
  <c r="H97" i="113" s="1"/>
  <c r="F73" i="113"/>
  <c r="H51" i="113"/>
  <c r="K50" i="113"/>
  <c r="H50" i="113"/>
  <c r="G50" i="113" s="1"/>
  <c r="H49" i="113"/>
  <c r="H48" i="113"/>
  <c r="J48" i="113" s="1"/>
  <c r="H47" i="113"/>
  <c r="H61" i="113" s="1"/>
  <c r="G61" i="113" s="1"/>
  <c r="G47" i="113"/>
  <c r="H46" i="113"/>
  <c r="H45" i="113"/>
  <c r="G45" i="113" s="1"/>
  <c r="K35" i="113"/>
  <c r="K8" i="113" s="1"/>
  <c r="AC19" i="101" s="1"/>
  <c r="J35" i="113"/>
  <c r="I35" i="113"/>
  <c r="I8" i="113" s="1"/>
  <c r="AA19" i="101" s="1"/>
  <c r="K34" i="113"/>
  <c r="K7" i="113" s="1"/>
  <c r="J34" i="113"/>
  <c r="I34" i="113"/>
  <c r="I7" i="113" s="1"/>
  <c r="H34" i="113"/>
  <c r="H8" i="113"/>
  <c r="H148" i="112"/>
  <c r="H169" i="112" s="1"/>
  <c r="H147" i="112"/>
  <c r="H168" i="112" s="1"/>
  <c r="H146" i="112"/>
  <c r="I146" i="112" s="1"/>
  <c r="H145" i="112"/>
  <c r="H144" i="112"/>
  <c r="H143" i="112"/>
  <c r="H164" i="112" s="1"/>
  <c r="H142" i="112"/>
  <c r="H163" i="112" s="1"/>
  <c r="F92" i="112"/>
  <c r="F91" i="112"/>
  <c r="G91" i="112" s="1"/>
  <c r="F90" i="112"/>
  <c r="G90" i="112" s="1"/>
  <c r="F89" i="112"/>
  <c r="G89" i="112" s="1"/>
  <c r="F88" i="112"/>
  <c r="G88" i="112" s="1"/>
  <c r="F87" i="112"/>
  <c r="G87" i="112" s="1"/>
  <c r="H83" i="112"/>
  <c r="G83" i="112" s="1"/>
  <c r="G103" i="112" s="1"/>
  <c r="H82" i="112"/>
  <c r="H102" i="112" s="1"/>
  <c r="H81" i="112"/>
  <c r="G81" i="112" s="1"/>
  <c r="H80" i="112"/>
  <c r="H100" i="112" s="1"/>
  <c r="H79" i="112"/>
  <c r="H99" i="112" s="1"/>
  <c r="J99" i="112" s="1"/>
  <c r="H78" i="112"/>
  <c r="G78" i="112" s="1"/>
  <c r="G98" i="112" s="1"/>
  <c r="H77" i="112"/>
  <c r="G77" i="112" s="1"/>
  <c r="G97" i="112" s="1"/>
  <c r="F73" i="112"/>
  <c r="K66" i="112"/>
  <c r="H51" i="112"/>
  <c r="G51" i="112" s="1"/>
  <c r="K50" i="112"/>
  <c r="H50" i="112"/>
  <c r="G50" i="112" s="1"/>
  <c r="H49" i="112"/>
  <c r="I49" i="112" s="1"/>
  <c r="H48" i="112"/>
  <c r="G48" i="112" s="1"/>
  <c r="H47" i="112"/>
  <c r="G47" i="112"/>
  <c r="H46" i="112"/>
  <c r="H45" i="112"/>
  <c r="K35" i="112"/>
  <c r="K8" i="112" s="1"/>
  <c r="AC15" i="101" s="1"/>
  <c r="J35" i="112"/>
  <c r="I35" i="112"/>
  <c r="K34" i="112"/>
  <c r="K7" i="112" s="1"/>
  <c r="J34" i="112"/>
  <c r="J7" i="112" s="1"/>
  <c r="I34" i="112"/>
  <c r="I7" i="112" s="1"/>
  <c r="H34" i="112"/>
  <c r="G34" i="112" s="1"/>
  <c r="G36" i="112" s="1"/>
  <c r="J8" i="112"/>
  <c r="AB15" i="101" s="1"/>
  <c r="H8" i="112"/>
  <c r="H148" i="111"/>
  <c r="H169" i="111" s="1"/>
  <c r="H147" i="111"/>
  <c r="H146" i="111"/>
  <c r="H167" i="111" s="1"/>
  <c r="H145" i="111"/>
  <c r="I145" i="111" s="1"/>
  <c r="J145" i="111" s="1"/>
  <c r="K145" i="111" s="1"/>
  <c r="K147" i="111" s="1"/>
  <c r="H144" i="111"/>
  <c r="H143" i="111"/>
  <c r="H142" i="111"/>
  <c r="F92" i="111"/>
  <c r="F91" i="111"/>
  <c r="G91" i="111" s="1"/>
  <c r="F90" i="111"/>
  <c r="G90" i="111" s="1"/>
  <c r="F89" i="111"/>
  <c r="G89" i="111" s="1"/>
  <c r="F88" i="111"/>
  <c r="G88" i="111" s="1"/>
  <c r="F87" i="111"/>
  <c r="G87" i="111" s="1"/>
  <c r="H83" i="111"/>
  <c r="G83" i="111" s="1"/>
  <c r="H82" i="111"/>
  <c r="H81" i="111"/>
  <c r="G81" i="111" s="1"/>
  <c r="H80" i="111"/>
  <c r="H79" i="111"/>
  <c r="H99" i="111" s="1"/>
  <c r="G79" i="111"/>
  <c r="G99" i="111" s="1"/>
  <c r="H78" i="111"/>
  <c r="H77" i="111"/>
  <c r="H97" i="111" s="1"/>
  <c r="F73" i="111"/>
  <c r="K66" i="111"/>
  <c r="H51" i="111"/>
  <c r="G51" i="111" s="1"/>
  <c r="K50" i="111"/>
  <c r="K52" i="111" s="1"/>
  <c r="H50" i="111"/>
  <c r="H64" i="111" s="1"/>
  <c r="G64" i="111" s="1"/>
  <c r="H49" i="111"/>
  <c r="H63" i="111" s="1"/>
  <c r="H48" i="111"/>
  <c r="H62" i="111" s="1"/>
  <c r="I62" i="111" s="1"/>
  <c r="H47" i="111"/>
  <c r="H61" i="111" s="1"/>
  <c r="J61" i="111" s="1"/>
  <c r="H46" i="111"/>
  <c r="H60" i="111" s="1"/>
  <c r="G46" i="111"/>
  <c r="H45" i="111"/>
  <c r="G45" i="111"/>
  <c r="K35" i="111"/>
  <c r="K8" i="111" s="1"/>
  <c r="AC13" i="101" s="1"/>
  <c r="J35" i="111"/>
  <c r="J8" i="111" s="1"/>
  <c r="AB13" i="101" s="1"/>
  <c r="I35" i="111"/>
  <c r="I8" i="111" s="1"/>
  <c r="AA13" i="101" s="1"/>
  <c r="K34" i="111"/>
  <c r="J34" i="111"/>
  <c r="I34" i="111"/>
  <c r="I7" i="111" s="1"/>
  <c r="H34" i="111"/>
  <c r="H36" i="111" s="1"/>
  <c r="H8" i="111"/>
  <c r="H169" i="110"/>
  <c r="H168" i="110"/>
  <c r="H167" i="110"/>
  <c r="I147" i="110"/>
  <c r="H165" i="110"/>
  <c r="F93" i="110"/>
  <c r="G93" i="110" s="1"/>
  <c r="F92" i="110"/>
  <c r="G92" i="110" s="1"/>
  <c r="F91" i="110"/>
  <c r="G91" i="110" s="1"/>
  <c r="F90" i="110"/>
  <c r="G90" i="110" s="1"/>
  <c r="F89" i="110"/>
  <c r="G89" i="110" s="1"/>
  <c r="F88" i="110"/>
  <c r="G88" i="110" s="1"/>
  <c r="F87" i="110"/>
  <c r="G87" i="110" s="1"/>
  <c r="H83" i="110"/>
  <c r="H103" i="110" s="1"/>
  <c r="H82" i="110"/>
  <c r="H102" i="110" s="1"/>
  <c r="H81" i="110"/>
  <c r="H101" i="110" s="1"/>
  <c r="H80" i="110"/>
  <c r="H100" i="110" s="1"/>
  <c r="H79" i="110"/>
  <c r="H99" i="110" s="1"/>
  <c r="H78" i="110"/>
  <c r="H98" i="110" s="1"/>
  <c r="I98" i="110" s="1"/>
  <c r="H77" i="110"/>
  <c r="F73" i="110"/>
  <c r="H51" i="110"/>
  <c r="H65" i="110" s="1"/>
  <c r="I65" i="110" s="1"/>
  <c r="H50" i="110"/>
  <c r="G50" i="110" s="1"/>
  <c r="H49" i="110"/>
  <c r="J49" i="110" s="1"/>
  <c r="H48" i="110"/>
  <c r="H62" i="110" s="1"/>
  <c r="G62" i="110" s="1"/>
  <c r="H47" i="110"/>
  <c r="G47" i="110" s="1"/>
  <c r="H46" i="110"/>
  <c r="J46" i="110" s="1"/>
  <c r="H45" i="110"/>
  <c r="G45" i="110" s="1"/>
  <c r="K35" i="110"/>
  <c r="J35" i="110"/>
  <c r="I35" i="110"/>
  <c r="K34" i="110"/>
  <c r="K7" i="110" s="1"/>
  <c r="J34" i="110"/>
  <c r="I34" i="110"/>
  <c r="I7" i="110" s="1"/>
  <c r="H34" i="110"/>
  <c r="H36" i="110" s="1"/>
  <c r="H9" i="110" s="1"/>
  <c r="Z12" i="101" s="1"/>
  <c r="H8" i="110"/>
  <c r="J7" i="110"/>
  <c r="H165" i="109"/>
  <c r="H168" i="109"/>
  <c r="J144" i="109"/>
  <c r="H164" i="109"/>
  <c r="F92" i="109"/>
  <c r="F93" i="109" s="1"/>
  <c r="G93" i="109" s="1"/>
  <c r="F91" i="109"/>
  <c r="G91" i="109" s="1"/>
  <c r="F90" i="109"/>
  <c r="G90" i="109" s="1"/>
  <c r="F89" i="109"/>
  <c r="G89" i="109" s="1"/>
  <c r="F88" i="109"/>
  <c r="G88" i="109" s="1"/>
  <c r="F87" i="109"/>
  <c r="G87" i="109" s="1"/>
  <c r="H83" i="109"/>
  <c r="H103" i="109" s="1"/>
  <c r="H82" i="109"/>
  <c r="H102" i="109" s="1"/>
  <c r="H81" i="109"/>
  <c r="H101" i="109" s="1"/>
  <c r="H80" i="109"/>
  <c r="H100" i="109" s="1"/>
  <c r="H79" i="109"/>
  <c r="H99" i="109" s="1"/>
  <c r="H78" i="109"/>
  <c r="G78" i="109" s="1"/>
  <c r="H77" i="109"/>
  <c r="G77" i="109"/>
  <c r="F73" i="109"/>
  <c r="H51" i="109"/>
  <c r="G51" i="109" s="1"/>
  <c r="H50" i="109"/>
  <c r="H64" i="109" s="1"/>
  <c r="G64" i="109" s="1"/>
  <c r="H49" i="109"/>
  <c r="H167" i="109" s="1"/>
  <c r="H48" i="109"/>
  <c r="G48" i="109" s="1"/>
  <c r="H47" i="109"/>
  <c r="H46" i="109"/>
  <c r="H45" i="109"/>
  <c r="K35" i="109"/>
  <c r="K8" i="109" s="1"/>
  <c r="AC9" i="101" s="1"/>
  <c r="J35" i="109"/>
  <c r="I35" i="109"/>
  <c r="I8" i="109" s="1"/>
  <c r="AA9" i="101" s="1"/>
  <c r="K34" i="109"/>
  <c r="K7" i="109" s="1"/>
  <c r="J34" i="109"/>
  <c r="I34" i="109"/>
  <c r="H34" i="109"/>
  <c r="H8" i="109"/>
  <c r="K64" i="103"/>
  <c r="K50" i="103"/>
  <c r="K64" i="108"/>
  <c r="K50" i="108"/>
  <c r="K64" i="107"/>
  <c r="K50" i="107"/>
  <c r="K64" i="106"/>
  <c r="K50" i="106"/>
  <c r="K64" i="105"/>
  <c r="K50" i="105"/>
  <c r="K64" i="104"/>
  <c r="K50" i="104"/>
  <c r="F73" i="35"/>
  <c r="K64" i="35"/>
  <c r="K50" i="35"/>
  <c r="G79" i="109" l="1"/>
  <c r="G99" i="109" s="1"/>
  <c r="F93" i="113"/>
  <c r="G93" i="113" s="1"/>
  <c r="H60" i="115"/>
  <c r="G60" i="115" s="1"/>
  <c r="H167" i="112"/>
  <c r="I100" i="114"/>
  <c r="G77" i="115"/>
  <c r="H7" i="112"/>
  <c r="I36" i="111"/>
  <c r="I36" i="115"/>
  <c r="K36" i="111"/>
  <c r="H59" i="113"/>
  <c r="G59" i="113" s="1"/>
  <c r="I146" i="113"/>
  <c r="I147" i="113" s="1"/>
  <c r="I145" i="113"/>
  <c r="J145" i="113" s="1"/>
  <c r="J147" i="113" s="1"/>
  <c r="J97" i="111"/>
  <c r="K101" i="110"/>
  <c r="G81" i="115"/>
  <c r="G83" i="110"/>
  <c r="G103" i="110" s="1"/>
  <c r="G50" i="111"/>
  <c r="I51" i="112"/>
  <c r="G77" i="113"/>
  <c r="G79" i="112"/>
  <c r="G99" i="112" s="1"/>
  <c r="G48" i="113"/>
  <c r="G81" i="109"/>
  <c r="G101" i="109" s="1"/>
  <c r="G80" i="112"/>
  <c r="G100" i="112" s="1"/>
  <c r="G82" i="110"/>
  <c r="G102" i="110" s="1"/>
  <c r="G49" i="111"/>
  <c r="G50" i="109"/>
  <c r="G82" i="112"/>
  <c r="J100" i="109"/>
  <c r="G47" i="111"/>
  <c r="J46" i="112"/>
  <c r="H60" i="112"/>
  <c r="G60" i="112" s="1"/>
  <c r="G81" i="113"/>
  <c r="H63" i="112"/>
  <c r="H63" i="115"/>
  <c r="G63" i="115" s="1"/>
  <c r="G46" i="109"/>
  <c r="H60" i="109"/>
  <c r="G82" i="109"/>
  <c r="G82" i="114"/>
  <c r="G102" i="114" s="1"/>
  <c r="H63" i="109"/>
  <c r="G63" i="109" s="1"/>
  <c r="H60" i="110"/>
  <c r="I60" i="110" s="1"/>
  <c r="H103" i="111"/>
  <c r="G45" i="115"/>
  <c r="I97" i="115"/>
  <c r="G49" i="112"/>
  <c r="G47" i="109"/>
  <c r="H65" i="114"/>
  <c r="G78" i="115"/>
  <c r="I49" i="110"/>
  <c r="G46" i="110"/>
  <c r="G79" i="110"/>
  <c r="G99" i="110" s="1"/>
  <c r="J62" i="111"/>
  <c r="H97" i="112"/>
  <c r="J97" i="112" s="1"/>
  <c r="G80" i="115"/>
  <c r="G100" i="115" s="1"/>
  <c r="J60" i="111"/>
  <c r="I60" i="111"/>
  <c r="K101" i="115"/>
  <c r="I101" i="115"/>
  <c r="I63" i="111"/>
  <c r="J63" i="111"/>
  <c r="K97" i="114"/>
  <c r="H61" i="109"/>
  <c r="H52" i="111"/>
  <c r="I49" i="111"/>
  <c r="I100" i="112"/>
  <c r="I48" i="113"/>
  <c r="H62" i="113"/>
  <c r="I49" i="114"/>
  <c r="G49" i="115"/>
  <c r="J147" i="115"/>
  <c r="J149" i="115" s="1"/>
  <c r="K98" i="115"/>
  <c r="K145" i="113"/>
  <c r="K147" i="113" s="1"/>
  <c r="G92" i="109"/>
  <c r="J102" i="109" s="1"/>
  <c r="H64" i="113"/>
  <c r="G64" i="113" s="1"/>
  <c r="I49" i="115"/>
  <c r="J98" i="115"/>
  <c r="G92" i="115"/>
  <c r="K102" i="115" s="1"/>
  <c r="G49" i="109"/>
  <c r="G83" i="109"/>
  <c r="G103" i="109" s="1"/>
  <c r="H61" i="110"/>
  <c r="I102" i="110"/>
  <c r="I48" i="112"/>
  <c r="H61" i="112"/>
  <c r="G61" i="112" s="1"/>
  <c r="G51" i="114"/>
  <c r="G78" i="114"/>
  <c r="G98" i="114" s="1"/>
  <c r="H99" i="115"/>
  <c r="K99" i="115" s="1"/>
  <c r="H165" i="115"/>
  <c r="I62" i="114"/>
  <c r="I101" i="110"/>
  <c r="J101" i="110"/>
  <c r="J46" i="111"/>
  <c r="J48" i="112"/>
  <c r="I60" i="109"/>
  <c r="J49" i="111"/>
  <c r="H98" i="109"/>
  <c r="J98" i="109" s="1"/>
  <c r="K103" i="110"/>
  <c r="M103" i="110" s="1"/>
  <c r="H64" i="112"/>
  <c r="H98" i="112"/>
  <c r="I98" i="112" s="1"/>
  <c r="J60" i="112"/>
  <c r="H59" i="111"/>
  <c r="G59" i="111" s="1"/>
  <c r="H166" i="111"/>
  <c r="H149" i="112"/>
  <c r="H149" i="113"/>
  <c r="H103" i="115"/>
  <c r="I103" i="115" s="1"/>
  <c r="I46" i="110"/>
  <c r="I147" i="115"/>
  <c r="I149" i="115" s="1"/>
  <c r="G46" i="112"/>
  <c r="H61" i="114"/>
  <c r="I61" i="111"/>
  <c r="I63" i="115"/>
  <c r="I64" i="115" s="1"/>
  <c r="I66" i="115" s="1"/>
  <c r="I99" i="110"/>
  <c r="I48" i="110"/>
  <c r="I48" i="115"/>
  <c r="G80" i="109"/>
  <c r="G100" i="109" s="1"/>
  <c r="G48" i="110"/>
  <c r="J48" i="111"/>
  <c r="H101" i="112"/>
  <c r="K101" i="112" s="1"/>
  <c r="G48" i="115"/>
  <c r="J48" i="110"/>
  <c r="J50" i="110" s="1"/>
  <c r="J52" i="110" s="1"/>
  <c r="K36" i="110"/>
  <c r="K9" i="110" s="1"/>
  <c r="AC12" i="101" s="1"/>
  <c r="J36" i="114"/>
  <c r="H7" i="110"/>
  <c r="I36" i="112"/>
  <c r="I9" i="112" s="1"/>
  <c r="AA16" i="101" s="1"/>
  <c r="G34" i="114"/>
  <c r="G36" i="114" s="1"/>
  <c r="H7" i="115"/>
  <c r="H36" i="112"/>
  <c r="H9" i="112" s="1"/>
  <c r="Z16" i="101" s="1"/>
  <c r="G34" i="115"/>
  <c r="G36" i="115" s="1"/>
  <c r="H7" i="114"/>
  <c r="J7" i="114"/>
  <c r="K8" i="110"/>
  <c r="AC11" i="101" s="1"/>
  <c r="J36" i="112"/>
  <c r="J9" i="112" s="1"/>
  <c r="AB16" i="101" s="1"/>
  <c r="I8" i="112"/>
  <c r="AA15" i="101" s="1"/>
  <c r="K149" i="111"/>
  <c r="I149" i="110"/>
  <c r="K147" i="110"/>
  <c r="K149" i="110" s="1"/>
  <c r="J147" i="110"/>
  <c r="J149" i="110" s="1"/>
  <c r="K149" i="113"/>
  <c r="K149" i="115"/>
  <c r="K52" i="112"/>
  <c r="H97" i="109"/>
  <c r="K99" i="109"/>
  <c r="M99" i="109" s="1"/>
  <c r="G98" i="109"/>
  <c r="J7" i="111"/>
  <c r="J36" i="111"/>
  <c r="H59" i="109"/>
  <c r="G102" i="109"/>
  <c r="I7" i="109"/>
  <c r="I36" i="109"/>
  <c r="I146" i="109"/>
  <c r="J146" i="109" s="1"/>
  <c r="J7" i="109"/>
  <c r="J36" i="109"/>
  <c r="G62" i="111"/>
  <c r="K66" i="109"/>
  <c r="I100" i="109"/>
  <c r="K100" i="109"/>
  <c r="H65" i="109"/>
  <c r="K52" i="109"/>
  <c r="K103" i="109"/>
  <c r="J103" i="109"/>
  <c r="I103" i="109"/>
  <c r="K101" i="109"/>
  <c r="M101" i="109" s="1"/>
  <c r="H9" i="111"/>
  <c r="Z14" i="101" s="1"/>
  <c r="G34" i="109"/>
  <c r="G36" i="109" s="1"/>
  <c r="H7" i="109"/>
  <c r="H36" i="109"/>
  <c r="H169" i="109"/>
  <c r="K36" i="109"/>
  <c r="G97" i="109"/>
  <c r="K99" i="110"/>
  <c r="H62" i="109"/>
  <c r="J48" i="109"/>
  <c r="I8" i="110"/>
  <c r="AA11" i="101" s="1"/>
  <c r="I36" i="110"/>
  <c r="H52" i="109"/>
  <c r="G45" i="109"/>
  <c r="I48" i="109"/>
  <c r="J8" i="110"/>
  <c r="AB11" i="101" s="1"/>
  <c r="J65" i="110"/>
  <c r="G65" i="110"/>
  <c r="J98" i="110"/>
  <c r="G78" i="111"/>
  <c r="H98" i="111"/>
  <c r="H168" i="111"/>
  <c r="G101" i="112"/>
  <c r="G61" i="110"/>
  <c r="G78" i="110"/>
  <c r="K98" i="110"/>
  <c r="G102" i="112"/>
  <c r="K102" i="110"/>
  <c r="M102" i="110" s="1"/>
  <c r="H166" i="110"/>
  <c r="H170" i="110" s="1"/>
  <c r="G60" i="111"/>
  <c r="K99" i="111"/>
  <c r="M99" i="111" s="1"/>
  <c r="I99" i="111"/>
  <c r="J102" i="110"/>
  <c r="I99" i="109"/>
  <c r="I101" i="109"/>
  <c r="I144" i="109"/>
  <c r="J36" i="110"/>
  <c r="I62" i="110"/>
  <c r="J99" i="110"/>
  <c r="K7" i="111"/>
  <c r="J99" i="111"/>
  <c r="J99" i="109"/>
  <c r="J101" i="109"/>
  <c r="K52" i="110"/>
  <c r="J62" i="110"/>
  <c r="I103" i="110"/>
  <c r="H149" i="110"/>
  <c r="G61" i="111"/>
  <c r="G80" i="111"/>
  <c r="H100" i="111"/>
  <c r="H52" i="112"/>
  <c r="G45" i="112"/>
  <c r="H59" i="112"/>
  <c r="G34" i="110"/>
  <c r="G36" i="110" s="1"/>
  <c r="G49" i="110"/>
  <c r="H63" i="110"/>
  <c r="G80" i="110"/>
  <c r="J103" i="110"/>
  <c r="G48" i="111"/>
  <c r="H52" i="110"/>
  <c r="I100" i="110"/>
  <c r="J100" i="110"/>
  <c r="H65" i="111"/>
  <c r="J51" i="111"/>
  <c r="G101" i="111"/>
  <c r="H101" i="111"/>
  <c r="K100" i="110"/>
  <c r="I48" i="111"/>
  <c r="I51" i="111"/>
  <c r="G82" i="111"/>
  <c r="H102" i="111"/>
  <c r="I147" i="111"/>
  <c r="I149" i="111" s="1"/>
  <c r="H165" i="111"/>
  <c r="J147" i="111"/>
  <c r="F93" i="111"/>
  <c r="G93" i="111" s="1"/>
  <c r="K103" i="111" s="1"/>
  <c r="G92" i="111"/>
  <c r="H64" i="110"/>
  <c r="G34" i="111"/>
  <c r="G36" i="111" s="1"/>
  <c r="H7" i="111"/>
  <c r="J8" i="109"/>
  <c r="AB9" i="101" s="1"/>
  <c r="H97" i="110"/>
  <c r="G77" i="110"/>
  <c r="K9" i="111"/>
  <c r="AC14" i="101" s="1"/>
  <c r="I9" i="111"/>
  <c r="AA14" i="101" s="1"/>
  <c r="G103" i="111"/>
  <c r="K97" i="111"/>
  <c r="I97" i="111"/>
  <c r="H149" i="111"/>
  <c r="H65" i="112"/>
  <c r="J51" i="112"/>
  <c r="H99" i="113"/>
  <c r="G79" i="113"/>
  <c r="H164" i="111"/>
  <c r="H163" i="111"/>
  <c r="K36" i="112"/>
  <c r="J8" i="113"/>
  <c r="AB19" i="101" s="1"/>
  <c r="K100" i="113"/>
  <c r="J100" i="113"/>
  <c r="I100" i="113"/>
  <c r="G51" i="110"/>
  <c r="H62" i="112"/>
  <c r="I99" i="112"/>
  <c r="G101" i="113"/>
  <c r="G81" i="110"/>
  <c r="K99" i="112"/>
  <c r="M99" i="112" s="1"/>
  <c r="H103" i="112"/>
  <c r="H63" i="113"/>
  <c r="J49" i="113"/>
  <c r="J50" i="113" s="1"/>
  <c r="I49" i="113"/>
  <c r="G49" i="113"/>
  <c r="G61" i="114"/>
  <c r="H164" i="114"/>
  <c r="H59" i="110"/>
  <c r="G63" i="111"/>
  <c r="G77" i="111"/>
  <c r="F93" i="112"/>
  <c r="G93" i="112" s="1"/>
  <c r="G92" i="112"/>
  <c r="I102" i="112" s="1"/>
  <c r="J9" i="114"/>
  <c r="AB22" i="101" s="1"/>
  <c r="G62" i="114"/>
  <c r="K100" i="112"/>
  <c r="M100" i="112" s="1"/>
  <c r="J100" i="112"/>
  <c r="H165" i="112"/>
  <c r="G102" i="113"/>
  <c r="J99" i="114"/>
  <c r="I99" i="114"/>
  <c r="K99" i="114"/>
  <c r="G64" i="112"/>
  <c r="H60" i="113"/>
  <c r="H52" i="113"/>
  <c r="G46" i="113"/>
  <c r="K52" i="113"/>
  <c r="G103" i="113"/>
  <c r="H166" i="112"/>
  <c r="I145" i="112"/>
  <c r="I147" i="112" s="1"/>
  <c r="G34" i="113"/>
  <c r="G36" i="113" s="1"/>
  <c r="H7" i="113"/>
  <c r="H36" i="113"/>
  <c r="G51" i="113"/>
  <c r="H65" i="113"/>
  <c r="J101" i="112"/>
  <c r="I101" i="112"/>
  <c r="J146" i="112"/>
  <c r="J7" i="113"/>
  <c r="J36" i="113"/>
  <c r="H98" i="113"/>
  <c r="G78" i="113"/>
  <c r="H102" i="113"/>
  <c r="G64" i="115"/>
  <c r="K100" i="114"/>
  <c r="J100" i="114"/>
  <c r="K100" i="115"/>
  <c r="M100" i="115" s="1"/>
  <c r="J100" i="115"/>
  <c r="I100" i="115"/>
  <c r="I48" i="114"/>
  <c r="G48" i="114"/>
  <c r="K103" i="113"/>
  <c r="I103" i="113"/>
  <c r="K8" i="114"/>
  <c r="AC21" i="101" s="1"/>
  <c r="J48" i="114"/>
  <c r="H52" i="114"/>
  <c r="G61" i="115"/>
  <c r="G97" i="113"/>
  <c r="J103" i="113"/>
  <c r="H63" i="114"/>
  <c r="G81" i="114"/>
  <c r="H101" i="114"/>
  <c r="K97" i="113"/>
  <c r="I97" i="113"/>
  <c r="H165" i="113"/>
  <c r="K36" i="114"/>
  <c r="G64" i="114"/>
  <c r="G97" i="114"/>
  <c r="M97" i="114" s="1"/>
  <c r="G62" i="115"/>
  <c r="G103" i="115"/>
  <c r="I36" i="113"/>
  <c r="G80" i="113"/>
  <c r="J97" i="113"/>
  <c r="J149" i="113"/>
  <c r="G45" i="114"/>
  <c r="J49" i="114"/>
  <c r="J97" i="114"/>
  <c r="I97" i="114"/>
  <c r="F93" i="114"/>
  <c r="G93" i="114" s="1"/>
  <c r="G92" i="114"/>
  <c r="J102" i="114" s="1"/>
  <c r="G59" i="114"/>
  <c r="K36" i="113"/>
  <c r="K98" i="114"/>
  <c r="J98" i="114"/>
  <c r="G59" i="115"/>
  <c r="K101" i="113"/>
  <c r="I101" i="113"/>
  <c r="G83" i="114"/>
  <c r="H103" i="114"/>
  <c r="J101" i="113"/>
  <c r="J8" i="114"/>
  <c r="AB21" i="101" s="1"/>
  <c r="I7" i="114"/>
  <c r="I36" i="114"/>
  <c r="J46" i="114"/>
  <c r="H60" i="114"/>
  <c r="I98" i="114"/>
  <c r="I9" i="115"/>
  <c r="AA24" i="101" s="1"/>
  <c r="H52" i="115"/>
  <c r="H168" i="115"/>
  <c r="G79" i="114"/>
  <c r="G82" i="115"/>
  <c r="G97" i="115"/>
  <c r="G99" i="115"/>
  <c r="M99" i="115" s="1"/>
  <c r="G101" i="115"/>
  <c r="M101" i="115" s="1"/>
  <c r="G47" i="115"/>
  <c r="G50" i="115"/>
  <c r="H149" i="115"/>
  <c r="J36" i="115"/>
  <c r="J97" i="115"/>
  <c r="J99" i="115"/>
  <c r="J101" i="115"/>
  <c r="H166" i="115"/>
  <c r="G50" i="114"/>
  <c r="K36" i="115"/>
  <c r="K97" i="115"/>
  <c r="H168" i="113"/>
  <c r="G80" i="114"/>
  <c r="H149" i="114"/>
  <c r="H166" i="114"/>
  <c r="H170" i="114" s="1"/>
  <c r="G51" i="115"/>
  <c r="G98" i="115"/>
  <c r="M98" i="115" s="1"/>
  <c r="I8" i="115"/>
  <c r="AA23" i="101" s="1"/>
  <c r="G65" i="115"/>
  <c r="I98" i="115"/>
  <c r="I149" i="113" l="1"/>
  <c r="I50" i="110"/>
  <c r="G52" i="111"/>
  <c r="I60" i="112"/>
  <c r="I102" i="115"/>
  <c r="I97" i="112"/>
  <c r="H170" i="115"/>
  <c r="I50" i="112"/>
  <c r="I55" i="112" s="1"/>
  <c r="I82" i="112" s="1"/>
  <c r="K97" i="112"/>
  <c r="M97" i="112" s="1"/>
  <c r="K98" i="109"/>
  <c r="M98" i="109" s="1"/>
  <c r="H170" i="113"/>
  <c r="J103" i="115"/>
  <c r="J50" i="112"/>
  <c r="I52" i="110"/>
  <c r="K103" i="115"/>
  <c r="M103" i="115" s="1"/>
  <c r="J60" i="110"/>
  <c r="M97" i="113"/>
  <c r="M103" i="113"/>
  <c r="G60" i="110"/>
  <c r="I98" i="109"/>
  <c r="I119" i="109" s="1"/>
  <c r="M99" i="110"/>
  <c r="M98" i="114"/>
  <c r="I50" i="114"/>
  <c r="I55" i="110"/>
  <c r="I77" i="110" s="1"/>
  <c r="K102" i="109"/>
  <c r="M102" i="109" s="1"/>
  <c r="K102" i="114"/>
  <c r="M102" i="114" s="1"/>
  <c r="I50" i="109"/>
  <c r="I123" i="109" s="1"/>
  <c r="I102" i="109"/>
  <c r="M101" i="112"/>
  <c r="I102" i="114"/>
  <c r="J65" i="114"/>
  <c r="G65" i="114"/>
  <c r="G63" i="112"/>
  <c r="J63" i="112"/>
  <c r="I63" i="112"/>
  <c r="M97" i="115"/>
  <c r="J63" i="115"/>
  <c r="J64" i="115" s="1"/>
  <c r="J63" i="109"/>
  <c r="J50" i="109"/>
  <c r="J52" i="109" s="1"/>
  <c r="M100" i="109"/>
  <c r="K102" i="112"/>
  <c r="M102" i="112" s="1"/>
  <c r="J60" i="109"/>
  <c r="G60" i="109"/>
  <c r="J62" i="109"/>
  <c r="I62" i="109"/>
  <c r="J102" i="115"/>
  <c r="G52" i="112"/>
  <c r="J65" i="112"/>
  <c r="I65" i="112"/>
  <c r="I99" i="115"/>
  <c r="G62" i="113"/>
  <c r="J62" i="113"/>
  <c r="I62" i="113"/>
  <c r="I50" i="113"/>
  <c r="J63" i="114"/>
  <c r="I63" i="114"/>
  <c r="G52" i="109"/>
  <c r="J61" i="112"/>
  <c r="I61" i="112"/>
  <c r="M101" i="113"/>
  <c r="J102" i="112"/>
  <c r="J50" i="114"/>
  <c r="J52" i="114" s="1"/>
  <c r="J65" i="111"/>
  <c r="J64" i="111" s="1"/>
  <c r="J66" i="111" s="1"/>
  <c r="I65" i="111"/>
  <c r="I64" i="111" s="1"/>
  <c r="I69" i="111" s="1"/>
  <c r="I60" i="114"/>
  <c r="J60" i="114"/>
  <c r="J62" i="112"/>
  <c r="I62" i="112"/>
  <c r="I52" i="111"/>
  <c r="J98" i="112"/>
  <c r="G61" i="109"/>
  <c r="J61" i="109"/>
  <c r="H55" i="112"/>
  <c r="K98" i="112"/>
  <c r="M98" i="112" s="1"/>
  <c r="G52" i="110"/>
  <c r="J50" i="111"/>
  <c r="J52" i="111" s="1"/>
  <c r="H170" i="112"/>
  <c r="J63" i="113"/>
  <c r="J64" i="113" s="1"/>
  <c r="I63" i="113"/>
  <c r="J61" i="114"/>
  <c r="K147" i="114"/>
  <c r="K149" i="114" s="1"/>
  <c r="I50" i="115"/>
  <c r="J50" i="115"/>
  <c r="J52" i="115" s="1"/>
  <c r="I55" i="113"/>
  <c r="I83" i="113" s="1"/>
  <c r="J52" i="113"/>
  <c r="M103" i="111"/>
  <c r="K9" i="115"/>
  <c r="AC24" i="101" s="1"/>
  <c r="G99" i="114"/>
  <c r="I9" i="114"/>
  <c r="AA22" i="101" s="1"/>
  <c r="G52" i="113"/>
  <c r="G97" i="111"/>
  <c r="M97" i="111" s="1"/>
  <c r="H55" i="111"/>
  <c r="G59" i="112"/>
  <c r="J9" i="110"/>
  <c r="AB12" i="101" s="1"/>
  <c r="H55" i="115"/>
  <c r="J145" i="112"/>
  <c r="J147" i="112" s="1"/>
  <c r="G52" i="115"/>
  <c r="I149" i="112"/>
  <c r="G62" i="112"/>
  <c r="J121" i="109"/>
  <c r="J119" i="109"/>
  <c r="AA95" i="101" s="1"/>
  <c r="J9" i="109"/>
  <c r="AB10" i="101" s="1"/>
  <c r="J124" i="109"/>
  <c r="J122" i="109"/>
  <c r="J120" i="109"/>
  <c r="G66" i="115"/>
  <c r="G65" i="113"/>
  <c r="G97" i="110"/>
  <c r="H55" i="110"/>
  <c r="I9" i="110"/>
  <c r="AA12" i="101" s="1"/>
  <c r="G98" i="113"/>
  <c r="G65" i="112"/>
  <c r="J149" i="111"/>
  <c r="G100" i="110"/>
  <c r="M100" i="110" s="1"/>
  <c r="K100" i="111"/>
  <c r="J100" i="111"/>
  <c r="I100" i="111"/>
  <c r="J103" i="111"/>
  <c r="K9" i="114"/>
  <c r="AC22" i="101" s="1"/>
  <c r="K97" i="110"/>
  <c r="J97" i="110"/>
  <c r="I97" i="110"/>
  <c r="J66" i="115"/>
  <c r="K101" i="114"/>
  <c r="J101" i="114"/>
  <c r="I101" i="114"/>
  <c r="I98" i="113"/>
  <c r="K98" i="113"/>
  <c r="M98" i="113" s="1"/>
  <c r="J98" i="113"/>
  <c r="H9" i="113"/>
  <c r="Z20" i="101" s="1"/>
  <c r="G60" i="113"/>
  <c r="K9" i="112"/>
  <c r="AC16" i="101" s="1"/>
  <c r="K101" i="111"/>
  <c r="I101" i="111"/>
  <c r="J101" i="111"/>
  <c r="I63" i="110"/>
  <c r="I64" i="110" s="1"/>
  <c r="G63" i="110"/>
  <c r="J63" i="110"/>
  <c r="G100" i="111"/>
  <c r="K98" i="111"/>
  <c r="J98" i="111"/>
  <c r="I98" i="111"/>
  <c r="I103" i="111"/>
  <c r="K97" i="109"/>
  <c r="M97" i="109" s="1"/>
  <c r="J97" i="109"/>
  <c r="I97" i="109"/>
  <c r="I118" i="109" s="1"/>
  <c r="G100" i="114"/>
  <c r="G101" i="110"/>
  <c r="M101" i="110" s="1"/>
  <c r="K103" i="114"/>
  <c r="J103" i="114"/>
  <c r="I103" i="114"/>
  <c r="G101" i="114"/>
  <c r="J9" i="113"/>
  <c r="AB20" i="101" s="1"/>
  <c r="H170" i="111"/>
  <c r="G98" i="111"/>
  <c r="G103" i="114"/>
  <c r="G52" i="114"/>
  <c r="G63" i="114"/>
  <c r="H123" i="109"/>
  <c r="H110" i="109"/>
  <c r="H119" i="109"/>
  <c r="H112" i="109"/>
  <c r="H108" i="109"/>
  <c r="H121" i="109"/>
  <c r="H9" i="109"/>
  <c r="Z10" i="101" s="1"/>
  <c r="H120" i="109"/>
  <c r="H107" i="109"/>
  <c r="H118" i="109"/>
  <c r="H109" i="109"/>
  <c r="H113" i="109"/>
  <c r="H124" i="109"/>
  <c r="H111" i="109"/>
  <c r="H122" i="109"/>
  <c r="M103" i="109"/>
  <c r="H163" i="109"/>
  <c r="H149" i="109"/>
  <c r="G59" i="110"/>
  <c r="G63" i="113"/>
  <c r="H55" i="113"/>
  <c r="K102" i="111"/>
  <c r="J102" i="111"/>
  <c r="I102" i="111"/>
  <c r="G98" i="110"/>
  <c r="M98" i="110" s="1"/>
  <c r="J149" i="112"/>
  <c r="G99" i="113"/>
  <c r="G102" i="111"/>
  <c r="G124" i="109"/>
  <c r="G122" i="109"/>
  <c r="G120" i="109"/>
  <c r="G118" i="109"/>
  <c r="G113" i="109"/>
  <c r="G111" i="109"/>
  <c r="G109" i="109"/>
  <c r="G107" i="109"/>
  <c r="G121" i="109"/>
  <c r="G123" i="109"/>
  <c r="G119" i="109"/>
  <c r="G108" i="109"/>
  <c r="G112" i="109"/>
  <c r="G110" i="109"/>
  <c r="G59" i="109"/>
  <c r="H55" i="109"/>
  <c r="K9" i="113"/>
  <c r="AC20" i="101" s="1"/>
  <c r="K99" i="113"/>
  <c r="I99" i="113"/>
  <c r="J99" i="113"/>
  <c r="G64" i="110"/>
  <c r="H166" i="109"/>
  <c r="I145" i="109"/>
  <c r="J9" i="111"/>
  <c r="AB14" i="101" s="1"/>
  <c r="J9" i="115"/>
  <c r="AB24" i="101" s="1"/>
  <c r="G60" i="114"/>
  <c r="G66" i="114" s="1"/>
  <c r="G100" i="113"/>
  <c r="M100" i="113" s="1"/>
  <c r="K102" i="113"/>
  <c r="M102" i="113" s="1"/>
  <c r="I102" i="113"/>
  <c r="J102" i="113"/>
  <c r="I52" i="113"/>
  <c r="I149" i="114"/>
  <c r="J103" i="112"/>
  <c r="K103" i="112"/>
  <c r="M103" i="112" s="1"/>
  <c r="I103" i="112"/>
  <c r="G65" i="111"/>
  <c r="G66" i="111" s="1"/>
  <c r="K121" i="109"/>
  <c r="K9" i="109"/>
  <c r="AC10" i="101" s="1"/>
  <c r="K124" i="109"/>
  <c r="K122" i="109"/>
  <c r="K120" i="109"/>
  <c r="G65" i="109"/>
  <c r="I124" i="109"/>
  <c r="I122" i="109"/>
  <c r="I120" i="109"/>
  <c r="I121" i="109"/>
  <c r="I9" i="109"/>
  <c r="AA10" i="101" s="1"/>
  <c r="G102" i="115"/>
  <c r="H69" i="115" s="1"/>
  <c r="I9" i="113"/>
  <c r="AA20" i="101" s="1"/>
  <c r="H55" i="114"/>
  <c r="I69" i="115"/>
  <c r="M99" i="114"/>
  <c r="J52" i="112"/>
  <c r="G62" i="109"/>
  <c r="I81" i="110" l="1"/>
  <c r="I78" i="110"/>
  <c r="I52" i="112"/>
  <c r="I79" i="112"/>
  <c r="K69" i="115"/>
  <c r="K119" i="109"/>
  <c r="AB95" i="101" s="1"/>
  <c r="I52" i="114"/>
  <c r="I55" i="114"/>
  <c r="I80" i="114" s="1"/>
  <c r="I80" i="112"/>
  <c r="I78" i="112"/>
  <c r="I83" i="112"/>
  <c r="I77" i="112"/>
  <c r="J55" i="112" s="1"/>
  <c r="I81" i="112"/>
  <c r="I80" i="110"/>
  <c r="I79" i="110"/>
  <c r="I82" i="110"/>
  <c r="I83" i="110"/>
  <c r="J123" i="109"/>
  <c r="I55" i="111"/>
  <c r="I80" i="111" s="1"/>
  <c r="I55" i="109"/>
  <c r="I80" i="109" s="1"/>
  <c r="I110" i="109" s="1"/>
  <c r="J64" i="110"/>
  <c r="J66" i="110" s="1"/>
  <c r="I52" i="109"/>
  <c r="K123" i="109"/>
  <c r="M123" i="109" s="1"/>
  <c r="I64" i="112"/>
  <c r="I66" i="112" s="1"/>
  <c r="J64" i="112"/>
  <c r="K69" i="112" s="1"/>
  <c r="J64" i="114"/>
  <c r="I64" i="109"/>
  <c r="I66" i="109" s="1"/>
  <c r="J69" i="115"/>
  <c r="I64" i="114"/>
  <c r="I69" i="114" s="1"/>
  <c r="I147" i="109"/>
  <c r="I149" i="109" s="1"/>
  <c r="K69" i="111"/>
  <c r="I77" i="113"/>
  <c r="H69" i="112"/>
  <c r="H69" i="109"/>
  <c r="M100" i="114"/>
  <c r="J64" i="109"/>
  <c r="J66" i="109" s="1"/>
  <c r="K69" i="113"/>
  <c r="J66" i="114"/>
  <c r="K118" i="109"/>
  <c r="I55" i="115"/>
  <c r="I82" i="115" s="1"/>
  <c r="H69" i="114"/>
  <c r="H69" i="113"/>
  <c r="I64" i="113"/>
  <c r="I66" i="113" s="1"/>
  <c r="K69" i="114"/>
  <c r="H170" i="109"/>
  <c r="M124" i="109"/>
  <c r="M122" i="109"/>
  <c r="I52" i="115"/>
  <c r="I80" i="113"/>
  <c r="I79" i="113"/>
  <c r="I78" i="113"/>
  <c r="I82" i="113"/>
  <c r="I81" i="113"/>
  <c r="I66" i="110"/>
  <c r="H134" i="109"/>
  <c r="H18" i="109" s="1"/>
  <c r="H135" i="109"/>
  <c r="H19" i="109" s="1"/>
  <c r="I125" i="109"/>
  <c r="J69" i="111"/>
  <c r="M120" i="109"/>
  <c r="G125" i="109"/>
  <c r="M102" i="111"/>
  <c r="H130" i="109"/>
  <c r="H14" i="109" s="1"/>
  <c r="J66" i="113"/>
  <c r="J118" i="109"/>
  <c r="I69" i="110"/>
  <c r="M102" i="115"/>
  <c r="H69" i="111"/>
  <c r="H133" i="109"/>
  <c r="H17" i="109" s="1"/>
  <c r="H132" i="109"/>
  <c r="H16" i="109" s="1"/>
  <c r="M100" i="111"/>
  <c r="I66" i="111"/>
  <c r="M97" i="110"/>
  <c r="M99" i="113"/>
  <c r="M98" i="111"/>
  <c r="M101" i="111"/>
  <c r="H69" i="110"/>
  <c r="G66" i="112"/>
  <c r="J149" i="114"/>
  <c r="J145" i="109"/>
  <c r="H131" i="109"/>
  <c r="H15" i="109" s="1"/>
  <c r="K145" i="112"/>
  <c r="K147" i="112" s="1"/>
  <c r="H125" i="109"/>
  <c r="M121" i="109"/>
  <c r="G114" i="109"/>
  <c r="H129" i="109"/>
  <c r="H114" i="109"/>
  <c r="G66" i="110"/>
  <c r="G66" i="109"/>
  <c r="M103" i="114"/>
  <c r="G66" i="113"/>
  <c r="M101" i="114"/>
  <c r="M119" i="109" l="1"/>
  <c r="J69" i="114"/>
  <c r="K69" i="110"/>
  <c r="J69" i="110"/>
  <c r="I78" i="115"/>
  <c r="J147" i="109"/>
  <c r="K145" i="109"/>
  <c r="I77" i="115"/>
  <c r="I80" i="115"/>
  <c r="I79" i="115"/>
  <c r="J55" i="115" s="1"/>
  <c r="J55" i="110"/>
  <c r="J77" i="110" s="1"/>
  <c r="I83" i="114"/>
  <c r="I79" i="114"/>
  <c r="I81" i="114"/>
  <c r="I82" i="114"/>
  <c r="I77" i="114"/>
  <c r="I78" i="114"/>
  <c r="I79" i="111"/>
  <c r="I83" i="111"/>
  <c r="I77" i="111"/>
  <c r="I81" i="111"/>
  <c r="J69" i="112"/>
  <c r="I82" i="109"/>
  <c r="I112" i="109" s="1"/>
  <c r="I134" i="109" s="1"/>
  <c r="I79" i="109"/>
  <c r="I109" i="109" s="1"/>
  <c r="I131" i="109" s="1"/>
  <c r="I77" i="109"/>
  <c r="I107" i="109" s="1"/>
  <c r="I78" i="109"/>
  <c r="I108" i="109" s="1"/>
  <c r="I130" i="109" s="1"/>
  <c r="I81" i="109"/>
  <c r="I111" i="109" s="1"/>
  <c r="I133" i="109" s="1"/>
  <c r="I83" i="109"/>
  <c r="I113" i="109" s="1"/>
  <c r="I135" i="109" s="1"/>
  <c r="J66" i="112"/>
  <c r="I69" i="112"/>
  <c r="J69" i="109"/>
  <c r="I69" i="109"/>
  <c r="I78" i="111"/>
  <c r="I82" i="111"/>
  <c r="K125" i="109"/>
  <c r="K24" i="109" s="1"/>
  <c r="I66" i="114"/>
  <c r="M118" i="109"/>
  <c r="K69" i="109"/>
  <c r="I81" i="115"/>
  <c r="I69" i="113"/>
  <c r="I83" i="115"/>
  <c r="J69" i="113"/>
  <c r="J125" i="109"/>
  <c r="J24" i="109" s="1"/>
  <c r="I132" i="109"/>
  <c r="J55" i="113"/>
  <c r="J82" i="113" s="1"/>
  <c r="I24" i="109"/>
  <c r="K149" i="112"/>
  <c r="H136" i="109"/>
  <c r="H13" i="109"/>
  <c r="K147" i="109"/>
  <c r="J149" i="109"/>
  <c r="J79" i="112"/>
  <c r="J80" i="112"/>
  <c r="J78" i="112"/>
  <c r="J83" i="112"/>
  <c r="J77" i="112"/>
  <c r="J82" i="112"/>
  <c r="J81" i="112"/>
  <c r="J55" i="114" l="1"/>
  <c r="J78" i="114" s="1"/>
  <c r="J81" i="110"/>
  <c r="J78" i="110"/>
  <c r="J55" i="111"/>
  <c r="J81" i="111" s="1"/>
  <c r="J80" i="110"/>
  <c r="J79" i="110"/>
  <c r="J83" i="110"/>
  <c r="J82" i="110"/>
  <c r="M125" i="109"/>
  <c r="J55" i="109"/>
  <c r="J79" i="109" s="1"/>
  <c r="J109" i="109" s="1"/>
  <c r="H20" i="109"/>
  <c r="J77" i="113"/>
  <c r="J78" i="113"/>
  <c r="J83" i="113"/>
  <c r="J79" i="113"/>
  <c r="J81" i="113"/>
  <c r="J80" i="113"/>
  <c r="I114" i="109"/>
  <c r="I23" i="109" s="1"/>
  <c r="I129" i="109"/>
  <c r="J82" i="115"/>
  <c r="J78" i="115"/>
  <c r="J83" i="115"/>
  <c r="J77" i="115"/>
  <c r="J81" i="115"/>
  <c r="J79" i="115"/>
  <c r="J80" i="115"/>
  <c r="K55" i="112"/>
  <c r="K149" i="109"/>
  <c r="J77" i="114" l="1"/>
  <c r="J80" i="114"/>
  <c r="J82" i="114"/>
  <c r="J83" i="114"/>
  <c r="J81" i="114"/>
  <c r="J79" i="114"/>
  <c r="K55" i="110"/>
  <c r="K79" i="110" s="1"/>
  <c r="J80" i="111"/>
  <c r="J77" i="111"/>
  <c r="J83" i="111"/>
  <c r="J82" i="111"/>
  <c r="J79" i="111"/>
  <c r="J78" i="111"/>
  <c r="J80" i="109"/>
  <c r="J110" i="109" s="1"/>
  <c r="J132" i="109" s="1"/>
  <c r="J83" i="109"/>
  <c r="J113" i="109" s="1"/>
  <c r="J135" i="109" s="1"/>
  <c r="J82" i="109"/>
  <c r="J112" i="109" s="1"/>
  <c r="J134" i="109" s="1"/>
  <c r="J81" i="109"/>
  <c r="J111" i="109" s="1"/>
  <c r="J133" i="109" s="1"/>
  <c r="J78" i="109"/>
  <c r="J108" i="109" s="1"/>
  <c r="J130" i="109" s="1"/>
  <c r="J77" i="109"/>
  <c r="J131" i="109"/>
  <c r="K55" i="113"/>
  <c r="K80" i="113" s="1"/>
  <c r="K55" i="115"/>
  <c r="I136" i="109"/>
  <c r="K81" i="112"/>
  <c r="K77" i="112"/>
  <c r="K80" i="112"/>
  <c r="K79" i="112"/>
  <c r="K82" i="112"/>
  <c r="K78" i="112"/>
  <c r="K83" i="112"/>
  <c r="K55" i="114" l="1"/>
  <c r="K78" i="114" s="1"/>
  <c r="K77" i="110"/>
  <c r="K153" i="110" s="1"/>
  <c r="K82" i="110"/>
  <c r="K80" i="110"/>
  <c r="K156" i="110" s="1"/>
  <c r="K78" i="110"/>
  <c r="K154" i="110" s="1"/>
  <c r="K83" i="110"/>
  <c r="K81" i="110"/>
  <c r="K157" i="110" s="1"/>
  <c r="K55" i="111"/>
  <c r="K77" i="111" s="1"/>
  <c r="K55" i="109"/>
  <c r="K83" i="109" s="1"/>
  <c r="J107" i="109"/>
  <c r="J129" i="109" s="1"/>
  <c r="K79" i="113"/>
  <c r="K77" i="113"/>
  <c r="K81" i="113"/>
  <c r="K157" i="113" s="1"/>
  <c r="K78" i="113"/>
  <c r="K154" i="113" s="1"/>
  <c r="K82" i="113"/>
  <c r="K83" i="113"/>
  <c r="K159" i="113" s="1"/>
  <c r="K155" i="110"/>
  <c r="K78" i="115"/>
  <c r="K79" i="115"/>
  <c r="K82" i="115"/>
  <c r="K77" i="115"/>
  <c r="K80" i="115"/>
  <c r="K81" i="115"/>
  <c r="K83" i="115"/>
  <c r="K154" i="112"/>
  <c r="K159" i="112"/>
  <c r="K158" i="112"/>
  <c r="K155" i="112"/>
  <c r="K158" i="110"/>
  <c r="K156" i="113"/>
  <c r="K156" i="112"/>
  <c r="K153" i="112"/>
  <c r="K157" i="112"/>
  <c r="K159" i="110"/>
  <c r="K80" i="114" l="1"/>
  <c r="K79" i="114"/>
  <c r="K155" i="114" s="1"/>
  <c r="K81" i="114"/>
  <c r="K83" i="114"/>
  <c r="K82" i="114"/>
  <c r="K158" i="114" s="1"/>
  <c r="K77" i="114"/>
  <c r="K83" i="111"/>
  <c r="K159" i="111" s="1"/>
  <c r="K78" i="111"/>
  <c r="K154" i="111" s="1"/>
  <c r="K82" i="111"/>
  <c r="K158" i="111" s="1"/>
  <c r="K81" i="111"/>
  <c r="K157" i="111" s="1"/>
  <c r="K80" i="111"/>
  <c r="K79" i="111"/>
  <c r="K155" i="111" s="1"/>
  <c r="K81" i="109"/>
  <c r="K157" i="109" s="1"/>
  <c r="K77" i="109"/>
  <c r="K153" i="109" s="1"/>
  <c r="K80" i="109"/>
  <c r="K110" i="109" s="1"/>
  <c r="K78" i="109"/>
  <c r="K108" i="109" s="1"/>
  <c r="K130" i="109" s="1"/>
  <c r="J114" i="109"/>
  <c r="J23" i="109" s="1"/>
  <c r="K79" i="109"/>
  <c r="K109" i="109" s="1"/>
  <c r="K82" i="109"/>
  <c r="K158" i="109" s="1"/>
  <c r="K158" i="113"/>
  <c r="K153" i="113"/>
  <c r="K163" i="113" s="1"/>
  <c r="K155" i="113"/>
  <c r="K165" i="113" s="1"/>
  <c r="K153" i="114"/>
  <c r="J136" i="109"/>
  <c r="J157" i="110"/>
  <c r="K167" i="110"/>
  <c r="K163" i="112"/>
  <c r="J153" i="112"/>
  <c r="K157" i="114"/>
  <c r="J156" i="110"/>
  <c r="K166" i="110"/>
  <c r="K159" i="115"/>
  <c r="K156" i="115"/>
  <c r="K153" i="115"/>
  <c r="K157" i="115"/>
  <c r="J154" i="113"/>
  <c r="K164" i="113"/>
  <c r="J159" i="110"/>
  <c r="K169" i="110"/>
  <c r="K153" i="111"/>
  <c r="J159" i="112"/>
  <c r="K169" i="112"/>
  <c r="K158" i="115"/>
  <c r="J158" i="112"/>
  <c r="K168" i="112"/>
  <c r="K159" i="114"/>
  <c r="K159" i="109"/>
  <c r="K113" i="109"/>
  <c r="J157" i="113"/>
  <c r="K167" i="113"/>
  <c r="K156" i="111"/>
  <c r="K155" i="115"/>
  <c r="J155" i="112"/>
  <c r="K165" i="112"/>
  <c r="K156" i="114"/>
  <c r="K154" i="115"/>
  <c r="J156" i="112"/>
  <c r="K166" i="112"/>
  <c r="J156" i="113"/>
  <c r="K166" i="113"/>
  <c r="K168" i="110"/>
  <c r="J158" i="110"/>
  <c r="J153" i="110"/>
  <c r="K163" i="110"/>
  <c r="K154" i="114"/>
  <c r="J159" i="113"/>
  <c r="K169" i="113"/>
  <c r="J154" i="110"/>
  <c r="K164" i="110"/>
  <c r="J154" i="112"/>
  <c r="K164" i="112"/>
  <c r="J157" i="112"/>
  <c r="K167" i="112"/>
  <c r="J158" i="113"/>
  <c r="K168" i="113"/>
  <c r="J155" i="110"/>
  <c r="K165" i="110"/>
  <c r="K111" i="109" l="1"/>
  <c r="K133" i="109" s="1"/>
  <c r="K107" i="109"/>
  <c r="K129" i="109" s="1"/>
  <c r="K156" i="109"/>
  <c r="J156" i="109" s="1"/>
  <c r="K112" i="109"/>
  <c r="M112" i="109" s="1"/>
  <c r="K155" i="109"/>
  <c r="J155" i="109" s="1"/>
  <c r="K154" i="109"/>
  <c r="K164" i="109" s="1"/>
  <c r="K14" i="109" s="1"/>
  <c r="J153" i="113"/>
  <c r="J163" i="113" s="1"/>
  <c r="J155" i="113"/>
  <c r="I158" i="110"/>
  <c r="I168" i="110" s="1"/>
  <c r="J168" i="110"/>
  <c r="J158" i="115"/>
  <c r="K168" i="115"/>
  <c r="I159" i="110"/>
  <c r="I169" i="110" s="1"/>
  <c r="J169" i="110"/>
  <c r="J154" i="115"/>
  <c r="K164" i="115"/>
  <c r="I157" i="112"/>
  <c r="I167" i="112" s="1"/>
  <c r="J167" i="112"/>
  <c r="J159" i="111"/>
  <c r="K169" i="111"/>
  <c r="J155" i="111"/>
  <c r="K165" i="111"/>
  <c r="J153" i="109"/>
  <c r="K163" i="109"/>
  <c r="I155" i="112"/>
  <c r="I165" i="112" s="1"/>
  <c r="J165" i="112"/>
  <c r="M110" i="109"/>
  <c r="K132" i="109"/>
  <c r="J156" i="115"/>
  <c r="K166" i="115"/>
  <c r="J157" i="114"/>
  <c r="K167" i="114"/>
  <c r="I154" i="112"/>
  <c r="I164" i="112" s="1"/>
  <c r="J164" i="112"/>
  <c r="I159" i="113"/>
  <c r="I169" i="113" s="1"/>
  <c r="J169" i="113"/>
  <c r="J158" i="114"/>
  <c r="K168" i="114"/>
  <c r="I156" i="112"/>
  <c r="I166" i="112" s="1"/>
  <c r="J166" i="112"/>
  <c r="J158" i="111"/>
  <c r="K168" i="111"/>
  <c r="I153" i="112"/>
  <c r="I163" i="112" s="1"/>
  <c r="J163" i="112"/>
  <c r="I159" i="112"/>
  <c r="I169" i="112" s="1"/>
  <c r="J169" i="112"/>
  <c r="K170" i="112"/>
  <c r="J155" i="114"/>
  <c r="K165" i="114"/>
  <c r="I155" i="110"/>
  <c r="I165" i="110" s="1"/>
  <c r="J165" i="110"/>
  <c r="J154" i="114"/>
  <c r="K164" i="114"/>
  <c r="J155" i="115"/>
  <c r="K165" i="115"/>
  <c r="K135" i="109"/>
  <c r="M113" i="109"/>
  <c r="J156" i="114"/>
  <c r="K166" i="114"/>
  <c r="K170" i="110"/>
  <c r="K170" i="113"/>
  <c r="M109" i="109"/>
  <c r="K131" i="109"/>
  <c r="J159" i="109"/>
  <c r="K169" i="109"/>
  <c r="J153" i="111"/>
  <c r="K163" i="111"/>
  <c r="I154" i="113"/>
  <c r="I164" i="113" s="1"/>
  <c r="J164" i="113"/>
  <c r="J159" i="115"/>
  <c r="K169" i="115"/>
  <c r="I157" i="110"/>
  <c r="I167" i="110" s="1"/>
  <c r="J167" i="110"/>
  <c r="I158" i="113"/>
  <c r="I168" i="113" s="1"/>
  <c r="J168" i="113"/>
  <c r="I154" i="110"/>
  <c r="I164" i="110" s="1"/>
  <c r="J164" i="110"/>
  <c r="I153" i="110"/>
  <c r="I163" i="110" s="1"/>
  <c r="J163" i="110"/>
  <c r="J158" i="109"/>
  <c r="K168" i="109"/>
  <c r="J154" i="111"/>
  <c r="K164" i="111"/>
  <c r="I153" i="113"/>
  <c r="I163" i="113" s="1"/>
  <c r="M108" i="109"/>
  <c r="J159" i="114"/>
  <c r="K169" i="114"/>
  <c r="J157" i="115"/>
  <c r="K167" i="115"/>
  <c r="J157" i="109"/>
  <c r="K167" i="109"/>
  <c r="I156" i="113"/>
  <c r="I166" i="113" s="1"/>
  <c r="J166" i="113"/>
  <c r="J157" i="111"/>
  <c r="K167" i="111"/>
  <c r="J156" i="111"/>
  <c r="K166" i="111"/>
  <c r="I157" i="113"/>
  <c r="I167" i="113" s="1"/>
  <c r="J167" i="113"/>
  <c r="J168" i="112"/>
  <c r="I158" i="112"/>
  <c r="I168" i="112" s="1"/>
  <c r="I155" i="113"/>
  <c r="I165" i="113" s="1"/>
  <c r="J165" i="113"/>
  <c r="J153" i="115"/>
  <c r="K163" i="115"/>
  <c r="I156" i="110"/>
  <c r="I166" i="110" s="1"/>
  <c r="J166" i="110"/>
  <c r="J153" i="114"/>
  <c r="K163" i="114"/>
  <c r="M107" i="109" l="1"/>
  <c r="M111" i="109"/>
  <c r="K114" i="109"/>
  <c r="K23" i="109" s="1"/>
  <c r="K165" i="109"/>
  <c r="K15" i="109" s="1"/>
  <c r="K134" i="109"/>
  <c r="K18" i="109" s="1"/>
  <c r="J154" i="109"/>
  <c r="J164" i="109" s="1"/>
  <c r="J14" i="109" s="1"/>
  <c r="K166" i="109"/>
  <c r="K170" i="115"/>
  <c r="I159" i="111"/>
  <c r="I169" i="111" s="1"/>
  <c r="J169" i="111"/>
  <c r="M132" i="109"/>
  <c r="K136" i="109"/>
  <c r="M136" i="109" s="1"/>
  <c r="M129" i="109"/>
  <c r="K13" i="109"/>
  <c r="I157" i="111"/>
  <c r="I167" i="111" s="1"/>
  <c r="J167" i="111"/>
  <c r="I159" i="114"/>
  <c r="I169" i="114" s="1"/>
  <c r="J169" i="114"/>
  <c r="I154" i="111"/>
  <c r="I164" i="111" s="1"/>
  <c r="J164" i="111"/>
  <c r="I159" i="115"/>
  <c r="I169" i="115" s="1"/>
  <c r="J169" i="115"/>
  <c r="M134" i="109"/>
  <c r="I157" i="114"/>
  <c r="I167" i="114" s="1"/>
  <c r="J167" i="114"/>
  <c r="M135" i="109"/>
  <c r="K19" i="109"/>
  <c r="K170" i="114"/>
  <c r="I158" i="109"/>
  <c r="I168" i="109" s="1"/>
  <c r="I18" i="109" s="1"/>
  <c r="J168" i="109"/>
  <c r="J18" i="109" s="1"/>
  <c r="J168" i="111"/>
  <c r="I158" i="111"/>
  <c r="I168" i="111" s="1"/>
  <c r="I156" i="115"/>
  <c r="I166" i="115" s="1"/>
  <c r="J166" i="115"/>
  <c r="I154" i="115"/>
  <c r="I164" i="115" s="1"/>
  <c r="J164" i="115"/>
  <c r="I157" i="115"/>
  <c r="I167" i="115" s="1"/>
  <c r="J167" i="115"/>
  <c r="I153" i="114"/>
  <c r="I163" i="114" s="1"/>
  <c r="J163" i="114"/>
  <c r="J170" i="110"/>
  <c r="K170" i="111"/>
  <c r="I155" i="115"/>
  <c r="I165" i="115" s="1"/>
  <c r="J165" i="115"/>
  <c r="I170" i="110"/>
  <c r="I153" i="111"/>
  <c r="I163" i="111" s="1"/>
  <c r="J163" i="111"/>
  <c r="I153" i="109"/>
  <c r="I163" i="109" s="1"/>
  <c r="J163" i="109"/>
  <c r="I156" i="111"/>
  <c r="I166" i="111" s="1"/>
  <c r="J166" i="111"/>
  <c r="M130" i="109"/>
  <c r="I159" i="109"/>
  <c r="I169" i="109" s="1"/>
  <c r="I19" i="109" s="1"/>
  <c r="J169" i="109"/>
  <c r="J19" i="109" s="1"/>
  <c r="I156" i="114"/>
  <c r="I166" i="114" s="1"/>
  <c r="J166" i="114"/>
  <c r="I158" i="114"/>
  <c r="I168" i="114" s="1"/>
  <c r="J168" i="114"/>
  <c r="I156" i="109"/>
  <c r="I166" i="109" s="1"/>
  <c r="I16" i="109" s="1"/>
  <c r="J166" i="109"/>
  <c r="J16" i="109" s="1"/>
  <c r="I155" i="111"/>
  <c r="I165" i="111" s="1"/>
  <c r="J165" i="111"/>
  <c r="I153" i="115"/>
  <c r="I163" i="115" s="1"/>
  <c r="J163" i="115"/>
  <c r="M131" i="109"/>
  <c r="I154" i="114"/>
  <c r="I164" i="114" s="1"/>
  <c r="J164" i="114"/>
  <c r="I155" i="114"/>
  <c r="I165" i="114" s="1"/>
  <c r="J165" i="114"/>
  <c r="J170" i="112"/>
  <c r="M133" i="109"/>
  <c r="K17" i="109"/>
  <c r="I157" i="109"/>
  <c r="I167" i="109" s="1"/>
  <c r="I17" i="109" s="1"/>
  <c r="J167" i="109"/>
  <c r="J17" i="109" s="1"/>
  <c r="I155" i="109"/>
  <c r="I165" i="109" s="1"/>
  <c r="J165" i="109"/>
  <c r="J15" i="109" s="1"/>
  <c r="I170" i="112"/>
  <c r="I158" i="115"/>
  <c r="I168" i="115" s="1"/>
  <c r="J168" i="115"/>
  <c r="I170" i="113"/>
  <c r="J170" i="113"/>
  <c r="I154" i="109" l="1"/>
  <c r="I164" i="109" s="1"/>
  <c r="I14" i="109" s="1"/>
  <c r="M114" i="109"/>
  <c r="K170" i="109"/>
  <c r="K16" i="109"/>
  <c r="K20" i="109" s="1"/>
  <c r="I15" i="109"/>
  <c r="J170" i="114"/>
  <c r="I170" i="114"/>
  <c r="J170" i="109"/>
  <c r="J13" i="109"/>
  <c r="I13" i="109"/>
  <c r="J170" i="111"/>
  <c r="J170" i="115"/>
  <c r="I170" i="111"/>
  <c r="I170" i="115"/>
  <c r="I170" i="109" l="1"/>
  <c r="J20" i="109"/>
  <c r="I20" i="109"/>
  <c r="F73" i="103" l="1"/>
  <c r="F73" i="108"/>
  <c r="F73" i="107"/>
  <c r="F73" i="106"/>
  <c r="F73" i="105"/>
  <c r="F73" i="104"/>
  <c r="H143" i="103" l="1"/>
  <c r="I143" i="103" s="1"/>
  <c r="J143" i="103" s="1"/>
  <c r="K143" i="103" s="1"/>
  <c r="H144" i="103"/>
  <c r="I144" i="103" s="1"/>
  <c r="J144" i="103" s="1"/>
  <c r="K144" i="103" s="1"/>
  <c r="H145" i="103"/>
  <c r="I145" i="103" s="1"/>
  <c r="J145" i="103" s="1"/>
  <c r="K145" i="103" s="1"/>
  <c r="H146" i="103"/>
  <c r="I146" i="103" s="1"/>
  <c r="J146" i="103" s="1"/>
  <c r="K146" i="103" s="1"/>
  <c r="H147" i="103"/>
  <c r="I147" i="103" s="1"/>
  <c r="J147" i="103" s="1"/>
  <c r="K147" i="103" s="1"/>
  <c r="H148" i="103"/>
  <c r="I148" i="103" s="1"/>
  <c r="J148" i="103" s="1"/>
  <c r="K148" i="103" s="1"/>
  <c r="H142" i="103"/>
  <c r="I142" i="103" s="1"/>
  <c r="J142" i="103" s="1"/>
  <c r="K142" i="103" s="1"/>
  <c r="H143" i="108"/>
  <c r="I143" i="108" s="1"/>
  <c r="J143" i="108" s="1"/>
  <c r="K143" i="108" s="1"/>
  <c r="H144" i="108"/>
  <c r="I144" i="108" s="1"/>
  <c r="J144" i="108" s="1"/>
  <c r="K144" i="108" s="1"/>
  <c r="H145" i="108"/>
  <c r="I145" i="108" s="1"/>
  <c r="J145" i="108" s="1"/>
  <c r="K145" i="108" s="1"/>
  <c r="H146" i="108"/>
  <c r="I146" i="108" s="1"/>
  <c r="J146" i="108" s="1"/>
  <c r="K146" i="108" s="1"/>
  <c r="H147" i="108"/>
  <c r="I147" i="108" s="1"/>
  <c r="J147" i="108" s="1"/>
  <c r="K147" i="108" s="1"/>
  <c r="H148" i="108"/>
  <c r="I148" i="108" s="1"/>
  <c r="J148" i="108" s="1"/>
  <c r="K148" i="108" s="1"/>
  <c r="H142" i="108"/>
  <c r="I142" i="108" s="1"/>
  <c r="J142" i="108" s="1"/>
  <c r="K142" i="108" s="1"/>
  <c r="H143" i="107"/>
  <c r="I143" i="107" s="1"/>
  <c r="J143" i="107" s="1"/>
  <c r="K143" i="107" s="1"/>
  <c r="H144" i="107"/>
  <c r="I144" i="107" s="1"/>
  <c r="J144" i="107" s="1"/>
  <c r="K144" i="107" s="1"/>
  <c r="H145" i="107"/>
  <c r="I145" i="107" s="1"/>
  <c r="J145" i="107" s="1"/>
  <c r="K145" i="107" s="1"/>
  <c r="H146" i="107"/>
  <c r="I146" i="107" s="1"/>
  <c r="J146" i="107" s="1"/>
  <c r="K146" i="107" s="1"/>
  <c r="H147" i="107"/>
  <c r="I147" i="107" s="1"/>
  <c r="J147" i="107" s="1"/>
  <c r="K147" i="107" s="1"/>
  <c r="H148" i="107"/>
  <c r="I148" i="107" s="1"/>
  <c r="J148" i="107" s="1"/>
  <c r="K148" i="107" s="1"/>
  <c r="H142" i="107"/>
  <c r="I142" i="107" s="1"/>
  <c r="J142" i="107" s="1"/>
  <c r="K142" i="107" s="1"/>
  <c r="H143" i="106"/>
  <c r="I143" i="106" s="1"/>
  <c r="J143" i="106" s="1"/>
  <c r="K143" i="106" s="1"/>
  <c r="H144" i="106"/>
  <c r="I144" i="106" s="1"/>
  <c r="J144" i="106" s="1"/>
  <c r="K144" i="106" s="1"/>
  <c r="H145" i="106"/>
  <c r="I145" i="106" s="1"/>
  <c r="J145" i="106" s="1"/>
  <c r="K145" i="106" s="1"/>
  <c r="H146" i="106"/>
  <c r="I146" i="106" s="1"/>
  <c r="J146" i="106" s="1"/>
  <c r="K146" i="106" s="1"/>
  <c r="H147" i="106"/>
  <c r="I147" i="106" s="1"/>
  <c r="J147" i="106" s="1"/>
  <c r="K147" i="106" s="1"/>
  <c r="H148" i="106"/>
  <c r="I148" i="106" s="1"/>
  <c r="J148" i="106" s="1"/>
  <c r="K148" i="106" s="1"/>
  <c r="H142" i="106"/>
  <c r="I142" i="106" s="1"/>
  <c r="J142" i="106" s="1"/>
  <c r="K142" i="106" s="1"/>
  <c r="H143" i="105"/>
  <c r="I143" i="105" s="1"/>
  <c r="J143" i="105" s="1"/>
  <c r="K143" i="105" s="1"/>
  <c r="H144" i="105"/>
  <c r="I144" i="105" s="1"/>
  <c r="J144" i="105" s="1"/>
  <c r="K144" i="105" s="1"/>
  <c r="H145" i="105"/>
  <c r="I145" i="105" s="1"/>
  <c r="J145" i="105" s="1"/>
  <c r="K145" i="105" s="1"/>
  <c r="H146" i="105"/>
  <c r="I146" i="105" s="1"/>
  <c r="J146" i="105" s="1"/>
  <c r="K146" i="105" s="1"/>
  <c r="H147" i="105"/>
  <c r="I147" i="105" s="1"/>
  <c r="J147" i="105" s="1"/>
  <c r="K147" i="105" s="1"/>
  <c r="H148" i="105"/>
  <c r="I148" i="105" s="1"/>
  <c r="J148" i="105" s="1"/>
  <c r="K148" i="105" s="1"/>
  <c r="H142" i="105"/>
  <c r="I142" i="105" s="1"/>
  <c r="J142" i="105" s="1"/>
  <c r="K142" i="105" s="1"/>
  <c r="H78" i="103"/>
  <c r="H98" i="103" s="1"/>
  <c r="H79" i="103"/>
  <c r="H80" i="103"/>
  <c r="H81" i="103"/>
  <c r="H82" i="103"/>
  <c r="H83" i="103"/>
  <c r="H77" i="103"/>
  <c r="H78" i="108"/>
  <c r="H98" i="108" s="1"/>
  <c r="H79" i="108"/>
  <c r="G79" i="108" s="1"/>
  <c r="H80" i="108"/>
  <c r="H81" i="108"/>
  <c r="G81" i="108" s="1"/>
  <c r="H82" i="108"/>
  <c r="H102" i="108" s="1"/>
  <c r="H83" i="108"/>
  <c r="G83" i="108" s="1"/>
  <c r="H77" i="108"/>
  <c r="G77" i="108" s="1"/>
  <c r="H78" i="107"/>
  <c r="G78" i="107" s="1"/>
  <c r="H79" i="107"/>
  <c r="H80" i="107"/>
  <c r="H81" i="107"/>
  <c r="H101" i="107" s="1"/>
  <c r="H82" i="107"/>
  <c r="H102" i="107" s="1"/>
  <c r="H83" i="107"/>
  <c r="H77" i="107"/>
  <c r="H97" i="107" s="1"/>
  <c r="H78" i="106"/>
  <c r="H79" i="106"/>
  <c r="H99" i="106" s="1"/>
  <c r="H80" i="106"/>
  <c r="G80" i="106" s="1"/>
  <c r="H81" i="106"/>
  <c r="H101" i="106" s="1"/>
  <c r="H82" i="106"/>
  <c r="H83" i="106"/>
  <c r="H77" i="106"/>
  <c r="H97" i="106" s="1"/>
  <c r="H78" i="105"/>
  <c r="H79" i="105"/>
  <c r="H80" i="105"/>
  <c r="H81" i="105"/>
  <c r="H82" i="105"/>
  <c r="H83" i="105"/>
  <c r="H77" i="105"/>
  <c r="H97" i="105" s="1"/>
  <c r="H78" i="104"/>
  <c r="G78" i="104" s="1"/>
  <c r="H79" i="104"/>
  <c r="H99" i="104" s="1"/>
  <c r="H80" i="104"/>
  <c r="H81" i="104"/>
  <c r="H82" i="104"/>
  <c r="H83" i="104"/>
  <c r="H77" i="104"/>
  <c r="H46" i="103"/>
  <c r="H47" i="103"/>
  <c r="H48" i="103"/>
  <c r="H49" i="103"/>
  <c r="H50" i="103"/>
  <c r="H51" i="103"/>
  <c r="J51" i="103" s="1"/>
  <c r="H45" i="103"/>
  <c r="G45" i="103" s="1"/>
  <c r="H46" i="108"/>
  <c r="H47" i="108"/>
  <c r="J47" i="108" s="1"/>
  <c r="H48" i="108"/>
  <c r="H49" i="108"/>
  <c r="H50" i="108"/>
  <c r="J50" i="108" s="1"/>
  <c r="H51" i="108"/>
  <c r="H45" i="108"/>
  <c r="J45" i="108" s="1"/>
  <c r="H46" i="107"/>
  <c r="H47" i="107"/>
  <c r="H48" i="107"/>
  <c r="J48" i="107" s="1"/>
  <c r="H49" i="107"/>
  <c r="J49" i="107" s="1"/>
  <c r="H50" i="107"/>
  <c r="H64" i="107" s="1"/>
  <c r="I64" i="107" s="1"/>
  <c r="H51" i="107"/>
  <c r="H45" i="107"/>
  <c r="H46" i="106"/>
  <c r="H47" i="106"/>
  <c r="H48" i="106"/>
  <c r="H49" i="106"/>
  <c r="H50" i="106"/>
  <c r="H51" i="106"/>
  <c r="J51" i="106" s="1"/>
  <c r="H45" i="106"/>
  <c r="H46" i="105"/>
  <c r="J46" i="105" s="1"/>
  <c r="H47" i="105"/>
  <c r="J47" i="105" s="1"/>
  <c r="H48" i="105"/>
  <c r="J48" i="105" s="1"/>
  <c r="H49" i="105"/>
  <c r="H50" i="105"/>
  <c r="H51" i="105"/>
  <c r="H45" i="105"/>
  <c r="H46" i="104"/>
  <c r="H47" i="104"/>
  <c r="H48" i="104"/>
  <c r="H49" i="104"/>
  <c r="H50" i="104"/>
  <c r="H51" i="104"/>
  <c r="H45" i="104"/>
  <c r="G45" i="104" s="1"/>
  <c r="J35" i="103"/>
  <c r="J36" i="103" s="1"/>
  <c r="J9" i="103" s="1"/>
  <c r="E24" i="101" s="1"/>
  <c r="K35" i="103"/>
  <c r="I35" i="103"/>
  <c r="I34" i="103"/>
  <c r="J34" i="103"/>
  <c r="K34" i="103"/>
  <c r="H34" i="103"/>
  <c r="G34" i="103" s="1"/>
  <c r="G36" i="103" s="1"/>
  <c r="J35" i="108"/>
  <c r="J8" i="108" s="1"/>
  <c r="E21" i="101" s="1"/>
  <c r="K35" i="108"/>
  <c r="I35" i="108"/>
  <c r="I8" i="108" s="1"/>
  <c r="D21" i="101" s="1"/>
  <c r="I34" i="108"/>
  <c r="I7" i="108" s="1"/>
  <c r="J34" i="108"/>
  <c r="J7" i="108" s="1"/>
  <c r="K34" i="108"/>
  <c r="K7" i="108" s="1"/>
  <c r="H34" i="108"/>
  <c r="J35" i="107"/>
  <c r="K35" i="107"/>
  <c r="K8" i="107" s="1"/>
  <c r="F19" i="101" s="1"/>
  <c r="I35" i="107"/>
  <c r="I36" i="107" s="1"/>
  <c r="I9" i="107" s="1"/>
  <c r="D20" i="101" s="1"/>
  <c r="I34" i="107"/>
  <c r="J34" i="107"/>
  <c r="J7" i="107" s="1"/>
  <c r="K34" i="107"/>
  <c r="K7" i="107" s="1"/>
  <c r="H34" i="107"/>
  <c r="G34" i="107" s="1"/>
  <c r="G36" i="107" s="1"/>
  <c r="J35" i="106"/>
  <c r="J8" i="106" s="1"/>
  <c r="E15" i="101" s="1"/>
  <c r="K35" i="106"/>
  <c r="K8" i="106" s="1"/>
  <c r="F15" i="101" s="1"/>
  <c r="I35" i="106"/>
  <c r="I8" i="106" s="1"/>
  <c r="D15" i="101" s="1"/>
  <c r="I34" i="106"/>
  <c r="I7" i="106" s="1"/>
  <c r="J34" i="106"/>
  <c r="K34" i="106"/>
  <c r="K7" i="106" s="1"/>
  <c r="H34" i="106"/>
  <c r="H36" i="106" s="1"/>
  <c r="H9" i="106" s="1"/>
  <c r="C16" i="101" s="1"/>
  <c r="J35" i="105"/>
  <c r="K35" i="105"/>
  <c r="K8" i="105" s="1"/>
  <c r="F13" i="101" s="1"/>
  <c r="I35" i="105"/>
  <c r="I8" i="105" s="1"/>
  <c r="D13" i="101" s="1"/>
  <c r="I34" i="105"/>
  <c r="J34" i="105"/>
  <c r="K34" i="105"/>
  <c r="H34" i="105"/>
  <c r="G34" i="105" s="1"/>
  <c r="G36" i="105" s="1"/>
  <c r="J35" i="104"/>
  <c r="J8" i="104" s="1"/>
  <c r="E11" i="101" s="1"/>
  <c r="K35" i="104"/>
  <c r="K8" i="104" s="1"/>
  <c r="F11" i="101" s="1"/>
  <c r="I35" i="104"/>
  <c r="I34" i="104"/>
  <c r="I7" i="104" s="1"/>
  <c r="J34" i="104"/>
  <c r="J7" i="104" s="1"/>
  <c r="K34" i="104"/>
  <c r="K7" i="104" s="1"/>
  <c r="H34" i="104"/>
  <c r="H8" i="104"/>
  <c r="I8" i="104"/>
  <c r="D11" i="101" s="1"/>
  <c r="F92" i="108"/>
  <c r="G92" i="108" s="1"/>
  <c r="F91" i="108"/>
  <c r="G91" i="108" s="1"/>
  <c r="F90" i="108"/>
  <c r="G90" i="108" s="1"/>
  <c r="F89" i="108"/>
  <c r="G89" i="108" s="1"/>
  <c r="F88" i="108"/>
  <c r="G88" i="108" s="1"/>
  <c r="F87" i="108"/>
  <c r="G87" i="108" s="1"/>
  <c r="H100" i="108"/>
  <c r="G80" i="108"/>
  <c r="G100" i="108" s="1"/>
  <c r="G78" i="108"/>
  <c r="K66" i="108"/>
  <c r="K52" i="108"/>
  <c r="J51" i="108"/>
  <c r="H65" i="108"/>
  <c r="J49" i="108"/>
  <c r="G49" i="108"/>
  <c r="J48" i="108"/>
  <c r="H62" i="108"/>
  <c r="J46" i="108"/>
  <c r="H60" i="108"/>
  <c r="G46" i="108"/>
  <c r="H8" i="108"/>
  <c r="F92" i="107"/>
  <c r="F93" i="107" s="1"/>
  <c r="G93" i="107" s="1"/>
  <c r="F91" i="107"/>
  <c r="G91" i="107" s="1"/>
  <c r="F90" i="107"/>
  <c r="G90" i="107" s="1"/>
  <c r="F89" i="107"/>
  <c r="G89" i="107" s="1"/>
  <c r="F88" i="107"/>
  <c r="G88" i="107" s="1"/>
  <c r="F87" i="107"/>
  <c r="G87" i="107" s="1"/>
  <c r="H103" i="107"/>
  <c r="G83" i="107"/>
  <c r="G103" i="107" s="1"/>
  <c r="G81" i="107"/>
  <c r="G80" i="107"/>
  <c r="H99" i="107"/>
  <c r="K66" i="107"/>
  <c r="H61" i="107"/>
  <c r="I61" i="107" s="1"/>
  <c r="K52" i="107"/>
  <c r="G51" i="107"/>
  <c r="I47" i="107"/>
  <c r="G47" i="107"/>
  <c r="J46" i="107"/>
  <c r="H36" i="107"/>
  <c r="H7" i="107"/>
  <c r="H8" i="107"/>
  <c r="I7" i="107"/>
  <c r="F92" i="106"/>
  <c r="F93" i="106" s="1"/>
  <c r="G93" i="106" s="1"/>
  <c r="F91" i="106"/>
  <c r="G91" i="106" s="1"/>
  <c r="F90" i="106"/>
  <c r="G90" i="106" s="1"/>
  <c r="F89" i="106"/>
  <c r="G89" i="106" s="1"/>
  <c r="F88" i="106"/>
  <c r="G88" i="106" s="1"/>
  <c r="F87" i="106"/>
  <c r="G87" i="106" s="1"/>
  <c r="H103" i="106"/>
  <c r="H102" i="106"/>
  <c r="G82" i="106"/>
  <c r="H98" i="106"/>
  <c r="G78" i="106"/>
  <c r="K66" i="106"/>
  <c r="H65" i="106"/>
  <c r="J65" i="106" s="1"/>
  <c r="H62" i="106"/>
  <c r="J62" i="106" s="1"/>
  <c r="H59" i="106"/>
  <c r="J59" i="106" s="1"/>
  <c r="K52" i="106"/>
  <c r="H169" i="106"/>
  <c r="H168" i="106"/>
  <c r="J49" i="106"/>
  <c r="J48" i="106"/>
  <c r="I48" i="106"/>
  <c r="H164" i="106"/>
  <c r="J45" i="106"/>
  <c r="I45" i="106"/>
  <c r="J7" i="106"/>
  <c r="H8" i="106"/>
  <c r="H164" i="105"/>
  <c r="H103" i="105"/>
  <c r="H101" i="105"/>
  <c r="H99" i="105"/>
  <c r="F92" i="105"/>
  <c r="F93" i="105" s="1"/>
  <c r="G93" i="105" s="1"/>
  <c r="F91" i="105"/>
  <c r="G91" i="105" s="1"/>
  <c r="F90" i="105"/>
  <c r="G90" i="105" s="1"/>
  <c r="F89" i="105"/>
  <c r="G89" i="105" s="1"/>
  <c r="F88" i="105"/>
  <c r="G88" i="105" s="1"/>
  <c r="F87" i="105"/>
  <c r="G87" i="105" s="1"/>
  <c r="G83" i="105"/>
  <c r="G81" i="105"/>
  <c r="H100" i="105"/>
  <c r="G80" i="105"/>
  <c r="G100" i="105" s="1"/>
  <c r="G79" i="105"/>
  <c r="H98" i="105"/>
  <c r="G78" i="105"/>
  <c r="K66" i="105"/>
  <c r="H63" i="105"/>
  <c r="K52" i="105"/>
  <c r="J51" i="105"/>
  <c r="J50" i="105"/>
  <c r="J49" i="105"/>
  <c r="I49" i="105"/>
  <c r="G49" i="105"/>
  <c r="J36" i="105"/>
  <c r="I7" i="105"/>
  <c r="H7" i="105"/>
  <c r="H8" i="105"/>
  <c r="J7" i="105"/>
  <c r="H169" i="104"/>
  <c r="H103" i="104"/>
  <c r="H102" i="104"/>
  <c r="H101" i="104"/>
  <c r="H100" i="104"/>
  <c r="H97" i="104"/>
  <c r="F92" i="104"/>
  <c r="F93" i="104" s="1"/>
  <c r="G93" i="104" s="1"/>
  <c r="F91" i="104"/>
  <c r="G91" i="104" s="1"/>
  <c r="F90" i="104"/>
  <c r="G90" i="104" s="1"/>
  <c r="F89" i="104"/>
  <c r="G89" i="104" s="1"/>
  <c r="F88" i="104"/>
  <c r="G88" i="104" s="1"/>
  <c r="F87" i="104"/>
  <c r="G87" i="104" s="1"/>
  <c r="G83" i="104"/>
  <c r="G82" i="104"/>
  <c r="G102" i="104" s="1"/>
  <c r="G81" i="104"/>
  <c r="G80" i="104"/>
  <c r="G100" i="104" s="1"/>
  <c r="G77" i="104"/>
  <c r="K66" i="104"/>
  <c r="H63" i="104"/>
  <c r="H60" i="104"/>
  <c r="K52" i="104"/>
  <c r="J51" i="104"/>
  <c r="G51" i="104"/>
  <c r="J49" i="104"/>
  <c r="I49" i="104"/>
  <c r="G49" i="104"/>
  <c r="J48" i="104"/>
  <c r="G48" i="104"/>
  <c r="J46" i="104"/>
  <c r="I46" i="104"/>
  <c r="H36" i="104"/>
  <c r="H169" i="103"/>
  <c r="H166" i="103"/>
  <c r="H103" i="103"/>
  <c r="H101" i="103"/>
  <c r="H100" i="103"/>
  <c r="H99" i="103"/>
  <c r="F92" i="103"/>
  <c r="F93" i="103" s="1"/>
  <c r="G93" i="103" s="1"/>
  <c r="F91" i="103"/>
  <c r="G91" i="103" s="1"/>
  <c r="F90" i="103"/>
  <c r="G90" i="103" s="1"/>
  <c r="F89" i="103"/>
  <c r="G89" i="103" s="1"/>
  <c r="F88" i="103"/>
  <c r="G88" i="103" s="1"/>
  <c r="F87" i="103"/>
  <c r="G87" i="103" s="1"/>
  <c r="G83" i="103"/>
  <c r="G103" i="103" s="1"/>
  <c r="G82" i="103"/>
  <c r="G81" i="103"/>
  <c r="G80" i="103"/>
  <c r="G100" i="103" s="1"/>
  <c r="G79" i="103"/>
  <c r="G99" i="103" s="1"/>
  <c r="G77" i="103"/>
  <c r="G97" i="103" s="1"/>
  <c r="K66" i="103"/>
  <c r="H62" i="103"/>
  <c r="G62" i="103" s="1"/>
  <c r="H61" i="103"/>
  <c r="G61" i="103" s="1"/>
  <c r="K52" i="103"/>
  <c r="G50" i="103"/>
  <c r="J49" i="103"/>
  <c r="I49" i="103"/>
  <c r="G49" i="103"/>
  <c r="J48" i="103"/>
  <c r="G48" i="103"/>
  <c r="J47" i="103"/>
  <c r="G47" i="103"/>
  <c r="H8" i="103"/>
  <c r="K7" i="103"/>
  <c r="J7" i="103"/>
  <c r="H7" i="103"/>
  <c r="I36" i="105" l="1"/>
  <c r="I9" i="105" s="1"/>
  <c r="D14" i="101" s="1"/>
  <c r="H36" i="103"/>
  <c r="J36" i="107"/>
  <c r="J8" i="107"/>
  <c r="E19" i="101" s="1"/>
  <c r="I36" i="103"/>
  <c r="I36" i="104"/>
  <c r="I8" i="107"/>
  <c r="D19" i="101" s="1"/>
  <c r="J36" i="104"/>
  <c r="H169" i="105"/>
  <c r="I45" i="103"/>
  <c r="H60" i="105"/>
  <c r="G79" i="106"/>
  <c r="G99" i="106" s="1"/>
  <c r="G48" i="107"/>
  <c r="G78" i="103"/>
  <c r="G98" i="103" s="1"/>
  <c r="G79" i="104"/>
  <c r="G99" i="104" s="1"/>
  <c r="G46" i="105"/>
  <c r="G50" i="107"/>
  <c r="I46" i="105"/>
  <c r="G77" i="105"/>
  <c r="G97" i="105" s="1"/>
  <c r="I51" i="106"/>
  <c r="I50" i="107"/>
  <c r="K101" i="104"/>
  <c r="H169" i="107"/>
  <c r="G92" i="106"/>
  <c r="I102" i="106" s="1"/>
  <c r="I61" i="103"/>
  <c r="J61" i="103"/>
  <c r="J99" i="103"/>
  <c r="F93" i="108"/>
  <c r="G93" i="108" s="1"/>
  <c r="I51" i="103"/>
  <c r="K99" i="103"/>
  <c r="M99" i="103" s="1"/>
  <c r="K97" i="104"/>
  <c r="K103" i="103"/>
  <c r="M103" i="103" s="1"/>
  <c r="H98" i="104"/>
  <c r="J103" i="103"/>
  <c r="J61" i="107"/>
  <c r="G82" i="108"/>
  <c r="G102" i="108" s="1"/>
  <c r="H65" i="103"/>
  <c r="G65" i="103" s="1"/>
  <c r="G51" i="103"/>
  <c r="I98" i="103"/>
  <c r="H7" i="104"/>
  <c r="G34" i="104"/>
  <c r="G36" i="104" s="1"/>
  <c r="H7" i="106"/>
  <c r="G34" i="106"/>
  <c r="G36" i="106" s="1"/>
  <c r="H7" i="108"/>
  <c r="G34" i="108"/>
  <c r="G36" i="108" s="1"/>
  <c r="I103" i="103"/>
  <c r="G82" i="107"/>
  <c r="H98" i="107"/>
  <c r="K98" i="107" s="1"/>
  <c r="K103" i="104"/>
  <c r="H167" i="103"/>
  <c r="J64" i="107"/>
  <c r="H52" i="107"/>
  <c r="G45" i="107"/>
  <c r="K36" i="103"/>
  <c r="K9" i="103" s="1"/>
  <c r="F24" i="101" s="1"/>
  <c r="K36" i="107"/>
  <c r="K9" i="107" s="1"/>
  <c r="F20" i="101" s="1"/>
  <c r="K36" i="106"/>
  <c r="K9" i="106" s="1"/>
  <c r="F16" i="101" s="1"/>
  <c r="K98" i="106"/>
  <c r="J98" i="106"/>
  <c r="I98" i="106"/>
  <c r="J99" i="106"/>
  <c r="I99" i="106"/>
  <c r="K99" i="106"/>
  <c r="J97" i="106"/>
  <c r="I97" i="106"/>
  <c r="K97" i="106"/>
  <c r="G100" i="106"/>
  <c r="J101" i="106"/>
  <c r="I101" i="106"/>
  <c r="K101" i="106"/>
  <c r="K102" i="106"/>
  <c r="J102" i="106"/>
  <c r="J103" i="106"/>
  <c r="I103" i="106"/>
  <c r="K103" i="106"/>
  <c r="I36" i="106"/>
  <c r="H165" i="106"/>
  <c r="J99" i="107"/>
  <c r="I99" i="107"/>
  <c r="K99" i="107"/>
  <c r="J36" i="106"/>
  <c r="I47" i="106"/>
  <c r="I50" i="106"/>
  <c r="H61" i="106"/>
  <c r="H64" i="106"/>
  <c r="G83" i="106"/>
  <c r="G100" i="107"/>
  <c r="J52" i="108"/>
  <c r="K102" i="108"/>
  <c r="J102" i="108"/>
  <c r="I102" i="108"/>
  <c r="J47" i="106"/>
  <c r="J50" i="106"/>
  <c r="G98" i="106"/>
  <c r="G102" i="106"/>
  <c r="H9" i="107"/>
  <c r="C20" i="101" s="1"/>
  <c r="G101" i="107"/>
  <c r="G103" i="108"/>
  <c r="J60" i="108"/>
  <c r="I60" i="108"/>
  <c r="G60" i="108"/>
  <c r="G45" i="106"/>
  <c r="G48" i="106"/>
  <c r="G51" i="106"/>
  <c r="G81" i="106"/>
  <c r="H100" i="106"/>
  <c r="H168" i="107"/>
  <c r="J101" i="107"/>
  <c r="I101" i="107"/>
  <c r="K101" i="107"/>
  <c r="I62" i="108"/>
  <c r="G62" i="108"/>
  <c r="J62" i="108"/>
  <c r="H163" i="106"/>
  <c r="H166" i="106"/>
  <c r="G59" i="106"/>
  <c r="G62" i="106"/>
  <c r="G65" i="106"/>
  <c r="H149" i="106"/>
  <c r="I62" i="106"/>
  <c r="J98" i="107"/>
  <c r="I98" i="107"/>
  <c r="H167" i="108"/>
  <c r="I59" i="106"/>
  <c r="I65" i="106"/>
  <c r="G46" i="106"/>
  <c r="G49" i="106"/>
  <c r="G77" i="106"/>
  <c r="J103" i="107"/>
  <c r="I103" i="107"/>
  <c r="K103" i="107"/>
  <c r="M103" i="107" s="1"/>
  <c r="H100" i="107"/>
  <c r="K98" i="108"/>
  <c r="J98" i="108"/>
  <c r="I98" i="108"/>
  <c r="J97" i="107"/>
  <c r="I97" i="107"/>
  <c r="K97" i="107"/>
  <c r="G99" i="108"/>
  <c r="I46" i="106"/>
  <c r="I49" i="106"/>
  <c r="H60" i="106"/>
  <c r="H63" i="106"/>
  <c r="H165" i="107"/>
  <c r="H163" i="108"/>
  <c r="I65" i="108"/>
  <c r="G65" i="108"/>
  <c r="J65" i="108"/>
  <c r="H52" i="106"/>
  <c r="J46" i="106"/>
  <c r="G98" i="107"/>
  <c r="K100" i="108"/>
  <c r="M100" i="108" s="1"/>
  <c r="J100" i="108"/>
  <c r="I100" i="108"/>
  <c r="G47" i="106"/>
  <c r="G50" i="106"/>
  <c r="G101" i="108"/>
  <c r="J9" i="107"/>
  <c r="E20" i="101" s="1"/>
  <c r="G61" i="107"/>
  <c r="G64" i="107"/>
  <c r="H149" i="108"/>
  <c r="H52" i="108"/>
  <c r="G97" i="108"/>
  <c r="J47" i="107"/>
  <c r="J50" i="107"/>
  <c r="G102" i="107"/>
  <c r="K8" i="108"/>
  <c r="F21" i="101" s="1"/>
  <c r="I46" i="108"/>
  <c r="I49" i="108"/>
  <c r="H63" i="108"/>
  <c r="H97" i="108"/>
  <c r="H99" i="108"/>
  <c r="H101" i="108"/>
  <c r="H103" i="108"/>
  <c r="H169" i="108"/>
  <c r="H36" i="108"/>
  <c r="G47" i="108"/>
  <c r="G50" i="108"/>
  <c r="I45" i="107"/>
  <c r="I48" i="107"/>
  <c r="I51" i="107"/>
  <c r="H59" i="107"/>
  <c r="H62" i="107"/>
  <c r="H65" i="107"/>
  <c r="G79" i="107"/>
  <c r="G92" i="107"/>
  <c r="J102" i="107" s="1"/>
  <c r="I36" i="108"/>
  <c r="J45" i="107"/>
  <c r="J51" i="107"/>
  <c r="J36" i="108"/>
  <c r="I47" i="108"/>
  <c r="I50" i="108"/>
  <c r="H61" i="108"/>
  <c r="H64" i="108"/>
  <c r="G46" i="107"/>
  <c r="G49" i="107"/>
  <c r="G77" i="107"/>
  <c r="K36" i="108"/>
  <c r="G98" i="108"/>
  <c r="G45" i="108"/>
  <c r="G48" i="108"/>
  <c r="G51" i="108"/>
  <c r="I46" i="107"/>
  <c r="I49" i="107"/>
  <c r="H60" i="107"/>
  <c r="H63" i="107"/>
  <c r="I45" i="108"/>
  <c r="I48" i="108"/>
  <c r="I51" i="108"/>
  <c r="H59" i="108"/>
  <c r="K97" i="105"/>
  <c r="J97" i="105"/>
  <c r="I97" i="105"/>
  <c r="G47" i="104"/>
  <c r="H61" i="104"/>
  <c r="I47" i="104"/>
  <c r="G97" i="104"/>
  <c r="H102" i="105"/>
  <c r="G82" i="105"/>
  <c r="K101" i="105"/>
  <c r="J101" i="105"/>
  <c r="I101" i="105"/>
  <c r="J47" i="104"/>
  <c r="G101" i="104"/>
  <c r="G103" i="105"/>
  <c r="K103" i="105"/>
  <c r="J103" i="105"/>
  <c r="I103" i="105"/>
  <c r="H165" i="105"/>
  <c r="K100" i="104"/>
  <c r="M100" i="104" s="1"/>
  <c r="J100" i="104"/>
  <c r="I100" i="104"/>
  <c r="J97" i="104"/>
  <c r="I97" i="104"/>
  <c r="J103" i="104"/>
  <c r="I103" i="104"/>
  <c r="J60" i="105"/>
  <c r="I60" i="105"/>
  <c r="G60" i="105"/>
  <c r="H166" i="104"/>
  <c r="J9" i="105"/>
  <c r="E14" i="101" s="1"/>
  <c r="K98" i="105"/>
  <c r="J98" i="105"/>
  <c r="I98" i="105"/>
  <c r="H164" i="104"/>
  <c r="K7" i="105"/>
  <c r="K36" i="105"/>
  <c r="J63" i="105"/>
  <c r="I63" i="105"/>
  <c r="G63" i="105"/>
  <c r="G99" i="105"/>
  <c r="J63" i="104"/>
  <c r="G63" i="104"/>
  <c r="H163" i="105"/>
  <c r="I63" i="104"/>
  <c r="H9" i="104"/>
  <c r="C12" i="101" s="1"/>
  <c r="J9" i="104"/>
  <c r="E12" i="101" s="1"/>
  <c r="I9" i="104"/>
  <c r="D12" i="101" s="1"/>
  <c r="G103" i="104"/>
  <c r="M103" i="104" s="1"/>
  <c r="G98" i="104"/>
  <c r="K36" i="104"/>
  <c r="G50" i="104"/>
  <c r="H64" i="104"/>
  <c r="I50" i="104"/>
  <c r="J99" i="104"/>
  <c r="I99" i="104"/>
  <c r="J8" i="105"/>
  <c r="E13" i="101" s="1"/>
  <c r="G101" i="105"/>
  <c r="J101" i="104"/>
  <c r="I101" i="104"/>
  <c r="K99" i="105"/>
  <c r="J99" i="105"/>
  <c r="I99" i="105"/>
  <c r="J60" i="104"/>
  <c r="G60" i="104"/>
  <c r="I60" i="104"/>
  <c r="J98" i="104"/>
  <c r="K98" i="104"/>
  <c r="I98" i="104"/>
  <c r="H52" i="104"/>
  <c r="J50" i="104"/>
  <c r="K99" i="104"/>
  <c r="M99" i="104" s="1"/>
  <c r="K100" i="105"/>
  <c r="M100" i="105" s="1"/>
  <c r="J100" i="105"/>
  <c r="I100" i="105"/>
  <c r="H168" i="105"/>
  <c r="H52" i="105"/>
  <c r="H36" i="105"/>
  <c r="G47" i="105"/>
  <c r="G50" i="105"/>
  <c r="H149" i="105"/>
  <c r="I48" i="104"/>
  <c r="I51" i="104"/>
  <c r="H59" i="104"/>
  <c r="H62" i="104"/>
  <c r="H65" i="104"/>
  <c r="G92" i="104"/>
  <c r="K102" i="104" s="1"/>
  <c r="M102" i="104" s="1"/>
  <c r="J45" i="104"/>
  <c r="I47" i="105"/>
  <c r="I50" i="105"/>
  <c r="H61" i="105"/>
  <c r="H64" i="105"/>
  <c r="G46" i="104"/>
  <c r="G98" i="105"/>
  <c r="I45" i="104"/>
  <c r="G45" i="105"/>
  <c r="G48" i="105"/>
  <c r="G51" i="105"/>
  <c r="H167" i="105"/>
  <c r="I45" i="105"/>
  <c r="I48" i="105"/>
  <c r="I51" i="105"/>
  <c r="H59" i="105"/>
  <c r="H62" i="105"/>
  <c r="H65" i="105"/>
  <c r="G92" i="105"/>
  <c r="J45" i="105"/>
  <c r="J52" i="105" s="1"/>
  <c r="G102" i="103"/>
  <c r="K101" i="103"/>
  <c r="H9" i="103"/>
  <c r="C24" i="101" s="1"/>
  <c r="I9" i="103"/>
  <c r="D24" i="101" s="1"/>
  <c r="I100" i="103"/>
  <c r="J100" i="103"/>
  <c r="K100" i="103"/>
  <c r="I8" i="103"/>
  <c r="D23" i="101" s="1"/>
  <c r="J98" i="103"/>
  <c r="I47" i="103"/>
  <c r="H59" i="103"/>
  <c r="H63" i="103"/>
  <c r="J101" i="103"/>
  <c r="G46" i="103"/>
  <c r="G52" i="103" s="1"/>
  <c r="H168" i="103"/>
  <c r="I50" i="103"/>
  <c r="J62" i="103"/>
  <c r="I62" i="103"/>
  <c r="I7" i="103"/>
  <c r="J50" i="103"/>
  <c r="I101" i="103"/>
  <c r="G92" i="103"/>
  <c r="J46" i="103"/>
  <c r="H60" i="103"/>
  <c r="G101" i="103"/>
  <c r="J8" i="103"/>
  <c r="E23" i="101" s="1"/>
  <c r="H97" i="103"/>
  <c r="K8" i="103"/>
  <c r="F23" i="101" s="1"/>
  <c r="I48" i="103"/>
  <c r="H64" i="103"/>
  <c r="H102" i="103"/>
  <c r="I46" i="103"/>
  <c r="K98" i="103"/>
  <c r="I99" i="103"/>
  <c r="H52" i="103"/>
  <c r="J45" i="103"/>
  <c r="M8" i="100"/>
  <c r="M19" i="100"/>
  <c r="F23" i="100"/>
  <c r="G23" i="100"/>
  <c r="H23" i="100"/>
  <c r="J23" i="100"/>
  <c r="K23" i="100"/>
  <c r="L23" i="100"/>
  <c r="G22" i="100"/>
  <c r="H22" i="100"/>
  <c r="J22" i="100"/>
  <c r="K22" i="100"/>
  <c r="L22" i="100"/>
  <c r="G73" i="35"/>
  <c r="H34" i="35"/>
  <c r="K35" i="35"/>
  <c r="K8" i="35" s="1"/>
  <c r="F9" i="101" s="1"/>
  <c r="J35" i="35"/>
  <c r="J8" i="35" s="1"/>
  <c r="E9" i="101" s="1"/>
  <c r="I35" i="35"/>
  <c r="I8" i="35" s="1"/>
  <c r="D9" i="101" s="1"/>
  <c r="K34" i="35"/>
  <c r="J34" i="35"/>
  <c r="I34" i="35"/>
  <c r="M18" i="100" l="1"/>
  <c r="M17" i="100"/>
  <c r="M10" i="100"/>
  <c r="M11" i="100"/>
  <c r="D17" i="117" s="1"/>
  <c r="H26" i="100"/>
  <c r="G73" i="112"/>
  <c r="G73" i="115"/>
  <c r="L26" i="100"/>
  <c r="H73" i="115" s="1"/>
  <c r="G73" i="114"/>
  <c r="K26" i="100"/>
  <c r="H73" i="114" s="1"/>
  <c r="G73" i="113"/>
  <c r="J26" i="100"/>
  <c r="H73" i="113" s="1"/>
  <c r="J36" i="35"/>
  <c r="J9" i="35" s="1"/>
  <c r="E10" i="101" s="1"/>
  <c r="G52" i="107"/>
  <c r="M97" i="104"/>
  <c r="M101" i="107"/>
  <c r="J102" i="104"/>
  <c r="M102" i="108"/>
  <c r="M99" i="105"/>
  <c r="M102" i="106"/>
  <c r="I65" i="103"/>
  <c r="J65" i="103"/>
  <c r="K102" i="107"/>
  <c r="M102" i="107" s="1"/>
  <c r="M98" i="104"/>
  <c r="H36" i="35"/>
  <c r="G34" i="35"/>
  <c r="G36" i="35" s="1"/>
  <c r="K36" i="35"/>
  <c r="K9" i="35" s="1"/>
  <c r="F10" i="101" s="1"/>
  <c r="G73" i="111"/>
  <c r="G26" i="100"/>
  <c r="H73" i="111" s="1"/>
  <c r="F26" i="100"/>
  <c r="H73" i="110" s="1"/>
  <c r="G73" i="110"/>
  <c r="J25" i="100"/>
  <c r="H73" i="107" s="1"/>
  <c r="I124" i="107" s="1"/>
  <c r="G73" i="107"/>
  <c r="H25" i="100"/>
  <c r="G73" i="106"/>
  <c r="G25" i="100"/>
  <c r="H73" i="105" s="1"/>
  <c r="G122" i="105" s="1"/>
  <c r="G73" i="105"/>
  <c r="F25" i="100"/>
  <c r="H73" i="104" s="1"/>
  <c r="J119" i="104" s="1"/>
  <c r="G73" i="104"/>
  <c r="K25" i="100"/>
  <c r="H73" i="108" s="1"/>
  <c r="G109" i="108" s="1"/>
  <c r="G73" i="108"/>
  <c r="L25" i="100"/>
  <c r="H73" i="103" s="1"/>
  <c r="J119" i="103" s="1"/>
  <c r="G73" i="103"/>
  <c r="K149" i="106"/>
  <c r="J52" i="103"/>
  <c r="I52" i="106"/>
  <c r="J52" i="104"/>
  <c r="M98" i="108"/>
  <c r="I52" i="103"/>
  <c r="H55" i="108"/>
  <c r="I52" i="108"/>
  <c r="J52" i="106"/>
  <c r="H55" i="105"/>
  <c r="I52" i="104"/>
  <c r="G52" i="104"/>
  <c r="I55" i="108"/>
  <c r="J52" i="107"/>
  <c r="K100" i="107"/>
  <c r="J100" i="107"/>
  <c r="I100" i="107"/>
  <c r="H165" i="108"/>
  <c r="H168" i="108"/>
  <c r="G52" i="106"/>
  <c r="G103" i="106"/>
  <c r="H163" i="107"/>
  <c r="H149" i="107"/>
  <c r="H167" i="107"/>
  <c r="J59" i="107"/>
  <c r="I59" i="107"/>
  <c r="G59" i="107"/>
  <c r="I59" i="108"/>
  <c r="G59" i="108"/>
  <c r="J59" i="108"/>
  <c r="I63" i="107"/>
  <c r="G63" i="107"/>
  <c r="J63" i="107"/>
  <c r="I52" i="107"/>
  <c r="I55" i="107"/>
  <c r="I77" i="107" s="1"/>
  <c r="K103" i="108"/>
  <c r="M103" i="108" s="1"/>
  <c r="J103" i="108"/>
  <c r="I103" i="108"/>
  <c r="H164" i="108"/>
  <c r="J64" i="106"/>
  <c r="I64" i="106"/>
  <c r="G64" i="106"/>
  <c r="M99" i="106"/>
  <c r="J61" i="106"/>
  <c r="I61" i="106"/>
  <c r="G61" i="106"/>
  <c r="J62" i="107"/>
  <c r="I62" i="107"/>
  <c r="G62" i="107"/>
  <c r="I60" i="107"/>
  <c r="G60" i="107"/>
  <c r="J60" i="107"/>
  <c r="J64" i="108"/>
  <c r="I64" i="108"/>
  <c r="G64" i="108"/>
  <c r="K101" i="108"/>
  <c r="M101" i="108" s="1"/>
  <c r="J101" i="108"/>
  <c r="I101" i="108"/>
  <c r="J61" i="108"/>
  <c r="I61" i="108"/>
  <c r="G61" i="108"/>
  <c r="H166" i="108"/>
  <c r="K99" i="108"/>
  <c r="M99" i="108" s="1"/>
  <c r="J99" i="108"/>
  <c r="I99" i="108"/>
  <c r="J63" i="106"/>
  <c r="I63" i="106"/>
  <c r="G63" i="106"/>
  <c r="I55" i="106"/>
  <c r="I83" i="106" s="1"/>
  <c r="I9" i="106"/>
  <c r="D16" i="101" s="1"/>
  <c r="K97" i="108"/>
  <c r="M97" i="108" s="1"/>
  <c r="J97" i="108"/>
  <c r="I97" i="108"/>
  <c r="J60" i="106"/>
  <c r="I60" i="106"/>
  <c r="G60" i="106"/>
  <c r="M98" i="107"/>
  <c r="K9" i="108"/>
  <c r="F22" i="101" s="1"/>
  <c r="H166" i="107"/>
  <c r="H167" i="106"/>
  <c r="H170" i="106" s="1"/>
  <c r="H164" i="107"/>
  <c r="J9" i="108"/>
  <c r="E22" i="101" s="1"/>
  <c r="I9" i="108"/>
  <c r="D22" i="101" s="1"/>
  <c r="H9" i="108"/>
  <c r="C22" i="101" s="1"/>
  <c r="J63" i="108"/>
  <c r="I63" i="108"/>
  <c r="G63" i="108"/>
  <c r="G97" i="106"/>
  <c r="H55" i="106"/>
  <c r="J9" i="106"/>
  <c r="E16" i="101" s="1"/>
  <c r="G97" i="107"/>
  <c r="H55" i="107"/>
  <c r="G99" i="107"/>
  <c r="G120" i="107" s="1"/>
  <c r="I102" i="107"/>
  <c r="K100" i="106"/>
  <c r="J100" i="106"/>
  <c r="I100" i="106"/>
  <c r="M98" i="106"/>
  <c r="G118" i="108"/>
  <c r="G52" i="108"/>
  <c r="J65" i="107"/>
  <c r="I65" i="107"/>
  <c r="G65" i="107"/>
  <c r="G101" i="106"/>
  <c r="M101" i="106" s="1"/>
  <c r="H168" i="104"/>
  <c r="M97" i="105"/>
  <c r="J61" i="105"/>
  <c r="I61" i="105"/>
  <c r="G61" i="105"/>
  <c r="H55" i="104"/>
  <c r="K9" i="105"/>
  <c r="F14" i="101" s="1"/>
  <c r="G52" i="105"/>
  <c r="K102" i="105"/>
  <c r="J102" i="105"/>
  <c r="I102" i="105"/>
  <c r="J64" i="104"/>
  <c r="I64" i="104"/>
  <c r="G64" i="104"/>
  <c r="H163" i="104"/>
  <c r="H149" i="104"/>
  <c r="H9" i="105"/>
  <c r="C14" i="101" s="1"/>
  <c r="I55" i="105"/>
  <c r="I52" i="105"/>
  <c r="J65" i="104"/>
  <c r="I65" i="104"/>
  <c r="G65" i="104"/>
  <c r="J62" i="104"/>
  <c r="I62" i="104"/>
  <c r="G62" i="104"/>
  <c r="I55" i="104"/>
  <c r="M103" i="105"/>
  <c r="M101" i="104"/>
  <c r="J59" i="104"/>
  <c r="I59" i="104"/>
  <c r="G59" i="104"/>
  <c r="K9" i="104"/>
  <c r="F12" i="101" s="1"/>
  <c r="I61" i="104"/>
  <c r="G61" i="104"/>
  <c r="J61" i="104"/>
  <c r="H166" i="105"/>
  <c r="H170" i="105" s="1"/>
  <c r="I65" i="105"/>
  <c r="G65" i="105"/>
  <c r="J65" i="105"/>
  <c r="H167" i="104"/>
  <c r="I62" i="105"/>
  <c r="G62" i="105"/>
  <c r="J62" i="105"/>
  <c r="I102" i="104"/>
  <c r="H165" i="104"/>
  <c r="M101" i="105"/>
  <c r="I59" i="105"/>
  <c r="G59" i="105"/>
  <c r="J59" i="105"/>
  <c r="J64" i="105"/>
  <c r="I64" i="105"/>
  <c r="G64" i="105"/>
  <c r="M98" i="105"/>
  <c r="G102" i="105"/>
  <c r="H149" i="103"/>
  <c r="H163" i="103"/>
  <c r="M100" i="103"/>
  <c r="M101" i="103"/>
  <c r="K149" i="103"/>
  <c r="J64" i="103"/>
  <c r="I64" i="103"/>
  <c r="G64" i="103"/>
  <c r="H55" i="103"/>
  <c r="J60" i="103"/>
  <c r="I60" i="103"/>
  <c r="G60" i="103"/>
  <c r="K102" i="103"/>
  <c r="J102" i="103"/>
  <c r="I102" i="103"/>
  <c r="J63" i="103"/>
  <c r="I63" i="103"/>
  <c r="G63" i="103"/>
  <c r="J59" i="103"/>
  <c r="I59" i="103"/>
  <c r="G59" i="103"/>
  <c r="M98" i="103"/>
  <c r="K97" i="103"/>
  <c r="J97" i="103"/>
  <c r="I97" i="103"/>
  <c r="H164" i="103"/>
  <c r="I55" i="103"/>
  <c r="H165" i="103"/>
  <c r="M6" i="100"/>
  <c r="M7" i="100"/>
  <c r="M23" i="100"/>
  <c r="E17" i="117" s="1"/>
  <c r="M13" i="100"/>
  <c r="M15" i="100"/>
  <c r="M14" i="100"/>
  <c r="I36" i="35"/>
  <c r="I9" i="35" s="1"/>
  <c r="D10" i="101" s="1"/>
  <c r="M22" i="100"/>
  <c r="M26" i="100"/>
  <c r="F17" i="117" s="1"/>
  <c r="K7" i="35"/>
  <c r="J7" i="35"/>
  <c r="I7" i="35"/>
  <c r="K66" i="35"/>
  <c r="K52" i="35"/>
  <c r="I118" i="107" l="1"/>
  <c r="G111" i="107"/>
  <c r="I123" i="105"/>
  <c r="G122" i="107"/>
  <c r="H121" i="107"/>
  <c r="G119" i="107"/>
  <c r="G108" i="107"/>
  <c r="G113" i="105"/>
  <c r="H73" i="106"/>
  <c r="G121" i="106" s="1"/>
  <c r="H123" i="113"/>
  <c r="H113" i="113"/>
  <c r="J118" i="113"/>
  <c r="G112" i="113"/>
  <c r="K118" i="113"/>
  <c r="I122" i="113"/>
  <c r="J119" i="113"/>
  <c r="H120" i="113"/>
  <c r="H119" i="113"/>
  <c r="H109" i="113"/>
  <c r="J121" i="113"/>
  <c r="G110" i="113"/>
  <c r="I118" i="113"/>
  <c r="H112" i="113"/>
  <c r="H134" i="113" s="1"/>
  <c r="H18" i="113" s="1"/>
  <c r="G108" i="113"/>
  <c r="G113" i="113"/>
  <c r="I119" i="113"/>
  <c r="H108" i="113"/>
  <c r="J124" i="113"/>
  <c r="G124" i="113"/>
  <c r="I124" i="113"/>
  <c r="K121" i="113"/>
  <c r="K124" i="113"/>
  <c r="J122" i="113"/>
  <c r="H122" i="113"/>
  <c r="G122" i="113"/>
  <c r="H111" i="113"/>
  <c r="H133" i="113" s="1"/>
  <c r="H17" i="113" s="1"/>
  <c r="H118" i="113"/>
  <c r="G118" i="113"/>
  <c r="H107" i="113"/>
  <c r="G111" i="113"/>
  <c r="G109" i="113"/>
  <c r="H124" i="113"/>
  <c r="I121" i="113"/>
  <c r="G123" i="113"/>
  <c r="K122" i="113"/>
  <c r="H121" i="113"/>
  <c r="H110" i="113"/>
  <c r="H132" i="113" s="1"/>
  <c r="H16" i="113" s="1"/>
  <c r="G107" i="113"/>
  <c r="J123" i="113"/>
  <c r="G120" i="113"/>
  <c r="I120" i="113"/>
  <c r="K120" i="113"/>
  <c r="I123" i="113"/>
  <c r="G119" i="113"/>
  <c r="K119" i="113"/>
  <c r="G121" i="113"/>
  <c r="M121" i="113" s="1"/>
  <c r="K123" i="113"/>
  <c r="M123" i="113" s="1"/>
  <c r="I113" i="113"/>
  <c r="J120" i="113"/>
  <c r="J125" i="113" s="1"/>
  <c r="I107" i="113"/>
  <c r="I108" i="113"/>
  <c r="I130" i="113" s="1"/>
  <c r="I14" i="113" s="1"/>
  <c r="I110" i="113"/>
  <c r="I132" i="113" s="1"/>
  <c r="I16" i="113" s="1"/>
  <c r="I111" i="113"/>
  <c r="I133" i="113" s="1"/>
  <c r="I17" i="113" s="1"/>
  <c r="I112" i="113"/>
  <c r="I109" i="113"/>
  <c r="I131" i="113" s="1"/>
  <c r="I15" i="113" s="1"/>
  <c r="J112" i="113"/>
  <c r="J134" i="113" s="1"/>
  <c r="J18" i="113" s="1"/>
  <c r="J107" i="113"/>
  <c r="J110" i="113"/>
  <c r="J132" i="113" s="1"/>
  <c r="J16" i="113" s="1"/>
  <c r="J113" i="113"/>
  <c r="J108" i="113"/>
  <c r="J109" i="113"/>
  <c r="J131" i="113" s="1"/>
  <c r="J15" i="113" s="1"/>
  <c r="J111" i="113"/>
  <c r="J133" i="113" s="1"/>
  <c r="J17" i="113" s="1"/>
  <c r="K110" i="113"/>
  <c r="K112" i="113"/>
  <c r="K107" i="113"/>
  <c r="K111" i="113"/>
  <c r="K109" i="113"/>
  <c r="K113" i="113"/>
  <c r="K108" i="113"/>
  <c r="H118" i="114"/>
  <c r="H110" i="114"/>
  <c r="H113" i="114"/>
  <c r="H111" i="114"/>
  <c r="H109" i="114"/>
  <c r="H112" i="114"/>
  <c r="H120" i="114"/>
  <c r="H107" i="114"/>
  <c r="H108" i="114"/>
  <c r="H130" i="114" s="1"/>
  <c r="H14" i="114" s="1"/>
  <c r="H123" i="114"/>
  <c r="H121" i="114"/>
  <c r="H119" i="114"/>
  <c r="H124" i="114"/>
  <c r="K118" i="114"/>
  <c r="G108" i="114"/>
  <c r="G111" i="114"/>
  <c r="G112" i="114"/>
  <c r="G109" i="114"/>
  <c r="H122" i="114"/>
  <c r="J120" i="114"/>
  <c r="G107" i="114"/>
  <c r="G114" i="114" s="1"/>
  <c r="I121" i="114"/>
  <c r="I119" i="114"/>
  <c r="G123" i="114"/>
  <c r="I120" i="114"/>
  <c r="G110" i="114"/>
  <c r="J118" i="114"/>
  <c r="G118" i="114"/>
  <c r="J119" i="114"/>
  <c r="G113" i="114"/>
  <c r="I118" i="114"/>
  <c r="K121" i="114"/>
  <c r="K120" i="114"/>
  <c r="M120" i="114" s="1"/>
  <c r="J121" i="114"/>
  <c r="K119" i="114"/>
  <c r="M119" i="114" s="1"/>
  <c r="G119" i="114"/>
  <c r="G120" i="114"/>
  <c r="K122" i="114"/>
  <c r="K124" i="114"/>
  <c r="G122" i="114"/>
  <c r="G124" i="114"/>
  <c r="I122" i="114"/>
  <c r="I124" i="114"/>
  <c r="J122" i="114"/>
  <c r="I123" i="114"/>
  <c r="J123" i="114"/>
  <c r="J124" i="114"/>
  <c r="K123" i="114"/>
  <c r="G121" i="114"/>
  <c r="I107" i="114"/>
  <c r="I110" i="114"/>
  <c r="I108" i="114"/>
  <c r="I113" i="114"/>
  <c r="I112" i="114"/>
  <c r="I111" i="114"/>
  <c r="I133" i="114" s="1"/>
  <c r="I17" i="114" s="1"/>
  <c r="I109" i="114"/>
  <c r="J111" i="114"/>
  <c r="J133" i="114" s="1"/>
  <c r="J17" i="114" s="1"/>
  <c r="J108" i="114"/>
  <c r="J130" i="114" s="1"/>
  <c r="J14" i="114" s="1"/>
  <c r="J110" i="114"/>
  <c r="J132" i="114" s="1"/>
  <c r="J16" i="114" s="1"/>
  <c r="J112" i="114"/>
  <c r="J109" i="114"/>
  <c r="J131" i="114" s="1"/>
  <c r="J15" i="114" s="1"/>
  <c r="J107" i="114"/>
  <c r="J113" i="114"/>
  <c r="K111" i="114"/>
  <c r="K112" i="114"/>
  <c r="K113" i="114"/>
  <c r="K109" i="114"/>
  <c r="K107" i="114"/>
  <c r="K108" i="114"/>
  <c r="K110" i="114"/>
  <c r="H122" i="115"/>
  <c r="I118" i="115"/>
  <c r="H107" i="115"/>
  <c r="H112" i="115"/>
  <c r="H119" i="115"/>
  <c r="H123" i="115"/>
  <c r="H109" i="115"/>
  <c r="H120" i="115"/>
  <c r="H108" i="115"/>
  <c r="H130" i="115" s="1"/>
  <c r="H14" i="115" s="1"/>
  <c r="H111" i="115"/>
  <c r="H133" i="115" s="1"/>
  <c r="H17" i="115" s="1"/>
  <c r="H110" i="115"/>
  <c r="H132" i="115" s="1"/>
  <c r="H16" i="115" s="1"/>
  <c r="H113" i="115"/>
  <c r="H135" i="115" s="1"/>
  <c r="H19" i="115" s="1"/>
  <c r="H118" i="115"/>
  <c r="H121" i="115"/>
  <c r="I122" i="115"/>
  <c r="G119" i="115"/>
  <c r="K123" i="115"/>
  <c r="J122" i="115"/>
  <c r="K121" i="115"/>
  <c r="J120" i="115"/>
  <c r="G110" i="115"/>
  <c r="K118" i="115"/>
  <c r="K119" i="115"/>
  <c r="M119" i="115" s="1"/>
  <c r="J118" i="115"/>
  <c r="G124" i="115"/>
  <c r="J121" i="115"/>
  <c r="I119" i="115"/>
  <c r="J119" i="115"/>
  <c r="G118" i="115"/>
  <c r="G109" i="115"/>
  <c r="H124" i="115"/>
  <c r="G108" i="115"/>
  <c r="G112" i="115"/>
  <c r="G113" i="115"/>
  <c r="G111" i="115"/>
  <c r="K124" i="115"/>
  <c r="M124" i="115" s="1"/>
  <c r="I124" i="115"/>
  <c r="I121" i="115"/>
  <c r="G107" i="115"/>
  <c r="G122" i="115"/>
  <c r="K122" i="115"/>
  <c r="M122" i="115" s="1"/>
  <c r="G121" i="115"/>
  <c r="G120" i="115"/>
  <c r="K120" i="115"/>
  <c r="I123" i="115"/>
  <c r="J123" i="115"/>
  <c r="I120" i="115"/>
  <c r="I125" i="115" s="1"/>
  <c r="G123" i="115"/>
  <c r="G125" i="115" s="1"/>
  <c r="J124" i="115"/>
  <c r="I112" i="115"/>
  <c r="I107" i="115"/>
  <c r="I109" i="115"/>
  <c r="I110" i="115"/>
  <c r="I132" i="115" s="1"/>
  <c r="I16" i="115" s="1"/>
  <c r="I111" i="115"/>
  <c r="I133" i="115" s="1"/>
  <c r="I17" i="115" s="1"/>
  <c r="I108" i="115"/>
  <c r="I130" i="115" s="1"/>
  <c r="I14" i="115" s="1"/>
  <c r="I113" i="115"/>
  <c r="I135" i="115" s="1"/>
  <c r="I19" i="115" s="1"/>
  <c r="J109" i="115"/>
  <c r="J131" i="115" s="1"/>
  <c r="J15" i="115" s="1"/>
  <c r="J113" i="115"/>
  <c r="J110" i="115"/>
  <c r="J132" i="115" s="1"/>
  <c r="J16" i="115" s="1"/>
  <c r="J108" i="115"/>
  <c r="J130" i="115" s="1"/>
  <c r="J14" i="115" s="1"/>
  <c r="J112" i="115"/>
  <c r="J107" i="115"/>
  <c r="J111" i="115"/>
  <c r="J133" i="115" s="1"/>
  <c r="J17" i="115" s="1"/>
  <c r="K112" i="115"/>
  <c r="K107" i="115"/>
  <c r="K111" i="115"/>
  <c r="K109" i="115"/>
  <c r="K108" i="115"/>
  <c r="K113" i="115"/>
  <c r="K110" i="115"/>
  <c r="H73" i="112"/>
  <c r="H121" i="105"/>
  <c r="I123" i="107"/>
  <c r="H121" i="108"/>
  <c r="I123" i="108"/>
  <c r="I75" i="117"/>
  <c r="I78" i="117" s="1"/>
  <c r="E75" i="117"/>
  <c r="G75" i="117"/>
  <c r="G48" i="117"/>
  <c r="E48" i="117"/>
  <c r="G22" i="117"/>
  <c r="I22" i="117"/>
  <c r="I25" i="117" s="1"/>
  <c r="I48" i="117"/>
  <c r="I51" i="117" s="1"/>
  <c r="E22" i="117"/>
  <c r="K69" i="104"/>
  <c r="M99" i="107"/>
  <c r="H69" i="105"/>
  <c r="G66" i="106"/>
  <c r="K119" i="107"/>
  <c r="J123" i="107"/>
  <c r="G119" i="103"/>
  <c r="I123" i="103"/>
  <c r="K121" i="103"/>
  <c r="J123" i="103"/>
  <c r="J120" i="107"/>
  <c r="G121" i="107"/>
  <c r="I121" i="107"/>
  <c r="J118" i="107"/>
  <c r="I120" i="103"/>
  <c r="J119" i="106"/>
  <c r="I118" i="106"/>
  <c r="I121" i="105"/>
  <c r="I119" i="107"/>
  <c r="G113" i="106"/>
  <c r="I113" i="106"/>
  <c r="J121" i="107"/>
  <c r="K118" i="107"/>
  <c r="G123" i="107"/>
  <c r="K118" i="104"/>
  <c r="K120" i="104"/>
  <c r="G109" i="104"/>
  <c r="K123" i="104"/>
  <c r="K122" i="103"/>
  <c r="G109" i="106"/>
  <c r="K123" i="107"/>
  <c r="G107" i="108"/>
  <c r="I122" i="107"/>
  <c r="J124" i="107"/>
  <c r="H123" i="108"/>
  <c r="K122" i="107"/>
  <c r="I121" i="108"/>
  <c r="G120" i="108"/>
  <c r="K122" i="105"/>
  <c r="H123" i="105"/>
  <c r="H110" i="105"/>
  <c r="H132" i="105" s="1"/>
  <c r="H16" i="105" s="1"/>
  <c r="H112" i="105"/>
  <c r="H124" i="105"/>
  <c r="K120" i="105"/>
  <c r="I121" i="104"/>
  <c r="G112" i="104"/>
  <c r="I120" i="104"/>
  <c r="G123" i="105"/>
  <c r="G119" i="104"/>
  <c r="K124" i="104"/>
  <c r="H111" i="105"/>
  <c r="J123" i="105"/>
  <c r="G123" i="104"/>
  <c r="J118" i="105"/>
  <c r="G124" i="104"/>
  <c r="H113" i="105"/>
  <c r="J123" i="104"/>
  <c r="G120" i="104"/>
  <c r="K122" i="104"/>
  <c r="I123" i="104"/>
  <c r="I118" i="105"/>
  <c r="H118" i="105"/>
  <c r="G118" i="104"/>
  <c r="H122" i="105"/>
  <c r="G107" i="105"/>
  <c r="K119" i="104"/>
  <c r="I124" i="105"/>
  <c r="G109" i="105"/>
  <c r="K119" i="105"/>
  <c r="G108" i="104"/>
  <c r="G121" i="105"/>
  <c r="K121" i="104"/>
  <c r="I118" i="104"/>
  <c r="K121" i="105"/>
  <c r="J118" i="104"/>
  <c r="H109" i="110"/>
  <c r="K123" i="110"/>
  <c r="H123" i="110"/>
  <c r="H107" i="110"/>
  <c r="H121" i="110"/>
  <c r="K124" i="110"/>
  <c r="K122" i="110"/>
  <c r="H119" i="110"/>
  <c r="H112" i="110"/>
  <c r="H110" i="110"/>
  <c r="H108" i="110"/>
  <c r="H120" i="110"/>
  <c r="H124" i="110"/>
  <c r="K120" i="110"/>
  <c r="H122" i="110"/>
  <c r="H113" i="110"/>
  <c r="H111" i="110"/>
  <c r="K121" i="110"/>
  <c r="J124" i="110"/>
  <c r="G119" i="110"/>
  <c r="G107" i="110"/>
  <c r="G123" i="110"/>
  <c r="J120" i="110"/>
  <c r="G112" i="110"/>
  <c r="K119" i="110"/>
  <c r="J123" i="110"/>
  <c r="G124" i="110"/>
  <c r="G108" i="110"/>
  <c r="H118" i="110"/>
  <c r="I124" i="110"/>
  <c r="G122" i="110"/>
  <c r="J119" i="110"/>
  <c r="I122" i="110"/>
  <c r="G120" i="110"/>
  <c r="J122" i="110"/>
  <c r="I120" i="110"/>
  <c r="G118" i="110"/>
  <c r="J121" i="110"/>
  <c r="I123" i="110"/>
  <c r="G113" i="110"/>
  <c r="I119" i="110"/>
  <c r="G111" i="110"/>
  <c r="I121" i="110"/>
  <c r="G109" i="110"/>
  <c r="G110" i="110"/>
  <c r="I107" i="110"/>
  <c r="I118" i="110"/>
  <c r="I111" i="110"/>
  <c r="I109" i="110"/>
  <c r="I112" i="110"/>
  <c r="I110" i="110"/>
  <c r="I113" i="110"/>
  <c r="G121" i="110"/>
  <c r="K118" i="110"/>
  <c r="I108" i="110"/>
  <c r="J118" i="110"/>
  <c r="J109" i="110"/>
  <c r="J107" i="110"/>
  <c r="J111" i="110"/>
  <c r="J113" i="110"/>
  <c r="J110" i="110"/>
  <c r="J112" i="110"/>
  <c r="J108" i="110"/>
  <c r="K108" i="110"/>
  <c r="K107" i="110"/>
  <c r="K113" i="110"/>
  <c r="K112" i="110"/>
  <c r="K109" i="110"/>
  <c r="K110" i="110"/>
  <c r="K111" i="110"/>
  <c r="H112" i="111"/>
  <c r="H108" i="111"/>
  <c r="H124" i="111"/>
  <c r="H120" i="111"/>
  <c r="H118" i="111"/>
  <c r="H113" i="111"/>
  <c r="H111" i="111"/>
  <c r="I120" i="111"/>
  <c r="H109" i="111"/>
  <c r="H110" i="111"/>
  <c r="H119" i="111"/>
  <c r="H107" i="111"/>
  <c r="K120" i="111"/>
  <c r="AB96" i="101" s="1"/>
  <c r="K118" i="111"/>
  <c r="G118" i="111"/>
  <c r="G108" i="111"/>
  <c r="H122" i="111"/>
  <c r="I118" i="111"/>
  <c r="G113" i="111"/>
  <c r="H123" i="111"/>
  <c r="G111" i="111"/>
  <c r="G123" i="111"/>
  <c r="G109" i="111"/>
  <c r="G120" i="111"/>
  <c r="G121" i="111"/>
  <c r="G107" i="111"/>
  <c r="J119" i="111"/>
  <c r="G119" i="111"/>
  <c r="J118" i="111"/>
  <c r="J122" i="111"/>
  <c r="G124" i="111"/>
  <c r="H121" i="111"/>
  <c r="G112" i="111"/>
  <c r="J120" i="111"/>
  <c r="G110" i="111"/>
  <c r="G122" i="111"/>
  <c r="J121" i="111"/>
  <c r="K124" i="111"/>
  <c r="I124" i="111"/>
  <c r="K123" i="111"/>
  <c r="AB99" i="101" s="1"/>
  <c r="K122" i="111"/>
  <c r="J123" i="111"/>
  <c r="I122" i="111"/>
  <c r="J124" i="111"/>
  <c r="I119" i="111"/>
  <c r="K119" i="111"/>
  <c r="I110" i="111"/>
  <c r="I123" i="111"/>
  <c r="I121" i="111"/>
  <c r="K121" i="111"/>
  <c r="I113" i="111"/>
  <c r="I111" i="111"/>
  <c r="I107" i="111"/>
  <c r="I112" i="111"/>
  <c r="I109" i="111"/>
  <c r="I108" i="111"/>
  <c r="J110" i="111"/>
  <c r="J109" i="111"/>
  <c r="J107" i="111"/>
  <c r="J108" i="111"/>
  <c r="J111" i="111"/>
  <c r="J112" i="111"/>
  <c r="J113" i="111"/>
  <c r="K107" i="111"/>
  <c r="K112" i="111"/>
  <c r="K113" i="111"/>
  <c r="K109" i="111"/>
  <c r="K108" i="111"/>
  <c r="K111" i="111"/>
  <c r="K110" i="111"/>
  <c r="H108" i="105"/>
  <c r="H120" i="105"/>
  <c r="K124" i="105"/>
  <c r="J120" i="105"/>
  <c r="H119" i="105"/>
  <c r="G120" i="105"/>
  <c r="G118" i="105"/>
  <c r="G112" i="105"/>
  <c r="G119" i="105"/>
  <c r="G124" i="105"/>
  <c r="I120" i="105"/>
  <c r="H107" i="105"/>
  <c r="K123" i="105"/>
  <c r="M123" i="105" s="1"/>
  <c r="J120" i="104"/>
  <c r="G110" i="105"/>
  <c r="H109" i="105"/>
  <c r="K118" i="105"/>
  <c r="H107" i="108"/>
  <c r="I118" i="108"/>
  <c r="K119" i="108"/>
  <c r="G119" i="108"/>
  <c r="K119" i="103"/>
  <c r="G110" i="108"/>
  <c r="H109" i="108"/>
  <c r="J119" i="108"/>
  <c r="K121" i="108"/>
  <c r="I122" i="108"/>
  <c r="I124" i="108"/>
  <c r="G121" i="108"/>
  <c r="H111" i="108"/>
  <c r="J121" i="108"/>
  <c r="K123" i="108"/>
  <c r="J118" i="108"/>
  <c r="J122" i="108"/>
  <c r="J124" i="108"/>
  <c r="H123" i="103"/>
  <c r="H113" i="108"/>
  <c r="J123" i="108"/>
  <c r="H118" i="108"/>
  <c r="K124" i="108"/>
  <c r="G112" i="108"/>
  <c r="H108" i="108"/>
  <c r="H120" i="108"/>
  <c r="J120" i="108"/>
  <c r="G123" i="108"/>
  <c r="I124" i="104"/>
  <c r="H110" i="108"/>
  <c r="H122" i="108"/>
  <c r="I120" i="108"/>
  <c r="H112" i="108"/>
  <c r="H124" i="108"/>
  <c r="G113" i="108"/>
  <c r="I119" i="103"/>
  <c r="G108" i="103"/>
  <c r="H119" i="108"/>
  <c r="I119" i="108"/>
  <c r="G124" i="108"/>
  <c r="J121" i="105"/>
  <c r="J121" i="104"/>
  <c r="I122" i="103"/>
  <c r="J121" i="103"/>
  <c r="I119" i="104"/>
  <c r="J124" i="104"/>
  <c r="G122" i="103"/>
  <c r="J122" i="104"/>
  <c r="I121" i="103"/>
  <c r="G122" i="104"/>
  <c r="G111" i="105"/>
  <c r="G108" i="105"/>
  <c r="J124" i="105"/>
  <c r="J119" i="105"/>
  <c r="I122" i="105"/>
  <c r="G111" i="108"/>
  <c r="G108" i="108"/>
  <c r="H124" i="106"/>
  <c r="H110" i="106"/>
  <c r="H120" i="106"/>
  <c r="I119" i="105"/>
  <c r="I122" i="104"/>
  <c r="J122" i="105"/>
  <c r="H109" i="104"/>
  <c r="H120" i="104"/>
  <c r="H110" i="104"/>
  <c r="H121" i="104"/>
  <c r="H118" i="104"/>
  <c r="G121" i="104"/>
  <c r="H108" i="104"/>
  <c r="G110" i="104"/>
  <c r="G107" i="104"/>
  <c r="H111" i="104"/>
  <c r="H123" i="104"/>
  <c r="H119" i="104"/>
  <c r="G111" i="104"/>
  <c r="H124" i="104"/>
  <c r="G113" i="104"/>
  <c r="H107" i="104"/>
  <c r="H112" i="104"/>
  <c r="H122" i="104"/>
  <c r="H113" i="104"/>
  <c r="G113" i="103"/>
  <c r="H122" i="103"/>
  <c r="I124" i="103"/>
  <c r="G123" i="103"/>
  <c r="H108" i="103"/>
  <c r="G109" i="103"/>
  <c r="H113" i="103"/>
  <c r="G121" i="103"/>
  <c r="G112" i="103"/>
  <c r="H107" i="103"/>
  <c r="G110" i="103"/>
  <c r="H119" i="103"/>
  <c r="G124" i="103"/>
  <c r="H110" i="103"/>
  <c r="K124" i="103"/>
  <c r="K120" i="103"/>
  <c r="G107" i="103"/>
  <c r="H118" i="103"/>
  <c r="G118" i="103"/>
  <c r="H109" i="103"/>
  <c r="H124" i="103"/>
  <c r="H120" i="103"/>
  <c r="H121" i="103"/>
  <c r="G111" i="103"/>
  <c r="H111" i="103"/>
  <c r="H112" i="103"/>
  <c r="J124" i="103"/>
  <c r="J120" i="103"/>
  <c r="G120" i="103"/>
  <c r="J122" i="103"/>
  <c r="G122" i="108"/>
  <c r="G107" i="107"/>
  <c r="H113" i="107"/>
  <c r="I120" i="107"/>
  <c r="J122" i="107"/>
  <c r="H111" i="107"/>
  <c r="G109" i="107"/>
  <c r="H107" i="107"/>
  <c r="H109" i="107"/>
  <c r="J119" i="107"/>
  <c r="H123" i="107"/>
  <c r="G112" i="107"/>
  <c r="G110" i="107"/>
  <c r="H119" i="107"/>
  <c r="H112" i="107"/>
  <c r="G124" i="107"/>
  <c r="H110" i="107"/>
  <c r="H132" i="107" s="1"/>
  <c r="H16" i="107" s="1"/>
  <c r="G113" i="107"/>
  <c r="H118" i="107"/>
  <c r="H108" i="107"/>
  <c r="H124" i="107"/>
  <c r="K124" i="107"/>
  <c r="H122" i="107"/>
  <c r="M122" i="107" s="1"/>
  <c r="K120" i="107"/>
  <c r="H120" i="107"/>
  <c r="H170" i="108"/>
  <c r="I149" i="105"/>
  <c r="I79" i="107"/>
  <c r="I109" i="107" s="1"/>
  <c r="G66" i="103"/>
  <c r="I69" i="103"/>
  <c r="K69" i="103"/>
  <c r="I69" i="108"/>
  <c r="H69" i="108"/>
  <c r="J69" i="107"/>
  <c r="I69" i="106"/>
  <c r="J66" i="106"/>
  <c r="H69" i="106"/>
  <c r="I77" i="106"/>
  <c r="I81" i="106"/>
  <c r="J69" i="105"/>
  <c r="K69" i="105"/>
  <c r="I82" i="108"/>
  <c r="I112" i="108" s="1"/>
  <c r="I134" i="108" s="1"/>
  <c r="I83" i="108"/>
  <c r="I113" i="108" s="1"/>
  <c r="I77" i="108"/>
  <c r="I80" i="108"/>
  <c r="I110" i="108" s="1"/>
  <c r="I78" i="108"/>
  <c r="I108" i="108" s="1"/>
  <c r="I79" i="108"/>
  <c r="I109" i="108" s="1"/>
  <c r="I81" i="108"/>
  <c r="I111" i="108" s="1"/>
  <c r="H69" i="107"/>
  <c r="G118" i="107"/>
  <c r="H170" i="107"/>
  <c r="I66" i="106"/>
  <c r="I107" i="107"/>
  <c r="J66" i="108"/>
  <c r="K69" i="106"/>
  <c r="M97" i="107"/>
  <c r="M103" i="106"/>
  <c r="I149" i="108"/>
  <c r="G66" i="108"/>
  <c r="K118" i="108"/>
  <c r="I66" i="108"/>
  <c r="M100" i="107"/>
  <c r="K121" i="107"/>
  <c r="M121" i="107" s="1"/>
  <c r="K120" i="108"/>
  <c r="K122" i="108"/>
  <c r="I78" i="106"/>
  <c r="I79" i="106"/>
  <c r="I80" i="106"/>
  <c r="I110" i="106" s="1"/>
  <c r="I82" i="106"/>
  <c r="G66" i="107"/>
  <c r="I66" i="107"/>
  <c r="I69" i="107"/>
  <c r="J66" i="107"/>
  <c r="I149" i="107"/>
  <c r="J69" i="108"/>
  <c r="I83" i="107"/>
  <c r="I113" i="107" s="1"/>
  <c r="I135" i="107" s="1"/>
  <c r="I82" i="107"/>
  <c r="I112" i="107" s="1"/>
  <c r="I134" i="107" s="1"/>
  <c r="I81" i="107"/>
  <c r="I111" i="107" s="1"/>
  <c r="I133" i="107" s="1"/>
  <c r="I80" i="107"/>
  <c r="I110" i="107" s="1"/>
  <c r="I132" i="107" s="1"/>
  <c r="I78" i="107"/>
  <c r="I108" i="107" s="1"/>
  <c r="I130" i="107" s="1"/>
  <c r="M97" i="106"/>
  <c r="J69" i="106"/>
  <c r="M100" i="106"/>
  <c r="K69" i="108"/>
  <c r="K69" i="107"/>
  <c r="I149" i="106"/>
  <c r="H170" i="104"/>
  <c r="I80" i="104"/>
  <c r="I110" i="104" s="1"/>
  <c r="I83" i="104"/>
  <c r="I113" i="104" s="1"/>
  <c r="I79" i="104"/>
  <c r="I109" i="104" s="1"/>
  <c r="I77" i="104"/>
  <c r="I82" i="104"/>
  <c r="I112" i="104" s="1"/>
  <c r="I78" i="104"/>
  <c r="I108" i="104" s="1"/>
  <c r="I81" i="104"/>
  <c r="I111" i="104" s="1"/>
  <c r="I77" i="105"/>
  <c r="I81" i="105"/>
  <c r="I111" i="105" s="1"/>
  <c r="I83" i="105"/>
  <c r="I113" i="105" s="1"/>
  <c r="I78" i="105"/>
  <c r="I108" i="105" s="1"/>
  <c r="I80" i="105"/>
  <c r="I110" i="105" s="1"/>
  <c r="I79" i="105"/>
  <c r="I109" i="105" s="1"/>
  <c r="G66" i="104"/>
  <c r="I66" i="104"/>
  <c r="I69" i="104"/>
  <c r="J66" i="104"/>
  <c r="J69" i="104"/>
  <c r="M102" i="105"/>
  <c r="I149" i="104"/>
  <c r="M122" i="105"/>
  <c r="J66" i="105"/>
  <c r="I82" i="105"/>
  <c r="I112" i="105" s="1"/>
  <c r="I134" i="105" s="1"/>
  <c r="G66" i="105"/>
  <c r="I66" i="105"/>
  <c r="I69" i="105"/>
  <c r="H69" i="104"/>
  <c r="I149" i="103"/>
  <c r="M97" i="103"/>
  <c r="K118" i="103"/>
  <c r="J149" i="103"/>
  <c r="H170" i="103"/>
  <c r="J118" i="103"/>
  <c r="M102" i="103"/>
  <c r="K123" i="103"/>
  <c r="I78" i="103"/>
  <c r="I108" i="103" s="1"/>
  <c r="I77" i="103"/>
  <c r="I82" i="103"/>
  <c r="I112" i="103" s="1"/>
  <c r="I79" i="103"/>
  <c r="I109" i="103" s="1"/>
  <c r="I131" i="103" s="1"/>
  <c r="I83" i="103"/>
  <c r="I113" i="103" s="1"/>
  <c r="I81" i="103"/>
  <c r="I111" i="103" s="1"/>
  <c r="I80" i="103"/>
  <c r="I110" i="103" s="1"/>
  <c r="I132" i="103" s="1"/>
  <c r="I66" i="103"/>
  <c r="H69" i="103"/>
  <c r="J69" i="103"/>
  <c r="I118" i="103"/>
  <c r="J66" i="103"/>
  <c r="M25" i="100"/>
  <c r="H73" i="35"/>
  <c r="F91" i="35"/>
  <c r="G91" i="35" s="1"/>
  <c r="F90" i="35"/>
  <c r="G90" i="35" s="1"/>
  <c r="F89" i="35"/>
  <c r="G89" i="35" s="1"/>
  <c r="F92" i="35"/>
  <c r="F93" i="35" s="1"/>
  <c r="G93" i="35" s="1"/>
  <c r="F88" i="35"/>
  <c r="G88" i="35" s="1"/>
  <c r="L78" i="98"/>
  <c r="F87" i="35" s="1"/>
  <c r="G87" i="35" s="1"/>
  <c r="L79" i="98"/>
  <c r="L80" i="98"/>
  <c r="L77" i="98"/>
  <c r="I80" i="98"/>
  <c r="J80" i="98" s="1"/>
  <c r="K80" i="98" s="1"/>
  <c r="I79" i="98"/>
  <c r="J79" i="98" s="1"/>
  <c r="K79" i="98" s="1"/>
  <c r="I78" i="98"/>
  <c r="J78" i="98" s="1"/>
  <c r="K78" i="98" s="1"/>
  <c r="I77" i="98"/>
  <c r="J77" i="98" s="1"/>
  <c r="K77" i="98" s="1"/>
  <c r="AA100" i="101" l="1"/>
  <c r="J125" i="115"/>
  <c r="J24" i="115" s="1"/>
  <c r="J135" i="115"/>
  <c r="J19" i="115" s="1"/>
  <c r="I131" i="114"/>
  <c r="I15" i="114" s="1"/>
  <c r="I135" i="111"/>
  <c r="I19" i="111" s="1"/>
  <c r="J134" i="111"/>
  <c r="J18" i="111" s="1"/>
  <c r="J131" i="111"/>
  <c r="J15" i="111" s="1"/>
  <c r="I112" i="106"/>
  <c r="H122" i="106"/>
  <c r="J118" i="106"/>
  <c r="I109" i="106"/>
  <c r="K118" i="106"/>
  <c r="H109" i="106"/>
  <c r="H131" i="106" s="1"/>
  <c r="H15" i="106" s="1"/>
  <c r="G107" i="106"/>
  <c r="K122" i="106"/>
  <c r="M122" i="106" s="1"/>
  <c r="I132" i="106"/>
  <c r="I108" i="106"/>
  <c r="H121" i="106"/>
  <c r="H132" i="106" s="1"/>
  <c r="H16" i="106" s="1"/>
  <c r="H107" i="106"/>
  <c r="H129" i="106" s="1"/>
  <c r="H108" i="106"/>
  <c r="H112" i="106"/>
  <c r="I120" i="106"/>
  <c r="I124" i="106"/>
  <c r="G124" i="106"/>
  <c r="H123" i="106"/>
  <c r="M123" i="106" s="1"/>
  <c r="J124" i="106"/>
  <c r="G112" i="106"/>
  <c r="G122" i="106"/>
  <c r="I121" i="106"/>
  <c r="I135" i="105"/>
  <c r="G118" i="106"/>
  <c r="M118" i="106" s="1"/>
  <c r="H111" i="106"/>
  <c r="G111" i="106"/>
  <c r="G120" i="106"/>
  <c r="I123" i="106"/>
  <c r="I111" i="106"/>
  <c r="H113" i="106"/>
  <c r="H135" i="106" s="1"/>
  <c r="H19" i="106" s="1"/>
  <c r="K119" i="106"/>
  <c r="K124" i="106"/>
  <c r="M124" i="106" s="1"/>
  <c r="J122" i="106"/>
  <c r="G119" i="106"/>
  <c r="M119" i="107"/>
  <c r="H119" i="106"/>
  <c r="H130" i="106" s="1"/>
  <c r="H14" i="106" s="1"/>
  <c r="H132" i="108"/>
  <c r="H16" i="108" s="1"/>
  <c r="G123" i="106"/>
  <c r="I122" i="106"/>
  <c r="J121" i="106"/>
  <c r="I119" i="106"/>
  <c r="K121" i="106"/>
  <c r="K125" i="106" s="1"/>
  <c r="I107" i="106"/>
  <c r="H118" i="106"/>
  <c r="G108" i="106"/>
  <c r="I24" i="115"/>
  <c r="M110" i="114"/>
  <c r="K132" i="114"/>
  <c r="J125" i="114"/>
  <c r="K131" i="113"/>
  <c r="M109" i="113"/>
  <c r="M110" i="115"/>
  <c r="K132" i="115"/>
  <c r="K125" i="115"/>
  <c r="M118" i="115"/>
  <c r="M108" i="114"/>
  <c r="K130" i="114"/>
  <c r="M111" i="113"/>
  <c r="K133" i="113"/>
  <c r="I134" i="113"/>
  <c r="I18" i="113" s="1"/>
  <c r="K135" i="115"/>
  <c r="M113" i="115"/>
  <c r="K114" i="114"/>
  <c r="K129" i="114"/>
  <c r="M107" i="114"/>
  <c r="M121" i="114"/>
  <c r="H114" i="114"/>
  <c r="H129" i="114"/>
  <c r="K129" i="113"/>
  <c r="M107" i="113"/>
  <c r="K114" i="113"/>
  <c r="H129" i="113"/>
  <c r="H114" i="113"/>
  <c r="H130" i="113"/>
  <c r="H14" i="113" s="1"/>
  <c r="M108" i="115"/>
  <c r="K130" i="115"/>
  <c r="M120" i="115"/>
  <c r="K131" i="114"/>
  <c r="M109" i="114"/>
  <c r="I125" i="114"/>
  <c r="K134" i="113"/>
  <c r="M112" i="113"/>
  <c r="M120" i="113"/>
  <c r="G125" i="113"/>
  <c r="J24" i="113" s="1"/>
  <c r="M118" i="113"/>
  <c r="K125" i="113"/>
  <c r="K131" i="115"/>
  <c r="M109" i="115"/>
  <c r="M121" i="115"/>
  <c r="H131" i="115"/>
  <c r="H15" i="115" s="1"/>
  <c r="K135" i="114"/>
  <c r="M113" i="114"/>
  <c r="I134" i="114"/>
  <c r="I18" i="114" s="1"/>
  <c r="H134" i="114"/>
  <c r="H18" i="114" s="1"/>
  <c r="M110" i="113"/>
  <c r="K132" i="113"/>
  <c r="H125" i="113"/>
  <c r="G120" i="112"/>
  <c r="G111" i="112"/>
  <c r="G110" i="112"/>
  <c r="G113" i="112"/>
  <c r="G121" i="112"/>
  <c r="G109" i="112"/>
  <c r="G112" i="112"/>
  <c r="G124" i="112"/>
  <c r="H120" i="112"/>
  <c r="I121" i="112"/>
  <c r="G118" i="112"/>
  <c r="H108" i="112"/>
  <c r="H130" i="112" s="1"/>
  <c r="H14" i="112" s="1"/>
  <c r="J122" i="112"/>
  <c r="AA98" i="101" s="1"/>
  <c r="H123" i="112"/>
  <c r="J118" i="112"/>
  <c r="G123" i="112"/>
  <c r="H113" i="112"/>
  <c r="J120" i="112"/>
  <c r="AA96" i="101" s="1"/>
  <c r="H124" i="112"/>
  <c r="H135" i="112" s="1"/>
  <c r="H19" i="112" s="1"/>
  <c r="K118" i="112"/>
  <c r="G108" i="112"/>
  <c r="H121" i="112"/>
  <c r="H112" i="112"/>
  <c r="H134" i="112" s="1"/>
  <c r="H18" i="112" s="1"/>
  <c r="I120" i="112"/>
  <c r="Z96" i="101" s="1"/>
  <c r="H107" i="112"/>
  <c r="I119" i="112"/>
  <c r="Z95" i="101" s="1"/>
  <c r="H119" i="112"/>
  <c r="K122" i="112"/>
  <c r="H109" i="112"/>
  <c r="H131" i="112" s="1"/>
  <c r="H15" i="112" s="1"/>
  <c r="H118" i="112"/>
  <c r="K120" i="112"/>
  <c r="M120" i="112" s="1"/>
  <c r="H111" i="112"/>
  <c r="H133" i="112" s="1"/>
  <c r="H17" i="112" s="1"/>
  <c r="G119" i="112"/>
  <c r="J121" i="112"/>
  <c r="H110" i="112"/>
  <c r="H132" i="112" s="1"/>
  <c r="H16" i="112" s="1"/>
  <c r="K119" i="112"/>
  <c r="M119" i="112" s="1"/>
  <c r="I122" i="112"/>
  <c r="G107" i="112"/>
  <c r="G114" i="112" s="1"/>
  <c r="K121" i="112"/>
  <c r="M121" i="112" s="1"/>
  <c r="G122" i="112"/>
  <c r="H122" i="112"/>
  <c r="K123" i="112"/>
  <c r="M123" i="112" s="1"/>
  <c r="I124" i="112"/>
  <c r="J119" i="112"/>
  <c r="J123" i="112"/>
  <c r="AA99" i="101" s="1"/>
  <c r="K124" i="112"/>
  <c r="J124" i="112"/>
  <c r="I123" i="112"/>
  <c r="I125" i="112" s="1"/>
  <c r="I109" i="112"/>
  <c r="Z84" i="101" s="1"/>
  <c r="I112" i="112"/>
  <c r="Z87" i="101" s="1"/>
  <c r="I118" i="112"/>
  <c r="I107" i="112"/>
  <c r="Z82" i="101" s="1"/>
  <c r="I113" i="112"/>
  <c r="Z88" i="101" s="1"/>
  <c r="I108" i="112"/>
  <c r="I111" i="112"/>
  <c r="I133" i="112" s="1"/>
  <c r="I17" i="112" s="1"/>
  <c r="I110" i="112"/>
  <c r="I132" i="112" s="1"/>
  <c r="I16" i="112" s="1"/>
  <c r="J112" i="112"/>
  <c r="J134" i="112" s="1"/>
  <c r="J18" i="112" s="1"/>
  <c r="J107" i="112"/>
  <c r="AA82" i="101" s="1"/>
  <c r="J108" i="112"/>
  <c r="AA83" i="101" s="1"/>
  <c r="J113" i="112"/>
  <c r="J135" i="112" s="1"/>
  <c r="J19" i="112" s="1"/>
  <c r="J110" i="112"/>
  <c r="AA85" i="101" s="1"/>
  <c r="J111" i="112"/>
  <c r="J133" i="112" s="1"/>
  <c r="J17" i="112" s="1"/>
  <c r="J109" i="112"/>
  <c r="AA84" i="101" s="1"/>
  <c r="K112" i="112"/>
  <c r="AB87" i="101" s="1"/>
  <c r="K110" i="112"/>
  <c r="AB85" i="101" s="1"/>
  <c r="K111" i="112"/>
  <c r="AB86" i="101" s="1"/>
  <c r="K109" i="112"/>
  <c r="AB84" i="101" s="1"/>
  <c r="K108" i="112"/>
  <c r="AB83" i="101" s="1"/>
  <c r="K107" i="112"/>
  <c r="AB82" i="101" s="1"/>
  <c r="K113" i="112"/>
  <c r="AB88" i="101" s="1"/>
  <c r="K133" i="115"/>
  <c r="M111" i="115"/>
  <c r="M112" i="114"/>
  <c r="K134" i="114"/>
  <c r="I135" i="114"/>
  <c r="I19" i="114" s="1"/>
  <c r="H131" i="114"/>
  <c r="H15" i="114" s="1"/>
  <c r="I129" i="113"/>
  <c r="I114" i="113"/>
  <c r="I23" i="113" s="1"/>
  <c r="G114" i="113"/>
  <c r="M113" i="113"/>
  <c r="K135" i="113"/>
  <c r="K129" i="115"/>
  <c r="K114" i="115"/>
  <c r="M107" i="115"/>
  <c r="M123" i="115"/>
  <c r="K133" i="114"/>
  <c r="M111" i="114"/>
  <c r="I130" i="114"/>
  <c r="I14" i="114" s="1"/>
  <c r="G125" i="114"/>
  <c r="H133" i="114"/>
  <c r="H17" i="114" s="1"/>
  <c r="H135" i="113"/>
  <c r="H19" i="113" s="1"/>
  <c r="M112" i="115"/>
  <c r="K134" i="115"/>
  <c r="I131" i="115"/>
  <c r="I15" i="115" s="1"/>
  <c r="H134" i="115"/>
  <c r="H18" i="115" s="1"/>
  <c r="J135" i="114"/>
  <c r="J19" i="114" s="1"/>
  <c r="I132" i="114"/>
  <c r="I16" i="114" s="1"/>
  <c r="M124" i="114"/>
  <c r="H135" i="114"/>
  <c r="H19" i="114" s="1"/>
  <c r="J130" i="113"/>
  <c r="J14" i="113" s="1"/>
  <c r="I135" i="113"/>
  <c r="I19" i="113" s="1"/>
  <c r="I125" i="113"/>
  <c r="I24" i="113" s="1"/>
  <c r="I129" i="115"/>
  <c r="I114" i="115"/>
  <c r="I23" i="115" s="1"/>
  <c r="G114" i="115"/>
  <c r="H129" i="115"/>
  <c r="H114" i="115"/>
  <c r="J114" i="114"/>
  <c r="J23" i="114" s="1"/>
  <c r="J129" i="114"/>
  <c r="I114" i="114"/>
  <c r="I23" i="114" s="1"/>
  <c r="I129" i="114"/>
  <c r="M122" i="114"/>
  <c r="M118" i="114"/>
  <c r="K125" i="114"/>
  <c r="H132" i="114"/>
  <c r="H16" i="114" s="1"/>
  <c r="J135" i="113"/>
  <c r="J19" i="113" s="1"/>
  <c r="M122" i="113"/>
  <c r="G109" i="118"/>
  <c r="G120" i="118"/>
  <c r="G111" i="118"/>
  <c r="G110" i="118"/>
  <c r="G107" i="118"/>
  <c r="G108" i="118"/>
  <c r="I122" i="118"/>
  <c r="G118" i="118"/>
  <c r="I123" i="118"/>
  <c r="H112" i="118"/>
  <c r="K119" i="118"/>
  <c r="M119" i="118" s="1"/>
  <c r="J124" i="118"/>
  <c r="H124" i="118"/>
  <c r="H110" i="118"/>
  <c r="K124" i="118"/>
  <c r="H109" i="118"/>
  <c r="G121" i="118"/>
  <c r="J122" i="118"/>
  <c r="H122" i="118"/>
  <c r="H108" i="118"/>
  <c r="I124" i="118"/>
  <c r="H107" i="118"/>
  <c r="G122" i="118"/>
  <c r="G119" i="118"/>
  <c r="J118" i="118"/>
  <c r="H120" i="118"/>
  <c r="H111" i="118"/>
  <c r="H133" i="118" s="1"/>
  <c r="H17" i="118" s="1"/>
  <c r="K122" i="118"/>
  <c r="I119" i="118"/>
  <c r="J123" i="118"/>
  <c r="H118" i="118"/>
  <c r="G112" i="118"/>
  <c r="J119" i="118"/>
  <c r="H113" i="118"/>
  <c r="G113" i="118"/>
  <c r="K118" i="118"/>
  <c r="I113" i="118"/>
  <c r="H123" i="118"/>
  <c r="K123" i="118"/>
  <c r="I118" i="118"/>
  <c r="G124" i="118"/>
  <c r="H121" i="118"/>
  <c r="K121" i="118"/>
  <c r="H119" i="118"/>
  <c r="I120" i="118"/>
  <c r="I111" i="118"/>
  <c r="I109" i="118"/>
  <c r="I131" i="118" s="1"/>
  <c r="I15" i="118" s="1"/>
  <c r="K120" i="118"/>
  <c r="J120" i="118"/>
  <c r="J121" i="118"/>
  <c r="I121" i="118"/>
  <c r="I107" i="118"/>
  <c r="I112" i="118"/>
  <c r="I110" i="118"/>
  <c r="I108" i="118"/>
  <c r="G123" i="118"/>
  <c r="J113" i="118"/>
  <c r="J135" i="118" s="1"/>
  <c r="J19" i="118" s="1"/>
  <c r="J112" i="118"/>
  <c r="J111" i="118"/>
  <c r="J133" i="118" s="1"/>
  <c r="J17" i="118" s="1"/>
  <c r="J107" i="118"/>
  <c r="J110" i="118"/>
  <c r="J109" i="118"/>
  <c r="J108" i="118"/>
  <c r="J130" i="118" s="1"/>
  <c r="J14" i="118" s="1"/>
  <c r="K107" i="118"/>
  <c r="K111" i="118"/>
  <c r="K113" i="118"/>
  <c r="K108" i="118"/>
  <c r="K110" i="118"/>
  <c r="K109" i="118"/>
  <c r="K112" i="118"/>
  <c r="J129" i="115"/>
  <c r="J114" i="115"/>
  <c r="J23" i="115" s="1"/>
  <c r="I134" i="115"/>
  <c r="I18" i="115" s="1"/>
  <c r="H125" i="114"/>
  <c r="M124" i="113"/>
  <c r="K123" i="106"/>
  <c r="G110" i="106"/>
  <c r="K120" i="106"/>
  <c r="J123" i="106"/>
  <c r="J120" i="106"/>
  <c r="J134" i="115"/>
  <c r="J18" i="115" s="1"/>
  <c r="H125" i="115"/>
  <c r="J134" i="114"/>
  <c r="J18" i="114" s="1"/>
  <c r="M123" i="114"/>
  <c r="K130" i="113"/>
  <c r="M108" i="113"/>
  <c r="J129" i="113"/>
  <c r="J114" i="113"/>
  <c r="J23" i="113" s="1"/>
  <c r="M119" i="113"/>
  <c r="H131" i="113"/>
  <c r="H15" i="113" s="1"/>
  <c r="I133" i="106"/>
  <c r="H135" i="105"/>
  <c r="H19" i="105" s="1"/>
  <c r="H125" i="105"/>
  <c r="I135" i="106"/>
  <c r="H129" i="105"/>
  <c r="H13" i="105" s="1"/>
  <c r="I131" i="106"/>
  <c r="I132" i="105"/>
  <c r="M124" i="105"/>
  <c r="I125" i="106"/>
  <c r="F22" i="117"/>
  <c r="F25" i="117" s="1"/>
  <c r="D22" i="117"/>
  <c r="D25" i="117" s="1"/>
  <c r="E25" i="117"/>
  <c r="F69" i="117"/>
  <c r="D69" i="117"/>
  <c r="E69" i="117"/>
  <c r="G69" i="117"/>
  <c r="H69" i="117"/>
  <c r="D42" i="117"/>
  <c r="J42" i="117"/>
  <c r="H11" i="117" s="1"/>
  <c r="AB120" i="101" s="1"/>
  <c r="F42" i="117"/>
  <c r="H42" i="117"/>
  <c r="G42" i="117"/>
  <c r="I42" i="117"/>
  <c r="H10" i="117" s="1"/>
  <c r="AB119" i="101" s="1"/>
  <c r="E42" i="117"/>
  <c r="G25" i="117"/>
  <c r="H22" i="117"/>
  <c r="H25" i="117" s="1"/>
  <c r="D48" i="117"/>
  <c r="D51" i="117" s="1"/>
  <c r="F48" i="117"/>
  <c r="F51" i="117" s="1"/>
  <c r="E51" i="117"/>
  <c r="H48" i="117"/>
  <c r="H51" i="117" s="1"/>
  <c r="G51" i="117"/>
  <c r="H75" i="117"/>
  <c r="H78" i="117" s="1"/>
  <c r="G78" i="117"/>
  <c r="F75" i="117"/>
  <c r="F78" i="117" s="1"/>
  <c r="D75" i="117"/>
  <c r="D78" i="117" s="1"/>
  <c r="E78" i="117"/>
  <c r="I132" i="108"/>
  <c r="M123" i="107"/>
  <c r="I131" i="105"/>
  <c r="I130" i="106"/>
  <c r="M120" i="104"/>
  <c r="I134" i="106"/>
  <c r="M121" i="111"/>
  <c r="H130" i="111"/>
  <c r="H14" i="111" s="1"/>
  <c r="H133" i="105"/>
  <c r="H17" i="105" s="1"/>
  <c r="I134" i="103"/>
  <c r="M123" i="103"/>
  <c r="H133" i="108"/>
  <c r="H17" i="108" s="1"/>
  <c r="G114" i="106"/>
  <c r="H134" i="103"/>
  <c r="H18" i="103" s="1"/>
  <c r="I133" i="103"/>
  <c r="G114" i="111"/>
  <c r="M120" i="105"/>
  <c r="M123" i="110"/>
  <c r="H131" i="111"/>
  <c r="H15" i="111" s="1"/>
  <c r="H131" i="108"/>
  <c r="H15" i="108" s="1"/>
  <c r="H134" i="105"/>
  <c r="H18" i="105" s="1"/>
  <c r="M121" i="108"/>
  <c r="M119" i="108"/>
  <c r="M118" i="105"/>
  <c r="J125" i="106"/>
  <c r="H133" i="103"/>
  <c r="H17" i="103" s="1"/>
  <c r="I125" i="107"/>
  <c r="M118" i="104"/>
  <c r="I133" i="105"/>
  <c r="I135" i="108"/>
  <c r="M120" i="106"/>
  <c r="H134" i="108"/>
  <c r="H18" i="108" s="1"/>
  <c r="H114" i="108"/>
  <c r="K125" i="104"/>
  <c r="H130" i="108"/>
  <c r="H14" i="108" s="1"/>
  <c r="M121" i="106"/>
  <c r="M120" i="108"/>
  <c r="M124" i="108"/>
  <c r="M123" i="108"/>
  <c r="M123" i="104"/>
  <c r="J125" i="108"/>
  <c r="M121" i="103"/>
  <c r="G114" i="108"/>
  <c r="G125" i="103"/>
  <c r="G125" i="105"/>
  <c r="I125" i="108"/>
  <c r="I131" i="108"/>
  <c r="I130" i="108"/>
  <c r="I131" i="107"/>
  <c r="H133" i="107"/>
  <c r="H17" i="107" s="1"/>
  <c r="M119" i="103"/>
  <c r="J125" i="107"/>
  <c r="H135" i="108"/>
  <c r="H19" i="108" s="1"/>
  <c r="H125" i="108"/>
  <c r="I125" i="105"/>
  <c r="H114" i="105"/>
  <c r="M121" i="105"/>
  <c r="I131" i="111"/>
  <c r="I15" i="111" s="1"/>
  <c r="M121" i="110"/>
  <c r="I134" i="111"/>
  <c r="I18" i="111" s="1"/>
  <c r="I130" i="105"/>
  <c r="M119" i="104"/>
  <c r="H131" i="105"/>
  <c r="H15" i="105" s="1"/>
  <c r="J125" i="105"/>
  <c r="J135" i="111"/>
  <c r="J19" i="111" s="1"/>
  <c r="H134" i="111"/>
  <c r="H18" i="111" s="1"/>
  <c r="M124" i="111"/>
  <c r="J130" i="111"/>
  <c r="J14" i="111" s="1"/>
  <c r="I132" i="111"/>
  <c r="I16" i="111" s="1"/>
  <c r="J132" i="111"/>
  <c r="J16" i="111" s="1"/>
  <c r="H135" i="111"/>
  <c r="H19" i="111" s="1"/>
  <c r="M122" i="111"/>
  <c r="J125" i="111"/>
  <c r="M124" i="110"/>
  <c r="G114" i="104"/>
  <c r="K125" i="105"/>
  <c r="H130" i="105"/>
  <c r="H14" i="105" s="1"/>
  <c r="I125" i="104"/>
  <c r="G114" i="105"/>
  <c r="G125" i="104"/>
  <c r="M119" i="105"/>
  <c r="M124" i="104"/>
  <c r="H125" i="111"/>
  <c r="I133" i="110"/>
  <c r="I17" i="110" s="1"/>
  <c r="J133" i="111"/>
  <c r="J17" i="111" s="1"/>
  <c r="M120" i="111"/>
  <c r="J133" i="110"/>
  <c r="J17" i="110" s="1"/>
  <c r="I125" i="110"/>
  <c r="H130" i="110"/>
  <c r="H14" i="110" s="1"/>
  <c r="H129" i="111"/>
  <c r="H114" i="111"/>
  <c r="M111" i="110"/>
  <c r="K133" i="110"/>
  <c r="J129" i="110"/>
  <c r="J114" i="110"/>
  <c r="I114" i="110"/>
  <c r="I129" i="110"/>
  <c r="M120" i="110"/>
  <c r="H132" i="110"/>
  <c r="H16" i="110" s="1"/>
  <c r="J114" i="111"/>
  <c r="J129" i="111"/>
  <c r="J131" i="110"/>
  <c r="J15" i="110" s="1"/>
  <c r="G114" i="110"/>
  <c r="H134" i="110"/>
  <c r="H18" i="110" s="1"/>
  <c r="J135" i="110"/>
  <c r="J19" i="110" s="1"/>
  <c r="M110" i="110"/>
  <c r="K132" i="110"/>
  <c r="K132" i="111"/>
  <c r="M110" i="111"/>
  <c r="M119" i="111"/>
  <c r="K131" i="110"/>
  <c r="M109" i="110"/>
  <c r="J125" i="110"/>
  <c r="M122" i="110"/>
  <c r="K133" i="111"/>
  <c r="M111" i="111"/>
  <c r="I130" i="110"/>
  <c r="I14" i="110" s="1"/>
  <c r="K130" i="111"/>
  <c r="M108" i="111"/>
  <c r="I130" i="111"/>
  <c r="I14" i="111" s="1"/>
  <c r="H132" i="111"/>
  <c r="H16" i="111" s="1"/>
  <c r="K135" i="110"/>
  <c r="M113" i="110"/>
  <c r="M118" i="110"/>
  <c r="K125" i="110"/>
  <c r="M118" i="111"/>
  <c r="K125" i="111"/>
  <c r="M112" i="110"/>
  <c r="K134" i="110"/>
  <c r="K131" i="111"/>
  <c r="M109" i="111"/>
  <c r="H133" i="111"/>
  <c r="H17" i="111" s="1"/>
  <c r="M107" i="110"/>
  <c r="K129" i="110"/>
  <c r="K114" i="110"/>
  <c r="H125" i="110"/>
  <c r="H133" i="110"/>
  <c r="H17" i="110" s="1"/>
  <c r="K135" i="111"/>
  <c r="M113" i="111"/>
  <c r="I125" i="111"/>
  <c r="K130" i="110"/>
  <c r="M108" i="110"/>
  <c r="I135" i="110"/>
  <c r="I19" i="110" s="1"/>
  <c r="H135" i="110"/>
  <c r="H19" i="110" s="1"/>
  <c r="H114" i="110"/>
  <c r="H129" i="110"/>
  <c r="I114" i="111"/>
  <c r="I23" i="111" s="1"/>
  <c r="I129" i="111"/>
  <c r="J130" i="110"/>
  <c r="J14" i="110" s="1"/>
  <c r="I132" i="110"/>
  <c r="I16" i="110" s="1"/>
  <c r="K114" i="111"/>
  <c r="M107" i="111"/>
  <c r="K129" i="111"/>
  <c r="I133" i="111"/>
  <c r="I17" i="111" s="1"/>
  <c r="M123" i="111"/>
  <c r="J134" i="110"/>
  <c r="J18" i="110" s="1"/>
  <c r="I134" i="110"/>
  <c r="I18" i="110" s="1"/>
  <c r="K134" i="111"/>
  <c r="M112" i="111"/>
  <c r="G125" i="111"/>
  <c r="J132" i="110"/>
  <c r="J16" i="110" s="1"/>
  <c r="I131" i="110"/>
  <c r="I15" i="110" s="1"/>
  <c r="G125" i="110"/>
  <c r="M119" i="110"/>
  <c r="H131" i="110"/>
  <c r="H15" i="110" s="1"/>
  <c r="J125" i="104"/>
  <c r="H135" i="104"/>
  <c r="H19" i="104" s="1"/>
  <c r="H130" i="104"/>
  <c r="H14" i="104" s="1"/>
  <c r="M122" i="104"/>
  <c r="M121" i="104"/>
  <c r="G125" i="107"/>
  <c r="I24" i="107" s="1"/>
  <c r="H129" i="108"/>
  <c r="H13" i="108" s="1"/>
  <c r="I133" i="108"/>
  <c r="G125" i="108"/>
  <c r="I130" i="103"/>
  <c r="H130" i="107"/>
  <c r="H14" i="107" s="1"/>
  <c r="M122" i="103"/>
  <c r="G114" i="107"/>
  <c r="H134" i="107"/>
  <c r="H18" i="107" s="1"/>
  <c r="H131" i="103"/>
  <c r="H15" i="103" s="1"/>
  <c r="M120" i="107"/>
  <c r="H125" i="103"/>
  <c r="H131" i="104"/>
  <c r="H15" i="104" s="1"/>
  <c r="G114" i="103"/>
  <c r="M122" i="108"/>
  <c r="H125" i="107"/>
  <c r="H131" i="107"/>
  <c r="H15" i="107" s="1"/>
  <c r="M124" i="103"/>
  <c r="H133" i="104"/>
  <c r="H17" i="104" s="1"/>
  <c r="I125" i="103"/>
  <c r="I24" i="103" s="1"/>
  <c r="H114" i="107"/>
  <c r="H129" i="107"/>
  <c r="H132" i="103"/>
  <c r="H16" i="103" s="1"/>
  <c r="J125" i="103"/>
  <c r="H129" i="103"/>
  <c r="H13" i="103" s="1"/>
  <c r="H114" i="103"/>
  <c r="H135" i="107"/>
  <c r="H19" i="107" s="1"/>
  <c r="H134" i="104"/>
  <c r="H18" i="104" s="1"/>
  <c r="H125" i="104"/>
  <c r="I135" i="103"/>
  <c r="H114" i="104"/>
  <c r="H129" i="104"/>
  <c r="H135" i="103"/>
  <c r="H19" i="103" s="1"/>
  <c r="H132" i="104"/>
  <c r="H16" i="104" s="1"/>
  <c r="H130" i="103"/>
  <c r="H14" i="103" s="1"/>
  <c r="M124" i="107"/>
  <c r="M120" i="103"/>
  <c r="H133" i="106"/>
  <c r="H17" i="106" s="1"/>
  <c r="J149" i="108"/>
  <c r="I131" i="104"/>
  <c r="I135" i="104"/>
  <c r="I132" i="104"/>
  <c r="I133" i="104"/>
  <c r="I130" i="104"/>
  <c r="I134" i="104"/>
  <c r="K125" i="107"/>
  <c r="J55" i="108"/>
  <c r="I107" i="108"/>
  <c r="M118" i="107"/>
  <c r="I114" i="107"/>
  <c r="I129" i="107"/>
  <c r="J55" i="107"/>
  <c r="J55" i="106"/>
  <c r="J149" i="107"/>
  <c r="J149" i="106"/>
  <c r="I129" i="106"/>
  <c r="I114" i="106"/>
  <c r="K125" i="108"/>
  <c r="M118" i="108"/>
  <c r="J55" i="104"/>
  <c r="I107" i="104"/>
  <c r="K149" i="104"/>
  <c r="J149" i="104"/>
  <c r="J55" i="105"/>
  <c r="I107" i="105"/>
  <c r="J149" i="105"/>
  <c r="J55" i="103"/>
  <c r="I107" i="103"/>
  <c r="M118" i="103"/>
  <c r="K125" i="103"/>
  <c r="G92" i="35"/>
  <c r="I130" i="112" l="1"/>
  <c r="I14" i="112" s="1"/>
  <c r="Z85" i="101"/>
  <c r="Z62" i="101"/>
  <c r="Z40" i="101" s="1"/>
  <c r="Z61" i="101"/>
  <c r="Z39" i="101" s="1"/>
  <c r="AA86" i="101"/>
  <c r="AA87" i="101"/>
  <c r="Z59" i="101"/>
  <c r="Z37" i="101" s="1"/>
  <c r="AA62" i="101"/>
  <c r="AA40" i="101" s="1"/>
  <c r="AA64" i="101"/>
  <c r="AA63" i="101"/>
  <c r="Z99" i="101"/>
  <c r="Z101" i="101" s="1"/>
  <c r="Z83" i="101"/>
  <c r="AA88" i="101"/>
  <c r="Z86" i="101"/>
  <c r="G125" i="106"/>
  <c r="J24" i="106" s="1"/>
  <c r="M119" i="106"/>
  <c r="H125" i="106"/>
  <c r="H134" i="106"/>
  <c r="H18" i="106" s="1"/>
  <c r="H114" i="106"/>
  <c r="I23" i="106"/>
  <c r="J134" i="118"/>
  <c r="J18" i="118" s="1"/>
  <c r="H135" i="118"/>
  <c r="H19" i="118" s="1"/>
  <c r="J131" i="118"/>
  <c r="J15" i="118" s="1"/>
  <c r="H132" i="118"/>
  <c r="H16" i="118" s="1"/>
  <c r="I133" i="118"/>
  <c r="I17" i="118" s="1"/>
  <c r="I134" i="118"/>
  <c r="I18" i="118" s="1"/>
  <c r="M130" i="113"/>
  <c r="K14" i="113"/>
  <c r="K13" i="113"/>
  <c r="M129" i="113"/>
  <c r="K136" i="113"/>
  <c r="K134" i="118"/>
  <c r="M112" i="118"/>
  <c r="H114" i="118"/>
  <c r="H129" i="118"/>
  <c r="H134" i="118"/>
  <c r="H18" i="118" s="1"/>
  <c r="I136" i="115"/>
  <c r="I13" i="115"/>
  <c r="I20" i="115" s="1"/>
  <c r="K131" i="112"/>
  <c r="M109" i="112"/>
  <c r="I24" i="114"/>
  <c r="H13" i="114"/>
  <c r="H20" i="114" s="1"/>
  <c r="H136" i="114"/>
  <c r="K18" i="113"/>
  <c r="M134" i="113"/>
  <c r="M109" i="118"/>
  <c r="K131" i="118"/>
  <c r="M125" i="114"/>
  <c r="K24" i="114"/>
  <c r="M111" i="112"/>
  <c r="K133" i="112"/>
  <c r="H129" i="112"/>
  <c r="H125" i="112"/>
  <c r="K19" i="114"/>
  <c r="M135" i="114"/>
  <c r="M130" i="114"/>
  <c r="K14" i="114"/>
  <c r="M110" i="118"/>
  <c r="K132" i="118"/>
  <c r="H130" i="118"/>
  <c r="H14" i="118" s="1"/>
  <c r="G125" i="118"/>
  <c r="I136" i="113"/>
  <c r="I13" i="113"/>
  <c r="I20" i="113" s="1"/>
  <c r="M110" i="112"/>
  <c r="K132" i="112"/>
  <c r="I135" i="112"/>
  <c r="I19" i="112" s="1"/>
  <c r="Z64" i="101" s="1"/>
  <c r="K15" i="114"/>
  <c r="M131" i="114"/>
  <c r="M125" i="115"/>
  <c r="K24" i="115"/>
  <c r="K130" i="118"/>
  <c r="M108" i="118"/>
  <c r="I130" i="118"/>
  <c r="I14" i="118" s="1"/>
  <c r="M121" i="118"/>
  <c r="H125" i="118"/>
  <c r="K134" i="112"/>
  <c r="M112" i="112"/>
  <c r="I129" i="112"/>
  <c r="I13" i="112" s="1"/>
  <c r="I114" i="112"/>
  <c r="I23" i="112" s="1"/>
  <c r="M122" i="112"/>
  <c r="M132" i="115"/>
  <c r="K16" i="115"/>
  <c r="K135" i="118"/>
  <c r="M113" i="118"/>
  <c r="I132" i="118"/>
  <c r="I16" i="118" s="1"/>
  <c r="I136" i="114"/>
  <c r="I13" i="114"/>
  <c r="I20" i="114" s="1"/>
  <c r="J131" i="112"/>
  <c r="J15" i="112" s="1"/>
  <c r="AA60" i="101" s="1"/>
  <c r="AA38" i="101" s="1"/>
  <c r="K14" i="115"/>
  <c r="M130" i="115"/>
  <c r="K13" i="114"/>
  <c r="M129" i="114"/>
  <c r="K136" i="114"/>
  <c r="M136" i="114" s="1"/>
  <c r="M111" i="118"/>
  <c r="K133" i="118"/>
  <c r="G114" i="118"/>
  <c r="M133" i="114"/>
  <c r="K17" i="114"/>
  <c r="K18" i="114"/>
  <c r="M134" i="114"/>
  <c r="I134" i="112"/>
  <c r="M131" i="115"/>
  <c r="K15" i="115"/>
  <c r="M114" i="114"/>
  <c r="K23" i="114"/>
  <c r="K114" i="118"/>
  <c r="K129" i="118"/>
  <c r="M107" i="118"/>
  <c r="I129" i="118"/>
  <c r="I114" i="118"/>
  <c r="I125" i="118"/>
  <c r="M122" i="118"/>
  <c r="H131" i="118"/>
  <c r="H15" i="118" s="1"/>
  <c r="J136" i="114"/>
  <c r="J13" i="114"/>
  <c r="J20" i="114" s="1"/>
  <c r="J132" i="112"/>
  <c r="J16" i="112" s="1"/>
  <c r="AA61" i="101" s="1"/>
  <c r="AA39" i="101" s="1"/>
  <c r="I131" i="112"/>
  <c r="I15" i="112" s="1"/>
  <c r="Z60" i="101" s="1"/>
  <c r="H114" i="112"/>
  <c r="K24" i="113"/>
  <c r="M125" i="113"/>
  <c r="K15" i="113"/>
  <c r="M131" i="113"/>
  <c r="J136" i="115"/>
  <c r="J13" i="115"/>
  <c r="J20" i="115" s="1"/>
  <c r="M108" i="112"/>
  <c r="K130" i="112"/>
  <c r="M123" i="118"/>
  <c r="M124" i="118"/>
  <c r="M135" i="115"/>
  <c r="K19" i="115"/>
  <c r="J24" i="114"/>
  <c r="M114" i="115"/>
  <c r="K23" i="115"/>
  <c r="K17" i="115"/>
  <c r="M133" i="115"/>
  <c r="J130" i="112"/>
  <c r="J14" i="112" s="1"/>
  <c r="AA59" i="101" s="1"/>
  <c r="AA37" i="101" s="1"/>
  <c r="G125" i="112"/>
  <c r="I24" i="112" s="1"/>
  <c r="M132" i="113"/>
  <c r="K16" i="113"/>
  <c r="H136" i="113"/>
  <c r="H13" i="113"/>
  <c r="H20" i="113" s="1"/>
  <c r="K16" i="114"/>
  <c r="M132" i="114"/>
  <c r="M118" i="112"/>
  <c r="K125" i="112"/>
  <c r="J136" i="113"/>
  <c r="J13" i="113"/>
  <c r="J20" i="113" s="1"/>
  <c r="J132" i="118"/>
  <c r="J16" i="118" s="1"/>
  <c r="J125" i="118"/>
  <c r="I135" i="118"/>
  <c r="I19" i="118" s="1"/>
  <c r="H13" i="115"/>
  <c r="H20" i="115" s="1"/>
  <c r="H136" i="115"/>
  <c r="K13" i="115"/>
  <c r="M129" i="115"/>
  <c r="K136" i="115"/>
  <c r="K135" i="112"/>
  <c r="M113" i="112"/>
  <c r="J114" i="112"/>
  <c r="J23" i="112" s="1"/>
  <c r="J129" i="112"/>
  <c r="M124" i="112"/>
  <c r="K23" i="113"/>
  <c r="M114" i="113"/>
  <c r="K17" i="113"/>
  <c r="M133" i="113"/>
  <c r="J114" i="118"/>
  <c r="J129" i="118"/>
  <c r="M120" i="118"/>
  <c r="K125" i="118"/>
  <c r="M118" i="118"/>
  <c r="K18" i="115"/>
  <c r="M134" i="115"/>
  <c r="M135" i="113"/>
  <c r="K19" i="113"/>
  <c r="K114" i="112"/>
  <c r="M107" i="112"/>
  <c r="K129" i="112"/>
  <c r="J125" i="112"/>
  <c r="J24" i="112" s="1"/>
  <c r="J23" i="111"/>
  <c r="K24" i="104"/>
  <c r="H6" i="117"/>
  <c r="AB115" i="101" s="1"/>
  <c r="I24" i="108"/>
  <c r="H9" i="117"/>
  <c r="AB118" i="101" s="1"/>
  <c r="H7" i="117"/>
  <c r="AB116" i="101" s="1"/>
  <c r="E67" i="117"/>
  <c r="F67" i="117"/>
  <c r="H67" i="117"/>
  <c r="D67" i="117"/>
  <c r="G67" i="117"/>
  <c r="D68" i="117"/>
  <c r="G68" i="117"/>
  <c r="H68" i="117"/>
  <c r="E68" i="117"/>
  <c r="F68" i="117"/>
  <c r="E65" i="117"/>
  <c r="D65" i="117"/>
  <c r="G65" i="117"/>
  <c r="F65" i="117"/>
  <c r="H65" i="117"/>
  <c r="F66" i="117"/>
  <c r="H66" i="117"/>
  <c r="G66" i="117"/>
  <c r="E66" i="117"/>
  <c r="D66" i="117"/>
  <c r="F64" i="117"/>
  <c r="G64" i="117"/>
  <c r="H64" i="117"/>
  <c r="D64" i="117"/>
  <c r="E64" i="117"/>
  <c r="D41" i="117"/>
  <c r="I41" i="117"/>
  <c r="F41" i="117"/>
  <c r="G41" i="117"/>
  <c r="H41" i="117"/>
  <c r="E41" i="117"/>
  <c r="J41" i="117"/>
  <c r="H40" i="117"/>
  <c r="D40" i="117"/>
  <c r="G40" i="117"/>
  <c r="J40" i="117"/>
  <c r="G11" i="117" s="1"/>
  <c r="AA120" i="101" s="1"/>
  <c r="F40" i="117"/>
  <c r="I40" i="117"/>
  <c r="E40" i="117"/>
  <c r="E38" i="117"/>
  <c r="D38" i="117"/>
  <c r="J38" i="117"/>
  <c r="F11" i="117" s="1"/>
  <c r="Z120" i="101" s="1"/>
  <c r="I38" i="117"/>
  <c r="F10" i="117" s="1"/>
  <c r="Z119" i="101" s="1"/>
  <c r="H38" i="117"/>
  <c r="G38" i="117"/>
  <c r="F38" i="117"/>
  <c r="I37" i="117"/>
  <c r="H37" i="117"/>
  <c r="J37" i="117"/>
  <c r="D37" i="117"/>
  <c r="F37" i="117"/>
  <c r="E37" i="117"/>
  <c r="G37" i="117"/>
  <c r="G10" i="117"/>
  <c r="AA119" i="101" s="1"/>
  <c r="H8" i="117"/>
  <c r="AB117" i="101" s="1"/>
  <c r="I39" i="117"/>
  <c r="E39" i="117"/>
  <c r="G39" i="117"/>
  <c r="D39" i="117"/>
  <c r="H39" i="117"/>
  <c r="F39" i="117"/>
  <c r="J39" i="117"/>
  <c r="J24" i="103"/>
  <c r="H20" i="108"/>
  <c r="J24" i="111"/>
  <c r="I24" i="104"/>
  <c r="I24" i="105"/>
  <c r="M125" i="104"/>
  <c r="K24" i="105"/>
  <c r="J24" i="105"/>
  <c r="J24" i="108"/>
  <c r="J24" i="107"/>
  <c r="H20" i="105"/>
  <c r="M125" i="105"/>
  <c r="H136" i="108"/>
  <c r="J24" i="104"/>
  <c r="I23" i="107"/>
  <c r="H136" i="105"/>
  <c r="I24" i="111"/>
  <c r="M114" i="111"/>
  <c r="K23" i="111"/>
  <c r="K18" i="110"/>
  <c r="M134" i="110"/>
  <c r="K19" i="110"/>
  <c r="M135" i="110"/>
  <c r="Y101" i="101"/>
  <c r="Y102" i="101" s="1"/>
  <c r="AA101" i="101"/>
  <c r="I136" i="110"/>
  <c r="I13" i="110"/>
  <c r="M125" i="111"/>
  <c r="K24" i="111"/>
  <c r="J24" i="110"/>
  <c r="I23" i="110"/>
  <c r="J23" i="110"/>
  <c r="I24" i="110"/>
  <c r="AB89" i="101"/>
  <c r="K14" i="111"/>
  <c r="M130" i="111"/>
  <c r="K23" i="110"/>
  <c r="M114" i="110"/>
  <c r="M131" i="110"/>
  <c r="K15" i="110"/>
  <c r="J136" i="110"/>
  <c r="J13" i="110"/>
  <c r="M130" i="110"/>
  <c r="K14" i="110"/>
  <c r="M129" i="110"/>
  <c r="K136" i="110"/>
  <c r="K13" i="110"/>
  <c r="J136" i="111"/>
  <c r="J13" i="111"/>
  <c r="M133" i="110"/>
  <c r="K17" i="110"/>
  <c r="M133" i="111"/>
  <c r="K17" i="111"/>
  <c r="M132" i="111"/>
  <c r="K16" i="111"/>
  <c r="I136" i="111"/>
  <c r="I13" i="111"/>
  <c r="H136" i="110"/>
  <c r="H13" i="110"/>
  <c r="K19" i="111"/>
  <c r="M135" i="111"/>
  <c r="AB101" i="101"/>
  <c r="K18" i="111"/>
  <c r="M134" i="111"/>
  <c r="M125" i="110"/>
  <c r="K24" i="110"/>
  <c r="M129" i="111"/>
  <c r="K136" i="111"/>
  <c r="K13" i="111"/>
  <c r="Y89" i="101"/>
  <c r="Y90" i="101" s="1"/>
  <c r="M131" i="111"/>
  <c r="K15" i="111"/>
  <c r="K16" i="110"/>
  <c r="M132" i="110"/>
  <c r="H136" i="111"/>
  <c r="H13" i="111"/>
  <c r="H20" i="111" s="1"/>
  <c r="H20" i="103"/>
  <c r="H136" i="106"/>
  <c r="H13" i="106"/>
  <c r="H20" i="106" s="1"/>
  <c r="H13" i="107"/>
  <c r="H20" i="107" s="1"/>
  <c r="H136" i="107"/>
  <c r="H136" i="103"/>
  <c r="H13" i="104"/>
  <c r="H20" i="104" s="1"/>
  <c r="H136" i="104"/>
  <c r="I24" i="106"/>
  <c r="I136" i="107"/>
  <c r="K24" i="108"/>
  <c r="M125" i="108"/>
  <c r="K149" i="108"/>
  <c r="M125" i="106"/>
  <c r="K24" i="106"/>
  <c r="I129" i="108"/>
  <c r="I114" i="108"/>
  <c r="I23" i="108" s="1"/>
  <c r="J78" i="108"/>
  <c r="J108" i="108" s="1"/>
  <c r="J130" i="108" s="1"/>
  <c r="J79" i="108"/>
  <c r="J109" i="108" s="1"/>
  <c r="J131" i="108" s="1"/>
  <c r="J77" i="108"/>
  <c r="J83" i="108"/>
  <c r="J113" i="108" s="1"/>
  <c r="J135" i="108" s="1"/>
  <c r="J82" i="108"/>
  <c r="J112" i="108" s="1"/>
  <c r="J134" i="108" s="1"/>
  <c r="J80" i="108"/>
  <c r="J110" i="108" s="1"/>
  <c r="J132" i="108" s="1"/>
  <c r="J81" i="108"/>
  <c r="J111" i="108" s="1"/>
  <c r="J133" i="108" s="1"/>
  <c r="I136" i="106"/>
  <c r="K149" i="107"/>
  <c r="J79" i="107"/>
  <c r="J109" i="107" s="1"/>
  <c r="J131" i="107" s="1"/>
  <c r="J77" i="107"/>
  <c r="J82" i="107"/>
  <c r="J112" i="107" s="1"/>
  <c r="J134" i="107" s="1"/>
  <c r="J78" i="107"/>
  <c r="J108" i="107" s="1"/>
  <c r="J130" i="107" s="1"/>
  <c r="J81" i="107"/>
  <c r="J111" i="107" s="1"/>
  <c r="J133" i="107" s="1"/>
  <c r="J80" i="107"/>
  <c r="J110" i="107" s="1"/>
  <c r="J132" i="107" s="1"/>
  <c r="J83" i="107"/>
  <c r="J113" i="107" s="1"/>
  <c r="J135" i="107" s="1"/>
  <c r="M125" i="107"/>
  <c r="K24" i="107"/>
  <c r="J83" i="106"/>
  <c r="J113" i="106" s="1"/>
  <c r="J135" i="106" s="1"/>
  <c r="J81" i="106"/>
  <c r="J111" i="106" s="1"/>
  <c r="J133" i="106" s="1"/>
  <c r="J77" i="106"/>
  <c r="J78" i="106"/>
  <c r="J108" i="106" s="1"/>
  <c r="J130" i="106" s="1"/>
  <c r="J79" i="106"/>
  <c r="J109" i="106" s="1"/>
  <c r="J131" i="106" s="1"/>
  <c r="J82" i="106"/>
  <c r="J112" i="106" s="1"/>
  <c r="J134" i="106" s="1"/>
  <c r="J80" i="106"/>
  <c r="J110" i="106" s="1"/>
  <c r="J132" i="106" s="1"/>
  <c r="J81" i="105"/>
  <c r="J111" i="105" s="1"/>
  <c r="J133" i="105" s="1"/>
  <c r="J82" i="105"/>
  <c r="J112" i="105" s="1"/>
  <c r="J134" i="105" s="1"/>
  <c r="J83" i="105"/>
  <c r="J113" i="105" s="1"/>
  <c r="J135" i="105" s="1"/>
  <c r="J77" i="105"/>
  <c r="J80" i="105"/>
  <c r="J110" i="105" s="1"/>
  <c r="J132" i="105" s="1"/>
  <c r="J79" i="105"/>
  <c r="J109" i="105" s="1"/>
  <c r="J131" i="105" s="1"/>
  <c r="J78" i="105"/>
  <c r="J108" i="105" s="1"/>
  <c r="J130" i="105" s="1"/>
  <c r="J80" i="104"/>
  <c r="J110" i="104" s="1"/>
  <c r="J81" i="104"/>
  <c r="J111" i="104" s="1"/>
  <c r="J82" i="104"/>
  <c r="J112" i="104" s="1"/>
  <c r="J77" i="104"/>
  <c r="J83" i="104"/>
  <c r="J113" i="104" s="1"/>
  <c r="J78" i="104"/>
  <c r="J108" i="104" s="1"/>
  <c r="J79" i="104"/>
  <c r="J109" i="104" s="1"/>
  <c r="I129" i="105"/>
  <c r="I114" i="105"/>
  <c r="I23" i="105" s="1"/>
  <c r="I114" i="104"/>
  <c r="I23" i="104" s="1"/>
  <c r="I129" i="104"/>
  <c r="K149" i="105"/>
  <c r="J83" i="103"/>
  <c r="J113" i="103" s="1"/>
  <c r="J135" i="103" s="1"/>
  <c r="J80" i="103"/>
  <c r="J110" i="103" s="1"/>
  <c r="J132" i="103" s="1"/>
  <c r="J78" i="103"/>
  <c r="J108" i="103" s="1"/>
  <c r="J130" i="103" s="1"/>
  <c r="J77" i="103"/>
  <c r="J79" i="103"/>
  <c r="J109" i="103" s="1"/>
  <c r="J131" i="103" s="1"/>
  <c r="J81" i="103"/>
  <c r="J111" i="103" s="1"/>
  <c r="J133" i="103" s="1"/>
  <c r="J82" i="103"/>
  <c r="J112" i="103" s="1"/>
  <c r="J134" i="103" s="1"/>
  <c r="K24" i="103"/>
  <c r="M125" i="103"/>
  <c r="I129" i="103"/>
  <c r="I114" i="103"/>
  <c r="I23" i="103" s="1"/>
  <c r="H78" i="35"/>
  <c r="H98" i="35" s="1"/>
  <c r="H79" i="35"/>
  <c r="H99" i="35" s="1"/>
  <c r="H80" i="35"/>
  <c r="H100" i="35" s="1"/>
  <c r="H81" i="35"/>
  <c r="H101" i="35" s="1"/>
  <c r="H82" i="35"/>
  <c r="H102" i="35" s="1"/>
  <c r="H83" i="35"/>
  <c r="H103" i="35" s="1"/>
  <c r="H77" i="35"/>
  <c r="C73" i="98"/>
  <c r="B73" i="98"/>
  <c r="C64" i="98"/>
  <c r="B64" i="98"/>
  <c r="C55" i="98"/>
  <c r="B55" i="98"/>
  <c r="C37" i="98"/>
  <c r="B37" i="98"/>
  <c r="C28" i="98"/>
  <c r="B28" i="98"/>
  <c r="C19" i="98"/>
  <c r="B19" i="98"/>
  <c r="C10" i="98"/>
  <c r="B10" i="98"/>
  <c r="Z38" i="101" l="1"/>
  <c r="AA89" i="101"/>
  <c r="AA90" i="101" s="1"/>
  <c r="Z89" i="101"/>
  <c r="Z90" i="101" s="1"/>
  <c r="AA41" i="101"/>
  <c r="K20" i="115"/>
  <c r="J20" i="111"/>
  <c r="I20" i="111"/>
  <c r="Z58" i="101"/>
  <c r="Z36" i="101" s="1"/>
  <c r="J24" i="118"/>
  <c r="J23" i="118"/>
  <c r="G7" i="117"/>
  <c r="AA116" i="101" s="1"/>
  <c r="M133" i="112"/>
  <c r="K17" i="112"/>
  <c r="AB62" i="101" s="1"/>
  <c r="AB40" i="101" s="1"/>
  <c r="K18" i="118"/>
  <c r="M134" i="118"/>
  <c r="M130" i="112"/>
  <c r="K14" i="112"/>
  <c r="AB59" i="101" s="1"/>
  <c r="AB37" i="101" s="1"/>
  <c r="K16" i="118"/>
  <c r="M132" i="118"/>
  <c r="K17" i="118"/>
  <c r="M133" i="118"/>
  <c r="M134" i="112"/>
  <c r="K18" i="112"/>
  <c r="AB63" i="101" s="1"/>
  <c r="M125" i="118"/>
  <c r="K24" i="118"/>
  <c r="K19" i="118"/>
  <c r="M135" i="118"/>
  <c r="M131" i="118"/>
  <c r="K15" i="118"/>
  <c r="J136" i="118"/>
  <c r="J13" i="118"/>
  <c r="J20" i="118" s="1"/>
  <c r="J136" i="112"/>
  <c r="J13" i="112"/>
  <c r="J20" i="112" s="1"/>
  <c r="I23" i="118"/>
  <c r="K16" i="112"/>
  <c r="AB61" i="101" s="1"/>
  <c r="AB39" i="101" s="1"/>
  <c r="M132" i="112"/>
  <c r="K15" i="112"/>
  <c r="AB60" i="101" s="1"/>
  <c r="AB38" i="101" s="1"/>
  <c r="M131" i="112"/>
  <c r="I136" i="118"/>
  <c r="I13" i="118"/>
  <c r="I20" i="118" s="1"/>
  <c r="M136" i="113"/>
  <c r="M129" i="112"/>
  <c r="K13" i="112"/>
  <c r="AB58" i="101" s="1"/>
  <c r="AB36" i="101" s="1"/>
  <c r="K136" i="112"/>
  <c r="M130" i="118"/>
  <c r="K14" i="118"/>
  <c r="K19" i="112"/>
  <c r="AB64" i="101" s="1"/>
  <c r="M135" i="112"/>
  <c r="K13" i="118"/>
  <c r="M129" i="118"/>
  <c r="K136" i="118"/>
  <c r="I136" i="112"/>
  <c r="I18" i="112"/>
  <c r="K20" i="114"/>
  <c r="K20" i="113"/>
  <c r="K23" i="112"/>
  <c r="M114" i="112"/>
  <c r="M136" i="115"/>
  <c r="M114" i="118"/>
  <c r="K23" i="118"/>
  <c r="I24" i="118"/>
  <c r="H13" i="118"/>
  <c r="H20" i="118" s="1"/>
  <c r="H136" i="118"/>
  <c r="H13" i="112"/>
  <c r="H20" i="112" s="1"/>
  <c r="H136" i="112"/>
  <c r="K24" i="112"/>
  <c r="M125" i="112"/>
  <c r="F8" i="117"/>
  <c r="Z117" i="101" s="1"/>
  <c r="F7" i="117"/>
  <c r="Z116" i="101" s="1"/>
  <c r="G9" i="117"/>
  <c r="AA118" i="101" s="1"/>
  <c r="F9" i="117"/>
  <c r="Z118" i="101" s="1"/>
  <c r="F6" i="117"/>
  <c r="G6" i="117"/>
  <c r="H5" i="117"/>
  <c r="Z115" i="101"/>
  <c r="AA115" i="101"/>
  <c r="G8" i="117"/>
  <c r="AA117" i="101" s="1"/>
  <c r="M136" i="111"/>
  <c r="AA102" i="101"/>
  <c r="K20" i="111"/>
  <c r="I20" i="110"/>
  <c r="K20" i="110"/>
  <c r="M136" i="110"/>
  <c r="AB90" i="101"/>
  <c r="Z102" i="101"/>
  <c r="J20" i="110"/>
  <c r="H20" i="110"/>
  <c r="AB102" i="101"/>
  <c r="J130" i="104"/>
  <c r="J133" i="104"/>
  <c r="J132" i="104"/>
  <c r="J134" i="104"/>
  <c r="J135" i="104"/>
  <c r="J131" i="104"/>
  <c r="I136" i="108"/>
  <c r="K55" i="107"/>
  <c r="J107" i="107"/>
  <c r="K55" i="108"/>
  <c r="J107" i="108"/>
  <c r="K55" i="106"/>
  <c r="J107" i="106"/>
  <c r="K55" i="104"/>
  <c r="J107" i="104"/>
  <c r="I136" i="104"/>
  <c r="I136" i="105"/>
  <c r="K55" i="105"/>
  <c r="J107" i="105"/>
  <c r="I136" i="103"/>
  <c r="K55" i="103"/>
  <c r="J107" i="103"/>
  <c r="G78" i="35"/>
  <c r="G98" i="35" s="1"/>
  <c r="G77" i="35"/>
  <c r="J101" i="35"/>
  <c r="G82" i="35"/>
  <c r="G81" i="35"/>
  <c r="G80" i="35"/>
  <c r="G79" i="35"/>
  <c r="I101" i="35"/>
  <c r="I100" i="35"/>
  <c r="H97" i="35"/>
  <c r="G83" i="35"/>
  <c r="K101" i="35"/>
  <c r="K100" i="35"/>
  <c r="J100" i="35"/>
  <c r="Z63" i="101" l="1"/>
  <c r="Z41" i="101" s="1"/>
  <c r="AB41" i="101"/>
  <c r="AA58" i="101"/>
  <c r="AA36" i="101" s="1"/>
  <c r="F5" i="117"/>
  <c r="F14" i="117" s="1"/>
  <c r="M136" i="118"/>
  <c r="M136" i="112"/>
  <c r="I20" i="112"/>
  <c r="K20" i="112"/>
  <c r="K20" i="118"/>
  <c r="G5" i="117"/>
  <c r="AB121" i="101"/>
  <c r="H14" i="117"/>
  <c r="Y65" i="101"/>
  <c r="AB65" i="101"/>
  <c r="K77" i="108"/>
  <c r="K80" i="108"/>
  <c r="K83" i="108"/>
  <c r="K78" i="108"/>
  <c r="K81" i="108"/>
  <c r="K79" i="108"/>
  <c r="K82" i="108"/>
  <c r="K80" i="107"/>
  <c r="K83" i="107"/>
  <c r="K82" i="107"/>
  <c r="K77" i="107"/>
  <c r="K79" i="107"/>
  <c r="K81" i="107"/>
  <c r="K78" i="107"/>
  <c r="K79" i="106"/>
  <c r="K78" i="106"/>
  <c r="K77" i="106"/>
  <c r="K82" i="106"/>
  <c r="K83" i="106"/>
  <c r="K81" i="106"/>
  <c r="K80" i="106"/>
  <c r="J114" i="106"/>
  <c r="J23" i="106" s="1"/>
  <c r="J129" i="106"/>
  <c r="J114" i="107"/>
  <c r="J23" i="107" s="1"/>
  <c r="J129" i="107"/>
  <c r="J129" i="108"/>
  <c r="J114" i="108"/>
  <c r="J23" i="108" s="1"/>
  <c r="J114" i="104"/>
  <c r="J23" i="104" s="1"/>
  <c r="J129" i="104"/>
  <c r="K83" i="104"/>
  <c r="K82" i="104"/>
  <c r="K81" i="104"/>
  <c r="K79" i="104"/>
  <c r="K77" i="104"/>
  <c r="K80" i="104"/>
  <c r="K78" i="104"/>
  <c r="J129" i="105"/>
  <c r="J114" i="105"/>
  <c r="J23" i="105" s="1"/>
  <c r="K78" i="105"/>
  <c r="K77" i="105"/>
  <c r="K80" i="105"/>
  <c r="K81" i="105"/>
  <c r="K79" i="105"/>
  <c r="K82" i="105"/>
  <c r="K83" i="105"/>
  <c r="J129" i="103"/>
  <c r="J114" i="103"/>
  <c r="J23" i="103" s="1"/>
  <c r="K79" i="103"/>
  <c r="K83" i="103"/>
  <c r="K80" i="103"/>
  <c r="K78" i="103"/>
  <c r="K77" i="103"/>
  <c r="K81" i="103"/>
  <c r="K82" i="103"/>
  <c r="G102" i="35"/>
  <c r="G99" i="35"/>
  <c r="G97" i="35"/>
  <c r="G101" i="35"/>
  <c r="M101" i="35" s="1"/>
  <c r="G103" i="35"/>
  <c r="G100" i="35"/>
  <c r="M100" i="35" s="1"/>
  <c r="K121" i="35"/>
  <c r="E97" i="101" s="1"/>
  <c r="K122" i="35"/>
  <c r="E98" i="101" s="1"/>
  <c r="P28" i="99"/>
  <c r="O12" i="99"/>
  <c r="P12" i="99"/>
  <c r="N12" i="99"/>
  <c r="N13" i="99" s="1"/>
  <c r="Z65" i="101" l="1"/>
  <c r="Z66" i="101" s="1"/>
  <c r="AA65" i="101"/>
  <c r="AA66" i="101" s="1"/>
  <c r="Z121" i="101"/>
  <c r="P30" i="99"/>
  <c r="P29" i="99"/>
  <c r="P14" i="99"/>
  <c r="P13" i="99"/>
  <c r="O14" i="99"/>
  <c r="O13" i="99"/>
  <c r="AB32" i="101"/>
  <c r="AB124" i="101"/>
  <c r="Z32" i="101"/>
  <c r="Z124" i="101"/>
  <c r="AA121" i="101"/>
  <c r="G14" i="117"/>
  <c r="AB42" i="101"/>
  <c r="AB43" i="101" s="1"/>
  <c r="AB66" i="101"/>
  <c r="Y66" i="101"/>
  <c r="Y43" i="101"/>
  <c r="N14" i="99"/>
  <c r="K155" i="107"/>
  <c r="K109" i="107"/>
  <c r="K153" i="107"/>
  <c r="K107" i="107"/>
  <c r="K159" i="107"/>
  <c r="K113" i="107"/>
  <c r="J136" i="106"/>
  <c r="K156" i="107"/>
  <c r="K110" i="107"/>
  <c r="K158" i="108"/>
  <c r="K112" i="108"/>
  <c r="K159" i="106"/>
  <c r="K113" i="106"/>
  <c r="K153" i="106"/>
  <c r="K107" i="106"/>
  <c r="K157" i="108"/>
  <c r="K111" i="108"/>
  <c r="K157" i="106"/>
  <c r="K111" i="106"/>
  <c r="K154" i="106"/>
  <c r="K108" i="106"/>
  <c r="K154" i="108"/>
  <c r="K108" i="108"/>
  <c r="K156" i="106"/>
  <c r="K110" i="106"/>
  <c r="K158" i="106"/>
  <c r="K112" i="106"/>
  <c r="K155" i="106"/>
  <c r="K109" i="106"/>
  <c r="K159" i="108"/>
  <c r="K113" i="108"/>
  <c r="K155" i="108"/>
  <c r="K109" i="108"/>
  <c r="J136" i="108"/>
  <c r="K154" i="107"/>
  <c r="K108" i="107"/>
  <c r="K156" i="108"/>
  <c r="K110" i="108"/>
  <c r="K158" i="107"/>
  <c r="K112" i="107"/>
  <c r="J136" i="107"/>
  <c r="K157" i="107"/>
  <c r="K111" i="107"/>
  <c r="K153" i="108"/>
  <c r="K107" i="108"/>
  <c r="K154" i="104"/>
  <c r="K108" i="104"/>
  <c r="K158" i="105"/>
  <c r="K112" i="105"/>
  <c r="K157" i="104"/>
  <c r="K111" i="104"/>
  <c r="J136" i="105"/>
  <c r="K153" i="104"/>
  <c r="K107" i="104"/>
  <c r="K159" i="105"/>
  <c r="K113" i="105"/>
  <c r="K155" i="105"/>
  <c r="K109" i="105"/>
  <c r="K158" i="104"/>
  <c r="K112" i="104"/>
  <c r="K154" i="105"/>
  <c r="K108" i="105"/>
  <c r="K156" i="104"/>
  <c r="K110" i="104"/>
  <c r="K155" i="104"/>
  <c r="K109" i="104"/>
  <c r="K157" i="105"/>
  <c r="K111" i="105"/>
  <c r="K159" i="104"/>
  <c r="K113" i="104"/>
  <c r="K156" i="105"/>
  <c r="K110" i="105"/>
  <c r="J136" i="104"/>
  <c r="K153" i="105"/>
  <c r="K107" i="105"/>
  <c r="K157" i="103"/>
  <c r="K111" i="103"/>
  <c r="K154" i="103"/>
  <c r="K108" i="103"/>
  <c r="K159" i="103"/>
  <c r="K113" i="103"/>
  <c r="K158" i="103"/>
  <c r="K112" i="103"/>
  <c r="K156" i="103"/>
  <c r="K110" i="103"/>
  <c r="K155" i="103"/>
  <c r="K109" i="103"/>
  <c r="K153" i="103"/>
  <c r="K107" i="103"/>
  <c r="J136" i="103"/>
  <c r="O28" i="99"/>
  <c r="Z42" i="101" l="1"/>
  <c r="Z43" i="101" s="1"/>
  <c r="AA42" i="101"/>
  <c r="AA43" i="101" s="1"/>
  <c r="N30" i="99"/>
  <c r="N29" i="99"/>
  <c r="O30" i="99"/>
  <c r="O29" i="99"/>
  <c r="AA32" i="101"/>
  <c r="AA124" i="101"/>
  <c r="K129" i="108"/>
  <c r="K114" i="108"/>
  <c r="M107" i="108"/>
  <c r="J158" i="108"/>
  <c r="K168" i="108"/>
  <c r="K132" i="107"/>
  <c r="M110" i="107"/>
  <c r="J157" i="107"/>
  <c r="K167" i="107"/>
  <c r="J155" i="108"/>
  <c r="K165" i="108"/>
  <c r="J154" i="106"/>
  <c r="K164" i="106"/>
  <c r="J156" i="107"/>
  <c r="K166" i="107"/>
  <c r="K135" i="108"/>
  <c r="M113" i="108"/>
  <c r="K133" i="106"/>
  <c r="M111" i="106"/>
  <c r="K130" i="106"/>
  <c r="M108" i="106"/>
  <c r="J159" i="108"/>
  <c r="K169" i="108"/>
  <c r="J157" i="106"/>
  <c r="K167" i="106"/>
  <c r="K133" i="108"/>
  <c r="M111" i="108"/>
  <c r="K135" i="107"/>
  <c r="M113" i="107"/>
  <c r="K134" i="108"/>
  <c r="M112" i="108"/>
  <c r="J153" i="108"/>
  <c r="K163" i="108"/>
  <c r="K134" i="107"/>
  <c r="M112" i="107"/>
  <c r="J158" i="107"/>
  <c r="K168" i="107"/>
  <c r="J155" i="106"/>
  <c r="K165" i="106"/>
  <c r="J157" i="108"/>
  <c r="K167" i="108"/>
  <c r="J159" i="107"/>
  <c r="K169" i="107"/>
  <c r="M108" i="108"/>
  <c r="K130" i="108"/>
  <c r="M111" i="107"/>
  <c r="K133" i="107"/>
  <c r="K131" i="106"/>
  <c r="M109" i="106"/>
  <c r="M110" i="108"/>
  <c r="K132" i="108"/>
  <c r="M112" i="106"/>
  <c r="K134" i="106"/>
  <c r="K114" i="106"/>
  <c r="K129" i="106"/>
  <c r="M107" i="106"/>
  <c r="M107" i="107"/>
  <c r="K129" i="107"/>
  <c r="K114" i="107"/>
  <c r="K131" i="108"/>
  <c r="M109" i="108"/>
  <c r="J156" i="108"/>
  <c r="K166" i="108"/>
  <c r="J158" i="106"/>
  <c r="K168" i="106"/>
  <c r="J153" i="106"/>
  <c r="K163" i="106"/>
  <c r="J153" i="107"/>
  <c r="K163" i="107"/>
  <c r="J154" i="108"/>
  <c r="K164" i="108"/>
  <c r="K130" i="107"/>
  <c r="M108" i="107"/>
  <c r="M110" i="106"/>
  <c r="K132" i="106"/>
  <c r="K135" i="106"/>
  <c r="M113" i="106"/>
  <c r="M109" i="107"/>
  <c r="K131" i="107"/>
  <c r="J154" i="107"/>
  <c r="K164" i="107"/>
  <c r="J156" i="106"/>
  <c r="K166" i="106"/>
  <c r="J159" i="106"/>
  <c r="K169" i="106"/>
  <c r="J155" i="107"/>
  <c r="K165" i="107"/>
  <c r="M107" i="104"/>
  <c r="K129" i="104"/>
  <c r="K114" i="104"/>
  <c r="K135" i="105"/>
  <c r="M113" i="105"/>
  <c r="M109" i="104"/>
  <c r="K131" i="104"/>
  <c r="J153" i="104"/>
  <c r="K163" i="104"/>
  <c r="M108" i="105"/>
  <c r="K130" i="105"/>
  <c r="J154" i="105"/>
  <c r="K164" i="105"/>
  <c r="J157" i="104"/>
  <c r="K167" i="104"/>
  <c r="J157" i="105"/>
  <c r="K167" i="105"/>
  <c r="K133" i="105"/>
  <c r="M111" i="105"/>
  <c r="J159" i="105"/>
  <c r="K169" i="105"/>
  <c r="J155" i="104"/>
  <c r="K165" i="104"/>
  <c r="K129" i="105"/>
  <c r="K114" i="105"/>
  <c r="M107" i="105"/>
  <c r="K132" i="104"/>
  <c r="M110" i="104"/>
  <c r="J153" i="105"/>
  <c r="K163" i="105"/>
  <c r="J156" i="104"/>
  <c r="K166" i="104"/>
  <c r="M111" i="104"/>
  <c r="K133" i="104"/>
  <c r="M110" i="105"/>
  <c r="K132" i="105"/>
  <c r="K134" i="104"/>
  <c r="M112" i="104"/>
  <c r="K134" i="105"/>
  <c r="M112" i="105"/>
  <c r="J156" i="105"/>
  <c r="K166" i="105"/>
  <c r="J158" i="104"/>
  <c r="K168" i="104"/>
  <c r="J158" i="105"/>
  <c r="K168" i="105"/>
  <c r="K130" i="104"/>
  <c r="M108" i="104"/>
  <c r="K135" i="104"/>
  <c r="M113" i="104"/>
  <c r="K131" i="105"/>
  <c r="M109" i="105"/>
  <c r="J159" i="104"/>
  <c r="K169" i="104"/>
  <c r="J155" i="105"/>
  <c r="K165" i="105"/>
  <c r="J154" i="104"/>
  <c r="K164" i="104"/>
  <c r="K130" i="103"/>
  <c r="M108" i="103"/>
  <c r="M109" i="103"/>
  <c r="K131" i="103"/>
  <c r="J155" i="103"/>
  <c r="K165" i="103"/>
  <c r="K132" i="103"/>
  <c r="M110" i="103"/>
  <c r="J156" i="103"/>
  <c r="K166" i="103"/>
  <c r="K134" i="103"/>
  <c r="M112" i="103"/>
  <c r="J158" i="103"/>
  <c r="K168" i="103"/>
  <c r="M113" i="103"/>
  <c r="K135" i="103"/>
  <c r="J159" i="103"/>
  <c r="K169" i="103"/>
  <c r="J154" i="103"/>
  <c r="K164" i="103"/>
  <c r="M107" i="103"/>
  <c r="K129" i="103"/>
  <c r="K114" i="103"/>
  <c r="M111" i="103"/>
  <c r="K133" i="103"/>
  <c r="J153" i="103"/>
  <c r="K163" i="103"/>
  <c r="J157" i="103"/>
  <c r="K167" i="103"/>
  <c r="H51" i="35"/>
  <c r="H65" i="35" s="1"/>
  <c r="H50" i="35"/>
  <c r="H64" i="35" s="1"/>
  <c r="H49" i="35"/>
  <c r="H63" i="35" s="1"/>
  <c r="H48" i="35"/>
  <c r="H62" i="35" s="1"/>
  <c r="H47" i="35"/>
  <c r="H61" i="35" s="1"/>
  <c r="H46" i="35"/>
  <c r="H60" i="35" s="1"/>
  <c r="H45" i="35"/>
  <c r="I159" i="106" l="1"/>
  <c r="I169" i="106" s="1"/>
  <c r="I19" i="106" s="1"/>
  <c r="J169" i="106"/>
  <c r="J19" i="106" s="1"/>
  <c r="M130" i="107"/>
  <c r="K14" i="107"/>
  <c r="M131" i="108"/>
  <c r="K15" i="108"/>
  <c r="M131" i="106"/>
  <c r="K15" i="106"/>
  <c r="I158" i="107"/>
  <c r="I168" i="107" s="1"/>
  <c r="I18" i="107" s="1"/>
  <c r="J168" i="107"/>
  <c r="J18" i="107" s="1"/>
  <c r="I157" i="106"/>
  <c r="I167" i="106" s="1"/>
  <c r="I17" i="106" s="1"/>
  <c r="J167" i="106"/>
  <c r="J17" i="106" s="1"/>
  <c r="I154" i="106"/>
  <c r="I164" i="106" s="1"/>
  <c r="I14" i="106" s="1"/>
  <c r="J164" i="106"/>
  <c r="J14" i="106" s="1"/>
  <c r="M114" i="107"/>
  <c r="K23" i="107"/>
  <c r="K17" i="107"/>
  <c r="M133" i="107"/>
  <c r="I156" i="106"/>
  <c r="I166" i="106" s="1"/>
  <c r="I16" i="106" s="1"/>
  <c r="J166" i="106"/>
  <c r="J16" i="106" s="1"/>
  <c r="I154" i="108"/>
  <c r="I164" i="108" s="1"/>
  <c r="I14" i="108" s="1"/>
  <c r="J164" i="108"/>
  <c r="J14" i="108" s="1"/>
  <c r="M129" i="107"/>
  <c r="K13" i="107"/>
  <c r="K136" i="107"/>
  <c r="M136" i="107" s="1"/>
  <c r="M134" i="107"/>
  <c r="K18" i="107"/>
  <c r="I159" i="108"/>
  <c r="I169" i="108" s="1"/>
  <c r="I19" i="108" s="1"/>
  <c r="J169" i="108"/>
  <c r="J19" i="108" s="1"/>
  <c r="I155" i="108"/>
  <c r="I165" i="108" s="1"/>
  <c r="I15" i="108" s="1"/>
  <c r="J165" i="108"/>
  <c r="J15" i="108" s="1"/>
  <c r="K170" i="107"/>
  <c r="K170" i="108"/>
  <c r="M130" i="108"/>
  <c r="K14" i="108"/>
  <c r="I154" i="107"/>
  <c r="I164" i="107" s="1"/>
  <c r="I14" i="107" s="1"/>
  <c r="J164" i="107"/>
  <c r="J14" i="107" s="1"/>
  <c r="I153" i="107"/>
  <c r="I163" i="107" s="1"/>
  <c r="J163" i="107"/>
  <c r="I153" i="108"/>
  <c r="I163" i="108" s="1"/>
  <c r="J163" i="108"/>
  <c r="M130" i="106"/>
  <c r="K14" i="106"/>
  <c r="I157" i="107"/>
  <c r="I167" i="107" s="1"/>
  <c r="I17" i="107" s="1"/>
  <c r="J167" i="107"/>
  <c r="J17" i="107" s="1"/>
  <c r="M129" i="106"/>
  <c r="K13" i="106"/>
  <c r="K136" i="106"/>
  <c r="M136" i="106" s="1"/>
  <c r="K170" i="106"/>
  <c r="I153" i="106"/>
  <c r="I163" i="106" s="1"/>
  <c r="J163" i="106"/>
  <c r="M114" i="106"/>
  <c r="K23" i="106"/>
  <c r="I159" i="107"/>
  <c r="I169" i="107" s="1"/>
  <c r="I19" i="107" s="1"/>
  <c r="J169" i="107"/>
  <c r="J19" i="107" s="1"/>
  <c r="K18" i="108"/>
  <c r="M134" i="108"/>
  <c r="M133" i="106"/>
  <c r="K17" i="106"/>
  <c r="M132" i="107"/>
  <c r="K16" i="107"/>
  <c r="M134" i="106"/>
  <c r="K18" i="106"/>
  <c r="M135" i="106"/>
  <c r="K19" i="106"/>
  <c r="I158" i="106"/>
  <c r="I168" i="106" s="1"/>
  <c r="I18" i="106" s="1"/>
  <c r="J168" i="106"/>
  <c r="J18" i="106" s="1"/>
  <c r="I157" i="108"/>
  <c r="I167" i="108" s="1"/>
  <c r="I17" i="108" s="1"/>
  <c r="J167" i="108"/>
  <c r="J17" i="108" s="1"/>
  <c r="K19" i="107"/>
  <c r="M135" i="107"/>
  <c r="K19" i="108"/>
  <c r="M135" i="108"/>
  <c r="I158" i="108"/>
  <c r="I168" i="108" s="1"/>
  <c r="I18" i="108" s="1"/>
  <c r="J168" i="108"/>
  <c r="J18" i="108" s="1"/>
  <c r="M132" i="106"/>
  <c r="K16" i="106"/>
  <c r="K16" i="108"/>
  <c r="M132" i="108"/>
  <c r="M131" i="107"/>
  <c r="K15" i="107"/>
  <c r="I155" i="107"/>
  <c r="I165" i="107" s="1"/>
  <c r="I15" i="107" s="1"/>
  <c r="J165" i="107"/>
  <c r="J15" i="107" s="1"/>
  <c r="I156" i="108"/>
  <c r="I166" i="108" s="1"/>
  <c r="I16" i="108" s="1"/>
  <c r="J166" i="108"/>
  <c r="J16" i="108" s="1"/>
  <c r="I155" i="106"/>
  <c r="I165" i="106" s="1"/>
  <c r="I15" i="106" s="1"/>
  <c r="J165" i="106"/>
  <c r="J15" i="106" s="1"/>
  <c r="M133" i="108"/>
  <c r="K17" i="108"/>
  <c r="I156" i="107"/>
  <c r="I166" i="107" s="1"/>
  <c r="I16" i="107" s="1"/>
  <c r="J166" i="107"/>
  <c r="J16" i="107" s="1"/>
  <c r="M114" i="108"/>
  <c r="K23" i="108"/>
  <c r="M129" i="108"/>
  <c r="K13" i="108"/>
  <c r="K136" i="108"/>
  <c r="M136" i="108" s="1"/>
  <c r="M130" i="105"/>
  <c r="K14" i="105"/>
  <c r="I154" i="105"/>
  <c r="I164" i="105" s="1"/>
  <c r="I14" i="105" s="1"/>
  <c r="J164" i="105"/>
  <c r="J14" i="105" s="1"/>
  <c r="K170" i="104"/>
  <c r="M131" i="104"/>
  <c r="K15" i="104"/>
  <c r="M130" i="104"/>
  <c r="K14" i="104"/>
  <c r="M133" i="104"/>
  <c r="K17" i="104"/>
  <c r="I153" i="104"/>
  <c r="I163" i="104" s="1"/>
  <c r="J163" i="104"/>
  <c r="I158" i="104"/>
  <c r="I168" i="104" s="1"/>
  <c r="I18" i="104" s="1"/>
  <c r="J168" i="104"/>
  <c r="J18" i="104" s="1"/>
  <c r="K170" i="105"/>
  <c r="M133" i="105"/>
  <c r="K17" i="105"/>
  <c r="I159" i="104"/>
  <c r="I169" i="104" s="1"/>
  <c r="I19" i="104" s="1"/>
  <c r="J169" i="104"/>
  <c r="J19" i="104" s="1"/>
  <c r="I156" i="105"/>
  <c r="I166" i="105" s="1"/>
  <c r="I16" i="105" s="1"/>
  <c r="J166" i="105"/>
  <c r="J16" i="105" s="1"/>
  <c r="I153" i="105"/>
  <c r="I163" i="105" s="1"/>
  <c r="J163" i="105"/>
  <c r="I155" i="105"/>
  <c r="I165" i="105" s="1"/>
  <c r="I15" i="105" s="1"/>
  <c r="J165" i="105"/>
  <c r="J15" i="105" s="1"/>
  <c r="I156" i="104"/>
  <c r="I166" i="104" s="1"/>
  <c r="I16" i="104" s="1"/>
  <c r="J166" i="104"/>
  <c r="J16" i="104" s="1"/>
  <c r="I157" i="105"/>
  <c r="I167" i="105" s="1"/>
  <c r="I17" i="105" s="1"/>
  <c r="J167" i="105"/>
  <c r="J17" i="105" s="1"/>
  <c r="K19" i="105"/>
  <c r="M135" i="105"/>
  <c r="M129" i="105"/>
  <c r="K13" i="105"/>
  <c r="K136" i="105"/>
  <c r="M136" i="105" s="1"/>
  <c r="I154" i="104"/>
  <c r="I164" i="104" s="1"/>
  <c r="I14" i="104" s="1"/>
  <c r="J164" i="104"/>
  <c r="J14" i="104" s="1"/>
  <c r="K16" i="104"/>
  <c r="M132" i="104"/>
  <c r="M114" i="104"/>
  <c r="K23" i="104"/>
  <c r="I155" i="104"/>
  <c r="I165" i="104" s="1"/>
  <c r="I15" i="104" s="1"/>
  <c r="J165" i="104"/>
  <c r="J15" i="104" s="1"/>
  <c r="M129" i="104"/>
  <c r="K13" i="104"/>
  <c r="K136" i="104"/>
  <c r="M136" i="104" s="1"/>
  <c r="K16" i="105"/>
  <c r="M132" i="105"/>
  <c r="I158" i="105"/>
  <c r="I168" i="105" s="1"/>
  <c r="I18" i="105" s="1"/>
  <c r="J168" i="105"/>
  <c r="J18" i="105" s="1"/>
  <c r="I159" i="105"/>
  <c r="I169" i="105" s="1"/>
  <c r="I19" i="105" s="1"/>
  <c r="J169" i="105"/>
  <c r="J19" i="105" s="1"/>
  <c r="M131" i="105"/>
  <c r="K15" i="105"/>
  <c r="K18" i="105"/>
  <c r="M134" i="105"/>
  <c r="I157" i="104"/>
  <c r="I167" i="104" s="1"/>
  <c r="I17" i="104" s="1"/>
  <c r="J167" i="104"/>
  <c r="J17" i="104" s="1"/>
  <c r="K19" i="104"/>
  <c r="M135" i="104"/>
  <c r="M134" i="104"/>
  <c r="K18" i="104"/>
  <c r="M114" i="105"/>
  <c r="K23" i="105"/>
  <c r="K15" i="103"/>
  <c r="M131" i="103"/>
  <c r="M129" i="103"/>
  <c r="K136" i="103"/>
  <c r="M136" i="103" s="1"/>
  <c r="K13" i="103"/>
  <c r="K23" i="103"/>
  <c r="M114" i="103"/>
  <c r="M134" i="103"/>
  <c r="K18" i="103"/>
  <c r="I156" i="103"/>
  <c r="I166" i="103" s="1"/>
  <c r="I16" i="103" s="1"/>
  <c r="J166" i="103"/>
  <c r="J16" i="103" s="1"/>
  <c r="I154" i="103"/>
  <c r="I164" i="103" s="1"/>
  <c r="I14" i="103" s="1"/>
  <c r="J164" i="103"/>
  <c r="J14" i="103" s="1"/>
  <c r="M132" i="103"/>
  <c r="K16" i="103"/>
  <c r="I159" i="103"/>
  <c r="I169" i="103" s="1"/>
  <c r="I19" i="103" s="1"/>
  <c r="J169" i="103"/>
  <c r="J19" i="103" s="1"/>
  <c r="I155" i="103"/>
  <c r="I165" i="103" s="1"/>
  <c r="I15" i="103" s="1"/>
  <c r="J165" i="103"/>
  <c r="J15" i="103" s="1"/>
  <c r="K170" i="103"/>
  <c r="I157" i="103"/>
  <c r="I167" i="103" s="1"/>
  <c r="I17" i="103" s="1"/>
  <c r="J167" i="103"/>
  <c r="J17" i="103" s="1"/>
  <c r="M135" i="103"/>
  <c r="K19" i="103"/>
  <c r="I153" i="103"/>
  <c r="I163" i="103" s="1"/>
  <c r="J163" i="103"/>
  <c r="K17" i="103"/>
  <c r="M133" i="103"/>
  <c r="I158" i="103"/>
  <c r="I168" i="103" s="1"/>
  <c r="I18" i="103" s="1"/>
  <c r="J168" i="103"/>
  <c r="J18" i="103" s="1"/>
  <c r="K14" i="103"/>
  <c r="M130" i="103"/>
  <c r="H59" i="35"/>
  <c r="I60" i="35"/>
  <c r="G60" i="35"/>
  <c r="J60" i="35"/>
  <c r="G61" i="35"/>
  <c r="J61" i="35"/>
  <c r="I61" i="35"/>
  <c r="G62" i="35"/>
  <c r="J62" i="35"/>
  <c r="I62" i="35"/>
  <c r="J63" i="35"/>
  <c r="G63" i="35"/>
  <c r="I63" i="35"/>
  <c r="J64" i="35"/>
  <c r="G64" i="35"/>
  <c r="I64" i="35"/>
  <c r="G65" i="35"/>
  <c r="J65" i="35"/>
  <c r="I65" i="35"/>
  <c r="I45" i="35"/>
  <c r="J45" i="35"/>
  <c r="G45" i="35"/>
  <c r="H52" i="35"/>
  <c r="J51" i="35"/>
  <c r="G51" i="35"/>
  <c r="I51" i="35"/>
  <c r="J46" i="35"/>
  <c r="I46" i="35"/>
  <c r="G46" i="35"/>
  <c r="I47" i="35"/>
  <c r="J47" i="35"/>
  <c r="G47" i="35"/>
  <c r="J48" i="35"/>
  <c r="G48" i="35"/>
  <c r="I48" i="35"/>
  <c r="G49" i="35"/>
  <c r="J49" i="35"/>
  <c r="I49" i="35"/>
  <c r="G50" i="35"/>
  <c r="I50" i="35"/>
  <c r="J50" i="35"/>
  <c r="H165" i="35"/>
  <c r="H166" i="35"/>
  <c r="H107" i="35"/>
  <c r="B82" i="101" s="1"/>
  <c r="K20" i="103" l="1"/>
  <c r="K20" i="108"/>
  <c r="K20" i="105"/>
  <c r="K20" i="107"/>
  <c r="K20" i="106"/>
  <c r="J170" i="108"/>
  <c r="J13" i="108"/>
  <c r="J20" i="108" s="1"/>
  <c r="I170" i="108"/>
  <c r="I13" i="108"/>
  <c r="I20" i="108" s="1"/>
  <c r="J170" i="106"/>
  <c r="J13" i="106"/>
  <c r="J20" i="106" s="1"/>
  <c r="J170" i="107"/>
  <c r="J13" i="107"/>
  <c r="J20" i="107" s="1"/>
  <c r="I170" i="106"/>
  <c r="I13" i="106"/>
  <c r="I20" i="106" s="1"/>
  <c r="I170" i="107"/>
  <c r="I13" i="107"/>
  <c r="I20" i="107" s="1"/>
  <c r="J170" i="105"/>
  <c r="J13" i="105"/>
  <c r="J20" i="105" s="1"/>
  <c r="I170" i="104"/>
  <c r="I13" i="104"/>
  <c r="I170" i="105"/>
  <c r="I13" i="105"/>
  <c r="I20" i="105" s="1"/>
  <c r="K20" i="104"/>
  <c r="J170" i="104"/>
  <c r="J13" i="104"/>
  <c r="J170" i="103"/>
  <c r="J13" i="103"/>
  <c r="J20" i="103" s="1"/>
  <c r="I170" i="103"/>
  <c r="I13" i="103"/>
  <c r="I20" i="103" s="1"/>
  <c r="H55" i="35"/>
  <c r="I55" i="35"/>
  <c r="G59" i="35"/>
  <c r="G66" i="35" s="1"/>
  <c r="J59" i="35"/>
  <c r="J66" i="35" s="1"/>
  <c r="I59" i="35"/>
  <c r="G112" i="35"/>
  <c r="G123" i="35"/>
  <c r="J122" i="35"/>
  <c r="D98" i="101" s="1"/>
  <c r="G113" i="35"/>
  <c r="G124" i="35"/>
  <c r="G111" i="35"/>
  <c r="G122" i="35"/>
  <c r="I121" i="35"/>
  <c r="C97" i="101" s="1"/>
  <c r="I122" i="35"/>
  <c r="C98" i="101" s="1"/>
  <c r="G110" i="35"/>
  <c r="G121" i="35"/>
  <c r="J121" i="35"/>
  <c r="D97" i="101" s="1"/>
  <c r="G107" i="35"/>
  <c r="G118" i="35"/>
  <c r="G52" i="35"/>
  <c r="G108" i="35"/>
  <c r="G119" i="35"/>
  <c r="G109" i="35"/>
  <c r="G120" i="35"/>
  <c r="H119" i="35"/>
  <c r="B95" i="101" s="1"/>
  <c r="H122" i="35"/>
  <c r="B98" i="101" s="1"/>
  <c r="H110" i="35"/>
  <c r="B85" i="101" s="1"/>
  <c r="H113" i="35"/>
  <c r="B88" i="101" s="1"/>
  <c r="H118" i="35"/>
  <c r="B94" i="101" s="1"/>
  <c r="H124" i="35"/>
  <c r="B100" i="101" s="1"/>
  <c r="H112" i="35"/>
  <c r="B87" i="101" s="1"/>
  <c r="H120" i="35"/>
  <c r="B96" i="101" s="1"/>
  <c r="H123" i="35"/>
  <c r="B99" i="101" s="1"/>
  <c r="H108" i="35"/>
  <c r="B83" i="101" s="1"/>
  <c r="H111" i="35"/>
  <c r="B86" i="101" s="1"/>
  <c r="H121" i="35"/>
  <c r="B97" i="101" s="1"/>
  <c r="H109" i="35"/>
  <c r="B84" i="101" s="1"/>
  <c r="H149" i="35"/>
  <c r="B101" i="101" l="1"/>
  <c r="B102" i="101" s="1"/>
  <c r="B89" i="101"/>
  <c r="B90" i="101" s="1"/>
  <c r="I80" i="35"/>
  <c r="I110" i="35" s="1"/>
  <c r="C85" i="101" s="1"/>
  <c r="I81" i="35"/>
  <c r="I111" i="35" s="1"/>
  <c r="C86" i="101" s="1"/>
  <c r="I82" i="35"/>
  <c r="I112" i="35" s="1"/>
  <c r="C87" i="101" s="1"/>
  <c r="I83" i="35"/>
  <c r="I113" i="35" s="1"/>
  <c r="C88" i="101" s="1"/>
  <c r="I79" i="35"/>
  <c r="I78" i="35"/>
  <c r="I20" i="104"/>
  <c r="J20" i="104"/>
  <c r="H69" i="35"/>
  <c r="M121" i="35"/>
  <c r="I66" i="35"/>
  <c r="I69" i="35"/>
  <c r="M122" i="35"/>
  <c r="G125" i="35"/>
  <c r="G114" i="35"/>
  <c r="I77" i="35"/>
  <c r="H133" i="35"/>
  <c r="H129" i="35"/>
  <c r="H114" i="35"/>
  <c r="H134" i="35"/>
  <c r="H125" i="35"/>
  <c r="H130" i="35"/>
  <c r="H135" i="35"/>
  <c r="H132" i="35"/>
  <c r="H16" i="35" s="1"/>
  <c r="B61" i="101" s="1"/>
  <c r="B39" i="101" s="1"/>
  <c r="H131" i="35"/>
  <c r="H15" i="35" s="1"/>
  <c r="B60" i="101" s="1"/>
  <c r="B38" i="101" s="1"/>
  <c r="I133" i="35" l="1"/>
  <c r="I132" i="35"/>
  <c r="J55" i="35"/>
  <c r="I107" i="35"/>
  <c r="C82" i="101" s="1"/>
  <c r="H136" i="35"/>
  <c r="J78" i="35" l="1"/>
  <c r="J82" i="35"/>
  <c r="J79" i="35"/>
  <c r="J83" i="35"/>
  <c r="J81" i="35"/>
  <c r="J77" i="35"/>
  <c r="J80" i="35"/>
  <c r="I108" i="35"/>
  <c r="C83" i="101" s="1"/>
  <c r="K103" i="35"/>
  <c r="J103" i="35"/>
  <c r="J124" i="35" s="1"/>
  <c r="D100" i="101" s="1"/>
  <c r="I103" i="35"/>
  <c r="I124" i="35" s="1"/>
  <c r="C100" i="101" s="1"/>
  <c r="I99" i="35"/>
  <c r="K99" i="35"/>
  <c r="M99" i="35" s="1"/>
  <c r="J99" i="35"/>
  <c r="K102" i="35"/>
  <c r="J102" i="35"/>
  <c r="J123" i="35" s="1"/>
  <c r="D99" i="101" s="1"/>
  <c r="I102" i="35"/>
  <c r="I123" i="35" s="1"/>
  <c r="C99" i="101" s="1"/>
  <c r="I98" i="35"/>
  <c r="I119" i="35" s="1"/>
  <c r="C95" i="101" s="1"/>
  <c r="J98" i="35"/>
  <c r="K98" i="35"/>
  <c r="J97" i="35"/>
  <c r="K97" i="35"/>
  <c r="M97" i="35" s="1"/>
  <c r="I97" i="35"/>
  <c r="H8" i="35"/>
  <c r="H7" i="35"/>
  <c r="J69" i="35" l="1"/>
  <c r="I135" i="35"/>
  <c r="I134" i="35"/>
  <c r="K69" i="35"/>
  <c r="K124" i="35"/>
  <c r="E100" i="101" s="1"/>
  <c r="M103" i="35"/>
  <c r="K123" i="35"/>
  <c r="E99" i="101" s="1"/>
  <c r="M102" i="35"/>
  <c r="K119" i="35"/>
  <c r="E95" i="101" s="1"/>
  <c r="M98" i="35"/>
  <c r="J119" i="35"/>
  <c r="D95" i="101" s="1"/>
  <c r="J118" i="35"/>
  <c r="D94" i="101" s="1"/>
  <c r="I130" i="35"/>
  <c r="I118" i="35"/>
  <c r="C94" i="101" s="1"/>
  <c r="K120" i="35"/>
  <c r="E96" i="101" s="1"/>
  <c r="K118" i="35"/>
  <c r="E94" i="101" s="1"/>
  <c r="H163" i="35"/>
  <c r="H13" i="35" s="1"/>
  <c r="B58" i="101" s="1"/>
  <c r="B36" i="101" s="1"/>
  <c r="H9" i="35"/>
  <c r="C10" i="101" s="1"/>
  <c r="M124" i="35" l="1"/>
  <c r="M123" i="35"/>
  <c r="M120" i="35"/>
  <c r="M119" i="35"/>
  <c r="M118" i="35"/>
  <c r="J110" i="35"/>
  <c r="D85" i="101" s="1"/>
  <c r="K55" i="35"/>
  <c r="J112" i="35"/>
  <c r="D87" i="101" s="1"/>
  <c r="J108" i="35"/>
  <c r="D83" i="101" s="1"/>
  <c r="J113" i="35"/>
  <c r="D88" i="101" s="1"/>
  <c r="J109" i="35"/>
  <c r="D84" i="101" s="1"/>
  <c r="J111" i="35"/>
  <c r="D86" i="101" s="1"/>
  <c r="I129" i="35"/>
  <c r="J52" i="35"/>
  <c r="J120" i="35"/>
  <c r="D96" i="101" s="1"/>
  <c r="K125" i="35"/>
  <c r="I109" i="35"/>
  <c r="C84" i="101" s="1"/>
  <c r="I120" i="35"/>
  <c r="C96" i="101" s="1"/>
  <c r="J149" i="35"/>
  <c r="K149" i="35"/>
  <c r="H167" i="35"/>
  <c r="H17" i="35" s="1"/>
  <c r="B62" i="101" s="1"/>
  <c r="B40" i="101" s="1"/>
  <c r="H169" i="35"/>
  <c r="H19" i="35" s="1"/>
  <c r="B64" i="101" s="1"/>
  <c r="H164" i="35"/>
  <c r="H14" i="35" s="1"/>
  <c r="B59" i="101" s="1"/>
  <c r="B37" i="101" s="1"/>
  <c r="I52" i="35"/>
  <c r="I125" i="35" l="1"/>
  <c r="I24" i="35" s="1"/>
  <c r="C101" i="101"/>
  <c r="C102" i="101" s="1"/>
  <c r="J125" i="35"/>
  <c r="J24" i="35" s="1"/>
  <c r="D101" i="101"/>
  <c r="D102" i="101" s="1"/>
  <c r="E101" i="101"/>
  <c r="E102" i="101" s="1"/>
  <c r="J130" i="35"/>
  <c r="J135" i="35"/>
  <c r="J134" i="35"/>
  <c r="J132" i="35"/>
  <c r="I114" i="35"/>
  <c r="I23" i="35" s="1"/>
  <c r="C89" i="101"/>
  <c r="C90" i="101" s="1"/>
  <c r="J133" i="35"/>
  <c r="M125" i="35"/>
  <c r="K24" i="35"/>
  <c r="K81" i="35"/>
  <c r="K78" i="35"/>
  <c r="K82" i="35"/>
  <c r="K83" i="35"/>
  <c r="K80" i="35"/>
  <c r="K79" i="35"/>
  <c r="J107" i="35"/>
  <c r="D82" i="101" s="1"/>
  <c r="J131" i="35"/>
  <c r="H168" i="35"/>
  <c r="J114" i="35" l="1"/>
  <c r="J23" i="35" s="1"/>
  <c r="D89" i="101"/>
  <c r="D90" i="101" s="1"/>
  <c r="H170" i="35"/>
  <c r="H18" i="35"/>
  <c r="B63" i="101" s="1"/>
  <c r="B41" i="101" s="1"/>
  <c r="I136" i="35"/>
  <c r="J129" i="35"/>
  <c r="K77" i="35"/>
  <c r="H20" i="35" l="1"/>
  <c r="J136" i="35"/>
  <c r="K159" i="35"/>
  <c r="K113" i="35"/>
  <c r="E88" i="101" s="1"/>
  <c r="K155" i="35"/>
  <c r="K109" i="35"/>
  <c r="E84" i="101" s="1"/>
  <c r="K107" i="35"/>
  <c r="E82" i="101" s="1"/>
  <c r="K153" i="35"/>
  <c r="K156" i="35"/>
  <c r="K110" i="35"/>
  <c r="E85" i="101" s="1"/>
  <c r="K157" i="35"/>
  <c r="K111" i="35"/>
  <c r="E86" i="101" s="1"/>
  <c r="K112" i="35"/>
  <c r="E87" i="101" s="1"/>
  <c r="K158" i="35"/>
  <c r="K108" i="35"/>
  <c r="E83" i="101" s="1"/>
  <c r="K154" i="35"/>
  <c r="J154" i="35" s="1"/>
  <c r="I149" i="35"/>
  <c r="B65" i="101" l="1"/>
  <c r="AB72" i="101" s="1"/>
  <c r="M107" i="35"/>
  <c r="E89" i="101"/>
  <c r="E90" i="101" s="1"/>
  <c r="K130" i="35"/>
  <c r="M108" i="35"/>
  <c r="K133" i="35"/>
  <c r="M111" i="35"/>
  <c r="K132" i="35"/>
  <c r="M110" i="35"/>
  <c r="K131" i="35"/>
  <c r="M109" i="35"/>
  <c r="K135" i="35"/>
  <c r="M113" i="35"/>
  <c r="K134" i="35"/>
  <c r="M112" i="35"/>
  <c r="K114" i="35"/>
  <c r="K129" i="35"/>
  <c r="J158" i="35"/>
  <c r="K168" i="35"/>
  <c r="J157" i="35"/>
  <c r="K167" i="35"/>
  <c r="K166" i="35"/>
  <c r="J156" i="35"/>
  <c r="J153" i="35"/>
  <c r="K163" i="35"/>
  <c r="K165" i="35"/>
  <c r="J155" i="35"/>
  <c r="K164" i="35"/>
  <c r="J159" i="35"/>
  <c r="K169" i="35"/>
  <c r="Z76" i="101" l="1"/>
  <c r="Y72" i="101"/>
  <c r="Y135" i="101" s="1"/>
  <c r="Y76" i="101"/>
  <c r="Y75" i="101"/>
  <c r="Z75" i="101"/>
  <c r="AA76" i="101"/>
  <c r="AA71" i="101"/>
  <c r="AA134" i="101" s="1"/>
  <c r="Y74" i="101"/>
  <c r="Y137" i="101" s="1"/>
  <c r="AA72" i="101"/>
  <c r="AA135" i="101" s="1"/>
  <c r="AA74" i="101"/>
  <c r="AA137" i="101" s="1"/>
  <c r="Z72" i="101"/>
  <c r="Z135" i="101" s="1"/>
  <c r="AA75" i="101"/>
  <c r="AA138" i="101" s="1"/>
  <c r="Z73" i="101"/>
  <c r="Z136" i="101" s="1"/>
  <c r="AA73" i="101"/>
  <c r="AA136" i="101" s="1"/>
  <c r="Y71" i="101"/>
  <c r="Y134" i="101" s="1"/>
  <c r="Z74" i="101"/>
  <c r="Z137" i="101" s="1"/>
  <c r="Y73" i="101"/>
  <c r="Y136" i="101" s="1"/>
  <c r="Z71" i="101"/>
  <c r="Z134" i="101" s="1"/>
  <c r="AB135" i="101"/>
  <c r="AB70" i="101"/>
  <c r="AB133" i="101" s="1"/>
  <c r="AB74" i="101"/>
  <c r="AB137" i="101" s="1"/>
  <c r="AB73" i="101"/>
  <c r="AB136" i="101" s="1"/>
  <c r="AB76" i="101"/>
  <c r="Z70" i="101"/>
  <c r="Z133" i="101" s="1"/>
  <c r="AB71" i="101"/>
  <c r="Y70" i="101"/>
  <c r="Y133" i="101" s="1"/>
  <c r="AB75" i="101"/>
  <c r="AA70" i="101"/>
  <c r="AA133" i="101" s="1"/>
  <c r="Z77" i="101"/>
  <c r="AB77" i="101"/>
  <c r="AA77" i="101"/>
  <c r="B73" i="101"/>
  <c r="B136" i="101" s="1"/>
  <c r="B72" i="101"/>
  <c r="B135" i="101" s="1"/>
  <c r="B70" i="101"/>
  <c r="B133" i="101" s="1"/>
  <c r="B71" i="101"/>
  <c r="B134" i="101" s="1"/>
  <c r="B74" i="101"/>
  <c r="B137" i="101" s="1"/>
  <c r="B76" i="101"/>
  <c r="B75" i="101"/>
  <c r="B66" i="101"/>
  <c r="B43" i="101"/>
  <c r="M114" i="35"/>
  <c r="K23" i="35"/>
  <c r="K18" i="35"/>
  <c r="M134" i="35"/>
  <c r="M133" i="35"/>
  <c r="K17" i="35"/>
  <c r="M131" i="35"/>
  <c r="K15" i="35"/>
  <c r="M132" i="35"/>
  <c r="K16" i="35"/>
  <c r="K136" i="35"/>
  <c r="M136" i="35" s="1"/>
  <c r="M129" i="35"/>
  <c r="K13" i="35"/>
  <c r="K19" i="35"/>
  <c r="M135" i="35"/>
  <c r="M130" i="35"/>
  <c r="K14" i="35"/>
  <c r="K170" i="35"/>
  <c r="I156" i="35"/>
  <c r="I166" i="35" s="1"/>
  <c r="I16" i="35" s="1"/>
  <c r="J166" i="35"/>
  <c r="J16" i="35" s="1"/>
  <c r="I153" i="35"/>
  <c r="I163" i="35" s="1"/>
  <c r="I13" i="35" s="1"/>
  <c r="J163" i="35"/>
  <c r="J13" i="35" s="1"/>
  <c r="I154" i="35"/>
  <c r="I164" i="35" s="1"/>
  <c r="I14" i="35" s="1"/>
  <c r="J164" i="35"/>
  <c r="J14" i="35" s="1"/>
  <c r="J167" i="35"/>
  <c r="J17" i="35" s="1"/>
  <c r="I157" i="35"/>
  <c r="I167" i="35" s="1"/>
  <c r="I17" i="35" s="1"/>
  <c r="I159" i="35"/>
  <c r="I169" i="35" s="1"/>
  <c r="I19" i="35" s="1"/>
  <c r="J169" i="35"/>
  <c r="J19" i="35" s="1"/>
  <c r="I158" i="35"/>
  <c r="I168" i="35" s="1"/>
  <c r="I18" i="35" s="1"/>
  <c r="J168" i="35"/>
  <c r="J18" i="35" s="1"/>
  <c r="I155" i="35"/>
  <c r="I165" i="35" s="1"/>
  <c r="J165" i="35"/>
  <c r="J15" i="35" s="1"/>
  <c r="C63" i="101" l="1"/>
  <c r="C64" i="101"/>
  <c r="C76" i="101" s="1"/>
  <c r="E63" i="101"/>
  <c r="D60" i="101"/>
  <c r="D38" i="101" s="1"/>
  <c r="D61" i="101"/>
  <c r="D39" i="101" s="1"/>
  <c r="E60" i="101"/>
  <c r="E38" i="101" s="1"/>
  <c r="C60" i="101"/>
  <c r="C38" i="101" s="1"/>
  <c r="C61" i="101"/>
  <c r="C39" i="101" s="1"/>
  <c r="D64" i="101"/>
  <c r="D76" i="101" s="1"/>
  <c r="D62" i="101"/>
  <c r="D40" i="101" s="1"/>
  <c r="E58" i="101"/>
  <c r="E36" i="101" s="1"/>
  <c r="E62" i="101"/>
  <c r="E40" i="101" s="1"/>
  <c r="C62" i="101"/>
  <c r="C40" i="101" s="1"/>
  <c r="E64" i="101"/>
  <c r="E76" i="101" s="1"/>
  <c r="D59" i="101"/>
  <c r="D37" i="101" s="1"/>
  <c r="D63" i="101"/>
  <c r="E59" i="101"/>
  <c r="E37" i="101" s="1"/>
  <c r="C59" i="101"/>
  <c r="C37" i="101" s="1"/>
  <c r="D58" i="101"/>
  <c r="D36" i="101" s="1"/>
  <c r="E61" i="101"/>
  <c r="E39" i="101" s="1"/>
  <c r="C58" i="101"/>
  <c r="C36" i="101" s="1"/>
  <c r="Y140" i="101"/>
  <c r="B140" i="101"/>
  <c r="AA140" i="101"/>
  <c r="AA139" i="101"/>
  <c r="Z140" i="101"/>
  <c r="Z138" i="101"/>
  <c r="B138" i="101"/>
  <c r="Y138" i="101"/>
  <c r="Y139" i="101" s="1"/>
  <c r="AA78" i="101"/>
  <c r="AA31" i="101"/>
  <c r="AB78" i="101"/>
  <c r="AB31" i="101"/>
  <c r="Z78" i="101"/>
  <c r="Z31" i="101"/>
  <c r="AB138" i="101"/>
  <c r="K20" i="35"/>
  <c r="J170" i="35"/>
  <c r="J20" i="35"/>
  <c r="I20" i="35"/>
  <c r="I170" i="35"/>
  <c r="D73" i="101" l="1"/>
  <c r="D136" i="101" s="1"/>
  <c r="D41" i="101"/>
  <c r="D138" i="101" s="1"/>
  <c r="E74" i="101"/>
  <c r="E137" i="101" s="1"/>
  <c r="D65" i="101"/>
  <c r="D77" i="101" s="1"/>
  <c r="D42" i="101" s="1"/>
  <c r="D43" i="101" s="1"/>
  <c r="D75" i="101"/>
  <c r="D74" i="101"/>
  <c r="D137" i="101" s="1"/>
  <c r="D72" i="101"/>
  <c r="D135" i="101" s="1"/>
  <c r="E70" i="101"/>
  <c r="E133" i="101" s="1"/>
  <c r="E41" i="101"/>
  <c r="E138" i="101" s="1"/>
  <c r="C70" i="101"/>
  <c r="C133" i="101" s="1"/>
  <c r="D71" i="101"/>
  <c r="D134" i="101" s="1"/>
  <c r="E75" i="101"/>
  <c r="C71" i="101"/>
  <c r="C134" i="101" s="1"/>
  <c r="E72" i="101"/>
  <c r="E135" i="101" s="1"/>
  <c r="E71" i="101"/>
  <c r="E134" i="101" s="1"/>
  <c r="E65" i="101"/>
  <c r="E77" i="101" s="1"/>
  <c r="E42" i="101" s="1"/>
  <c r="E43" i="101" s="1"/>
  <c r="C65" i="101"/>
  <c r="C77" i="101" s="1"/>
  <c r="C31" i="101" s="1"/>
  <c r="E73" i="101"/>
  <c r="E136" i="101" s="1"/>
  <c r="C73" i="101"/>
  <c r="C136" i="101" s="1"/>
  <c r="C41" i="101"/>
  <c r="C138" i="101" s="1"/>
  <c r="D70" i="101"/>
  <c r="D133" i="101" s="1"/>
  <c r="C74" i="101"/>
  <c r="C137" i="101" s="1"/>
  <c r="C72" i="101"/>
  <c r="C135" i="101" s="1"/>
  <c r="C75" i="101"/>
  <c r="Z143" i="101"/>
  <c r="B45" i="101"/>
  <c r="AB134" i="101"/>
  <c r="AB140" i="101" s="1"/>
  <c r="AB143" i="101" s="1"/>
  <c r="Z139" i="101"/>
  <c r="AA143" i="101"/>
  <c r="B139" i="101"/>
  <c r="Y143" i="101" s="1"/>
  <c r="E31" i="101"/>
  <c r="D31" i="101"/>
  <c r="D66" i="101"/>
  <c r="D78" i="101"/>
  <c r="E78" i="101"/>
  <c r="E139" i="101" l="1"/>
  <c r="C45" i="101"/>
  <c r="C78" i="101"/>
  <c r="C139" i="101"/>
  <c r="E140" i="101"/>
  <c r="E143" i="101" s="1"/>
  <c r="D45" i="101"/>
  <c r="C66" i="101"/>
  <c r="E66" i="101"/>
  <c r="C42" i="101"/>
  <c r="C43" i="101" s="1"/>
  <c r="C140" i="101"/>
  <c r="C143" i="101" s="1"/>
  <c r="D140" i="101"/>
  <c r="D143" i="101" s="1"/>
  <c r="D139" i="101"/>
  <c r="E45" i="101"/>
  <c r="AB139" i="101"/>
</calcChain>
</file>

<file path=xl/sharedStrings.xml><?xml version="1.0" encoding="utf-8"?>
<sst xmlns="http://schemas.openxmlformats.org/spreadsheetml/2006/main" count="3166" uniqueCount="257">
  <si>
    <t>Bureaux</t>
  </si>
  <si>
    <t>Habitat communautaire</t>
  </si>
  <si>
    <t>Santé</t>
  </si>
  <si>
    <t>Commerce</t>
  </si>
  <si>
    <t>Transport</t>
  </si>
  <si>
    <t>2020-2030</t>
  </si>
  <si>
    <t>2030-2040</t>
  </si>
  <si>
    <t>2040-2050</t>
  </si>
  <si>
    <t>S2</t>
  </si>
  <si>
    <t>S3</t>
  </si>
  <si>
    <t>S4</t>
  </si>
  <si>
    <t>Cafés-hôtels-restaurants</t>
  </si>
  <si>
    <t>Enseignement-recherche</t>
  </si>
  <si>
    <t>Sport, Loisirs, Culture</t>
  </si>
  <si>
    <t>TOTAL</t>
  </si>
  <si>
    <t>Fuel domestique</t>
  </si>
  <si>
    <t>Gaz naturel</t>
  </si>
  <si>
    <t>Total</t>
  </si>
  <si>
    <t>AME</t>
  </si>
  <si>
    <t>AMS</t>
  </si>
  <si>
    <t>Energie</t>
  </si>
  <si>
    <t>Réseau de chaleur</t>
  </si>
  <si>
    <t>GPL</t>
  </si>
  <si>
    <t>Proportion</t>
  </si>
  <si>
    <t>CHAUFFAGE</t>
  </si>
  <si>
    <t>Joule</t>
  </si>
  <si>
    <t>PAC</t>
  </si>
  <si>
    <t>Catégorie</t>
  </si>
  <si>
    <t>Tous bureaux</t>
  </si>
  <si>
    <t xml:space="preserve">Dont surfaces construites après 2015 </t>
  </si>
  <si>
    <t>Dont surfaces existantes en 2015</t>
  </si>
  <si>
    <t>SURFACES CHAUFFEES</t>
  </si>
  <si>
    <t>Justification hypothèses</t>
  </si>
  <si>
    <t>Surface</t>
  </si>
  <si>
    <t>Surface [thousand sq m]</t>
  </si>
  <si>
    <t>Proportion du parc suivant la trajectoire décret tertiaire</t>
  </si>
  <si>
    <t>Trajectoire décret tertiaire [kWh/sq m]</t>
  </si>
  <si>
    <t>Hypothèse TCAM 2020-2050</t>
  </si>
  <si>
    <t>La consommation du parc neuf évolue pour se caler sur les consommations du décret tertiaire, dès les années 2030</t>
  </si>
  <si>
    <t>Café Hôtel Restaurant</t>
  </si>
  <si>
    <t xml:space="preserve">Réduction de consommation de -60% par rapport aux consommations 2010. Il s'agit d'une moyenne (certains bâtiments feront plus, d'autres feront moins, notamment avec les modulations prévues pour raisons techniques, architecturales…)
</t>
  </si>
  <si>
    <t>Fuel : éradication du fuel,
Gaz naturel : devient résiduel
RCU : triplement des surfaces raccordées
Electricité :   Augmentation de la part de PAC au dépend du Joule (ratio 80/20)</t>
  </si>
  <si>
    <t>ENR</t>
  </si>
  <si>
    <t>Répartition du parc neuf</t>
  </si>
  <si>
    <t>Répartition du parc existant</t>
  </si>
  <si>
    <t>Enseignement</t>
  </si>
  <si>
    <t>Sport Loisir Culture</t>
  </si>
  <si>
    <t>Santé social</t>
  </si>
  <si>
    <t>Electricité Joule</t>
  </si>
  <si>
    <t>Electricité PAC</t>
  </si>
  <si>
    <t>Consommation unitaire de l'existant (kWh/m²)</t>
  </si>
  <si>
    <t>Café Hôtels Restaurants</t>
  </si>
  <si>
    <t>Données CEREN 2020</t>
  </si>
  <si>
    <t>Etat initial (2020)</t>
  </si>
  <si>
    <t>Bureaux Administration</t>
  </si>
  <si>
    <t>Enseignement Recherche</t>
  </si>
  <si>
    <t>Santé Action Sociale</t>
  </si>
  <si>
    <t>total</t>
  </si>
  <si>
    <t>Projection surface tertiaire AME 2023</t>
  </si>
  <si>
    <t>Projection surface tertiaire nette AMS 2023</t>
  </si>
  <si>
    <t>Renouvellement du parc (destruction reconstruction)</t>
  </si>
  <si>
    <t>Renouvellement du parc (destruction reconstruction + réhabilitation de bureaux en logements)</t>
  </si>
  <si>
    <t>Parc post-2020</t>
  </si>
  <si>
    <t>Etude d'impact du décret tertiaire (DHUP)</t>
  </si>
  <si>
    <t>Bureaux - Scénario AME</t>
  </si>
  <si>
    <t>Résultats - Scénario AME</t>
  </si>
  <si>
    <t>Surface chauffée  - Scénario AME [thousand sq m]</t>
  </si>
  <si>
    <t>Consommation par source énergie - Scénario AME [GWh LHV]</t>
  </si>
  <si>
    <t>Calculs - Scénario AME</t>
  </si>
  <si>
    <t>Surfaces chauffées - Scénario AME [thousand sq m]</t>
  </si>
  <si>
    <t>Parc existant en 2015 hors décret tertiaire - Hypothèses de consommation unitaire de chauffage par type d'énergie - Scénario AME</t>
  </si>
  <si>
    <t>Parc existant en 2020 hors décret tertiaire - Consommation unitaire de chauffage par type d'énergie [kWh/sq m] - Scénario AME</t>
  </si>
  <si>
    <t>Parc existant en 2015 -  Consommation de chauffage par type d'énergie - Scénario AME [GWh LHV]</t>
  </si>
  <si>
    <t>Parc neuf post 2015 -  Consommation de chauffage par type d'énergie - Scénario AME [GWh LHV]</t>
  </si>
  <si>
    <t>Hyp de décroissance de la conso de 0,2%/an (SDES)</t>
  </si>
  <si>
    <t>Réseaux de chaleur</t>
  </si>
  <si>
    <t>Parc neuf post 2020 - Répartition des surfaces chauffées par type d'énergie de chauffage - Scénario AME</t>
  </si>
  <si>
    <t>Parc neuf post 2020 - Consommation unitaire de chauffage par type d'énergie [kWh/sq m] - Scénario AME</t>
  </si>
  <si>
    <t>Parc neuf post-2020</t>
  </si>
  <si>
    <t>Parc existant en 2020</t>
  </si>
  <si>
    <t>Part du parc assujettie (&gt;1000m²) x part du parc asujetti respectant la trajectoire du décret</t>
  </si>
  <si>
    <t>Taux</t>
  </si>
  <si>
    <t>Taux annuel moyen</t>
  </si>
  <si>
    <t>Gaz</t>
  </si>
  <si>
    <t>Fioul</t>
  </si>
  <si>
    <t>Autres combustibles</t>
  </si>
  <si>
    <t>Électricité</t>
  </si>
  <si>
    <t>Baisse annuelle</t>
  </si>
  <si>
    <t>Conso unitaire chauffage toutes branches TWh/ milliers m² (données CEREN)</t>
  </si>
  <si>
    <t>TCAM 2010-2020 toutes branches</t>
  </si>
  <si>
    <t xml:space="preserve">Les segments du parc non concernés par le décret tertiaire sont rénovés plus lentement que le rythme tendanciel, car il s'agit de surfaces plus difficiles à rénover (nature du propriétaire…). </t>
  </si>
  <si>
    <t>Proportion du parc assujetti suivant la trajectoire du décret tertiaire</t>
  </si>
  <si>
    <t>Proportion du parc assujeti (&gt;1000m²)</t>
  </si>
  <si>
    <t>Baisse 2010-2020</t>
  </si>
  <si>
    <t>Parc existant en 2015 suivant le décret tertiaire -  Consommation de chauffage par type d'énergie - Scénario AME [GWh LHV]</t>
  </si>
  <si>
    <t>Parc existant en 2015 hors décret tertiaire -  Consommation de chauffage par type d'énergie - Scénario AME [GWh LHV]</t>
  </si>
  <si>
    <t xml:space="preserve">Baisses de consommation induites par les changements de système de chauffage </t>
  </si>
  <si>
    <t>Parc existant en 2015 - Répartition des surfaces chauffées par type d'énergie de chauffage - Scénario Tendanciel - surfaces hors décret</t>
  </si>
  <si>
    <t>Baisses de consommation induites par les changements de système de chauffage</t>
  </si>
  <si>
    <t>Parc existant en 2015 - Répartition des surfaces chauffées par type d'énergie de chauffage - Scénario Tendanciel - surfaces suivant la traj décret</t>
  </si>
  <si>
    <t>[Aide au calage] Evolution 2010-2050</t>
  </si>
  <si>
    <t>Part Etat</t>
  </si>
  <si>
    <t>Part Privé</t>
  </si>
  <si>
    <t>Part collectivités</t>
  </si>
  <si>
    <t>Etat</t>
  </si>
  <si>
    <t>Privé</t>
  </si>
  <si>
    <t>Collectivités</t>
  </si>
  <si>
    <t>Réalisation des objectifs</t>
  </si>
  <si>
    <t>Baisse de la consommation du parc suivant le décret</t>
  </si>
  <si>
    <t>Baisse de la consommation du parc hors décret</t>
  </si>
  <si>
    <t>Surface du parc (milliers de m²)</t>
  </si>
  <si>
    <t>Existant 2020</t>
  </si>
  <si>
    <t>Neuf post 2020</t>
  </si>
  <si>
    <t>Gain énergétique</t>
  </si>
  <si>
    <t>Consommation totale en GWh AME</t>
  </si>
  <si>
    <t>Consommation parc suivant le décret en GWh AME</t>
  </si>
  <si>
    <t>Consommation parc hors décret en GWh AME</t>
  </si>
  <si>
    <t>Scénario AME</t>
  </si>
  <si>
    <t>Scénario AMS</t>
  </si>
  <si>
    <t>Consommation parc suivant le décret en GWh AMS</t>
  </si>
  <si>
    <t>Consommation parc hors décret en GWh AMS</t>
  </si>
  <si>
    <t>Surfaces &gt; 1000m²</t>
  </si>
  <si>
    <t>Surfaces &gt; 500m²</t>
  </si>
  <si>
    <t>Dont surfaces existantes en 2020</t>
  </si>
  <si>
    <t>Dont surfaces construites après 2020</t>
  </si>
  <si>
    <t>https://www.ecologie.gouv.fr/sites/default/files/CGDD_scenarios_renovation_batiments_tertiaires_publication_20201203.pdf</t>
  </si>
  <si>
    <t>p. 54</t>
  </si>
  <si>
    <t>Parc post-2020 (besoins suppl. + destruction/reconstruction)</t>
  </si>
  <si>
    <t>Flux de renouvellement annuel</t>
  </si>
  <si>
    <t>Hors chauffage - Scénario AME</t>
  </si>
  <si>
    <t>Eau chaude sanitaire</t>
  </si>
  <si>
    <t>CUISSON</t>
  </si>
  <si>
    <t>ELECTRICITE SPECIFIQUE</t>
  </si>
  <si>
    <t>CLIMATISATION</t>
  </si>
  <si>
    <t>HORS CEREN</t>
  </si>
  <si>
    <t>ECS (kWh/m²)</t>
  </si>
  <si>
    <t>Surface tertiaire (Mm²)</t>
  </si>
  <si>
    <t>Conso (TWh ef)</t>
  </si>
  <si>
    <t>électricité (PAC incluses)</t>
  </si>
  <si>
    <t>Gaz réseau</t>
  </si>
  <si>
    <t>Charbon</t>
  </si>
  <si>
    <t>Pétrole/GPL</t>
  </si>
  <si>
    <t>Bois</t>
  </si>
  <si>
    <t>Réseau de Chaleur Urbain</t>
  </si>
  <si>
    <t>Mix ECS</t>
  </si>
  <si>
    <t>Conso ECS (TWh Ef)</t>
  </si>
  <si>
    <t>Conso cuisson (TWh Ef)</t>
  </si>
  <si>
    <t>Mix cuisson</t>
  </si>
  <si>
    <t>Cuisson (kWh/m²)</t>
  </si>
  <si>
    <t>Elec spé (kWh/m²)</t>
  </si>
  <si>
    <t>Sortie MICO scénario BAU corrigé des ratios des surfaces</t>
  </si>
  <si>
    <t>TWh par zone climatique</t>
  </si>
  <si>
    <t>H1A</t>
  </si>
  <si>
    <t>H1B</t>
  </si>
  <si>
    <t>H1C</t>
  </si>
  <si>
    <t>H2A</t>
  </si>
  <si>
    <t>H2B</t>
  </si>
  <si>
    <t>H2C</t>
  </si>
  <si>
    <t>H2D</t>
  </si>
  <si>
    <t>H3</t>
  </si>
  <si>
    <t>Martinique</t>
  </si>
  <si>
    <t>Guadeloupe</t>
  </si>
  <si>
    <t>Guyane</t>
  </si>
  <si>
    <t>Mayotte</t>
  </si>
  <si>
    <t>La Réunion</t>
  </si>
  <si>
    <t>Total en TWh</t>
  </si>
  <si>
    <t>Conso (TWh)</t>
  </si>
  <si>
    <t>Métropole</t>
  </si>
  <si>
    <t>DROM</t>
  </si>
  <si>
    <t>AME 2023</t>
  </si>
  <si>
    <t>TWh</t>
  </si>
  <si>
    <t>Eclairage public</t>
  </si>
  <si>
    <t>décroissance linéaire (~installation de LED à 50 %, nb de points lumineux suit la population, puissance moyenne et temps à pleine puissance constants)</t>
  </si>
  <si>
    <t>Data centers</t>
  </si>
  <si>
    <t>2030 : reprise du chiffre 10TWh du CGE, 2050 reprise du x3 de RTE ? (mais dit 3TWh en 2015)</t>
  </si>
  <si>
    <t>Consommations générales d’immeubles</t>
  </si>
  <si>
    <t>annexé au nb de LC</t>
  </si>
  <si>
    <t>Télécommunications</t>
  </si>
  <si>
    <t>annexé population</t>
  </si>
  <si>
    <t>Entrepôts frigorifiques et grands établissements de recherche</t>
  </si>
  <si>
    <t>hausse modérée (plateformes logistiques, livraisons alimentaires)</t>
  </si>
  <si>
    <t>Eau (distribution et assainissements)</t>
  </si>
  <si>
    <t>Non spécifié</t>
  </si>
  <si>
    <t xml:space="preserve">constant  </t>
  </si>
  <si>
    <t>Autres</t>
  </si>
  <si>
    <t>ecs</t>
  </si>
  <si>
    <t>Consommation (TWh)</t>
  </si>
  <si>
    <t>Electricité</t>
  </si>
  <si>
    <t>Pétrole</t>
  </si>
  <si>
    <t>Chaleur</t>
  </si>
  <si>
    <t>Baisse de consommation</t>
  </si>
  <si>
    <t>SDES</t>
  </si>
  <si>
    <t>Mtep</t>
  </si>
  <si>
    <t>chauffage</t>
  </si>
  <si>
    <t>elec spé</t>
  </si>
  <si>
    <t>clim</t>
  </si>
  <si>
    <t>cuisson</t>
  </si>
  <si>
    <t>autre</t>
  </si>
  <si>
    <t>total HC</t>
  </si>
  <si>
    <t>Hors chauffage - Scénario AMS</t>
  </si>
  <si>
    <t>EnR Thermiques</t>
  </si>
  <si>
    <t>Sortie MICO scénario S2 corrigé des ratios des surfaces (paraît très ambitieux)</t>
  </si>
  <si>
    <t>AMS 2023</t>
  </si>
  <si>
    <t>baisse similaire ADEME/NW (en 2050 : installation de LED à 80 % + -1/3 du temps en pleine puissance, nb de points lumineux constant)</t>
  </si>
  <si>
    <t>ADEME S2/S3</t>
  </si>
  <si>
    <t>constant (similaire ADEME)</t>
  </si>
  <si>
    <t>croissance à 2030 puis constant ensuite</t>
  </si>
  <si>
    <t>constant (gains EE compensés par meilleur traitement des eaux)</t>
  </si>
  <si>
    <t xml:space="preserve">baisse à discuter </t>
  </si>
  <si>
    <t>Chauffage</t>
  </si>
  <si>
    <t>Consommation totale</t>
  </si>
  <si>
    <t>Consommation totale de chauffage en GWh AME</t>
  </si>
  <si>
    <t>Consommation totale de chauffage en GWh AMS</t>
  </si>
  <si>
    <t>Hors Chauffage</t>
  </si>
  <si>
    <t>Electricité (PAC incluses)</t>
  </si>
  <si>
    <t>EnR thermique</t>
  </si>
  <si>
    <t>REBASAGE Consommation totale de chauffage en GWh AME</t>
  </si>
  <si>
    <t>REBASAGE Consommation totale de chauffage en GWh AMS</t>
  </si>
  <si>
    <t>Usage</t>
  </si>
  <si>
    <t>Hors chauffage</t>
  </si>
  <si>
    <t>Proportion du parc assujeti (&gt;500m²)</t>
  </si>
  <si>
    <t>On applique les réductions du décret tertiaire sur les surface concernées</t>
  </si>
  <si>
    <t>Facteurs d'émission</t>
  </si>
  <si>
    <t>g/kWh</t>
  </si>
  <si>
    <t>https://www.cpcu.fr/wp-content/uploads/2020/02/CHIFFRES-CLES-CPCU-2019-sans-plan.pdf</t>
  </si>
  <si>
    <t>Emissions totales (Mt) AME</t>
  </si>
  <si>
    <t>Total hors électricité</t>
  </si>
  <si>
    <t>par an</t>
  </si>
  <si>
    <t>par an en Mm2</t>
  </si>
  <si>
    <t>Diff/an en Mm2</t>
  </si>
  <si>
    <t>Estimation GES (FE constant)</t>
  </si>
  <si>
    <t>Surface chauffée  - Scénario AMS [thousand sq m]</t>
  </si>
  <si>
    <t>Consommation totale en GWh AMS</t>
  </si>
  <si>
    <t>Consommation par source énergie - Scénario AMS [GWh LHV]</t>
  </si>
  <si>
    <t>Emissions totales (Mt) AMS</t>
  </si>
  <si>
    <t>Estimation GES</t>
  </si>
  <si>
    <t>Part de la surface assujettie qui applique les objectifs du décret tertiaire</t>
  </si>
  <si>
    <t>Proportion du parc qui applique la trajectoire décret tertiaire</t>
  </si>
  <si>
    <t>Ademe</t>
  </si>
  <si>
    <t>Hab com</t>
  </si>
  <si>
    <t>Habitat Communautaire</t>
  </si>
  <si>
    <t>Parc Ademe</t>
  </si>
  <si>
    <t>Habitat communataire</t>
  </si>
  <si>
    <t>Proportion du parc assujetti qui applique la trajectoire décret tertiaire</t>
  </si>
  <si>
    <t>Habitat communautaire - Scénario AME</t>
  </si>
  <si>
    <t>Habitat communautaire - Scénario AMS</t>
  </si>
  <si>
    <t>Résultats - Scénario AMS</t>
  </si>
  <si>
    <t>Calculs - Scénario AMS</t>
  </si>
  <si>
    <t>Surfaces chauffées - Scénario AMS [thousand sq m]</t>
  </si>
  <si>
    <t>Parc existant en 2015 hors décret tertiaire - Hypothèses de consommation unitaire de chauffage par type d'énergie - Scénario AMS</t>
  </si>
  <si>
    <t>Parc existant en 2020 hors décret tertiaire - Consommation unitaire de chauffage par type d'énergie [kWh/sq m] - Scénario AMS</t>
  </si>
  <si>
    <t>Parc existant en 2015 suivant le décret tertiaire -  Consommation de chauffage par type d'énergie - Scénario AMS [GWh LHV]</t>
  </si>
  <si>
    <t>Parc existant en 2015 hors décret tertiaire -  Consommation de chauffage par type d'énergie - Scénario AMS [GWh LHV]</t>
  </si>
  <si>
    <t>Parc existant en 2015 -  Consommation de chauffage par type d'énergie - Scénario AMS [GWh LHV]</t>
  </si>
  <si>
    <t>Parc neuf post 2020 - Répartition des surfaces chauffées par type d'énergie de chauffage - Scénario AMS</t>
  </si>
  <si>
    <t>Parc neuf post 2020 - Consommation unitaire de chauffage par type d'énergie [kWh/sq m] - Scénario AMS</t>
  </si>
  <si>
    <t>Parc neuf post 2015 -  Consommation de chauffage par type d'énergie - Scénario AMS [GWh LHV]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</si>
</sst>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0.0%"/>
    <numFmt numFmtId="165" formatCode="#,##0.00&quot;    &quot;;#,##0.00&quot;    &quot;;&quot;-&quot;#&quot;    &quot;;@&quot; &quot;"/>
    <numFmt numFmtId="166" formatCode="_-* #,##0_-;\-* #,##0_-;_-* &quot;-&quot;??_-;_-@_-"/>
    <numFmt numFmtId="167" formatCode="#,##0&quot;    &quot;;#,##0&quot;    &quot;;&quot;-&quot;#&quot;    &quot;;@&quot; &quot;"/>
    <numFmt numFmtId="168" formatCode="0\ %"/>
    <numFmt numFmtId="169" formatCode="_-* #,##0.00\ _€_-;\-* #,##0.00\ _€_-;_-* &quot;-&quot;??\ _€_-;_-@_-"/>
    <numFmt numFmtId="170" formatCode="_-* #,##0\ _€_-;\-* #,##0\ _€_-;_-* &quot;-&quot;??\ _€_-;_-@_-"/>
    <numFmt numFmtId="171" formatCode="_-* #,##0.0\ _€_-;\-* #,##0.0\ _€_-;_-* \-??\ _€_-;_-@_-"/>
    <numFmt numFmtId="172" formatCode="_-* #,##0\ _€_-;\-* #,##0\ _€_-;_-* \-??\ _€_-;_-@_-"/>
    <numFmt numFmtId="173" formatCode="0.0"/>
    <numFmt numFmtId="174" formatCode="0.0000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Arial"/>
      <family val="2"/>
      <charset val="1"/>
    </font>
    <font>
      <b/>
      <sz val="11"/>
      <color rgb="FFFFFFFF"/>
      <name val="Helvetica Neue LT Std"/>
    </font>
    <font>
      <sz val="10"/>
      <color rgb="FFCE181E"/>
      <name val="Arial"/>
      <family val="2"/>
      <charset val="1"/>
    </font>
    <font>
      <b/>
      <sz val="2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67829F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Dashed">
        <color theme="3" tint="0.59996337778862885"/>
      </left>
      <right/>
      <top style="mediumDashed">
        <color theme="3" tint="0.59996337778862885"/>
      </top>
      <bottom/>
      <diagonal/>
    </border>
    <border>
      <left/>
      <right/>
      <top style="mediumDashed">
        <color theme="3" tint="0.59996337778862885"/>
      </top>
      <bottom/>
      <diagonal/>
    </border>
    <border>
      <left/>
      <right style="mediumDashed">
        <color theme="3" tint="0.59996337778862885"/>
      </right>
      <top style="mediumDashed">
        <color theme="3" tint="0.59996337778862885"/>
      </top>
      <bottom/>
      <diagonal/>
    </border>
    <border>
      <left style="mediumDashed">
        <color theme="3" tint="0.59996337778862885"/>
      </left>
      <right/>
      <top/>
      <bottom/>
      <diagonal/>
    </border>
    <border>
      <left/>
      <right style="mediumDashed">
        <color theme="3" tint="0.59996337778862885"/>
      </right>
      <top/>
      <bottom/>
      <diagonal/>
    </border>
    <border>
      <left style="mediumDashed">
        <color theme="3" tint="0.59996337778862885"/>
      </left>
      <right/>
      <top/>
      <bottom style="mediumDashed">
        <color theme="3" tint="0.59996337778862885"/>
      </bottom>
      <diagonal/>
    </border>
    <border>
      <left/>
      <right/>
      <top/>
      <bottom style="mediumDashed">
        <color theme="3" tint="0.59996337778862885"/>
      </bottom>
      <diagonal/>
    </border>
    <border>
      <left/>
      <right style="mediumDashed">
        <color theme="3" tint="0.59996337778862885"/>
      </right>
      <top/>
      <bottom style="mediumDashed">
        <color theme="3" tint="0.59996337778862885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4" fillId="0" borderId="0"/>
    <xf numFmtId="0" fontId="17" fillId="0" borderId="0"/>
    <xf numFmtId="0" fontId="24" fillId="0" borderId="0"/>
    <xf numFmtId="43" fontId="1" fillId="0" borderId="0" applyFont="0" applyFill="0" applyBorder="0" applyAlignment="0" applyProtection="0"/>
    <xf numFmtId="165" fontId="25" fillId="0" borderId="0"/>
    <xf numFmtId="9" fontId="25" fillId="0" borderId="0"/>
    <xf numFmtId="168" fontId="28" fillId="0" borderId="0" applyBorder="0" applyProtection="0"/>
  </cellStyleXfs>
  <cellXfs count="326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5" xfId="0" applyFont="1" applyBorder="1"/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4" fillId="0" borderId="5" xfId="2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6" fillId="7" borderId="5" xfId="0" applyFont="1" applyFill="1" applyBorder="1"/>
    <xf numFmtId="0" fontId="6" fillId="7" borderId="5" xfId="0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0" fontId="5" fillId="6" borderId="5" xfId="2" applyFont="1" applyFill="1" applyBorder="1" applyAlignment="1">
      <alignment vertical="center"/>
    </xf>
    <xf numFmtId="3" fontId="6" fillId="6" borderId="5" xfId="0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0" fontId="13" fillId="0" borderId="0" xfId="0" applyFont="1"/>
    <xf numFmtId="0" fontId="2" fillId="8" borderId="0" xfId="0" applyFont="1" applyFill="1"/>
    <xf numFmtId="0" fontId="6" fillId="8" borderId="0" xfId="0" applyFont="1" applyFill="1"/>
    <xf numFmtId="9" fontId="2" fillId="8" borderId="0" xfId="1" applyFont="1" applyFill="1" applyAlignment="1">
      <alignment horizontal="center"/>
    </xf>
    <xf numFmtId="9" fontId="2" fillId="8" borderId="0" xfId="0" applyNumberFormat="1" applyFont="1" applyFill="1" applyAlignment="1">
      <alignment horizontal="center"/>
    </xf>
    <xf numFmtId="3" fontId="6" fillId="8" borderId="0" xfId="0" applyNumberFormat="1" applyFont="1" applyFill="1" applyAlignment="1">
      <alignment horizontal="center"/>
    </xf>
    <xf numFmtId="0" fontId="2" fillId="8" borderId="12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6" fillId="8" borderId="15" xfId="0" applyFont="1" applyFill="1" applyBorder="1"/>
    <xf numFmtId="3" fontId="6" fillId="8" borderId="15" xfId="0" applyNumberFormat="1" applyFont="1" applyFill="1" applyBorder="1" applyAlignment="1">
      <alignment horizontal="center"/>
    </xf>
    <xf numFmtId="0" fontId="2" fillId="8" borderId="16" xfId="0" applyFont="1" applyFill="1" applyBorder="1"/>
    <xf numFmtId="0" fontId="10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9" fillId="8" borderId="0" xfId="0" applyFont="1" applyFill="1" applyAlignment="1">
      <alignment wrapText="1"/>
    </xf>
    <xf numFmtId="0" fontId="8" fillId="8" borderId="0" xfId="0" applyFont="1" applyFill="1" applyAlignment="1">
      <alignment horizontal="center" wrapText="1"/>
    </xf>
    <xf numFmtId="0" fontId="2" fillId="8" borderId="20" xfId="0" applyFont="1" applyFill="1" applyBorder="1"/>
    <xf numFmtId="0" fontId="2" fillId="8" borderId="21" xfId="0" applyFont="1" applyFill="1" applyBorder="1"/>
    <xf numFmtId="0" fontId="2" fillId="8" borderId="22" xfId="0" applyFont="1" applyFill="1" applyBorder="1"/>
    <xf numFmtId="0" fontId="2" fillId="8" borderId="23" xfId="0" applyFont="1" applyFill="1" applyBorder="1"/>
    <xf numFmtId="0" fontId="2" fillId="8" borderId="24" xfId="0" applyFont="1" applyFill="1" applyBorder="1"/>
    <xf numFmtId="0" fontId="2" fillId="8" borderId="0" xfId="0" applyFont="1" applyFill="1" applyAlignment="1">
      <alignment wrapText="1"/>
    </xf>
    <xf numFmtId="0" fontId="4" fillId="8" borderId="21" xfId="2" applyFont="1" applyFill="1" applyBorder="1" applyAlignment="1">
      <alignment vertical="center"/>
    </xf>
    <xf numFmtId="1" fontId="2" fillId="8" borderId="21" xfId="0" applyNumberFormat="1" applyFont="1" applyFill="1" applyBorder="1"/>
    <xf numFmtId="0" fontId="2" fillId="8" borderId="28" xfId="0" applyFont="1" applyFill="1" applyBorder="1"/>
    <xf numFmtId="0" fontId="11" fillId="8" borderId="0" xfId="0" applyFont="1" applyFill="1" applyAlignment="1">
      <alignment horizontal="center"/>
    </xf>
    <xf numFmtId="0" fontId="2" fillId="8" borderId="29" xfId="0" applyFont="1" applyFill="1" applyBorder="1"/>
    <xf numFmtId="1" fontId="2" fillId="8" borderId="29" xfId="0" applyNumberFormat="1" applyFont="1" applyFill="1" applyBorder="1"/>
    <xf numFmtId="0" fontId="2" fillId="8" borderId="15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8" borderId="0" xfId="0" applyNumberFormat="1" applyFont="1" applyFill="1" applyAlignment="1">
      <alignment horizontal="center"/>
    </xf>
    <xf numFmtId="9" fontId="2" fillId="3" borderId="5" xfId="1" applyFont="1" applyFill="1" applyBorder="1" applyAlignment="1">
      <alignment horizontal="center" vertical="center"/>
    </xf>
    <xf numFmtId="0" fontId="6" fillId="8" borderId="28" xfId="0" applyFont="1" applyFill="1" applyBorder="1"/>
    <xf numFmtId="0" fontId="6" fillId="8" borderId="20" xfId="0" applyFont="1" applyFill="1" applyBorder="1"/>
    <xf numFmtId="0" fontId="6" fillId="8" borderId="21" xfId="0" applyFont="1" applyFill="1" applyBorder="1"/>
    <xf numFmtId="0" fontId="6" fillId="8" borderId="29" xfId="0" applyFont="1" applyFill="1" applyBorder="1"/>
    <xf numFmtId="1" fontId="2" fillId="8" borderId="0" xfId="0" applyNumberFormat="1" applyFont="1" applyFill="1"/>
    <xf numFmtId="9" fontId="6" fillId="4" borderId="5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9" fontId="2" fillId="4" borderId="5" xfId="1" applyFont="1" applyFill="1" applyBorder="1" applyAlignment="1">
      <alignment horizontal="center" vertical="center"/>
    </xf>
    <xf numFmtId="0" fontId="2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6" fillId="4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9" fontId="6" fillId="8" borderId="0" xfId="0" applyNumberFormat="1" applyFont="1" applyFill="1" applyAlignment="1">
      <alignment horizontal="center"/>
    </xf>
    <xf numFmtId="9" fontId="2" fillId="8" borderId="0" xfId="1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1" fontId="2" fillId="8" borderId="0" xfId="0" applyNumberFormat="1" applyFont="1" applyFill="1" applyAlignment="1">
      <alignment horizontal="center"/>
    </xf>
    <xf numFmtId="0" fontId="2" fillId="3" borderId="5" xfId="0" applyFont="1" applyFill="1" applyBorder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8" borderId="15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8" borderId="23" xfId="0" applyFont="1" applyFill="1" applyBorder="1" applyAlignment="1">
      <alignment vertical="center"/>
    </xf>
    <xf numFmtId="0" fontId="0" fillId="0" borderId="0" xfId="0" applyAlignment="1">
      <alignment wrapText="1"/>
    </xf>
    <xf numFmtId="3" fontId="2" fillId="4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 vertical="center"/>
    </xf>
    <xf numFmtId="164" fontId="2" fillId="4" borderId="5" xfId="1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9" fontId="22" fillId="8" borderId="5" xfId="1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1" fontId="2" fillId="3" borderId="5" xfId="0" applyNumberFormat="1" applyFont="1" applyFill="1" applyBorder="1" applyAlignment="1">
      <alignment horizontal="center"/>
    </xf>
    <xf numFmtId="9" fontId="2" fillId="4" borderId="31" xfId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 wrapText="1"/>
    </xf>
    <xf numFmtId="0" fontId="2" fillId="8" borderId="5" xfId="0" applyFont="1" applyFill="1" applyBorder="1" applyAlignment="1">
      <alignment vertical="center" wrapText="1"/>
    </xf>
    <xf numFmtId="9" fontId="2" fillId="4" borderId="5" xfId="1" applyFont="1" applyFill="1" applyBorder="1" applyAlignment="1">
      <alignment horizontal="right" vertical="center"/>
    </xf>
    <xf numFmtId="3" fontId="2" fillId="0" borderId="5" xfId="0" applyNumberFormat="1" applyFont="1" applyBorder="1" applyAlignment="1">
      <alignment horizontal="right"/>
    </xf>
    <xf numFmtId="1" fontId="2" fillId="4" borderId="5" xfId="0" applyNumberFormat="1" applyFont="1" applyFill="1" applyBorder="1" applyAlignment="1">
      <alignment horizontal="right"/>
    </xf>
    <xf numFmtId="0" fontId="7" fillId="2" borderId="5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6" fillId="8" borderId="5" xfId="0" applyFont="1" applyFill="1" applyBorder="1" applyAlignment="1">
      <alignment wrapText="1"/>
    </xf>
    <xf numFmtId="0" fontId="6" fillId="8" borderId="0" xfId="0" applyFont="1" applyFill="1" applyAlignment="1">
      <alignment wrapText="1"/>
    </xf>
    <xf numFmtId="9" fontId="2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2" fillId="8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0" fontId="23" fillId="8" borderId="0" xfId="0" applyFont="1" applyFill="1" applyAlignment="1">
      <alignment vertical="center" wrapText="1"/>
    </xf>
    <xf numFmtId="0" fontId="22" fillId="8" borderId="0" xfId="0" applyFont="1" applyFill="1" applyAlignment="1">
      <alignment horizontal="right" vertical="center"/>
    </xf>
    <xf numFmtId="3" fontId="22" fillId="8" borderId="0" xfId="0" applyNumberFormat="1" applyFont="1" applyFill="1" applyAlignment="1">
      <alignment vertical="center"/>
    </xf>
    <xf numFmtId="9" fontId="22" fillId="8" borderId="0" xfId="1" applyFont="1" applyFill="1" applyAlignment="1">
      <alignment vertical="center"/>
    </xf>
    <xf numFmtId="9" fontId="2" fillId="8" borderId="0" xfId="1" applyFont="1" applyFill="1"/>
    <xf numFmtId="9" fontId="0" fillId="0" borderId="5" xfId="1" applyFont="1" applyBorder="1" applyAlignment="1">
      <alignment horizontal="center"/>
    </xf>
    <xf numFmtId="3" fontId="10" fillId="8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8" fillId="0" borderId="5" xfId="0" applyFont="1" applyBorder="1"/>
    <xf numFmtId="9" fontId="18" fillId="0" borderId="5" xfId="1" applyFont="1" applyBorder="1" applyAlignment="1">
      <alignment horizontal="center"/>
    </xf>
    <xf numFmtId="166" fontId="0" fillId="0" borderId="0" xfId="6" applyNumberFormat="1" applyFont="1"/>
    <xf numFmtId="166" fontId="13" fillId="0" borderId="0" xfId="6" applyNumberFormat="1" applyFont="1"/>
    <xf numFmtId="0" fontId="27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26" fillId="0" borderId="0" xfId="3" applyFont="1" applyFill="1" applyBorder="1" applyAlignment="1" applyProtection="1"/>
    <xf numFmtId="10" fontId="26" fillId="0" borderId="0" xfId="8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/>
    <xf numFmtId="169" fontId="0" fillId="0" borderId="0" xfId="0" applyNumberFormat="1"/>
    <xf numFmtId="170" fontId="0" fillId="0" borderId="0" xfId="0" applyNumberFormat="1"/>
    <xf numFmtId="0" fontId="29" fillId="0" borderId="0" xfId="3" applyFont="1" applyFill="1" applyBorder="1" applyAlignment="1" applyProtection="1"/>
    <xf numFmtId="0" fontId="0" fillId="0" borderId="0" xfId="0" applyFill="1" applyBorder="1"/>
    <xf numFmtId="166" fontId="0" fillId="0" borderId="0" xfId="6" applyNumberFormat="1" applyFont="1" applyFill="1" applyBorder="1"/>
    <xf numFmtId="167" fontId="26" fillId="0" borderId="0" xfId="7" applyNumberFormat="1" applyFont="1" applyFill="1" applyBorder="1" applyAlignment="1" applyProtection="1"/>
    <xf numFmtId="167" fontId="29" fillId="0" borderId="0" xfId="7" applyNumberFormat="1" applyFont="1" applyFill="1" applyBorder="1" applyAlignment="1" applyProtection="1"/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23" fillId="8" borderId="0" xfId="0" applyFont="1" applyFill="1" applyAlignment="1">
      <alignment horizontal="center" wrapText="1"/>
    </xf>
    <xf numFmtId="9" fontId="19" fillId="3" borderId="5" xfId="1" applyFont="1" applyFill="1" applyBorder="1" applyAlignment="1">
      <alignment horizontal="center" vertical="center"/>
    </xf>
    <xf numFmtId="0" fontId="4" fillId="6" borderId="5" xfId="2" applyFont="1" applyFill="1" applyBorder="1" applyAlignment="1">
      <alignment vertical="center"/>
    </xf>
    <xf numFmtId="166" fontId="2" fillId="3" borderId="5" xfId="6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/>
    </xf>
    <xf numFmtId="0" fontId="4" fillId="0" borderId="0" xfId="2" applyFont="1" applyBorder="1" applyAlignme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vertical="center" wrapText="1"/>
    </xf>
    <xf numFmtId="0" fontId="30" fillId="0" borderId="0" xfId="0" applyFont="1"/>
    <xf numFmtId="0" fontId="4" fillId="0" borderId="6" xfId="2" applyFont="1" applyBorder="1" applyAlignment="1">
      <alignment vertical="center"/>
    </xf>
    <xf numFmtId="0" fontId="13" fillId="0" borderId="32" xfId="0" applyFont="1" applyBorder="1"/>
    <xf numFmtId="0" fontId="13" fillId="0" borderId="33" xfId="0" applyFont="1" applyBorder="1"/>
    <xf numFmtId="0" fontId="13" fillId="0" borderId="34" xfId="0" applyFont="1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1" fontId="0" fillId="0" borderId="1" xfId="0" applyNumberFormat="1" applyBorder="1"/>
    <xf numFmtId="1" fontId="0" fillId="0" borderId="37" xfId="0" applyNumberFormat="1" applyBorder="1"/>
    <xf numFmtId="9" fontId="30" fillId="0" borderId="30" xfId="1" applyFont="1" applyBorder="1"/>
    <xf numFmtId="43" fontId="30" fillId="0" borderId="0" xfId="6" applyFont="1" applyBorder="1"/>
    <xf numFmtId="169" fontId="30" fillId="0" borderId="0" xfId="0" applyNumberFormat="1" applyFont="1" applyBorder="1"/>
    <xf numFmtId="9" fontId="30" fillId="0" borderId="36" xfId="1" applyFont="1" applyBorder="1"/>
    <xf numFmtId="43" fontId="30" fillId="0" borderId="1" xfId="6" applyFont="1" applyBorder="1"/>
    <xf numFmtId="169" fontId="30" fillId="0" borderId="1" xfId="0" applyNumberFormat="1" applyFont="1" applyBorder="1"/>
    <xf numFmtId="0" fontId="31" fillId="0" borderId="5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10" fontId="31" fillId="0" borderId="35" xfId="1" applyNumberFormat="1" applyFont="1" applyBorder="1"/>
    <xf numFmtId="10" fontId="31" fillId="0" borderId="37" xfId="1" applyNumberFormat="1" applyFont="1" applyBorder="1"/>
    <xf numFmtId="0" fontId="5" fillId="0" borderId="0" xfId="2" applyFont="1" applyBorder="1" applyAlignment="1">
      <alignment vertical="center"/>
    </xf>
    <xf numFmtId="3" fontId="6" fillId="0" borderId="0" xfId="0" applyNumberFormat="1" applyFont="1" applyBorder="1" applyAlignment="1">
      <alignment horizontal="center"/>
    </xf>
    <xf numFmtId="3" fontId="2" fillId="8" borderId="0" xfId="0" applyNumberFormat="1" applyFont="1" applyFill="1" applyAlignment="1">
      <alignment vertical="center"/>
    </xf>
    <xf numFmtId="164" fontId="6" fillId="4" borderId="5" xfId="0" applyNumberFormat="1" applyFont="1" applyFill="1" applyBorder="1" applyAlignment="1">
      <alignment horizontal="center"/>
    </xf>
    <xf numFmtId="166" fontId="2" fillId="3" borderId="5" xfId="6" applyNumberFormat="1" applyFont="1" applyFill="1" applyBorder="1" applyAlignment="1">
      <alignment horizontal="center"/>
    </xf>
    <xf numFmtId="166" fontId="6" fillId="3" borderId="5" xfId="6" applyNumberFormat="1" applyFont="1" applyFill="1" applyBorder="1" applyAlignment="1">
      <alignment horizontal="center" vertical="center"/>
    </xf>
    <xf numFmtId="166" fontId="6" fillId="3" borderId="5" xfId="6" applyNumberFormat="1" applyFont="1" applyFill="1" applyBorder="1" applyAlignment="1">
      <alignment horizontal="center"/>
    </xf>
    <xf numFmtId="1" fontId="6" fillId="4" borderId="5" xfId="0" applyNumberFormat="1" applyFont="1" applyFill="1" applyBorder="1" applyAlignment="1">
      <alignment horizontal="center"/>
    </xf>
    <xf numFmtId="166" fontId="2" fillId="4" borderId="5" xfId="6" applyNumberFormat="1" applyFont="1" applyFill="1" applyBorder="1" applyAlignment="1">
      <alignment horizontal="center"/>
    </xf>
    <xf numFmtId="166" fontId="6" fillId="4" borderId="5" xfId="6" applyNumberFormat="1" applyFont="1" applyFill="1" applyBorder="1" applyAlignment="1">
      <alignment horizontal="center"/>
    </xf>
    <xf numFmtId="9" fontId="6" fillId="4" borderId="5" xfId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2" fillId="8" borderId="5" xfId="0" applyFont="1" applyFill="1" applyBorder="1" applyAlignment="1">
      <alignment horizontal="left" wrapText="1"/>
    </xf>
    <xf numFmtId="9" fontId="6" fillId="8" borderId="0" xfId="0" applyNumberFormat="1" applyFont="1" applyFill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9" fillId="0" borderId="0" xfId="0" applyFont="1" applyAlignment="1">
      <alignment vertical="center"/>
    </xf>
    <xf numFmtId="9" fontId="6" fillId="3" borderId="5" xfId="1" applyFont="1" applyFill="1" applyBorder="1" applyAlignment="1">
      <alignment horizontal="center" vertical="center"/>
    </xf>
    <xf numFmtId="9" fontId="0" fillId="0" borderId="0" xfId="1" applyFont="1"/>
    <xf numFmtId="0" fontId="0" fillId="0" borderId="5" xfId="0" applyFont="1" applyBorder="1" applyAlignment="1">
      <alignment horizontal="left" vertical="center" wrapText="1"/>
    </xf>
    <xf numFmtId="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9" fontId="0" fillId="4" borderId="5" xfId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9" fontId="0" fillId="0" borderId="0" xfId="0" applyNumberFormat="1" applyFont="1"/>
    <xf numFmtId="9" fontId="0" fillId="3" borderId="5" xfId="1" applyFont="1" applyFill="1" applyBorder="1" applyAlignment="1">
      <alignment vertical="center"/>
    </xf>
    <xf numFmtId="0" fontId="0" fillId="0" borderId="5" xfId="0" applyFont="1" applyBorder="1" applyAlignment="1">
      <alignment wrapText="1"/>
    </xf>
    <xf numFmtId="0" fontId="32" fillId="2" borderId="5" xfId="0" applyFont="1" applyFill="1" applyBorder="1" applyAlignment="1">
      <alignment horizontal="center" vertical="top" wrapText="1"/>
    </xf>
    <xf numFmtId="0" fontId="32" fillId="2" borderId="3" xfId="0" applyFont="1" applyFill="1" applyBorder="1" applyAlignment="1">
      <alignment horizontal="center" vertical="top" wrapText="1"/>
    </xf>
    <xf numFmtId="166" fontId="13" fillId="0" borderId="5" xfId="6" applyNumberFormat="1" applyFont="1" applyBorder="1" applyAlignment="1">
      <alignment horizontal="center" vertical="center"/>
    </xf>
    <xf numFmtId="9" fontId="13" fillId="4" borderId="5" xfId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3" borderId="5" xfId="1" applyFont="1" applyFill="1" applyBorder="1" applyAlignment="1">
      <alignment horizontal="center" vertical="center"/>
    </xf>
    <xf numFmtId="9" fontId="13" fillId="0" borderId="0" xfId="1" applyFont="1" applyAlignment="1">
      <alignment horizontal="center"/>
    </xf>
    <xf numFmtId="9" fontId="0" fillId="3" borderId="6" xfId="1" applyFont="1" applyFill="1" applyBorder="1" applyAlignment="1">
      <alignment vertical="center"/>
    </xf>
    <xf numFmtId="9" fontId="13" fillId="3" borderId="38" xfId="1" applyFont="1" applyFill="1" applyBorder="1" applyAlignment="1">
      <alignment horizontal="center" vertical="center"/>
    </xf>
    <xf numFmtId="9" fontId="13" fillId="3" borderId="39" xfId="1" applyFont="1" applyFill="1" applyBorder="1" applyAlignment="1">
      <alignment horizontal="center" vertical="center"/>
    </xf>
    <xf numFmtId="0" fontId="4" fillId="6" borderId="5" xfId="2" applyFont="1" applyFill="1" applyBorder="1" applyAlignment="1">
      <alignment vertical="center" wrapText="1"/>
    </xf>
    <xf numFmtId="9" fontId="2" fillId="8" borderId="0" xfId="1" applyFont="1" applyFill="1" applyAlignment="1">
      <alignment vertical="center"/>
    </xf>
    <xf numFmtId="3" fontId="0" fillId="0" borderId="0" xfId="0" applyNumberFormat="1"/>
    <xf numFmtId="0" fontId="5" fillId="6" borderId="3" xfId="2" applyFont="1" applyFill="1" applyBorder="1" applyAlignment="1">
      <alignment vertical="center"/>
    </xf>
    <xf numFmtId="9" fontId="6" fillId="6" borderId="5" xfId="1" applyFont="1" applyFill="1" applyBorder="1" applyAlignment="1">
      <alignment horizontal="center"/>
    </xf>
    <xf numFmtId="0" fontId="0" fillId="12" borderId="0" xfId="0" applyFill="1"/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166" fontId="8" fillId="4" borderId="5" xfId="6" applyNumberFormat="1" applyFont="1" applyFill="1" applyBorder="1" applyAlignment="1">
      <alignment horizontal="center" vertical="center"/>
    </xf>
    <xf numFmtId="9" fontId="34" fillId="13" borderId="5" xfId="1" applyFont="1" applyFill="1" applyBorder="1" applyAlignment="1">
      <alignment horizontal="center"/>
    </xf>
    <xf numFmtId="10" fontId="0" fillId="0" borderId="0" xfId="1" applyNumberFormat="1" applyFont="1"/>
    <xf numFmtId="166" fontId="1" fillId="0" borderId="0" xfId="6" applyNumberFormat="1" applyFont="1"/>
    <xf numFmtId="0" fontId="0" fillId="0" borderId="40" xfId="0" applyBorder="1"/>
    <xf numFmtId="1" fontId="0" fillId="0" borderId="40" xfId="0" applyNumberFormat="1" applyBorder="1"/>
    <xf numFmtId="0" fontId="0" fillId="0" borderId="36" xfId="0" applyFont="1" applyBorder="1"/>
    <xf numFmtId="3" fontId="24" fillId="0" borderId="5" xfId="5" applyNumberFormat="1" applyBorder="1" applyAlignment="1"/>
    <xf numFmtId="0" fontId="36" fillId="0" borderId="0" xfId="0" applyFont="1"/>
    <xf numFmtId="0" fontId="37" fillId="0" borderId="5" xfId="0" applyFont="1" applyBorder="1"/>
    <xf numFmtId="1" fontId="37" fillId="0" borderId="5" xfId="0" applyNumberFormat="1" applyFont="1" applyBorder="1"/>
    <xf numFmtId="0" fontId="38" fillId="0" borderId="40" xfId="0" applyFont="1" applyBorder="1"/>
    <xf numFmtId="0" fontId="35" fillId="0" borderId="40" xfId="0" applyFont="1" applyBorder="1"/>
    <xf numFmtId="164" fontId="0" fillId="0" borderId="40" xfId="0" applyNumberFormat="1" applyBorder="1"/>
    <xf numFmtId="2" fontId="0" fillId="0" borderId="0" xfId="0" applyNumberFormat="1"/>
    <xf numFmtId="1" fontId="0" fillId="0" borderId="5" xfId="0" applyNumberFormat="1" applyBorder="1"/>
    <xf numFmtId="0" fontId="39" fillId="15" borderId="41" xfId="0" applyFont="1" applyFill="1" applyBorder="1"/>
    <xf numFmtId="0" fontId="0" fillId="15" borderId="42" xfId="0" applyFill="1" applyBorder="1"/>
    <xf numFmtId="0" fontId="40" fillId="15" borderId="42" xfId="0" applyFont="1" applyFill="1" applyBorder="1"/>
    <xf numFmtId="0" fontId="40" fillId="15" borderId="43" xfId="0" applyFont="1" applyFill="1" applyBorder="1"/>
    <xf numFmtId="0" fontId="0" fillId="16" borderId="44" xfId="0" applyFont="1" applyFill="1" applyBorder="1"/>
    <xf numFmtId="0" fontId="0" fillId="16" borderId="0" xfId="0" applyFill="1" applyBorder="1"/>
    <xf numFmtId="171" fontId="0" fillId="16" borderId="0" xfId="9" applyNumberFormat="1" applyFont="1" applyFill="1" applyBorder="1" applyAlignment="1" applyProtection="1"/>
    <xf numFmtId="171" fontId="0" fillId="16" borderId="35" xfId="9" applyNumberFormat="1" applyFont="1" applyFill="1" applyBorder="1" applyAlignment="1" applyProtection="1"/>
    <xf numFmtId="0" fontId="0" fillId="17" borderId="44" xfId="0" applyFont="1" applyFill="1" applyBorder="1"/>
    <xf numFmtId="0" fontId="0" fillId="17" borderId="0" xfId="0" applyFill="1" applyBorder="1"/>
    <xf numFmtId="171" fontId="0" fillId="17" borderId="0" xfId="9" applyNumberFormat="1" applyFont="1" applyFill="1" applyBorder="1" applyAlignment="1" applyProtection="1"/>
    <xf numFmtId="171" fontId="0" fillId="17" borderId="35" xfId="9" applyNumberFormat="1" applyFont="1" applyFill="1" applyBorder="1" applyAlignment="1" applyProtection="1"/>
    <xf numFmtId="0" fontId="0" fillId="16" borderId="45" xfId="0" applyFont="1" applyFill="1" applyBorder="1"/>
    <xf numFmtId="0" fontId="0" fillId="16" borderId="46" xfId="0" applyFill="1" applyBorder="1"/>
    <xf numFmtId="171" fontId="0" fillId="16" borderId="46" xfId="9" applyNumberFormat="1" applyFont="1" applyFill="1" applyBorder="1" applyAlignment="1" applyProtection="1"/>
    <xf numFmtId="172" fontId="41" fillId="15" borderId="46" xfId="0" applyNumberFormat="1" applyFont="1" applyFill="1" applyBorder="1" applyAlignment="1">
      <alignment horizontal="left"/>
    </xf>
    <xf numFmtId="171" fontId="0" fillId="0" borderId="0" xfId="0" applyNumberFormat="1"/>
    <xf numFmtId="0" fontId="38" fillId="0" borderId="0" xfId="0" applyFont="1"/>
    <xf numFmtId="173" fontId="0" fillId="0" borderId="40" xfId="0" applyNumberFormat="1" applyBorder="1"/>
    <xf numFmtId="0" fontId="35" fillId="0" borderId="0" xfId="0" applyFont="1"/>
    <xf numFmtId="173" fontId="0" fillId="0" borderId="0" xfId="0" applyNumberFormat="1"/>
    <xf numFmtId="173" fontId="38" fillId="0" borderId="0" xfId="0" applyNumberFormat="1" applyFont="1"/>
    <xf numFmtId="166" fontId="2" fillId="0" borderId="5" xfId="6" applyNumberFormat="1" applyFont="1" applyBorder="1" applyAlignment="1">
      <alignment horizontal="right"/>
    </xf>
    <xf numFmtId="166" fontId="2" fillId="0" borderId="5" xfId="6" applyNumberFormat="1" applyFont="1" applyBorder="1" applyAlignment="1">
      <alignment horizontal="center"/>
    </xf>
    <xf numFmtId="9" fontId="2" fillId="0" borderId="5" xfId="1" applyFont="1" applyBorder="1" applyAlignment="1">
      <alignment horizontal="right"/>
    </xf>
    <xf numFmtId="166" fontId="6" fillId="0" borderId="5" xfId="6" applyNumberFormat="1" applyFont="1" applyBorder="1" applyAlignment="1">
      <alignment horizontal="right"/>
    </xf>
    <xf numFmtId="0" fontId="42" fillId="18" borderId="47" xfId="0" applyFont="1" applyFill="1" applyBorder="1" applyAlignment="1">
      <alignment vertical="center" wrapText="1"/>
    </xf>
    <xf numFmtId="164" fontId="0" fillId="0" borderId="0" xfId="9" applyNumberFormat="1" applyFont="1" applyBorder="1" applyAlignment="1" applyProtection="1"/>
    <xf numFmtId="0" fontId="0" fillId="0" borderId="48" xfId="0" applyBorder="1"/>
    <xf numFmtId="171" fontId="0" fillId="16" borderId="49" xfId="9" applyNumberFormat="1" applyFont="1" applyFill="1" applyBorder="1" applyAlignment="1" applyProtection="1"/>
    <xf numFmtId="0" fontId="43" fillId="0" borderId="0" xfId="0" applyFont="1"/>
    <xf numFmtId="0" fontId="0" fillId="9" borderId="0" xfId="0" applyFill="1"/>
    <xf numFmtId="0" fontId="4" fillId="6" borderId="3" xfId="2" applyFont="1" applyFill="1" applyBorder="1" applyAlignment="1">
      <alignment vertical="center"/>
    </xf>
    <xf numFmtId="166" fontId="6" fillId="0" borderId="7" xfId="6" applyNumberFormat="1" applyFont="1" applyBorder="1" applyAlignment="1">
      <alignment horizontal="right"/>
    </xf>
    <xf numFmtId="43" fontId="0" fillId="0" borderId="0" xfId="0" applyNumberFormat="1"/>
    <xf numFmtId="174" fontId="0" fillId="0" borderId="0" xfId="0" applyNumberFormat="1"/>
    <xf numFmtId="0" fontId="45" fillId="0" borderId="0" xfId="0" applyFont="1"/>
    <xf numFmtId="0" fontId="45" fillId="12" borderId="0" xfId="0" applyFont="1" applyFill="1"/>
    <xf numFmtId="0" fontId="9" fillId="14" borderId="5" xfId="0" applyFont="1" applyFill="1" applyBorder="1"/>
    <xf numFmtId="0" fontId="9" fillId="14" borderId="5" xfId="0" applyFont="1" applyFill="1" applyBorder="1" applyAlignment="1">
      <alignment horizontal="center"/>
    </xf>
    <xf numFmtId="0" fontId="46" fillId="14" borderId="5" xfId="2" applyFont="1" applyFill="1" applyBorder="1" applyAlignment="1">
      <alignment vertical="center"/>
    </xf>
    <xf numFmtId="3" fontId="8" fillId="14" borderId="5" xfId="0" applyNumberFormat="1" applyFont="1" applyFill="1" applyBorder="1" applyAlignment="1">
      <alignment horizontal="right"/>
    </xf>
    <xf numFmtId="0" fontId="47" fillId="14" borderId="5" xfId="2" applyFont="1" applyFill="1" applyBorder="1" applyAlignment="1">
      <alignment vertical="center"/>
    </xf>
    <xf numFmtId="3" fontId="9" fillId="14" borderId="5" xfId="0" applyNumberFormat="1" applyFont="1" applyFill="1" applyBorder="1" applyAlignment="1">
      <alignment horizontal="center"/>
    </xf>
    <xf numFmtId="0" fontId="47" fillId="14" borderId="3" xfId="2" applyFont="1" applyFill="1" applyBorder="1" applyAlignment="1">
      <alignment vertical="center"/>
    </xf>
    <xf numFmtId="9" fontId="9" fillId="14" borderId="5" xfId="1" applyFont="1" applyFill="1" applyBorder="1" applyAlignment="1">
      <alignment horizontal="center"/>
    </xf>
    <xf numFmtId="9" fontId="48" fillId="14" borderId="5" xfId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9" fontId="2" fillId="13" borderId="5" xfId="1" applyFont="1" applyFill="1" applyBorder="1" applyAlignment="1">
      <alignment horizontal="right"/>
    </xf>
    <xf numFmtId="166" fontId="0" fillId="0" borderId="5" xfId="6" applyNumberFormat="1" applyFont="1" applyBorder="1"/>
    <xf numFmtId="166" fontId="0" fillId="0" borderId="5" xfId="0" applyNumberFormat="1" applyBorder="1"/>
    <xf numFmtId="0" fontId="4" fillId="8" borderId="3" xfId="2" applyFont="1" applyFill="1" applyBorder="1" applyAlignment="1">
      <alignment vertical="center"/>
    </xf>
    <xf numFmtId="166" fontId="0" fillId="0" borderId="0" xfId="0" applyNumberFormat="1" applyBorder="1"/>
    <xf numFmtId="0" fontId="29" fillId="0" borderId="0" xfId="3" applyFont="1" applyFill="1" applyBorder="1" applyAlignment="1" applyProtection="1">
      <alignment wrapText="1"/>
    </xf>
    <xf numFmtId="43" fontId="0" fillId="0" borderId="0" xfId="6" applyNumberFormat="1" applyFont="1"/>
    <xf numFmtId="166" fontId="0" fillId="0" borderId="0" xfId="0" applyNumberFormat="1"/>
    <xf numFmtId="1" fontId="0" fillId="0" borderId="0" xfId="0" applyNumberFormat="1"/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0" fillId="0" borderId="0" xfId="0" applyNumberFormat="1"/>
    <xf numFmtId="0" fontId="0" fillId="0" borderId="3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7" fillId="11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35" fillId="0" borderId="40" xfId="0" applyFont="1" applyBorder="1" applyAlignment="1">
      <alignment horizontal="center" vertical="center" wrapText="1"/>
    </xf>
    <xf numFmtId="0" fontId="40" fillId="15" borderId="45" xfId="0" applyFont="1" applyFill="1" applyBorder="1" applyAlignment="1">
      <alignment horizontal="center"/>
    </xf>
    <xf numFmtId="0" fontId="44" fillId="9" borderId="0" xfId="0" applyFont="1" applyFill="1" applyAlignment="1">
      <alignment horizontal="center" wrapText="1"/>
    </xf>
    <xf numFmtId="0" fontId="7" fillId="5" borderId="3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49" fillId="14" borderId="36" xfId="0" applyFont="1" applyFill="1" applyBorder="1" applyAlignment="1">
      <alignment horizontal="center"/>
    </xf>
    <xf numFmtId="0" fontId="49" fillId="14" borderId="1" xfId="0" applyFont="1" applyFill="1" applyBorder="1" applyAlignment="1">
      <alignment horizontal="center"/>
    </xf>
    <xf numFmtId="0" fontId="33" fillId="12" borderId="0" xfId="0" applyFont="1" applyFill="1" applyAlignment="1">
      <alignment horizontal="center" vertical="center"/>
    </xf>
  </cellXfs>
  <cellStyles count="10">
    <cellStyle name="Excel_BuiltIn_Comma" xfId="7"/>
    <cellStyle name="Milliers" xfId="6" builtinId="3"/>
    <cellStyle name="Normal" xfId="0" builtinId="0"/>
    <cellStyle name="Normal 2" xfId="2"/>
    <cellStyle name="Normal 2 2" xfId="5"/>
    <cellStyle name="Normal 3" xfId="3"/>
    <cellStyle name="Normal 4" xfId="4"/>
    <cellStyle name="Pourcentage" xfId="1" builtinId="5"/>
    <cellStyle name="Pourcentage 3" xfId="8"/>
    <cellStyle name="Pourcentage 3 4" xfId="9"/>
  </cellStyles>
  <dxfs count="0"/>
  <tableStyles count="0" defaultTableStyle="TableStyleMedium2" defaultPivotStyle="PivotStyleLight16"/>
  <colors>
    <mruColors>
      <color rgb="FF3DB84B"/>
      <color rgb="FFFFC000"/>
      <color rgb="FF44546A"/>
      <color rgb="FFFF5328"/>
      <color rgb="FF020407"/>
      <color rgb="FFD5DBDA"/>
      <color rgb="FF00B9F2"/>
      <color rgb="FF1D60B3"/>
      <color rgb="FF3CB74B"/>
      <color rgb="FF988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Parc tertiaire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Résultats!$B$25</c:f>
              <c:strCache>
                <c:ptCount val="1"/>
                <c:pt idx="0">
                  <c:v>Neuf post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Résultats!$C$8:$F$8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Résultats!$C$25:$F$25</c:f>
              <c:numCache>
                <c:formatCode>#,##0</c:formatCode>
                <c:ptCount val="4"/>
                <c:pt idx="0">
                  <c:v>0</c:v>
                </c:pt>
                <c:pt idx="1">
                  <c:v>43305.628128021497</c:v>
                </c:pt>
                <c:pt idx="2">
                  <c:v>49369.372265111757</c:v>
                </c:pt>
                <c:pt idx="3">
                  <c:v>45299.353840345255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8-4621-9EB7-F26240277A5A}"/>
            </c:ext>
          </c:extLst>
        </c:ser>
        <c:ser>
          <c:idx val="1"/>
          <c:order val="1"/>
          <c:tx>
            <c:strRef>
              <c:f>Résultats!$B$26</c:f>
              <c:strCache>
                <c:ptCount val="1"/>
                <c:pt idx="0">
                  <c:v>Existant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Résultats!$C$8:$F$8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Résultats!$C$26:$F$26</c:f>
              <c:numCache>
                <c:formatCode>#,##0</c:formatCode>
                <c:ptCount val="4"/>
                <c:pt idx="0">
                  <c:v>1004670.0170267724</c:v>
                </c:pt>
                <c:pt idx="1">
                  <c:v>974586.26312492765</c:v>
                </c:pt>
                <c:pt idx="2">
                  <c:v>981571.0812123362</c:v>
                </c:pt>
                <c:pt idx="3">
                  <c:v>976998.43666769937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8-4621-9EB7-F2624027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783488"/>
        <c:axId val="1017780992"/>
      </c:barChart>
      <c:catAx>
        <c:axId val="10177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80992"/>
        <c:crosses val="autoZero"/>
        <c:auto val="1"/>
        <c:lblAlgn val="ctr"/>
        <c:lblOffset val="100"/>
        <c:noMultiLvlLbl val="0"/>
      </c:catAx>
      <c:valAx>
        <c:axId val="1017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Résultats!$A$31</c:f>
              <c:strCache>
                <c:ptCount val="1"/>
                <c:pt idx="0">
                  <c:v>Chauffage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Résultats!$Y$30:$AB$30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Résultats!$Y$31:$AB$31</c:f>
              <c:numCache>
                <c:formatCode>#,##0</c:formatCode>
                <c:ptCount val="4"/>
                <c:pt idx="0">
                  <c:v>112000</c:v>
                </c:pt>
                <c:pt idx="1">
                  <c:v>72664.138552981763</c:v>
                </c:pt>
                <c:pt idx="2">
                  <c:v>61703.746226135016</c:v>
                </c:pt>
                <c:pt idx="3">
                  <c:v>50234.850316829237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1-4B0B-9399-400D1379574E}"/>
            </c:ext>
          </c:extLst>
        </c:ser>
        <c:ser>
          <c:idx val="1"/>
          <c:order val="1"/>
          <c:tx>
            <c:strRef>
              <c:f>Résultats!$A$32</c:f>
              <c:strCache>
                <c:ptCount val="1"/>
                <c:pt idx="0">
                  <c:v>Hors chauffage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Résultats!$Y$30:$AB$30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Résultats!$Y$32:$AB$32</c:f>
              <c:numCache>
                <c:formatCode>#,##0</c:formatCode>
                <c:ptCount val="4"/>
                <c:pt idx="0">
                  <c:v>149178.39460178243</c:v>
                </c:pt>
                <c:pt idx="1">
                  <c:v>109955.56720889313</c:v>
                </c:pt>
                <c:pt idx="2">
                  <c:v>89554.108632056115</c:v>
                </c:pt>
                <c:pt idx="3">
                  <c:v>85614.863816842437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1-4B0B-9399-400D1379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18207"/>
        <c:axId val="1895409135"/>
      </c:areaChart>
      <c:catAx>
        <c:axId val="164811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5409135"/>
        <c:crosses val="autoZero"/>
        <c:auto val="1"/>
        <c:lblAlgn val="ctr"/>
        <c:lblOffset val="100"/>
        <c:noMultiLvlLbl val="0"/>
      </c:catAx>
      <c:valAx>
        <c:axId val="18954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11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759405074366"/>
          <c:y val="5.0925925925925923E-2"/>
          <c:w val="0.85219685039370074"/>
          <c:h val="0.68368693496646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Résultats!$A$35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3-4B03-81FB-0333B09A8D98}"/>
            </c:ext>
          </c:extLst>
        </c:ser>
        <c:ser>
          <c:idx val="1"/>
          <c:order val="1"/>
          <c:tx>
            <c:strRef>
              <c:f>Résultats!$A$36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Résultats!$B$36:$E$36</c:f>
              <c:numCache>
                <c:formatCode>#,##0</c:formatCode>
                <c:ptCount val="4"/>
                <c:pt idx="0">
                  <c:v>20915.934143609949</c:v>
                </c:pt>
                <c:pt idx="1">
                  <c:v>12671.086126719494</c:v>
                </c:pt>
                <c:pt idx="2">
                  <c:v>9053.6128144898339</c:v>
                </c:pt>
                <c:pt idx="3">
                  <c:v>5849.3822006781047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3-4B03-81FB-0333B09A8D98}"/>
            </c:ext>
          </c:extLst>
        </c:ser>
        <c:ser>
          <c:idx val="2"/>
          <c:order val="2"/>
          <c:tx>
            <c:strRef>
              <c:f>Résultats!$A$37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Résultats!$B$37:$E$37</c:f>
              <c:numCache>
                <c:formatCode>#,##0</c:formatCode>
                <c:ptCount val="4"/>
                <c:pt idx="0">
                  <c:v>65235.216162126744</c:v>
                </c:pt>
                <c:pt idx="1">
                  <c:v>52317.72333158696</c:v>
                </c:pt>
                <c:pt idx="2">
                  <c:v>45002.778278617312</c:v>
                </c:pt>
                <c:pt idx="3">
                  <c:v>37730.440340993911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3-4B03-81FB-0333B09A8D98}"/>
            </c:ext>
          </c:extLst>
        </c:ser>
        <c:ser>
          <c:idx val="3"/>
          <c:order val="3"/>
          <c:tx>
            <c:strRef>
              <c:f>Résultats!$A$38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Résultats!$B$38:$E$38</c:f>
              <c:numCache>
                <c:formatCode>#,##0</c:formatCode>
                <c:ptCount val="4"/>
                <c:pt idx="0">
                  <c:v>7995.6370849444884</c:v>
                </c:pt>
                <c:pt idx="1">
                  <c:v>7939.7214490035813</c:v>
                </c:pt>
                <c:pt idx="2">
                  <c:v>7491.8107110581805</c:v>
                </c:pt>
                <c:pt idx="3">
                  <c:v>7876.6040204036881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3-4B03-81FB-0333B09A8D98}"/>
            </c:ext>
          </c:extLst>
        </c:ser>
        <c:ser>
          <c:idx val="4"/>
          <c:order val="4"/>
          <c:tx>
            <c:strRef>
              <c:f>Résultats!$A$39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Résultats!$B$39:$E$39</c:f>
              <c:numCache>
                <c:formatCode>#,##0</c:formatCode>
                <c:ptCount val="4"/>
                <c:pt idx="0">
                  <c:v>1103.9262822092655</c:v>
                </c:pt>
                <c:pt idx="1">
                  <c:v>888.54114221284931</c:v>
                </c:pt>
                <c:pt idx="2">
                  <c:v>804.73656580281113</c:v>
                </c:pt>
                <c:pt idx="3">
                  <c:v>710.87252011022076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3-4B03-81FB-0333B09A8D98}"/>
            </c:ext>
          </c:extLst>
        </c:ser>
        <c:ser>
          <c:idx val="5"/>
          <c:order val="5"/>
          <c:tx>
            <c:strRef>
              <c:f>Résultats!$A$40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Résultats!$B$40:$E$40</c:f>
              <c:numCache>
                <c:formatCode>#,##0</c:formatCode>
                <c:ptCount val="4"/>
                <c:pt idx="0">
                  <c:v>1030.0172268649769</c:v>
                </c:pt>
                <c:pt idx="1">
                  <c:v>1002.6599011053531</c:v>
                </c:pt>
                <c:pt idx="2">
                  <c:v>1027.069455448493</c:v>
                </c:pt>
                <c:pt idx="3">
                  <c:v>1011.5814845122688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3-4B03-81FB-0333B09A8D98}"/>
            </c:ext>
          </c:extLst>
        </c:ser>
        <c:ser>
          <c:idx val="6"/>
          <c:order val="6"/>
          <c:tx>
            <c:strRef>
              <c:f>Résultats!$A$41</c:f>
              <c:strCache>
                <c:ptCount val="1"/>
                <c:pt idx="0">
                  <c:v>Electricité (PAC incluses)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Résultats!$B$35:$E$35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Résultats!$B$41:$E$41</c:f>
              <c:numCache>
                <c:formatCode>#,##0</c:formatCode>
                <c:ptCount val="4"/>
                <c:pt idx="0">
                  <c:v>143008.55679835551</c:v>
                </c:pt>
                <c:pt idx="1">
                  <c:v>148451.7885944455</c:v>
                </c:pt>
                <c:pt idx="2">
                  <c:v>142893.54553057597</c:v>
                </c:pt>
                <c:pt idx="3">
                  <c:v>170884.41676211247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3-4B03-81FB-0333B09A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7548031"/>
        <c:axId val="1727546783"/>
      </c:barChart>
      <c:catAx>
        <c:axId val="172754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546783"/>
        <c:crosses val="autoZero"/>
        <c:auto val="1"/>
        <c:lblAlgn val="ctr"/>
        <c:lblOffset val="100"/>
        <c:noMultiLvlLbl val="0"/>
      </c:catAx>
      <c:valAx>
        <c:axId val="17275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54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824803149606284E-2"/>
          <c:y val="0.82349372995042291"/>
          <c:w val="0.87490594925634291"/>
          <c:h val="0.14872849227179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48067962486376"/>
          <c:y val="5.3528001045271202E-2"/>
          <c:w val="0.85190302106388238"/>
          <c:h val="0.62372933310343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Résultats!$X$35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5B1-977A-EEA61785EC9F}"/>
            </c:ext>
          </c:extLst>
        </c:ser>
        <c:ser>
          <c:idx val="1"/>
          <c:order val="1"/>
          <c:tx>
            <c:strRef>
              <c:f>Résultats!$X$36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Résultats!$Y$36:$AB$36</c:f>
              <c:numCache>
                <c:formatCode>#,##0</c:formatCode>
                <c:ptCount val="4"/>
                <c:pt idx="0">
                  <c:v>20915.934143609949</c:v>
                </c:pt>
                <c:pt idx="1">
                  <c:v>3486.5815654655303</c:v>
                </c:pt>
                <c:pt idx="2">
                  <c:v>504.73115555072877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5B1-977A-EEA61785EC9F}"/>
            </c:ext>
          </c:extLst>
        </c:ser>
        <c:ser>
          <c:idx val="2"/>
          <c:order val="2"/>
          <c:tx>
            <c:strRef>
              <c:f>Résultats!$X$37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Résultats!$Y$37:$AB$37</c:f>
              <c:numCache>
                <c:formatCode>#,##0</c:formatCode>
                <c:ptCount val="4"/>
                <c:pt idx="0">
                  <c:v>65235.216162126744</c:v>
                </c:pt>
                <c:pt idx="1">
                  <c:v>30502.061645926209</c:v>
                </c:pt>
                <c:pt idx="2">
                  <c:v>21292.701461372541</c:v>
                </c:pt>
                <c:pt idx="3">
                  <c:v>12187.126811603295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5B1-977A-EEA61785EC9F}"/>
            </c:ext>
          </c:extLst>
        </c:ser>
        <c:ser>
          <c:idx val="3"/>
          <c:order val="3"/>
          <c:tx>
            <c:strRef>
              <c:f>Résultats!$X$38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Résultats!$Y$38:$AB$38</c:f>
              <c:numCache>
                <c:formatCode>#,##0</c:formatCode>
                <c:ptCount val="4"/>
                <c:pt idx="0">
                  <c:v>7995.6370849444884</c:v>
                </c:pt>
                <c:pt idx="1">
                  <c:v>18730.209889504804</c:v>
                </c:pt>
                <c:pt idx="2">
                  <c:v>17572.509491804194</c:v>
                </c:pt>
                <c:pt idx="3">
                  <c:v>18954.574818346518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5B1-977A-EEA61785EC9F}"/>
            </c:ext>
          </c:extLst>
        </c:ser>
        <c:ser>
          <c:idx val="4"/>
          <c:order val="4"/>
          <c:tx>
            <c:strRef>
              <c:f>Résultats!$X$39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Résultats!$Y$39:$AB$39</c:f>
              <c:numCache>
                <c:formatCode>#,##0</c:formatCode>
                <c:ptCount val="4"/>
                <c:pt idx="0">
                  <c:v>1103.9262822092655</c:v>
                </c:pt>
                <c:pt idx="1">
                  <c:v>526.32370685106901</c:v>
                </c:pt>
                <c:pt idx="2">
                  <c:v>287.48296836836829</c:v>
                </c:pt>
                <c:pt idx="3">
                  <c:v>37.491714290223243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5B1-977A-EEA61785EC9F}"/>
            </c:ext>
          </c:extLst>
        </c:ser>
        <c:ser>
          <c:idx val="5"/>
          <c:order val="5"/>
          <c:tx>
            <c:strRef>
              <c:f>Résultats!$X$40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Résultats!$Y$40:$AB$40</c:f>
              <c:numCache>
                <c:formatCode>#,##0</c:formatCode>
                <c:ptCount val="4"/>
                <c:pt idx="0">
                  <c:v>1030.0172268649769</c:v>
                </c:pt>
                <c:pt idx="1">
                  <c:v>1417.196405929659</c:v>
                </c:pt>
                <c:pt idx="2">
                  <c:v>1503.0391214496005</c:v>
                </c:pt>
                <c:pt idx="3">
                  <c:v>1406.4584462395251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5B1-977A-EEA61785EC9F}"/>
            </c:ext>
          </c:extLst>
        </c:ser>
        <c:ser>
          <c:idx val="6"/>
          <c:order val="6"/>
          <c:tx>
            <c:strRef>
              <c:f>Résultats!$X$41</c:f>
              <c:strCache>
                <c:ptCount val="1"/>
                <c:pt idx="0">
                  <c:v>Electricité (PAC incluses)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Résultats!$Y$35:$AB$35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Résultats!$Y$41:$AB$41</c:f>
              <c:numCache>
                <c:formatCode>#,##0</c:formatCode>
                <c:ptCount val="4"/>
                <c:pt idx="0">
                  <c:v>143010.87625711359</c:v>
                </c:pt>
                <c:pt idx="1">
                  <c:v>112966.55052733424</c:v>
                </c:pt>
                <c:pt idx="2">
                  <c:v>96988.887972861077</c:v>
                </c:pt>
                <c:pt idx="3">
                  <c:v>92252.49546727557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5B1-977A-EEA61785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923087"/>
        <c:axId val="1649920591"/>
      </c:barChart>
      <c:catAx>
        <c:axId val="16499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920591"/>
        <c:crosses val="autoZero"/>
        <c:auto val="1"/>
        <c:lblAlgn val="ctr"/>
        <c:lblOffset val="100"/>
        <c:noMultiLvlLbl val="0"/>
      </c:catAx>
      <c:valAx>
        <c:axId val="16499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992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685218420010485E-2"/>
          <c:y val="0.75608100082380203"/>
          <c:w val="0.82932914362682386"/>
          <c:h val="0.21958818307112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hors chauffage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Résultats!$A$115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Résultats!$B$115:$E$115</c:f>
              <c:numCache>
                <c:formatCode>_-* #\ ##0_-;\-* #\ ##0_-;_-* "-"??_-;_-@_-</c:formatCode>
                <c:ptCount val="4"/>
                <c:pt idx="0">
                  <c:v>126038.3237168944</c:v>
                </c:pt>
                <c:pt idx="1">
                  <c:v>132977.00147980088</c:v>
                </c:pt>
                <c:pt idx="2">
                  <c:v>127627.35484734952</c:v>
                </c:pt>
                <c:pt idx="3">
                  <c:v>156415.81078459451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9-4E0F-8169-7D149F47CDAC}"/>
            </c:ext>
          </c:extLst>
        </c:ser>
        <c:ser>
          <c:idx val="1"/>
          <c:order val="1"/>
          <c:tx>
            <c:strRef>
              <c:f>Résultats!$A$116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Résultats!$B$116:$E$116</c:f>
              <c:numCache>
                <c:formatCode>_-* #\ ##0_-;\-* #\ ##0_-;_-* "-"??_-;_-@_-</c:formatCode>
                <c:ptCount val="4"/>
                <c:pt idx="0">
                  <c:v>16622.667299714758</c:v>
                </c:pt>
                <c:pt idx="1">
                  <c:v>16091.054633133164</c:v>
                </c:pt>
                <c:pt idx="2">
                  <c:v>14677.776172421356</c:v>
                </c:pt>
                <c:pt idx="3">
                  <c:v>13098.832361822148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9-4E0F-8169-7D149F47CDAC}"/>
            </c:ext>
          </c:extLst>
        </c:ser>
        <c:ser>
          <c:idx val="2"/>
          <c:order val="2"/>
          <c:tx>
            <c:strRef>
              <c:f>Résultats!$A$117</c:f>
              <c:strCache>
                <c:ptCount val="1"/>
                <c:pt idx="0">
                  <c:v>Pétrole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Résultats!$B$117:$E$117</c:f>
              <c:numCache>
                <c:formatCode>_-* #\ ##0_-;\-* #\ ##0_-;_-* "-"??_-;_-@_-</c:formatCode>
                <c:ptCount val="4"/>
                <c:pt idx="0">
                  <c:v>4805.7385594458628</c:v>
                </c:pt>
                <c:pt idx="1">
                  <c:v>2342.6503007889901</c:v>
                </c:pt>
                <c:pt idx="2">
                  <c:v>1802.6402538429354</c:v>
                </c:pt>
                <c:pt idx="3">
                  <c:v>1267.8746156610418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9-4E0F-8169-7D149F47CDAC}"/>
            </c:ext>
          </c:extLst>
        </c:ser>
        <c:ser>
          <c:idx val="3"/>
          <c:order val="3"/>
          <c:tx>
            <c:strRef>
              <c:f>Résultats!$A$118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Résultats!$B$118:$E$118</c:f>
              <c:numCache>
                <c:formatCode>_-* #\ ##0_-;\-* #\ ##0_-;_-* "-"??_-;_-@_-</c:formatCode>
                <c:ptCount val="4"/>
                <c:pt idx="0">
                  <c:v>207.36389151432581</c:v>
                </c:pt>
                <c:pt idx="1">
                  <c:v>257.61658554142861</c:v>
                </c:pt>
                <c:pt idx="2">
                  <c:v>281.08264388711382</c:v>
                </c:pt>
                <c:pt idx="3">
                  <c:v>298.20946871653484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9-4E0F-8169-7D149F47CDAC}"/>
            </c:ext>
          </c:extLst>
        </c:ser>
        <c:ser>
          <c:idx val="4"/>
          <c:order val="4"/>
          <c:tx>
            <c:strRef>
              <c:f>Résultats!$A$119</c:f>
              <c:strCache>
                <c:ptCount val="1"/>
                <c:pt idx="0">
                  <c:v>Chaleur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Résultats!$B$119:$E$119</c:f>
              <c:numCache>
                <c:formatCode>_-* #\ ##0_-;\-* #\ ##0_-;_-* "-"??_-;_-@_-</c:formatCode>
                <c:ptCount val="4"/>
                <c:pt idx="0">
                  <c:v>1501.9816754550247</c:v>
                </c:pt>
                <c:pt idx="1">
                  <c:v>1872.9210799054263</c:v>
                </c:pt>
                <c:pt idx="2">
                  <c:v>1267.8746156610418</c:v>
                </c:pt>
                <c:pt idx="3">
                  <c:v>1777.0959342149788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19-4E0F-8169-7D149F47CDAC}"/>
            </c:ext>
          </c:extLst>
        </c:ser>
        <c:ser>
          <c:idx val="5"/>
          <c:order val="5"/>
          <c:tx>
            <c:strRef>
              <c:f>Résultats!$A$120</c:f>
              <c:strCache>
                <c:ptCount val="1"/>
                <c:pt idx="0">
                  <c:v>EnR thermique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Résultats!$B$120:$E$120</c:f>
              <c:numCache>
                <c:formatCode>_-* #\ ##0_-;\-* #\ 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19-4E0F-8169-7D149F47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3771444153896"/>
          <c:y val="0.82762253198897495"/>
          <c:w val="0.76023977522290231"/>
          <c:h val="0.1723774680110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hors chauffage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Résultats!$A$115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Résultats!$Y$115:$AB$115</c:f>
              <c:numCache>
                <c:formatCode>_-* #\ ##0_-;\-* #\ ##0_-;_-* "-"??_-;_-@_-</c:formatCode>
                <c:ptCount val="4"/>
                <c:pt idx="0">
                  <c:v>126040.64317565247</c:v>
                </c:pt>
                <c:pt idx="1">
                  <c:v>99604.109745900278</c:v>
                </c:pt>
                <c:pt idx="2">
                  <c:v>83852.588768817528</c:v>
                </c:pt>
                <c:pt idx="3">
                  <c:v>80836.136992930522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D-47E5-92FF-FFC57E95CE96}"/>
            </c:ext>
          </c:extLst>
        </c:ser>
        <c:ser>
          <c:idx val="1"/>
          <c:order val="1"/>
          <c:tx>
            <c:strRef>
              <c:f>Résultats!$A$116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Résultats!$Y$116:$AB$116</c:f>
              <c:numCache>
                <c:formatCode>_-* #\ ##0_-;\-* #\ ##0_-;_-* "-"??_-;_-@_-</c:formatCode>
                <c:ptCount val="4"/>
                <c:pt idx="0">
                  <c:v>16622.667299714758</c:v>
                </c:pt>
                <c:pt idx="1">
                  <c:v>7106.1282211367534</c:v>
                </c:pt>
                <c:pt idx="2">
                  <c:v>4159.8601033615023</c:v>
                </c:pt>
                <c:pt idx="3">
                  <c:v>1729.4935164669307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D-47E5-92FF-FFC57E95CE96}"/>
            </c:ext>
          </c:extLst>
        </c:ser>
        <c:ser>
          <c:idx val="2"/>
          <c:order val="2"/>
          <c:tx>
            <c:strRef>
              <c:f>Résultats!$A$117</c:f>
              <c:strCache>
                <c:ptCount val="1"/>
                <c:pt idx="0">
                  <c:v>Pétrole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Résultats!$Y$117:$AB$117</c:f>
              <c:numCache>
                <c:formatCode>_-* #\ ##0_-;\-* #\ ##0_-;_-* "-"??_-;_-@_-</c:formatCode>
                <c:ptCount val="4"/>
                <c:pt idx="0">
                  <c:v>4805.7385594458628</c:v>
                </c:pt>
                <c:pt idx="1">
                  <c:v>316.68465236610217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D-47E5-92FF-FFC57E95CE96}"/>
            </c:ext>
          </c:extLst>
        </c:ser>
        <c:ser>
          <c:idx val="3"/>
          <c:order val="3"/>
          <c:tx>
            <c:strRef>
              <c:f>Résultats!$A$118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Résultats!$Y$118:$AB$118</c:f>
              <c:numCache>
                <c:formatCode>_-* #\ ##0_-;\-* #\ ##0_-;_-* "-"??_-;_-@_-</c:formatCode>
                <c:ptCount val="4"/>
                <c:pt idx="0">
                  <c:v>207.36389151432581</c:v>
                </c:pt>
                <c:pt idx="1">
                  <c:v>553.50969674423072</c:v>
                </c:pt>
                <c:pt idx="2">
                  <c:v>490.11247407717576</c:v>
                </c:pt>
                <c:pt idx="3">
                  <c:v>418.0735980876164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D-47E5-92FF-FFC57E95CE96}"/>
            </c:ext>
          </c:extLst>
        </c:ser>
        <c:ser>
          <c:idx val="4"/>
          <c:order val="4"/>
          <c:tx>
            <c:strRef>
              <c:f>Résultats!$A$119</c:f>
              <c:strCache>
                <c:ptCount val="1"/>
                <c:pt idx="0">
                  <c:v>Chaleur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Résultats!$Y$119:$AB$119</c:f>
              <c:numCache>
                <c:formatCode>_-* #\ ##0_-;\-* #\ ##0_-;_-* "-"??_-;_-@_-</c:formatCode>
                <c:ptCount val="4"/>
                <c:pt idx="0">
                  <c:v>1501.9816754550247</c:v>
                </c:pt>
                <c:pt idx="1">
                  <c:v>1583.4232618305109</c:v>
                </c:pt>
                <c:pt idx="2">
                  <c:v>0</c:v>
                </c:pt>
                <c:pt idx="3">
                  <c:v>1435.1780232858473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D-47E5-92FF-FFC57E95CE96}"/>
            </c:ext>
          </c:extLst>
        </c:ser>
        <c:ser>
          <c:idx val="5"/>
          <c:order val="5"/>
          <c:tx>
            <c:strRef>
              <c:f>Résultats!$A$120</c:f>
              <c:strCache>
                <c:ptCount val="1"/>
                <c:pt idx="0">
                  <c:v>EnR thermique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Résultats!$Y$120:$AB$120</c:f>
              <c:numCache>
                <c:formatCode>_-* #\ ##0_-;\-* #\ ##0_-;_-* "-"??_-;_-@_-</c:formatCode>
                <c:ptCount val="4"/>
                <c:pt idx="0">
                  <c:v>0</c:v>
                </c:pt>
                <c:pt idx="1">
                  <c:v>0.79171163091525543</c:v>
                </c:pt>
                <c:pt idx="2">
                  <c:v>1.0515472857999111</c:v>
                </c:pt>
                <c:pt idx="3">
                  <c:v>1.1959816860715395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D-47E5-92FF-FFC57E95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3771444153896"/>
          <c:y val="0.82762253198897495"/>
          <c:w val="0.76023977522290231"/>
          <c:h val="0.1723774680110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Résultats!$A$133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Résultats!$B$133:$E$133</c:f>
              <c:numCache>
                <c:formatCode>_-* #\ ##0_-;\-* #\ ##0_-;_-* "-"??_-;_-@_-</c:formatCode>
                <c:ptCount val="4"/>
                <c:pt idx="0">
                  <c:v>6.2747802430829847</c:v>
                </c:pt>
                <c:pt idx="1">
                  <c:v>3.8013258380158481</c:v>
                </c:pt>
                <c:pt idx="2">
                  <c:v>2.7160838443469504</c:v>
                </c:pt>
                <c:pt idx="3">
                  <c:v>1.7548146602034314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8A5-8AAF-BB76D8FE5F8B}"/>
            </c:ext>
          </c:extLst>
        </c:ser>
        <c:ser>
          <c:idx val="1"/>
          <c:order val="1"/>
          <c:tx>
            <c:strRef>
              <c:f>Résultats!$A$134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Résultats!$B$134:$E$134</c:f>
              <c:numCache>
                <c:formatCode>_-* #\ ##0_-;\-* #\ ##0_-;_-* "-"??_-;_-@_-</c:formatCode>
                <c:ptCount val="4"/>
                <c:pt idx="0">
                  <c:v>15.265040581937656</c:v>
                </c:pt>
                <c:pt idx="1">
                  <c:v>12.242347259591348</c:v>
                </c:pt>
                <c:pt idx="2">
                  <c:v>10.530650117196451</c:v>
                </c:pt>
                <c:pt idx="3">
                  <c:v>8.8289230397925742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8-48A5-8AAF-BB76D8FE5F8B}"/>
            </c:ext>
          </c:extLst>
        </c:ser>
        <c:ser>
          <c:idx val="2"/>
          <c:order val="2"/>
          <c:tx>
            <c:strRef>
              <c:f>Résultats!$A$135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Résultats!$B$135:$E$135</c:f>
              <c:numCache>
                <c:formatCode>_-* #\ ##0_-;\-* #\ ##0_-;_-* "-"??_-;_-@_-</c:formatCode>
                <c:ptCount val="4"/>
                <c:pt idx="0">
                  <c:v>1.1993455627416734</c:v>
                </c:pt>
                <c:pt idx="1">
                  <c:v>1.1909582173505371</c:v>
                </c:pt>
                <c:pt idx="2">
                  <c:v>1.1237716066587271</c:v>
                </c:pt>
                <c:pt idx="3">
                  <c:v>1.1814906030605532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8-48A5-8AAF-BB76D8FE5F8B}"/>
            </c:ext>
          </c:extLst>
        </c:ser>
        <c:ser>
          <c:idx val="3"/>
          <c:order val="3"/>
          <c:tx>
            <c:strRef>
              <c:f>Résultats!$A$136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Résultats!$B$136:$E$136</c:f>
              <c:numCache>
                <c:formatCode>_-* #\ ##0_-;\-* #\ ##0_-;_-* "-"??_-;_-@_-</c:formatCode>
                <c:ptCount val="4"/>
                <c:pt idx="0">
                  <c:v>0.25831875003696814</c:v>
                </c:pt>
                <c:pt idx="1">
                  <c:v>0.20791862727780674</c:v>
                </c:pt>
                <c:pt idx="2">
                  <c:v>0.18830835639785778</c:v>
                </c:pt>
                <c:pt idx="3">
                  <c:v>0.16634416970579166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8-48A5-8AAF-BB76D8FE5F8B}"/>
            </c:ext>
          </c:extLst>
        </c:ser>
        <c:ser>
          <c:idx val="4"/>
          <c:order val="4"/>
          <c:tx>
            <c:strRef>
              <c:f>Résultats!$A$137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Résultats!$B$132:$E$132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Résultats!$B$137:$E$137</c:f>
              <c:numCache>
                <c:formatCode>_-* #\ ##0_-;\-* #\ ##0_-;_-* "-"??_-;_-@_-</c:formatCode>
                <c:ptCount val="4"/>
                <c:pt idx="0">
                  <c:v>3.090051680594931E-3</c:v>
                </c:pt>
                <c:pt idx="1">
                  <c:v>3.0079797033160591E-3</c:v>
                </c:pt>
                <c:pt idx="2">
                  <c:v>3.0812083663454789E-3</c:v>
                </c:pt>
                <c:pt idx="3">
                  <c:v>3.0347444535368064E-3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8-48A5-8AAF-BB76D8FE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6896"/>
        <c:axId val="179362320"/>
      </c:areaChart>
      <c:catAx>
        <c:axId val="17936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62320"/>
        <c:crosses val="autoZero"/>
        <c:auto val="1"/>
        <c:lblAlgn val="ctr"/>
        <c:lblOffset val="100"/>
        <c:noMultiLvlLbl val="0"/>
      </c:catAx>
      <c:valAx>
        <c:axId val="1793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Résultats!$A$133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Résultats!$Y$133:$AB$133</c:f>
              <c:numCache>
                <c:formatCode>_-* #\ ##0_-;\-* #\ ##0_-;_-* "-"??_-;_-@_-</c:formatCode>
                <c:ptCount val="4"/>
                <c:pt idx="0">
                  <c:v>6.2747802430829847</c:v>
                </c:pt>
                <c:pt idx="1">
                  <c:v>1.0459744696396589</c:v>
                </c:pt>
                <c:pt idx="2">
                  <c:v>0.15141934666521861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1-4FE6-BA47-A6E6DCA90DEE}"/>
            </c:ext>
          </c:extLst>
        </c:ser>
        <c:ser>
          <c:idx val="1"/>
          <c:order val="1"/>
          <c:tx>
            <c:strRef>
              <c:f>Résultats!$A$134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Résultats!$Y$134:$AB$134</c:f>
              <c:numCache>
                <c:formatCode>_-* #\ ##0_-;\-* #\ ##0_-;_-* "-"??_-;_-@_-</c:formatCode>
                <c:ptCount val="4"/>
                <c:pt idx="0">
                  <c:v>15.265040581937656</c:v>
                </c:pt>
                <c:pt idx="1">
                  <c:v>6.0668600613747223</c:v>
                </c:pt>
                <c:pt idx="2">
                  <c:v>2.8234122137779991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1-4FE6-BA47-A6E6DCA90DEE}"/>
            </c:ext>
          </c:extLst>
        </c:ser>
        <c:ser>
          <c:idx val="2"/>
          <c:order val="2"/>
          <c:tx>
            <c:strRef>
              <c:f>Résultats!$A$135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Résultats!$Y$135:$AB$135</c:f>
              <c:numCache>
                <c:formatCode>_-* #\ ##0_-;\-* #\ ##0_-;_-* "-"??_-;_-@_-</c:formatCode>
                <c:ptCount val="4"/>
                <c:pt idx="0">
                  <c:v>1.1993455627416734</c:v>
                </c:pt>
                <c:pt idx="1">
                  <c:v>2.1851911537755599</c:v>
                </c:pt>
                <c:pt idx="2">
                  <c:v>1.3667507382514372</c:v>
                </c:pt>
                <c:pt idx="3">
                  <c:v>0.94772874091732595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1-4FE6-BA47-A6E6DCA90DEE}"/>
            </c:ext>
          </c:extLst>
        </c:ser>
        <c:ser>
          <c:idx val="3"/>
          <c:order val="3"/>
          <c:tx>
            <c:strRef>
              <c:f>Résultats!$A$136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Résultats!$Y$136:$AB$136</c:f>
              <c:numCache>
                <c:formatCode>_-* #\ ##0_-;\-* #\ ##0_-;_-* "-"??_-;_-@_-</c:formatCode>
                <c:ptCount val="4"/>
                <c:pt idx="0">
                  <c:v>0.25831875003696814</c:v>
                </c:pt>
                <c:pt idx="1">
                  <c:v>0.12315974740315014</c:v>
                </c:pt>
                <c:pt idx="2">
                  <c:v>6.7271014598198176E-2</c:v>
                </c:pt>
                <c:pt idx="3">
                  <c:v>8.7730611439122384E-3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1-4FE6-BA47-A6E6DCA90DEE}"/>
            </c:ext>
          </c:extLst>
        </c:ser>
        <c:ser>
          <c:idx val="4"/>
          <c:order val="4"/>
          <c:tx>
            <c:strRef>
              <c:f>Résultats!$A$137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Résultats!$Y$132:$AB$132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Résultats!$Y$137:$AB$137</c:f>
              <c:numCache>
                <c:formatCode>_-* #\ ##0_-;\-* #\ ##0_-;_-* "-"??_-;_-@_-</c:formatCode>
                <c:ptCount val="4"/>
                <c:pt idx="0">
                  <c:v>3.090051680594931E-3</c:v>
                </c:pt>
                <c:pt idx="1">
                  <c:v>4.251589217788977E-3</c:v>
                </c:pt>
                <c:pt idx="2">
                  <c:v>4.509117364348802E-3</c:v>
                </c:pt>
                <c:pt idx="3">
                  <c:v>4.2193753387185749E-3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1-4FE6-BA47-A6E6DCA9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6896"/>
        <c:axId val="179362320"/>
      </c:areaChart>
      <c:catAx>
        <c:axId val="17936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62320"/>
        <c:crosses val="autoZero"/>
        <c:auto val="1"/>
        <c:lblAlgn val="ctr"/>
        <c:lblOffset val="100"/>
        <c:noMultiLvlLbl val="0"/>
      </c:catAx>
      <c:valAx>
        <c:axId val="1793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'Bureaux - AME'!$E$13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AME'!$H$13:$K$13</c:f>
              <c:numCache>
                <c:formatCode>#,##0</c:formatCode>
                <c:ptCount val="4"/>
                <c:pt idx="0">
                  <c:v>2726.6120560153458</c:v>
                </c:pt>
                <c:pt idx="1">
                  <c:v>1822.9306446054445</c:v>
                </c:pt>
                <c:pt idx="2">
                  <c:v>1287.0326096909776</c:v>
                </c:pt>
                <c:pt idx="3">
                  <c:v>841.41655833600737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4-400F-8A64-2D32F603F3E9}"/>
            </c:ext>
          </c:extLst>
        </c:ser>
        <c:ser>
          <c:idx val="1"/>
          <c:order val="1"/>
          <c:tx>
            <c:strRef>
              <c:f>'Bureaux - AME'!$E$14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AME'!$H$14:$K$14</c:f>
              <c:numCache>
                <c:formatCode>#,##0</c:formatCode>
                <c:ptCount val="4"/>
                <c:pt idx="0">
                  <c:v>12612.742080216069</c:v>
                </c:pt>
                <c:pt idx="1">
                  <c:v>9043.1509964051402</c:v>
                </c:pt>
                <c:pt idx="2">
                  <c:v>6951.5521748241044</c:v>
                </c:pt>
                <c:pt idx="3">
                  <c:v>5105.3275046244971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4-400F-8A64-2D32F603F3E9}"/>
            </c:ext>
          </c:extLst>
        </c:ser>
        <c:ser>
          <c:idx val="2"/>
          <c:order val="2"/>
          <c:tx>
            <c:strRef>
              <c:f>'Bureaux - AME'!$E$15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AME'!$H$15:$K$15</c:f>
              <c:numCache>
                <c:formatCode>#,##0</c:formatCode>
                <c:ptCount val="4"/>
                <c:pt idx="0">
                  <c:v>2182.2882773806514</c:v>
                </c:pt>
                <c:pt idx="1">
                  <c:v>2383.0879622570192</c:v>
                </c:pt>
                <c:pt idx="2">
                  <c:v>2617.5338540067828</c:v>
                </c:pt>
                <c:pt idx="3">
                  <c:v>2681.0387785707289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4-400F-8A64-2D32F603F3E9}"/>
            </c:ext>
          </c:extLst>
        </c:ser>
        <c:ser>
          <c:idx val="3"/>
          <c:order val="3"/>
          <c:tx>
            <c:strRef>
              <c:f>'Bureaux - AME'!$E$16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AME'!$H$16:$K$16</c:f>
              <c:numCache>
                <c:formatCode>#,##0</c:formatCode>
                <c:ptCount val="4"/>
                <c:pt idx="0">
                  <c:v>307.62788714260142</c:v>
                </c:pt>
                <c:pt idx="1">
                  <c:v>233.23565955833934</c:v>
                </c:pt>
                <c:pt idx="2">
                  <c:v>188.06857433110244</c:v>
                </c:pt>
                <c:pt idx="3">
                  <c:v>145.96378510952809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4-400F-8A64-2D32F603F3E9}"/>
            </c:ext>
          </c:extLst>
        </c:ser>
        <c:ser>
          <c:idx val="4"/>
          <c:order val="4"/>
          <c:tx>
            <c:strRef>
              <c:f>'Bureaux - AME'!$E$17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AME'!$H$17:$K$17</c:f>
              <c:numCache>
                <c:formatCode>#,##0</c:formatCode>
                <c:ptCount val="4"/>
                <c:pt idx="0">
                  <c:v>211.60220438310148</c:v>
                </c:pt>
                <c:pt idx="1">
                  <c:v>209.23594376573703</c:v>
                </c:pt>
                <c:pt idx="2">
                  <c:v>215.21986078519123</c:v>
                </c:pt>
                <c:pt idx="3">
                  <c:v>210.44077159258543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24-400F-8A64-2D32F603F3E9}"/>
            </c:ext>
          </c:extLst>
        </c:ser>
        <c:ser>
          <c:idx val="5"/>
          <c:order val="5"/>
          <c:tx>
            <c:strRef>
              <c:f>'Bureaux - AME'!$E$18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AME'!$H$18:$K$18</c:f>
              <c:numCache>
                <c:formatCode>#,##0</c:formatCode>
                <c:ptCount val="4"/>
                <c:pt idx="0">
                  <c:v>4852.5796236647593</c:v>
                </c:pt>
                <c:pt idx="1">
                  <c:v>3555.463363061876</c:v>
                </c:pt>
                <c:pt idx="2">
                  <c:v>2813.0272330815337</c:v>
                </c:pt>
                <c:pt idx="3">
                  <c:v>2148.4776629363482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24-400F-8A64-2D32F603F3E9}"/>
            </c:ext>
          </c:extLst>
        </c:ser>
        <c:ser>
          <c:idx val="6"/>
          <c:order val="6"/>
          <c:tx>
            <c:strRef>
              <c:f>'Bureaux - AME'!$E$19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AME'!$H$19:$K$19</c:f>
              <c:numCache>
                <c:formatCode>#,##0</c:formatCode>
                <c:ptCount val="4"/>
                <c:pt idx="0">
                  <c:v>962.99569136854961</c:v>
                </c:pt>
                <c:pt idx="1">
                  <c:v>1220.4905079587174</c:v>
                </c:pt>
                <c:pt idx="2">
                  <c:v>1381.5822158990377</c:v>
                </c:pt>
                <c:pt idx="3">
                  <c:v>1410.5726375533377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24-400F-8A64-2D32F603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'Bureaux - AME'!$E$8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'Bureaux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'Bureaux - AME'!$H$8:$K$8</c:f>
              <c:numCache>
                <c:formatCode>#,##0</c:formatCode>
                <c:ptCount val="4"/>
                <c:pt idx="0">
                  <c:v>0</c:v>
                </c:pt>
                <c:pt idx="1">
                  <c:v>5164.8553369834699</c:v>
                </c:pt>
                <c:pt idx="2">
                  <c:v>5108.6719031846442</c:v>
                </c:pt>
                <c:pt idx="3">
                  <c:v>4946.8592483837929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E-4534-AB3C-D6EC2E08ED06}"/>
            </c:ext>
          </c:extLst>
        </c:ser>
        <c:ser>
          <c:idx val="1"/>
          <c:order val="1"/>
          <c:tx>
            <c:strRef>
              <c:f>'Bureaux - AME'!$E$9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'Bureaux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'Bureaux - AME'!$H$9:$K$9</c:f>
              <c:numCache>
                <c:formatCode>#,##0</c:formatCode>
                <c:ptCount val="4"/>
                <c:pt idx="0">
                  <c:v>239113.67300849396</c:v>
                </c:pt>
                <c:pt idx="1">
                  <c:v>231347.73277341673</c:v>
                </c:pt>
                <c:pt idx="2">
                  <c:v>223912.58959606502</c:v>
                </c:pt>
                <c:pt idx="3">
                  <c:v>211713.03814975632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E-4534-AB3C-D6EC2E0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'Bureaux - AME'!$E$107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AME'!$H$107:$K$107</c:f>
              <c:numCache>
                <c:formatCode>_-* #\ ##0_-;\-* #\ ##0_-;_-* "-"??_-;_-@_-</c:formatCode>
                <c:ptCount val="4"/>
                <c:pt idx="0" formatCode="0">
                  <c:v>832.97998311268839</c:v>
                </c:pt>
                <c:pt idx="1">
                  <c:v>430.92104927051867</c:v>
                </c:pt>
                <c:pt idx="2">
                  <c:v>294.61663423061452</c:v>
                </c:pt>
                <c:pt idx="3">
                  <c:v>180.67838074124077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729-90E2-BFCD3E581386}"/>
            </c:ext>
          </c:extLst>
        </c:ser>
        <c:ser>
          <c:idx val="1"/>
          <c:order val="1"/>
          <c:tx>
            <c:strRef>
              <c:f>'Bureaux - AME'!$E$108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AME'!$H$108:$K$108</c:f>
              <c:numCache>
                <c:formatCode>_-* #\ ##0_-;\-* #\ ##0_-;_-* "-"??_-;_-@_-</c:formatCode>
                <c:ptCount val="4"/>
                <c:pt idx="0" formatCode="0">
                  <c:v>3853.1927055060091</c:v>
                </c:pt>
                <c:pt idx="1">
                  <c:v>2110.8591791151885</c:v>
                </c:pt>
                <c:pt idx="2">
                  <c:v>1557.2899783773476</c:v>
                </c:pt>
                <c:pt idx="3">
                  <c:v>1062.2704374800496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C-4729-90E2-BFCD3E581386}"/>
            </c:ext>
          </c:extLst>
        </c:ser>
        <c:ser>
          <c:idx val="2"/>
          <c:order val="2"/>
          <c:tx>
            <c:strRef>
              <c:f>'Bureaux - AME'!$E$109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AME'!$H$109:$K$109</c:f>
              <c:numCache>
                <c:formatCode>_-* #\ ##0_-;\-* #\ ##0_-;_-* "-"??_-;_-@_-</c:formatCode>
                <c:ptCount val="4"/>
                <c:pt idx="0" formatCode="0">
                  <c:v>666.68906873978915</c:v>
                </c:pt>
                <c:pt idx="1">
                  <c:v>538.59425629091936</c:v>
                </c:pt>
                <c:pt idx="2">
                  <c:v>556.3397322987903</c:v>
                </c:pt>
                <c:pt idx="3">
                  <c:v>517.95417073758563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C-4729-90E2-BFCD3E581386}"/>
            </c:ext>
          </c:extLst>
        </c:ser>
        <c:ser>
          <c:idx val="3"/>
          <c:order val="3"/>
          <c:tx>
            <c:strRef>
              <c:f>'Bureaux - AME'!$E$110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AME'!$H$110:$K$110</c:f>
              <c:numCache>
                <c:formatCode>_-* #\ ##0_-;\-* #\ ##0_-;_-* "-"??_-;_-@_-</c:formatCode>
                <c:ptCount val="4"/>
                <c:pt idx="0" formatCode="0">
                  <c:v>93.980319522064761</c:v>
                </c:pt>
                <c:pt idx="1">
                  <c:v>52.379117277979923</c:v>
                </c:pt>
                <c:pt idx="2">
                  <c:v>39.463325490081552</c:v>
                </c:pt>
                <c:pt idx="3">
                  <c:v>27.633603215669368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C-4729-90E2-BFCD3E581386}"/>
            </c:ext>
          </c:extLst>
        </c:ser>
        <c:ser>
          <c:idx val="4"/>
          <c:order val="4"/>
          <c:tx>
            <c:strRef>
              <c:f>'Bureaux - AME'!$E$111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AME'!$H$111:$K$111</c:f>
              <c:numCache>
                <c:formatCode>_-* #\ ##0_-;\-* #\ ##0_-;_-* "-"??_-;_-@_-</c:formatCode>
                <c:ptCount val="4"/>
                <c:pt idx="0" formatCode="0">
                  <c:v>64.644473439037512</c:v>
                </c:pt>
                <c:pt idx="1">
                  <c:v>47.182816250525065</c:v>
                </c:pt>
                <c:pt idx="2">
                  <c:v>45.602423564531314</c:v>
                </c:pt>
                <c:pt idx="3">
                  <c:v>40.506100748947794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7C-4729-90E2-BFCD3E581386}"/>
            </c:ext>
          </c:extLst>
        </c:ser>
        <c:ser>
          <c:idx val="5"/>
          <c:order val="5"/>
          <c:tx>
            <c:strRef>
              <c:f>'Bureaux - AME'!$E$112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AME'!$H$112:$K$112</c:f>
              <c:numCache>
                <c:formatCode>_-* #\ ##0_-;\-* #\ ##0_-;_-* "-"??_-;_-@_-</c:formatCode>
                <c:ptCount val="4"/>
                <c:pt idx="0" formatCode="0">
                  <c:v>1482.4630750295844</c:v>
                </c:pt>
                <c:pt idx="1">
                  <c:v>854.80274423625963</c:v>
                </c:pt>
                <c:pt idx="2">
                  <c:v>669.77151422261625</c:v>
                </c:pt>
                <c:pt idx="3">
                  <c:v>490.95465989429727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7C-4729-90E2-BFCD3E581386}"/>
            </c:ext>
          </c:extLst>
        </c:ser>
        <c:ser>
          <c:idx val="6"/>
          <c:order val="6"/>
          <c:tx>
            <c:strRef>
              <c:f>'Bureaux - AME'!$E$113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AME'!$H$113:$K$113</c:f>
              <c:numCache>
                <c:formatCode>_-* #\ ##0_-;\-* #\ ##0_-;_-* "-"??_-;_-@_-</c:formatCode>
                <c:ptCount val="4"/>
                <c:pt idx="0" formatCode="0">
                  <c:v>294.19518371309192</c:v>
                </c:pt>
                <c:pt idx="1">
                  <c:v>281.68055444608103</c:v>
                </c:pt>
                <c:pt idx="2">
                  <c:v>318.33051319545706</c:v>
                </c:pt>
                <c:pt idx="3">
                  <c:v>313.3901204791855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7C-4729-90E2-BFCD3E58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totale de chauffage en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Résultats!$A$58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Résultats!$B$58:$E$58</c:f>
              <c:numCache>
                <c:formatCode>#,##0</c:formatCode>
                <c:ptCount val="4"/>
                <c:pt idx="0">
                  <c:v>16110.195584164085</c:v>
                </c:pt>
                <c:pt idx="1">
                  <c:v>10328.435825930505</c:v>
                </c:pt>
                <c:pt idx="2">
                  <c:v>7250.9725606468992</c:v>
                </c:pt>
                <c:pt idx="3">
                  <c:v>4581.5075850170633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2-470A-98DB-97B4ABBC0734}"/>
            </c:ext>
          </c:extLst>
        </c:ser>
        <c:ser>
          <c:idx val="1"/>
          <c:order val="1"/>
          <c:tx>
            <c:strRef>
              <c:f>Résultats!$A$59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Résultats!$B$59:$E$59</c:f>
              <c:numCache>
                <c:formatCode>#,##0</c:formatCode>
                <c:ptCount val="4"/>
                <c:pt idx="0">
                  <c:v>48612.54886241199</c:v>
                </c:pt>
                <c:pt idx="1">
                  <c:v>36226.668698453796</c:v>
                </c:pt>
                <c:pt idx="2">
                  <c:v>30325.002106195956</c:v>
                </c:pt>
                <c:pt idx="3">
                  <c:v>24631.607979171764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2-470A-98DB-97B4ABBC0734}"/>
            </c:ext>
          </c:extLst>
        </c:ser>
        <c:ser>
          <c:idx val="2"/>
          <c:order val="2"/>
          <c:tx>
            <c:strRef>
              <c:f>Résultats!$A$60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Résultats!$B$60:$E$60</c:f>
              <c:numCache>
                <c:formatCode>#,##0</c:formatCode>
                <c:ptCount val="4"/>
                <c:pt idx="0">
                  <c:v>6493.6554094894636</c:v>
                </c:pt>
                <c:pt idx="1">
                  <c:v>6066.800369098155</c:v>
                </c:pt>
                <c:pt idx="2">
                  <c:v>6223.9360953971382</c:v>
                </c:pt>
                <c:pt idx="3">
                  <c:v>6099.5080861887091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2-470A-98DB-97B4ABBC0734}"/>
            </c:ext>
          </c:extLst>
        </c:ser>
        <c:ser>
          <c:idx val="3"/>
          <c:order val="3"/>
          <c:tx>
            <c:strRef>
              <c:f>Résultats!$A$61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Résultats!$B$61:$E$61</c:f>
              <c:numCache>
                <c:formatCode>#,##0</c:formatCode>
                <c:ptCount val="4"/>
                <c:pt idx="0">
                  <c:v>1103.9262822092655</c:v>
                </c:pt>
                <c:pt idx="1">
                  <c:v>888.54114221284931</c:v>
                </c:pt>
                <c:pt idx="2">
                  <c:v>804.73656580281113</c:v>
                </c:pt>
                <c:pt idx="3">
                  <c:v>710.87252011022076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2-470A-98DB-97B4ABBC0734}"/>
            </c:ext>
          </c:extLst>
        </c:ser>
        <c:ser>
          <c:idx val="4"/>
          <c:order val="4"/>
          <c:tx>
            <c:strRef>
              <c:f>Résultats!$A$62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Résultats!$B$62:$E$62</c:f>
              <c:numCache>
                <c:formatCode>#,##0</c:formatCode>
                <c:ptCount val="4"/>
                <c:pt idx="0">
                  <c:v>822.6533353506511</c:v>
                </c:pt>
                <c:pt idx="1">
                  <c:v>745.04331556392458</c:v>
                </c:pt>
                <c:pt idx="2">
                  <c:v>745.98681156137911</c:v>
                </c:pt>
                <c:pt idx="3">
                  <c:v>713.372015795734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2-470A-98DB-97B4ABBC0734}"/>
            </c:ext>
          </c:extLst>
        </c:ser>
        <c:ser>
          <c:idx val="5"/>
          <c:order val="5"/>
          <c:tx>
            <c:strRef>
              <c:f>Résultats!$A$63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Résultats!$B$63:$E$63</c:f>
              <c:numCache>
                <c:formatCode>#,##0</c:formatCode>
                <c:ptCount val="4"/>
                <c:pt idx="0">
                  <c:v>14018.640382729085</c:v>
                </c:pt>
                <c:pt idx="1">
                  <c:v>11965.122703181887</c:v>
                </c:pt>
                <c:pt idx="2">
                  <c:v>11355.800740215547</c:v>
                </c:pt>
                <c:pt idx="3">
                  <c:v>10481.095880657884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2-470A-98DB-97B4ABBC0734}"/>
            </c:ext>
          </c:extLst>
        </c:ser>
        <c:ser>
          <c:idx val="6"/>
          <c:order val="6"/>
          <c:tx>
            <c:strRef>
              <c:f>Résultats!$A$64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Résultats!$B$64:$E$64</c:f>
              <c:numCache>
                <c:formatCode>#,##0</c:formatCode>
                <c:ptCount val="4"/>
                <c:pt idx="0">
                  <c:v>2951.5926987320195</c:v>
                </c:pt>
                <c:pt idx="1">
                  <c:v>3509.6644114627279</c:v>
                </c:pt>
                <c:pt idx="2">
                  <c:v>3910.3899430109159</c:v>
                </c:pt>
                <c:pt idx="3">
                  <c:v>3987.5100968600727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2-470A-98DB-97B4ABBC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'Bureaux - AME'!$E$118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AME'!$H$118:$K$118</c:f>
              <c:numCache>
                <c:formatCode>_-* #\ ##0_-;\-* #\ ##0_-;_-* "-"??_-;_-@_-</c:formatCode>
                <c:ptCount val="4"/>
                <c:pt idx="0">
                  <c:v>1893.6320729026575</c:v>
                </c:pt>
                <c:pt idx="1">
                  <c:v>1391.2641745175795</c:v>
                </c:pt>
                <c:pt idx="2">
                  <c:v>991.67866335050394</c:v>
                </c:pt>
                <c:pt idx="3">
                  <c:v>660.02421919251981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2-4513-9DF4-25C4D7C44C39}"/>
            </c:ext>
          </c:extLst>
        </c:ser>
        <c:ser>
          <c:idx val="1"/>
          <c:order val="1"/>
          <c:tx>
            <c:strRef>
              <c:f>'Bureaux - AME'!$E$119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AME'!$H$119:$K$119</c:f>
              <c:numCache>
                <c:formatCode>_-* #\ ##0_-;\-* #\ ##0_-;_-* "-"??_-;_-@_-</c:formatCode>
                <c:ptCount val="4"/>
                <c:pt idx="0">
                  <c:v>8759.5493747100591</c:v>
                </c:pt>
                <c:pt idx="1">
                  <c:v>6880.6534909131669</c:v>
                </c:pt>
                <c:pt idx="2">
                  <c:v>5343.185593158456</c:v>
                </c:pt>
                <c:pt idx="3">
                  <c:v>3993.5982699969436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2-4513-9DF4-25C4D7C44C39}"/>
            </c:ext>
          </c:extLst>
        </c:ser>
        <c:ser>
          <c:idx val="2"/>
          <c:order val="2"/>
          <c:tx>
            <c:strRef>
              <c:f>'Bureaux - AME'!$E$120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AME'!$H$120:$K$120</c:f>
              <c:numCache>
                <c:formatCode>_-* #\ ##0_-;\-* #\ ##0_-;_-* "-"??_-;_-@_-</c:formatCode>
                <c:ptCount val="4"/>
                <c:pt idx="0">
                  <c:v>1515.5992086408623</c:v>
                </c:pt>
                <c:pt idx="1">
                  <c:v>1808.5312332925489</c:v>
                </c:pt>
                <c:pt idx="2">
                  <c:v>2025.62284976919</c:v>
                </c:pt>
                <c:pt idx="3">
                  <c:v>2128.6400244067645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2-4513-9DF4-25C4D7C44C39}"/>
            </c:ext>
          </c:extLst>
        </c:ser>
        <c:ser>
          <c:idx val="3"/>
          <c:order val="3"/>
          <c:tx>
            <c:strRef>
              <c:f>'Bureaux - AME'!$E$121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AME'!$H$121:$K$121</c:f>
              <c:numCache>
                <c:formatCode>_-* #\ ##0_-;\-* #\ ##0_-;_-* "-"??_-;_-@_-</c:formatCode>
                <c:ptCount val="4"/>
                <c:pt idx="0">
                  <c:v>213.64756762053668</c:v>
                </c:pt>
                <c:pt idx="1">
                  <c:v>175.88243554968858</c:v>
                </c:pt>
                <c:pt idx="2">
                  <c:v>143.68525057573336</c:v>
                </c:pt>
                <c:pt idx="3">
                  <c:v>113.56602021311004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2-4513-9DF4-25C4D7C44C39}"/>
            </c:ext>
          </c:extLst>
        </c:ser>
        <c:ser>
          <c:idx val="4"/>
          <c:order val="4"/>
          <c:tx>
            <c:strRef>
              <c:f>'Bureaux - AME'!$E$122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AME'!$H$122:$K$122</c:f>
              <c:numCache>
                <c:formatCode>_-* #\ ##0_-;\-* #\ ##0_-;_-* "-"??_-;_-@_-</c:formatCode>
                <c:ptCount val="4"/>
                <c:pt idx="0">
                  <c:v>146.95773094406397</c:v>
                </c:pt>
                <c:pt idx="1">
                  <c:v>158.43391545134921</c:v>
                </c:pt>
                <c:pt idx="2">
                  <c:v>166.03759504193951</c:v>
                </c:pt>
                <c:pt idx="3">
                  <c:v>166.46821699317252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2-4513-9DF4-25C4D7C44C39}"/>
            </c:ext>
          </c:extLst>
        </c:ser>
        <c:ser>
          <c:idx val="5"/>
          <c:order val="5"/>
          <c:tx>
            <c:strRef>
              <c:f>'Bureaux - AME'!$E$123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AME'!$H$123:$K$123</c:f>
              <c:numCache>
                <c:formatCode>_-* #\ ##0_-;\-* #\ ##0_-;_-* "-"??_-;_-@_-</c:formatCode>
                <c:ptCount val="4"/>
                <c:pt idx="0">
                  <c:v>3370.1165486351751</c:v>
                </c:pt>
                <c:pt idx="1">
                  <c:v>2674.7359563983118</c:v>
                </c:pt>
                <c:pt idx="2">
                  <c:v>2117.6130655993843</c:v>
                </c:pt>
                <c:pt idx="3">
                  <c:v>1632.6925580978482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2-4513-9DF4-25C4D7C44C39}"/>
            </c:ext>
          </c:extLst>
        </c:ser>
        <c:ser>
          <c:idx val="6"/>
          <c:order val="6"/>
          <c:tx>
            <c:strRef>
              <c:f>'Bureaux - AME'!$E$124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'Bureaux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AME'!$H$124:$K$124</c:f>
              <c:numCache>
                <c:formatCode>_-* #\ ##0_-;\-* #\ ##0_-;_-* "-"??_-;_-@_-</c:formatCode>
                <c:ptCount val="4"/>
                <c:pt idx="0">
                  <c:v>668.80050765545764</c:v>
                </c:pt>
                <c:pt idx="1">
                  <c:v>881.39762334093132</c:v>
                </c:pt>
                <c:pt idx="2">
                  <c:v>1006.4639053872959</c:v>
                </c:pt>
                <c:pt idx="3">
                  <c:v>1042.1934229077629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D2-4513-9DF4-25C4D7C4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'CaHoREs - AME'!$E$13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AME'!$H$13:$K$13</c:f>
              <c:numCache>
                <c:formatCode>#,##0</c:formatCode>
                <c:ptCount val="4"/>
                <c:pt idx="0">
                  <c:v>684.76544972812997</c:v>
                </c:pt>
                <c:pt idx="1">
                  <c:v>477.91512587083434</c:v>
                </c:pt>
                <c:pt idx="2">
                  <c:v>370.63569843400876</c:v>
                </c:pt>
                <c:pt idx="3">
                  <c:v>273.58880732313168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8-4149-A088-DA33DFC81370}"/>
            </c:ext>
          </c:extLst>
        </c:ser>
        <c:ser>
          <c:idx val="1"/>
          <c:order val="1"/>
          <c:tx>
            <c:strRef>
              <c:f>'CaHoREs - AME'!$E$14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AME'!$H$14:$K$14</c:f>
              <c:numCache>
                <c:formatCode>#,##0</c:formatCode>
                <c:ptCount val="4"/>
                <c:pt idx="0">
                  <c:v>3344.988966135586</c:v>
                </c:pt>
                <c:pt idx="1">
                  <c:v>2389.8244763196012</c:v>
                </c:pt>
                <c:pt idx="2">
                  <c:v>1836.4090308314294</c:v>
                </c:pt>
                <c:pt idx="3">
                  <c:v>1317.2071942490843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8-4149-A088-DA33DFC81370}"/>
            </c:ext>
          </c:extLst>
        </c:ser>
        <c:ser>
          <c:idx val="2"/>
          <c:order val="2"/>
          <c:tx>
            <c:strRef>
              <c:f>'CaHoREs - AME'!$E$15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AME'!$H$15:$K$15</c:f>
              <c:numCache>
                <c:formatCode>#,##0</c:formatCode>
                <c:ptCount val="4"/>
                <c:pt idx="0">
                  <c:v>644.05562556936843</c:v>
                </c:pt>
                <c:pt idx="1">
                  <c:v>553.09619091748743</c:v>
                </c:pt>
                <c:pt idx="2">
                  <c:v>525.16205161917094</c:v>
                </c:pt>
                <c:pt idx="3">
                  <c:v>485.29512172707689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8-4149-A088-DA33DFC81370}"/>
            </c:ext>
          </c:extLst>
        </c:ser>
        <c:ser>
          <c:idx val="3"/>
          <c:order val="3"/>
          <c:tx>
            <c:strRef>
              <c:f>'CaHoREs - AME'!$E$16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AME'!$H$16:$K$16</c:f>
              <c:numCache>
                <c:formatCode>#,##0</c:formatCode>
                <c:ptCount val="4"/>
                <c:pt idx="0">
                  <c:v>110.94916911207363</c:v>
                </c:pt>
                <c:pt idx="1">
                  <c:v>84.677644754640056</c:v>
                </c:pt>
                <c:pt idx="2">
                  <c:v>70.627009307561508</c:v>
                </c:pt>
                <c:pt idx="3">
                  <c:v>56.388728887002877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8-4149-A088-DA33DFC81370}"/>
            </c:ext>
          </c:extLst>
        </c:ser>
        <c:ser>
          <c:idx val="4"/>
          <c:order val="4"/>
          <c:tx>
            <c:strRef>
              <c:f>'CaHoREs - AME'!$E$17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AME'!$H$17:$K$17</c:f>
              <c:numCache>
                <c:formatCode>#,##0</c:formatCode>
                <c:ptCount val="4"/>
                <c:pt idx="0">
                  <c:v>105.085067784548</c:v>
                </c:pt>
                <c:pt idx="1">
                  <c:v>146.334914621481</c:v>
                </c:pt>
                <c:pt idx="2">
                  <c:v>190.23534484360349</c:v>
                </c:pt>
                <c:pt idx="3">
                  <c:v>222.28316716403666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8-4149-A088-DA33DFC81370}"/>
            </c:ext>
          </c:extLst>
        </c:ser>
        <c:ser>
          <c:idx val="5"/>
          <c:order val="5"/>
          <c:tx>
            <c:strRef>
              <c:f>'CaHoREs - AME'!$E$18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AME'!$H$18:$K$18</c:f>
              <c:numCache>
                <c:formatCode>#,##0</c:formatCode>
                <c:ptCount val="4"/>
                <c:pt idx="0">
                  <c:v>1126.3148298057915</c:v>
                </c:pt>
                <c:pt idx="1">
                  <c:v>903.71728065379205</c:v>
                </c:pt>
                <c:pt idx="2">
                  <c:v>817.16688814546376</c:v>
                </c:pt>
                <c:pt idx="3">
                  <c:v>721.01896406291746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D8-4149-A088-DA33DFC81370}"/>
            </c:ext>
          </c:extLst>
        </c:ser>
        <c:ser>
          <c:idx val="6"/>
          <c:order val="6"/>
          <c:tx>
            <c:strRef>
              <c:f>'CaHoREs - AME'!$E$19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AME'!$H$19:$K$19</c:f>
              <c:numCache>
                <c:formatCode>#,##0</c:formatCode>
                <c:ptCount val="4"/>
                <c:pt idx="0">
                  <c:v>330.54470576018718</c:v>
                </c:pt>
                <c:pt idx="1">
                  <c:v>360.00097457915791</c:v>
                </c:pt>
                <c:pt idx="2">
                  <c:v>385.4515862876234</c:v>
                </c:pt>
                <c:pt idx="3">
                  <c:v>385.27259312084527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D8-4149-A088-DA33DFC8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'CaHoREs - AME'!$E$8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'CaHoREs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'CaHoREs - AME'!$H$8:$K$8</c:f>
              <c:numCache>
                <c:formatCode>#,##0</c:formatCode>
                <c:ptCount val="4"/>
                <c:pt idx="0">
                  <c:v>0</c:v>
                </c:pt>
                <c:pt idx="1">
                  <c:v>2942.8867840113244</c:v>
                </c:pt>
                <c:pt idx="2">
                  <c:v>2802.5547212735701</c:v>
                </c:pt>
                <c:pt idx="3">
                  <c:v>1993.67497877806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F-4EB1-A3B3-00755418A127}"/>
            </c:ext>
          </c:extLst>
        </c:ser>
        <c:ser>
          <c:idx val="1"/>
          <c:order val="1"/>
          <c:tx>
            <c:strRef>
              <c:f>'CaHoREs - AME'!$E$9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'CaHoREs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'CaHoREs - AME'!$H$9:$K$9</c:f>
              <c:numCache>
                <c:formatCode>#,##0</c:formatCode>
                <c:ptCount val="4"/>
                <c:pt idx="0">
                  <c:v>67389.90174661066</c:v>
                </c:pt>
                <c:pt idx="1">
                  <c:v>65449.072576308274</c:v>
                </c:pt>
                <c:pt idx="2">
                  <c:v>66422.270930742394</c:v>
                </c:pt>
                <c:pt idx="3">
                  <c:v>66501.833286520778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F-4EB1-A3B3-00755418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'CaHoREs - AME'!$E$107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AME'!$H$107:$K$107</c:f>
              <c:numCache>
                <c:formatCode>_-* #\ ##0_-;\-* #\ ##0_-;_-* "-"??_-;_-@_-</c:formatCode>
                <c:ptCount val="4"/>
                <c:pt idx="0" formatCode="0">
                  <c:v>200.29389404547803</c:v>
                </c:pt>
                <c:pt idx="1">
                  <c:v>110.51169849476858</c:v>
                </c:pt>
                <c:pt idx="2">
                  <c:v>85.306339824877924</c:v>
                </c:pt>
                <c:pt idx="3">
                  <c:v>60.914621573047533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E4F-8EDB-9D55E2ACE3DC}"/>
            </c:ext>
          </c:extLst>
        </c:ser>
        <c:ser>
          <c:idx val="1"/>
          <c:order val="1"/>
          <c:tx>
            <c:strRef>
              <c:f>'CaHoREs - AME'!$E$108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AME'!$H$108:$K$108</c:f>
              <c:numCache>
                <c:formatCode>_-* #\ ##0_-;\-* #\ ##0_-;_-* "-"??_-;_-@_-</c:formatCode>
                <c:ptCount val="4"/>
                <c:pt idx="0" formatCode="0">
                  <c:v>978.40927259465889</c:v>
                </c:pt>
                <c:pt idx="1">
                  <c:v>529.98320408391032</c:v>
                </c:pt>
                <c:pt idx="2">
                  <c:v>398.99531109394468</c:v>
                </c:pt>
                <c:pt idx="3">
                  <c:v>274.84387797084742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E4F-8EDB-9D55E2ACE3DC}"/>
            </c:ext>
          </c:extLst>
        </c:ser>
        <c:ser>
          <c:idx val="2"/>
          <c:order val="2"/>
          <c:tx>
            <c:strRef>
              <c:f>'CaHoREs - AME'!$E$109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AME'!$H$109:$K$109</c:f>
              <c:numCache>
                <c:formatCode>_-* #\ ##0_-;\-* #\ ##0_-;_-* "-"??_-;_-@_-</c:formatCode>
                <c:ptCount val="4"/>
                <c:pt idx="0" formatCode="0">
                  <c:v>188.38627047904026</c:v>
                </c:pt>
                <c:pt idx="1">
                  <c:v>120.98228349732818</c:v>
                </c:pt>
                <c:pt idx="2">
                  <c:v>110.87593776999498</c:v>
                </c:pt>
                <c:pt idx="3">
                  <c:v>96.58463310867775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0-4E4F-8EDB-9D55E2ACE3DC}"/>
            </c:ext>
          </c:extLst>
        </c:ser>
        <c:ser>
          <c:idx val="3"/>
          <c:order val="3"/>
          <c:tx>
            <c:strRef>
              <c:f>'CaHoREs - AME'!$E$110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AME'!$H$110:$K$110</c:f>
              <c:numCache>
                <c:formatCode>_-* #\ ##0_-;\-* #\ ##0_-;_-* "-"??_-;_-@_-</c:formatCode>
                <c:ptCount val="4"/>
                <c:pt idx="0" formatCode="0">
                  <c:v>32.45263196528154</c:v>
                </c:pt>
                <c:pt idx="1">
                  <c:v>18.440355692603184</c:v>
                </c:pt>
                <c:pt idx="2">
                  <c:v>14.783205761628288</c:v>
                </c:pt>
                <c:pt idx="3">
                  <c:v>11.102560476713062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0-4E4F-8EDB-9D55E2ACE3DC}"/>
            </c:ext>
          </c:extLst>
        </c:ser>
        <c:ser>
          <c:idx val="4"/>
          <c:order val="4"/>
          <c:tx>
            <c:strRef>
              <c:f>'CaHoREs - AME'!$E$111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AME'!$H$111:$K$111</c:f>
              <c:numCache>
                <c:formatCode>_-* #\ ##0_-;\-* #\ ##0_-;_-* "-"??_-;_-@_-</c:formatCode>
                <c:ptCount val="4"/>
                <c:pt idx="0" formatCode="0">
                  <c:v>30.737382326980292</c:v>
                </c:pt>
                <c:pt idx="1">
                  <c:v>32.338205954687993</c:v>
                </c:pt>
                <c:pt idx="2">
                  <c:v>40.744474743338479</c:v>
                </c:pt>
                <c:pt idx="3">
                  <c:v>44.80808523066208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80-4E4F-8EDB-9D55E2ACE3DC}"/>
            </c:ext>
          </c:extLst>
        </c:ser>
        <c:ser>
          <c:idx val="5"/>
          <c:order val="5"/>
          <c:tx>
            <c:strRef>
              <c:f>'CaHoREs - AME'!$E$112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AME'!$H$112:$K$112</c:f>
              <c:numCache>
                <c:formatCode>_-* #\ ##0_-;\-* #\ ##0_-;_-* "-"??_-;_-@_-</c:formatCode>
                <c:ptCount val="4"/>
                <c:pt idx="0" formatCode="0">
                  <c:v>329.44708771819404</c:v>
                </c:pt>
                <c:pt idx="1">
                  <c:v>212.78214609287144</c:v>
                </c:pt>
                <c:pt idx="2">
                  <c:v>196.074164998208</c:v>
                </c:pt>
                <c:pt idx="3">
                  <c:v>171.69604892742549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80-4E4F-8EDB-9D55E2ACE3DC}"/>
            </c:ext>
          </c:extLst>
        </c:ser>
        <c:ser>
          <c:idx val="6"/>
          <c:order val="6"/>
          <c:tx>
            <c:strRef>
              <c:f>'CaHoREs - AME'!$E$113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AME'!$H$113:$K$113</c:f>
              <c:numCache>
                <c:formatCode>_-* #\ ##0_-;\-* #\ ##0_-;_-* "-"??_-;_-@_-</c:formatCode>
                <c:ptCount val="4"/>
                <c:pt idx="0" formatCode="0">
                  <c:v>96.684326434854754</c:v>
                </c:pt>
                <c:pt idx="1">
                  <c:v>78.605105816206461</c:v>
                </c:pt>
                <c:pt idx="2">
                  <c:v>86.598629173351227</c:v>
                </c:pt>
                <c:pt idx="3">
                  <c:v>87.647043381967933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80-4E4F-8EDB-9D55E2AC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'CaHoREs - AME'!$E$118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AME'!$H$118:$K$118</c:f>
              <c:numCache>
                <c:formatCode>_-* #\ ##0_-;\-* #\ ##0_-;_-* "-"??_-;_-@_-</c:formatCode>
                <c:ptCount val="4"/>
                <c:pt idx="0">
                  <c:v>484.47155568265197</c:v>
                </c:pt>
                <c:pt idx="1">
                  <c:v>367.40342737606574</c:v>
                </c:pt>
                <c:pt idx="2">
                  <c:v>285.32935860913085</c:v>
                </c:pt>
                <c:pt idx="3">
                  <c:v>212.67418575008415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1-449A-AE71-D55159A355BC}"/>
            </c:ext>
          </c:extLst>
        </c:ser>
        <c:ser>
          <c:idx val="1"/>
          <c:order val="1"/>
          <c:tx>
            <c:strRef>
              <c:f>'CaHoREs - AME'!$E$119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AME'!$H$119:$K$119</c:f>
              <c:numCache>
                <c:formatCode>_-* #\ ##0_-;\-* #\ ##0_-;_-* "-"??_-;_-@_-</c:formatCode>
                <c:ptCount val="4"/>
                <c:pt idx="0">
                  <c:v>2366.5796935409271</c:v>
                </c:pt>
                <c:pt idx="1">
                  <c:v>1778.9166033957388</c:v>
                </c:pt>
                <c:pt idx="2">
                  <c:v>1360.3479576575137</c:v>
                </c:pt>
                <c:pt idx="3">
                  <c:v>987.5404504076713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1-449A-AE71-D55159A355BC}"/>
            </c:ext>
          </c:extLst>
        </c:ser>
        <c:ser>
          <c:idx val="2"/>
          <c:order val="2"/>
          <c:tx>
            <c:strRef>
              <c:f>'CaHoREs - AME'!$E$120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AME'!$H$120:$K$120</c:f>
              <c:numCache>
                <c:formatCode>_-* #\ ##0_-;\-* #\ ##0_-;_-* "-"??_-;_-@_-</c:formatCode>
                <c:ptCount val="4"/>
                <c:pt idx="0">
                  <c:v>455.66935509032811</c:v>
                </c:pt>
                <c:pt idx="1">
                  <c:v>418.32048209492353</c:v>
                </c:pt>
                <c:pt idx="2">
                  <c:v>401.15043038428831</c:v>
                </c:pt>
                <c:pt idx="3">
                  <c:v>379.36605610676764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1-449A-AE71-D55159A355BC}"/>
            </c:ext>
          </c:extLst>
        </c:ser>
        <c:ser>
          <c:idx val="3"/>
          <c:order val="3"/>
          <c:tx>
            <c:strRef>
              <c:f>'CaHoREs - AME'!$E$121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AME'!$H$121:$K$121</c:f>
              <c:numCache>
                <c:formatCode>_-* #\ ##0_-;\-* #\ ##0_-;_-* "-"??_-;_-@_-</c:formatCode>
                <c:ptCount val="4"/>
                <c:pt idx="0">
                  <c:v>78.496537146792093</c:v>
                </c:pt>
                <c:pt idx="1">
                  <c:v>63.761224043204557</c:v>
                </c:pt>
                <c:pt idx="2">
                  <c:v>53.485810113630627</c:v>
                </c:pt>
                <c:pt idx="3">
                  <c:v>43.608744426229876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1-449A-AE71-D55159A355BC}"/>
            </c:ext>
          </c:extLst>
        </c:ser>
        <c:ser>
          <c:idx val="4"/>
          <c:order val="4"/>
          <c:tx>
            <c:strRef>
              <c:f>'CaHoREs - AME'!$E$122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AME'!$H$122:$K$122</c:f>
              <c:numCache>
                <c:formatCode>_-* #\ ##0_-;\-* #\ ##0_-;_-* "-"??_-;_-@_-</c:formatCode>
                <c:ptCount val="4"/>
                <c:pt idx="0">
                  <c:v>74.347685457567707</c:v>
                </c:pt>
                <c:pt idx="1">
                  <c:v>111.8158255406773</c:v>
                </c:pt>
                <c:pt idx="2">
                  <c:v>147.41398276132688</c:v>
                </c:pt>
                <c:pt idx="3">
                  <c:v>175.99763056018597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1-449A-AE71-D55159A355BC}"/>
            </c:ext>
          </c:extLst>
        </c:ser>
        <c:ser>
          <c:idx val="5"/>
          <c:order val="5"/>
          <c:tx>
            <c:strRef>
              <c:f>'CaHoREs - AME'!$E$123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AME'!$H$123:$K$123</c:f>
              <c:numCache>
                <c:formatCode>_-* #\ ##0_-;\-* #\ ##0_-;_-* "-"??_-;_-@_-</c:formatCode>
                <c:ptCount val="4"/>
                <c:pt idx="0">
                  <c:v>796.86774208759755</c:v>
                </c:pt>
                <c:pt idx="1">
                  <c:v>685.60385237097341</c:v>
                </c:pt>
                <c:pt idx="2">
                  <c:v>616.01566406599807</c:v>
                </c:pt>
                <c:pt idx="3">
                  <c:v>545.71120843829613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1-449A-AE71-D55159A355BC}"/>
            </c:ext>
          </c:extLst>
        </c:ser>
        <c:ser>
          <c:idx val="6"/>
          <c:order val="6"/>
          <c:tx>
            <c:strRef>
              <c:f>'CaHoREs - AME'!$E$124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'CaHoREs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AME'!$H$124:$K$124</c:f>
              <c:numCache>
                <c:formatCode>_-* #\ ##0_-;\-* #\ ##0_-;_-* "-"??_-;_-@_-</c:formatCode>
                <c:ptCount val="4"/>
                <c:pt idx="0">
                  <c:v>233.86037932533242</c:v>
                </c:pt>
                <c:pt idx="1">
                  <c:v>253.2729571215873</c:v>
                </c:pt>
                <c:pt idx="2">
                  <c:v>272.07109135420581</c:v>
                </c:pt>
                <c:pt idx="3">
                  <c:v>278.5735272233016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1-449A-AE71-D55159A3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'Commerce - AME'!$E$13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AME'!$H$13:$K$13</c:f>
              <c:numCache>
                <c:formatCode>#,##0</c:formatCode>
                <c:ptCount val="4"/>
                <c:pt idx="0">
                  <c:v>3624.4323503592609</c:v>
                </c:pt>
                <c:pt idx="1">
                  <c:v>2156.4877368786329</c:v>
                </c:pt>
                <c:pt idx="2">
                  <c:v>1288.9272440805923</c:v>
                </c:pt>
                <c:pt idx="3">
                  <c:v>581.00246910683779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2-4F3C-BE9D-427E861B4B12}"/>
            </c:ext>
          </c:extLst>
        </c:ser>
        <c:ser>
          <c:idx val="1"/>
          <c:order val="1"/>
          <c:tx>
            <c:strRef>
              <c:f>'Commerce - AME'!$E$14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AME'!$H$14:$K$14</c:f>
              <c:numCache>
                <c:formatCode>#,##0</c:formatCode>
                <c:ptCount val="4"/>
                <c:pt idx="0">
                  <c:v>8287.8230883102497</c:v>
                </c:pt>
                <c:pt idx="1">
                  <c:v>6153.1694975526843</c:v>
                </c:pt>
                <c:pt idx="2">
                  <c:v>5006.7084921072119</c:v>
                </c:pt>
                <c:pt idx="3">
                  <c:v>3922.836696454026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2-4F3C-BE9D-427E861B4B12}"/>
            </c:ext>
          </c:extLst>
        </c:ser>
        <c:ser>
          <c:idx val="2"/>
          <c:order val="2"/>
          <c:tx>
            <c:strRef>
              <c:f>'Commerce - AME'!$E$15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AME'!$H$15:$K$15</c:f>
              <c:numCache>
                <c:formatCode>#,##0</c:formatCode>
                <c:ptCount val="4"/>
                <c:pt idx="0">
                  <c:v>467.84860691760434</c:v>
                </c:pt>
                <c:pt idx="1">
                  <c:v>414.09378537947174</c:v>
                </c:pt>
                <c:pt idx="2">
                  <c:v>400.01311867559497</c:v>
                </c:pt>
                <c:pt idx="3">
                  <c:v>373.99198562086804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2-4F3C-BE9D-427E861B4B12}"/>
            </c:ext>
          </c:extLst>
        </c:ser>
        <c:ser>
          <c:idx val="3"/>
          <c:order val="3"/>
          <c:tx>
            <c:strRef>
              <c:f>'Commerce - AME'!$E$16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AME'!$H$16:$K$16</c:f>
              <c:numCache>
                <c:formatCode>#,##0</c:formatCode>
                <c:ptCount val="4"/>
                <c:pt idx="0">
                  <c:v>160.53332984064485</c:v>
                </c:pt>
                <c:pt idx="1">
                  <c:v>137.27683923298457</c:v>
                </c:pt>
                <c:pt idx="2">
                  <c:v>128.854036379397</c:v>
                </c:pt>
                <c:pt idx="3">
                  <c:v>117.3520780502875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2-4F3C-BE9D-427E861B4B12}"/>
            </c:ext>
          </c:extLst>
        </c:ser>
        <c:ser>
          <c:idx val="4"/>
          <c:order val="4"/>
          <c:tx>
            <c:strRef>
              <c:f>'Commerce - AME'!$E$17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AME'!$H$17:$K$17</c:f>
              <c:numCache>
                <c:formatCode>#,##0</c:formatCode>
                <c:ptCount val="4"/>
                <c:pt idx="0">
                  <c:v>103.23138425216302</c:v>
                </c:pt>
                <c:pt idx="1">
                  <c:v>77.849087283310581</c:v>
                </c:pt>
                <c:pt idx="2">
                  <c:v>63.872194441213843</c:v>
                </c:pt>
                <c:pt idx="3">
                  <c:v>50.337196399193544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2-4F3C-BE9D-427E861B4B12}"/>
            </c:ext>
          </c:extLst>
        </c:ser>
        <c:ser>
          <c:idx val="5"/>
          <c:order val="5"/>
          <c:tx>
            <c:strRef>
              <c:f>'Commerce - AME'!$E$18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AME'!$H$18:$K$18</c:f>
              <c:numCache>
                <c:formatCode>#,##0</c:formatCode>
                <c:ptCount val="4"/>
                <c:pt idx="0">
                  <c:v>3378.6340135212163</c:v>
                </c:pt>
                <c:pt idx="1">
                  <c:v>3111.2646537067244</c:v>
                </c:pt>
                <c:pt idx="2">
                  <c:v>3041.9134010236116</c:v>
                </c:pt>
                <c:pt idx="3">
                  <c:v>2842.0449180024248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E2-4F3C-BE9D-427E861B4B12}"/>
            </c:ext>
          </c:extLst>
        </c:ser>
        <c:ser>
          <c:idx val="6"/>
          <c:order val="6"/>
          <c:tx>
            <c:strRef>
              <c:f>'Commerce - AME'!$E$19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AME'!$H$19:$K$19</c:f>
              <c:numCache>
                <c:formatCode>#,##0</c:formatCode>
                <c:ptCount val="4"/>
                <c:pt idx="0">
                  <c:v>961.63435268409216</c:v>
                </c:pt>
                <c:pt idx="1">
                  <c:v>1069.0762724489668</c:v>
                </c:pt>
                <c:pt idx="2">
                  <c:v>1148.5702150249494</c:v>
                </c:pt>
                <c:pt idx="3">
                  <c:v>1149.9450195108213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E2-4F3C-BE9D-427E861B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'Commerce - AME'!$E$8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'Commerce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'Commerce - AME'!$H$8:$K$8</c:f>
              <c:numCache>
                <c:formatCode>#,##0</c:formatCode>
                <c:ptCount val="4"/>
                <c:pt idx="0">
                  <c:v>0</c:v>
                </c:pt>
                <c:pt idx="1">
                  <c:v>10020.497600000001</c:v>
                </c:pt>
                <c:pt idx="2">
                  <c:v>9972.5980747882168</c:v>
                </c:pt>
                <c:pt idx="3">
                  <c:v>9893.4567010969913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3-4C5A-A908-E86654FB7120}"/>
            </c:ext>
          </c:extLst>
        </c:ser>
        <c:ser>
          <c:idx val="1"/>
          <c:order val="1"/>
          <c:tx>
            <c:strRef>
              <c:f>'Commerce - AME'!$E$9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'Commerce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'Commerce - AME'!$H$9:$K$9</c:f>
              <c:numCache>
                <c:formatCode>#,##0</c:formatCode>
                <c:ptCount val="4"/>
                <c:pt idx="0">
                  <c:v>215959</c:v>
                </c:pt>
                <c:pt idx="1">
                  <c:v>204906.18504629776</c:v>
                </c:pt>
                <c:pt idx="2">
                  <c:v>203248.45151781934</c:v>
                </c:pt>
                <c:pt idx="3">
                  <c:v>196776.17202410474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3-4C5A-A908-E86654FB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'Commerce - AME'!$E$107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AME'!$H$107:$K$107</c:f>
              <c:numCache>
                <c:formatCode>_-* #\ ##0_-;\-* #\ ##0_-;_-* "-"??_-;_-@_-</c:formatCode>
                <c:ptCount val="4"/>
                <c:pt idx="0" formatCode="0">
                  <c:v>897.04700671391709</c:v>
                </c:pt>
                <c:pt idx="1">
                  <c:v>409.53099741297558</c:v>
                </c:pt>
                <c:pt idx="2">
                  <c:v>239.13294514073522</c:v>
                </c:pt>
                <c:pt idx="3">
                  <c:v>101.94947869950924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A77-96D5-C3FF11AFAA6D}"/>
            </c:ext>
          </c:extLst>
        </c:ser>
        <c:ser>
          <c:idx val="1"/>
          <c:order val="1"/>
          <c:tx>
            <c:strRef>
              <c:f>'Commerce - AME'!$E$108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AME'!$H$108:$K$108</c:f>
              <c:numCache>
                <c:formatCode>_-* #\ ##0_-;\-* #\ ##0_-;_-* "-"??_-;_-@_-</c:formatCode>
                <c:ptCount val="4"/>
                <c:pt idx="0" formatCode="0">
                  <c:v>2051.2362143567871</c:v>
                </c:pt>
                <c:pt idx="1">
                  <c:v>1138.8949463536967</c:v>
                </c:pt>
                <c:pt idx="2">
                  <c:v>894.62289329076339</c:v>
                </c:pt>
                <c:pt idx="3">
                  <c:v>653.71561168096548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B-4A77-96D5-C3FF11AFAA6D}"/>
            </c:ext>
          </c:extLst>
        </c:ser>
        <c:ser>
          <c:idx val="2"/>
          <c:order val="2"/>
          <c:tx>
            <c:strRef>
              <c:f>'Commerce - AME'!$E$109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AME'!$H$109:$K$109</c:f>
              <c:numCache>
                <c:formatCode>_-* #\ ##0_-;\-* #\ ##0_-;_-* "-"??_-;_-@_-</c:formatCode>
                <c:ptCount val="4"/>
                <c:pt idx="0" formatCode="0">
                  <c:v>115.7925302121071</c:v>
                </c:pt>
                <c:pt idx="1">
                  <c:v>74.464291655115105</c:v>
                </c:pt>
                <c:pt idx="2">
                  <c:v>67.980607815937489</c:v>
                </c:pt>
                <c:pt idx="3">
                  <c:v>58.039098495589599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A77-96D5-C3FF11AFAA6D}"/>
            </c:ext>
          </c:extLst>
        </c:ser>
        <c:ser>
          <c:idx val="3"/>
          <c:order val="3"/>
          <c:tx>
            <c:strRef>
              <c:f>'Commerce - AME'!$E$110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AME'!$H$110:$K$110</c:f>
              <c:numCache>
                <c:formatCode>_-* #\ ##0_-;\-* #\ ##0_-;_-* "-"??_-;_-@_-</c:formatCode>
                <c:ptCount val="4"/>
                <c:pt idx="0" formatCode="0">
                  <c:v>39.731999135559604</c:v>
                </c:pt>
                <c:pt idx="1">
                  <c:v>24.741712588405512</c:v>
                </c:pt>
                <c:pt idx="2">
                  <c:v>21.935818344521291</c:v>
                </c:pt>
                <c:pt idx="3">
                  <c:v>18.233611599859415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A77-96D5-C3FF11AFAA6D}"/>
            </c:ext>
          </c:extLst>
        </c:ser>
        <c:ser>
          <c:idx val="4"/>
          <c:order val="4"/>
          <c:tx>
            <c:strRef>
              <c:f>'Commerce - AME'!$E$111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AME'!$H$111:$K$111</c:f>
              <c:numCache>
                <c:formatCode>_-* #\ ##0_-;\-* #\ ##0_-;_-* "-"??_-;_-@_-</c:formatCode>
                <c:ptCount val="4"/>
                <c:pt idx="0" formatCode="0">
                  <c:v>25.549767602410352</c:v>
                </c:pt>
                <c:pt idx="1">
                  <c:v>13.982230035320084</c:v>
                </c:pt>
                <c:pt idx="2">
                  <c:v>10.793421213159224</c:v>
                </c:pt>
                <c:pt idx="3">
                  <c:v>7.7195272362173535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A77-96D5-C3FF11AFAA6D}"/>
            </c:ext>
          </c:extLst>
        </c:ser>
        <c:ser>
          <c:idx val="5"/>
          <c:order val="5"/>
          <c:tx>
            <c:strRef>
              <c:f>'Commerce - AME'!$E$112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AME'!$H$112:$K$112</c:f>
              <c:numCache>
                <c:formatCode>_-* #\ ##0_-;\-* #\ ##0_-;_-* "-"??_-;_-@_-</c:formatCode>
                <c:ptCount val="4"/>
                <c:pt idx="0" formatCode="0">
                  <c:v>836.21191834650108</c:v>
                </c:pt>
                <c:pt idx="1">
                  <c:v>585.95406908013376</c:v>
                </c:pt>
                <c:pt idx="2">
                  <c:v>573.7429781557654</c:v>
                </c:pt>
                <c:pt idx="3">
                  <c:v>519.2784633667103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A77-96D5-C3FF11AFAA6D}"/>
            </c:ext>
          </c:extLst>
        </c:ser>
        <c:ser>
          <c:idx val="6"/>
          <c:order val="6"/>
          <c:tx>
            <c:strRef>
              <c:f>'Commerce - AME'!$E$113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AME'!$H$113:$K$113</c:f>
              <c:numCache>
                <c:formatCode>_-* #\ ##0_-;\-* #\ ##0_-;_-* "-"??_-;_-@_-</c:formatCode>
                <c:ptCount val="4"/>
                <c:pt idx="0" formatCode="0">
                  <c:v>238.00450228931282</c:v>
                </c:pt>
                <c:pt idx="1">
                  <c:v>193.88430342476457</c:v>
                </c:pt>
                <c:pt idx="2">
                  <c:v>209.87524698224178</c:v>
                </c:pt>
                <c:pt idx="3">
                  <c:v>204.11996202835107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A77-96D5-C3FF11AF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'Commerce - AME'!$E$118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AME'!$H$118:$K$118</c:f>
              <c:numCache>
                <c:formatCode>_-* #\ ##0_-;\-* #\ ##0_-;_-* "-"??_-;_-@_-</c:formatCode>
                <c:ptCount val="4"/>
                <c:pt idx="0">
                  <c:v>2727.3853436453437</c:v>
                </c:pt>
                <c:pt idx="1">
                  <c:v>1746.9395301173065</c:v>
                </c:pt>
                <c:pt idx="2">
                  <c:v>1049.7771718548477</c:v>
                </c:pt>
                <c:pt idx="3">
                  <c:v>479.03599924086564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4400-B605-5F1370D79AB9}"/>
            </c:ext>
          </c:extLst>
        </c:ser>
        <c:ser>
          <c:idx val="1"/>
          <c:order val="1"/>
          <c:tx>
            <c:strRef>
              <c:f>'Commerce - AME'!$E$119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AME'!$H$119:$K$119</c:f>
              <c:numCache>
                <c:formatCode>_-* #\ ##0_-;\-* #\ ##0_-;_-* "-"??_-;_-@_-</c:formatCode>
                <c:ptCount val="4"/>
                <c:pt idx="0">
                  <c:v>6236.5868739534626</c:v>
                </c:pt>
                <c:pt idx="1">
                  <c:v>4904.935396395711</c:v>
                </c:pt>
                <c:pt idx="2">
                  <c:v>4003.2691020498482</c:v>
                </c:pt>
                <c:pt idx="3">
                  <c:v>3161.1681430168787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2-4400-B605-5F1370D79AB9}"/>
            </c:ext>
          </c:extLst>
        </c:ser>
        <c:ser>
          <c:idx val="2"/>
          <c:order val="2"/>
          <c:tx>
            <c:strRef>
              <c:f>'Commerce - AME'!$E$120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AME'!$H$120:$K$120</c:f>
              <c:numCache>
                <c:formatCode>_-* #\ ##0_-;\-* #\ ##0_-;_-* "-"??_-;_-@_-</c:formatCode>
                <c:ptCount val="4"/>
                <c:pt idx="0">
                  <c:v>352.05607670549728</c:v>
                </c:pt>
                <c:pt idx="1">
                  <c:v>330.36311931975212</c:v>
                </c:pt>
                <c:pt idx="2">
                  <c:v>322.81043115499034</c:v>
                </c:pt>
                <c:pt idx="3">
                  <c:v>306.80399276816507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2-4400-B605-5F1370D79AB9}"/>
            </c:ext>
          </c:extLst>
        </c:ser>
        <c:ser>
          <c:idx val="3"/>
          <c:order val="3"/>
          <c:tx>
            <c:strRef>
              <c:f>'Commerce - AME'!$E$121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AME'!$H$121:$K$121</c:f>
              <c:numCache>
                <c:formatCode>_-* #\ ##0_-;\-* #\ ##0_-;_-* "-"??_-;_-@_-</c:formatCode>
                <c:ptCount val="4"/>
                <c:pt idx="0">
                  <c:v>120.80133070508525</c:v>
                </c:pt>
                <c:pt idx="1">
                  <c:v>109.76736857815735</c:v>
                </c:pt>
                <c:pt idx="2">
                  <c:v>104.16369027922045</c:v>
                </c:pt>
                <c:pt idx="3">
                  <c:v>96.3857983053596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2-4400-B605-5F1370D79AB9}"/>
            </c:ext>
          </c:extLst>
        </c:ser>
        <c:ser>
          <c:idx val="4"/>
          <c:order val="4"/>
          <c:tx>
            <c:strRef>
              <c:f>'Commerce - AME'!$E$122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AME'!$H$122:$K$122</c:f>
              <c:numCache>
                <c:formatCode>_-* #\ ##0_-;\-* #\ ##0_-;_-* "-"??_-;_-@_-</c:formatCode>
                <c:ptCount val="4"/>
                <c:pt idx="0">
                  <c:v>77.681616649752669</c:v>
                </c:pt>
                <c:pt idx="1">
                  <c:v>62.032593432954101</c:v>
                </c:pt>
                <c:pt idx="2">
                  <c:v>51.253277477176375</c:v>
                </c:pt>
                <c:pt idx="3">
                  <c:v>40.806660333189981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52-4400-B605-5F1370D79AB9}"/>
            </c:ext>
          </c:extLst>
        </c:ser>
        <c:ser>
          <c:idx val="5"/>
          <c:order val="5"/>
          <c:tx>
            <c:strRef>
              <c:f>'Commerce - AME'!$E$123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AME'!$H$123:$K$123</c:f>
              <c:numCache>
                <c:formatCode>_-* #\ ##0_-;\-* #\ ##0_-;_-* "-"??_-;_-@_-</c:formatCode>
                <c:ptCount val="4"/>
                <c:pt idx="0">
                  <c:v>2542.4220951747152</c:v>
                </c:pt>
                <c:pt idx="1">
                  <c:v>2422.4665139556769</c:v>
                </c:pt>
                <c:pt idx="2">
                  <c:v>2365.8179627289269</c:v>
                </c:pt>
                <c:pt idx="3">
                  <c:v>2221.2262516674264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52-4400-B605-5F1370D79AB9}"/>
            </c:ext>
          </c:extLst>
        </c:ser>
        <c:ser>
          <c:idx val="6"/>
          <c:order val="6"/>
          <c:tx>
            <c:strRef>
              <c:f>'Commerce - AME'!$E$124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'Commerce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AME'!$H$124:$K$124</c:f>
              <c:numCache>
                <c:formatCode>_-* #\ ##0_-;\-* #\ ##0_-;_-* "-"??_-;_-@_-</c:formatCode>
                <c:ptCount val="4"/>
                <c:pt idx="0">
                  <c:v>723.62985039477928</c:v>
                </c:pt>
                <c:pt idx="1">
                  <c:v>801.56151721148319</c:v>
                </c:pt>
                <c:pt idx="2">
                  <c:v>865.41648115466035</c:v>
                </c:pt>
                <c:pt idx="3">
                  <c:v>873.12810010868225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52-4400-B605-5F1370D7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'Enseignement - AME'!$E$13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AME'!$H$13:$K$13</c:f>
              <c:numCache>
                <c:formatCode>#,##0</c:formatCode>
                <c:ptCount val="4"/>
                <c:pt idx="0">
                  <c:v>3436.583147985104</c:v>
                </c:pt>
                <c:pt idx="1">
                  <c:v>2222.8219998647151</c:v>
                </c:pt>
                <c:pt idx="2">
                  <c:v>1602.5242110127806</c:v>
                </c:pt>
                <c:pt idx="3">
                  <c:v>1075.6317456410218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4-4CF8-AFDE-73568AC42734}"/>
            </c:ext>
          </c:extLst>
        </c:ser>
        <c:ser>
          <c:idx val="1"/>
          <c:order val="1"/>
          <c:tx>
            <c:strRef>
              <c:f>'Enseignement - AME'!$E$14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AME'!$H$14:$K$14</c:f>
              <c:numCache>
                <c:formatCode>#,##0</c:formatCode>
                <c:ptCount val="4"/>
                <c:pt idx="0">
                  <c:v>8441.0961266061222</c:v>
                </c:pt>
                <c:pt idx="1">
                  <c:v>6090.1909443031745</c:v>
                </c:pt>
                <c:pt idx="2">
                  <c:v>4970.8681626568005</c:v>
                </c:pt>
                <c:pt idx="3">
                  <c:v>3902.8682718950272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4-4CF8-AFDE-73568AC42734}"/>
            </c:ext>
          </c:extLst>
        </c:ser>
        <c:ser>
          <c:idx val="2"/>
          <c:order val="2"/>
          <c:tx>
            <c:strRef>
              <c:f>'Enseignement - AME'!$E$15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AME'!$H$15:$K$15</c:f>
              <c:numCache>
                <c:formatCode>#,##0</c:formatCode>
                <c:ptCount val="4"/>
                <c:pt idx="0">
                  <c:v>1402.1888657823201</c:v>
                </c:pt>
                <c:pt idx="1">
                  <c:v>1067.6705849259295</c:v>
                </c:pt>
                <c:pt idx="2">
                  <c:v>922.90314531647414</c:v>
                </c:pt>
                <c:pt idx="3">
                  <c:v>770.41993277938911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4-4CF8-AFDE-73568AC42734}"/>
            </c:ext>
          </c:extLst>
        </c:ser>
        <c:ser>
          <c:idx val="3"/>
          <c:order val="3"/>
          <c:tx>
            <c:strRef>
              <c:f>'Enseignement - AME'!$E$16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AME'!$H$16:$K$16</c:f>
              <c:numCache>
                <c:formatCode>#,##0</c:formatCode>
                <c:ptCount val="4"/>
                <c:pt idx="0">
                  <c:v>246.16510050277407</c:v>
                </c:pt>
                <c:pt idx="1">
                  <c:v>174.77386809494479</c:v>
                </c:pt>
                <c:pt idx="2">
                  <c:v>139.81082168362209</c:v>
                </c:pt>
                <c:pt idx="3">
                  <c:v>107.03807744699493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4-4CF8-AFDE-73568AC42734}"/>
            </c:ext>
          </c:extLst>
        </c:ser>
        <c:ser>
          <c:idx val="4"/>
          <c:order val="4"/>
          <c:tx>
            <c:strRef>
              <c:f>'Enseignement - AME'!$E$17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AME'!$H$17:$K$17</c:f>
              <c:numCache>
                <c:formatCode>#,##0</c:formatCode>
                <c:ptCount val="4"/>
                <c:pt idx="0">
                  <c:v>105.32458146020576</c:v>
                </c:pt>
                <c:pt idx="1">
                  <c:v>83.314917671983821</c:v>
                </c:pt>
                <c:pt idx="2">
                  <c:v>74.786949493306238</c:v>
                </c:pt>
                <c:pt idx="3">
                  <c:v>64.808295996053545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4-4CF8-AFDE-73568AC42734}"/>
            </c:ext>
          </c:extLst>
        </c:ser>
        <c:ser>
          <c:idx val="5"/>
          <c:order val="5"/>
          <c:tx>
            <c:strRef>
              <c:f>'Enseignement - AME'!$E$18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AME'!$H$18:$K$18</c:f>
              <c:numCache>
                <c:formatCode>#,##0</c:formatCode>
                <c:ptCount val="4"/>
                <c:pt idx="0">
                  <c:v>830.43191441660838</c:v>
                </c:pt>
                <c:pt idx="1">
                  <c:v>923.48537821967943</c:v>
                </c:pt>
                <c:pt idx="2">
                  <c:v>1036.1311031405571</c:v>
                </c:pt>
                <c:pt idx="3">
                  <c:v>1046.1736068386126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4-4CF8-AFDE-73568AC42734}"/>
            </c:ext>
          </c:extLst>
        </c:ser>
        <c:ser>
          <c:idx val="6"/>
          <c:order val="6"/>
          <c:tx>
            <c:strRef>
              <c:f>'Enseignement - AME'!$E$19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AME'!$H$19:$K$19</c:f>
              <c:numCache>
                <c:formatCode>#,##0</c:formatCode>
                <c:ptCount val="4"/>
                <c:pt idx="0">
                  <c:v>133.29396170895052</c:v>
                </c:pt>
                <c:pt idx="1">
                  <c:v>210.071076818515</c:v>
                </c:pt>
                <c:pt idx="2">
                  <c:v>255.29853653355531</c:v>
                </c:pt>
                <c:pt idx="3">
                  <c:v>270.56607253434271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C4-4CF8-AFDE-73568AC4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parc suivant le décret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Résultats!$A$82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Résultats!$B$82:$E$82</c:f>
              <c:numCache>
                <c:formatCode>#,##0</c:formatCode>
                <c:ptCount val="4"/>
                <c:pt idx="0">
                  <c:v>6863.5797130905457</c:v>
                </c:pt>
                <c:pt idx="1">
                  <c:v>3438.4610009541707</c:v>
                </c:pt>
                <c:pt idx="2">
                  <c:v>2351.3893735476622</c:v>
                </c:pt>
                <c:pt idx="3">
                  <c:v>1397.0218835842172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3-42CD-A851-C8AECE606C6E}"/>
            </c:ext>
          </c:extLst>
        </c:ser>
        <c:ser>
          <c:idx val="1"/>
          <c:order val="1"/>
          <c:tx>
            <c:strRef>
              <c:f>Résultats!$A$83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Résultats!$B$83:$E$83</c:f>
              <c:numCache>
                <c:formatCode>#,##0</c:formatCode>
                <c:ptCount val="4"/>
                <c:pt idx="0">
                  <c:v>19825.978931578247</c:v>
                </c:pt>
                <c:pt idx="1">
                  <c:v>11396.212848945199</c:v>
                </c:pt>
                <c:pt idx="2">
                  <c:v>9388.7760621023353</c:v>
                </c:pt>
                <c:pt idx="3">
                  <c:v>7430.1192519297292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3-42CD-A851-C8AECE606C6E}"/>
            </c:ext>
          </c:extLst>
        </c:ser>
        <c:ser>
          <c:idx val="2"/>
          <c:order val="2"/>
          <c:tx>
            <c:strRef>
              <c:f>Résultats!$A$84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Résultats!$B$84:$E$84</c:f>
              <c:numCache>
                <c:formatCode>#,##0</c:formatCode>
                <c:ptCount val="4"/>
                <c:pt idx="0">
                  <c:v>2968.6277399009405</c:v>
                </c:pt>
                <c:pt idx="1">
                  <c:v>2001.3910621560144</c:v>
                </c:pt>
                <c:pt idx="2">
                  <c:v>1922.4395345843725</c:v>
                </c:pt>
                <c:pt idx="3">
                  <c:v>1765.3381960806378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3-42CD-A851-C8AECE606C6E}"/>
            </c:ext>
          </c:extLst>
        </c:ser>
        <c:ser>
          <c:idx val="3"/>
          <c:order val="3"/>
          <c:tx>
            <c:strRef>
              <c:f>Résultats!$A$85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Résultats!$B$85:$E$85</c:f>
              <c:numCache>
                <c:formatCode>#,##0</c:formatCode>
                <c:ptCount val="4"/>
                <c:pt idx="0">
                  <c:v>477.91328367817113</c:v>
                </c:pt>
                <c:pt idx="1">
                  <c:v>293.15698059550959</c:v>
                </c:pt>
                <c:pt idx="2">
                  <c:v>261.09191548120515</c:v>
                </c:pt>
                <c:pt idx="3">
                  <c:v>227.89812230121674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3-42CD-A851-C8AECE606C6E}"/>
            </c:ext>
          </c:extLst>
        </c:ser>
        <c:ser>
          <c:idx val="4"/>
          <c:order val="4"/>
          <c:tx>
            <c:strRef>
              <c:f>Résultats!$A$86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Résultats!$B$86:$E$86</c:f>
              <c:numCache>
                <c:formatCode>#,##0</c:formatCode>
                <c:ptCount val="4"/>
                <c:pt idx="0">
                  <c:v>360.60863125060348</c:v>
                </c:pt>
                <c:pt idx="1">
                  <c:v>229.26608046317983</c:v>
                </c:pt>
                <c:pt idx="2">
                  <c:v>208.8809615088752</c:v>
                </c:pt>
                <c:pt idx="3">
                  <c:v>181.19034014892404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3-42CD-A851-C8AECE606C6E}"/>
            </c:ext>
          </c:extLst>
        </c:ser>
        <c:ser>
          <c:idx val="5"/>
          <c:order val="5"/>
          <c:tx>
            <c:strRef>
              <c:f>Résultats!$A$87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Résultats!$B$87:$E$87</c:f>
              <c:numCache>
                <c:formatCode>#,##0</c:formatCode>
                <c:ptCount val="4"/>
                <c:pt idx="0">
                  <c:v>5230.5202588625125</c:v>
                </c:pt>
                <c:pt idx="1">
                  <c:v>3630.8992121916262</c:v>
                </c:pt>
                <c:pt idx="2">
                  <c:v>3579.5704696731932</c:v>
                </c:pt>
                <c:pt idx="3">
                  <c:v>3376.9591156950601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3-42CD-A851-C8AECE606C6E}"/>
            </c:ext>
          </c:extLst>
        </c:ser>
        <c:ser>
          <c:idx val="6"/>
          <c:order val="6"/>
          <c:tx>
            <c:strRef>
              <c:f>Résultats!$A$88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Résultats!$B$88:$E$88</c:f>
              <c:numCache>
                <c:formatCode>#,##0</c:formatCode>
                <c:ptCount val="4"/>
                <c:pt idx="0">
                  <c:v>988.6563401904798</c:v>
                </c:pt>
                <c:pt idx="1">
                  <c:v>877.80747469050004</c:v>
                </c:pt>
                <c:pt idx="2">
                  <c:v>997.88937802746398</c:v>
                </c:pt>
                <c:pt idx="3">
                  <c:v>1021.0923467085569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3-42CD-A851-C8AECE60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'Enseignement - AME'!$E$8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'Enseignement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'Enseignement - AME'!$H$8:$K$8</c:f>
              <c:numCache>
                <c:formatCode>#,##0</c:formatCode>
                <c:ptCount val="4"/>
                <c:pt idx="0">
                  <c:v>0</c:v>
                </c:pt>
                <c:pt idx="1">
                  <c:v>3840.2979556716878</c:v>
                </c:pt>
                <c:pt idx="2">
                  <c:v>3746.0672444943634</c:v>
                </c:pt>
                <c:pt idx="3">
                  <c:v>3638.5091063100158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D-4909-BEAE-6B72B0F921F6}"/>
            </c:ext>
          </c:extLst>
        </c:ser>
        <c:ser>
          <c:idx val="1"/>
          <c:order val="1"/>
          <c:tx>
            <c:strRef>
              <c:f>'Enseignement - AME'!$E$9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'Enseignement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'Enseignement - AME'!$H$9:$K$9</c:f>
              <c:numCache>
                <c:formatCode>#,##0</c:formatCode>
                <c:ptCount val="4"/>
                <c:pt idx="0">
                  <c:v>190850</c:v>
                </c:pt>
                <c:pt idx="1">
                  <c:v>182326.74998285295</c:v>
                </c:pt>
                <c:pt idx="2">
                  <c:v>177075.69996075644</c:v>
                </c:pt>
                <c:pt idx="3">
                  <c:v>167746.0195205627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D-4909-BEAE-6B72B0F9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'Enseignement - AME'!$E$107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AME'!$H$107:$K$107</c:f>
              <c:numCache>
                <c:formatCode>_-* #\ ##0_-;\-* #\ ##0_-;_-* "-"??_-;_-@_-</c:formatCode>
                <c:ptCount val="4"/>
                <c:pt idx="0" formatCode="0">
                  <c:v>1450.324003028413</c:v>
                </c:pt>
                <c:pt idx="1">
                  <c:v>752.27597109331271</c:v>
                </c:pt>
                <c:pt idx="2">
                  <c:v>527.10433932790943</c:v>
                </c:pt>
                <c:pt idx="3">
                  <c:v>334.11762207627839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6-4AB2-9DC1-1461592A7D6E}"/>
            </c:ext>
          </c:extLst>
        </c:ser>
        <c:ser>
          <c:idx val="1"/>
          <c:order val="1"/>
          <c:tx>
            <c:strRef>
              <c:f>'Enseignement - AME'!$E$108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AME'!$H$108:$K$108</c:f>
              <c:numCache>
                <c:formatCode>_-* #\ ##0_-;\-* #\ ##0_-;_-* "-"??_-;_-@_-</c:formatCode>
                <c:ptCount val="4"/>
                <c:pt idx="0" formatCode="0">
                  <c:v>3562.3535928309479</c:v>
                </c:pt>
                <c:pt idx="1">
                  <c:v>2030.6854988390019</c:v>
                </c:pt>
                <c:pt idx="2">
                  <c:v>1598.6851318109384</c:v>
                </c:pt>
                <c:pt idx="3">
                  <c:v>1175.7335564602165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6-4AB2-9DC1-1461592A7D6E}"/>
            </c:ext>
          </c:extLst>
        </c:ser>
        <c:ser>
          <c:idx val="2"/>
          <c:order val="2"/>
          <c:tx>
            <c:strRef>
              <c:f>'Enseignement - AME'!$E$109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AME'!$H$109:$K$109</c:f>
              <c:numCache>
                <c:formatCode>_-* #\ ##0_-;\-* #\ ##0_-;_-* "-"??_-;_-@_-</c:formatCode>
                <c:ptCount val="4"/>
                <c:pt idx="0" formatCode="0">
                  <c:v>591.75875608178353</c:v>
                </c:pt>
                <c:pt idx="1">
                  <c:v>349.42106065388475</c:v>
                </c:pt>
                <c:pt idx="2">
                  <c:v>285.66553213548013</c:v>
                </c:pt>
                <c:pt idx="3">
                  <c:v>218.78414370514045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6-4AB2-9DC1-1461592A7D6E}"/>
            </c:ext>
          </c:extLst>
        </c:ser>
        <c:ser>
          <c:idx val="3"/>
          <c:order val="3"/>
          <c:tx>
            <c:strRef>
              <c:f>'Enseignement - AME'!$E$110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AME'!$H$110:$K$110</c:f>
              <c:numCache>
                <c:formatCode>_-* #\ ##0_-;\-* #\ ##0_-;_-* "-"??_-;_-@_-</c:formatCode>
                <c:ptCount val="4"/>
                <c:pt idx="0" formatCode="0">
                  <c:v>103.88782653968322</c:v>
                </c:pt>
                <c:pt idx="1">
                  <c:v>57.155784470854123</c:v>
                </c:pt>
                <c:pt idx="2">
                  <c:v>43.190918165495404</c:v>
                </c:pt>
                <c:pt idx="3">
                  <c:v>30.280076688719394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6-4AB2-9DC1-1461592A7D6E}"/>
            </c:ext>
          </c:extLst>
        </c:ser>
        <c:ser>
          <c:idx val="4"/>
          <c:order val="4"/>
          <c:tx>
            <c:strRef>
              <c:f>'Enseignement - AME'!$E$111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AME'!$H$111:$K$111</c:f>
              <c:numCache>
                <c:formatCode>_-* #\ ##0_-;\-* #\ ##0_-;_-* "-"??_-;_-@_-</c:formatCode>
                <c:ptCount val="4"/>
                <c:pt idx="0" formatCode="0">
                  <c:v>44.449606490743328</c:v>
                </c:pt>
                <c:pt idx="1">
                  <c:v>27.275643793943598</c:v>
                </c:pt>
                <c:pt idx="2">
                  <c:v>23.16788715751273</c:v>
                </c:pt>
                <c:pt idx="3">
                  <c:v>18.431469551289823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6-4AB2-9DC1-1461592A7D6E}"/>
            </c:ext>
          </c:extLst>
        </c:ser>
        <c:ser>
          <c:idx val="5"/>
          <c:order val="5"/>
          <c:tx>
            <c:strRef>
              <c:f>'Enseignement - AME'!$E$112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AME'!$H$112:$K$112</c:f>
              <c:numCache>
                <c:formatCode>_-* #\ ##0_-;\-* #\ ##0_-;_-* "-"??_-;_-@_-</c:formatCode>
                <c:ptCount val="4"/>
                <c:pt idx="0" formatCode="0">
                  <c:v>350.46302868166907</c:v>
                </c:pt>
                <c:pt idx="1">
                  <c:v>319.65550829526683</c:v>
                </c:pt>
                <c:pt idx="2">
                  <c:v>356.50792047941337</c:v>
                </c:pt>
                <c:pt idx="3">
                  <c:v>348.36978868037079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6-4AB2-9DC1-1461592A7D6E}"/>
            </c:ext>
          </c:extLst>
        </c:ser>
        <c:ser>
          <c:idx val="6"/>
          <c:order val="6"/>
          <c:tx>
            <c:strRef>
              <c:f>'Enseignement - AME'!$E$113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AME'!$H$113:$K$113</c:f>
              <c:numCache>
                <c:formatCode>_-* #\ ##0_-;\-* #\ ##0_-;_-* "-"??_-;_-@_-</c:formatCode>
                <c:ptCount val="4"/>
                <c:pt idx="0" formatCode="0">
                  <c:v>56.253384190219833</c:v>
                </c:pt>
                <c:pt idx="1">
                  <c:v>65.573029504361116</c:v>
                </c:pt>
                <c:pt idx="2">
                  <c:v>80.930679226775524</c:v>
                </c:pt>
                <c:pt idx="3">
                  <c:v>83.607321222495955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6-4AB2-9DC1-1461592A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'Enseignement - AME'!$E$118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AME'!$H$118:$K$118</c:f>
              <c:numCache>
                <c:formatCode>_-* #\ ##0_-;\-* #\ ##0_-;_-* "-"??_-;_-@_-</c:formatCode>
                <c:ptCount val="4"/>
                <c:pt idx="0">
                  <c:v>1986.2591449566908</c:v>
                </c:pt>
                <c:pt idx="1">
                  <c:v>1461.9994212376453</c:v>
                </c:pt>
                <c:pt idx="2">
                  <c:v>1067.0829751983704</c:v>
                </c:pt>
                <c:pt idx="3">
                  <c:v>733.41659839909664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1-48FC-9D73-AF3D2C80CF1C}"/>
            </c:ext>
          </c:extLst>
        </c:ser>
        <c:ser>
          <c:idx val="1"/>
          <c:order val="1"/>
          <c:tx>
            <c:strRef>
              <c:f>'Enseignement - AME'!$E$119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AME'!$H$119:$K$119</c:f>
              <c:numCache>
                <c:formatCode>_-* #\ ##0_-;\-* #\ ##0_-;_-* "-"??_-;_-@_-</c:formatCode>
                <c:ptCount val="4"/>
                <c:pt idx="0">
                  <c:v>4878.7425337751747</c:v>
                </c:pt>
                <c:pt idx="1">
                  <c:v>3984.4759596416861</c:v>
                </c:pt>
                <c:pt idx="2">
                  <c:v>3298.9945693110567</c:v>
                </c:pt>
                <c:pt idx="3">
                  <c:v>2656.0476616285582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1-48FC-9D73-AF3D2C80CF1C}"/>
            </c:ext>
          </c:extLst>
        </c:ser>
        <c:ser>
          <c:idx val="2"/>
          <c:order val="2"/>
          <c:tx>
            <c:strRef>
              <c:f>'Enseignement - AME'!$E$120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AME'!$H$120:$K$120</c:f>
              <c:numCache>
                <c:formatCode>_-* #\ ##0_-;\-* #\ ##0_-;_-* "-"??_-;_-@_-</c:formatCode>
                <c:ptCount val="4"/>
                <c:pt idx="0">
                  <c:v>810.4301097005366</c:v>
                </c:pt>
                <c:pt idx="1">
                  <c:v>706.27118956648383</c:v>
                </c:pt>
                <c:pt idx="2">
                  <c:v>625.55319499208201</c:v>
                </c:pt>
                <c:pt idx="3">
                  <c:v>540.28685719248028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1-48FC-9D73-AF3D2C80CF1C}"/>
            </c:ext>
          </c:extLst>
        </c:ser>
        <c:ser>
          <c:idx val="3"/>
          <c:order val="3"/>
          <c:tx>
            <c:strRef>
              <c:f>'Enseignement - AME'!$E$121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AME'!$H$121:$K$121</c:f>
              <c:numCache>
                <c:formatCode>_-* #\ ##0_-;\-* #\ ##0_-;_-* "-"??_-;_-@_-</c:formatCode>
                <c:ptCount val="4"/>
                <c:pt idx="0">
                  <c:v>142.27727396309086</c:v>
                </c:pt>
                <c:pt idx="1">
                  <c:v>115.52676250622821</c:v>
                </c:pt>
                <c:pt idx="2">
                  <c:v>94.579897865499248</c:v>
                </c:pt>
                <c:pt idx="3">
                  <c:v>74.776568322721175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1-48FC-9D73-AF3D2C80CF1C}"/>
            </c:ext>
          </c:extLst>
        </c:ser>
        <c:ser>
          <c:idx val="4"/>
          <c:order val="4"/>
          <c:tx>
            <c:strRef>
              <c:f>'Enseignement - AME'!$E$122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AME'!$H$122:$K$122</c:f>
              <c:numCache>
                <c:formatCode>_-* #\ ##0_-;\-* #\ ##0_-;_-* "-"??_-;_-@_-</c:formatCode>
                <c:ptCount val="4"/>
                <c:pt idx="0">
                  <c:v>60.874974969462436</c:v>
                </c:pt>
                <c:pt idx="1">
                  <c:v>55.13119716507866</c:v>
                </c:pt>
                <c:pt idx="2">
                  <c:v>50.733267413321542</c:v>
                </c:pt>
                <c:pt idx="3">
                  <c:v>45.516464715679916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1-48FC-9D73-AF3D2C80CF1C}"/>
            </c:ext>
          </c:extLst>
        </c:ser>
        <c:ser>
          <c:idx val="5"/>
          <c:order val="5"/>
          <c:tx>
            <c:strRef>
              <c:f>'Enseignement - AME'!$E$123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AME'!$H$123:$K$123</c:f>
              <c:numCache>
                <c:formatCode>_-* #\ ##0_-;\-* #\ ##0_-;_-* "-"??_-;_-@_-</c:formatCode>
                <c:ptCount val="4"/>
                <c:pt idx="0">
                  <c:v>479.96888573493931</c:v>
                </c:pt>
                <c:pt idx="1">
                  <c:v>602.08154874253421</c:v>
                </c:pt>
                <c:pt idx="2">
                  <c:v>677.9177606371527</c:v>
                </c:pt>
                <c:pt idx="3">
                  <c:v>696.14736269190917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1-48FC-9D73-AF3D2C80CF1C}"/>
            </c:ext>
          </c:extLst>
        </c:ser>
        <c:ser>
          <c:idx val="6"/>
          <c:order val="6"/>
          <c:tx>
            <c:strRef>
              <c:f>'Enseignement - AME'!$E$124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'Enseignement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AME'!$H$124:$K$124</c:f>
              <c:numCache>
                <c:formatCode>_-* #\ ##0_-;\-* #\ ##0_-;_-* "-"??_-;_-@_-</c:formatCode>
                <c:ptCount val="4"/>
                <c:pt idx="0">
                  <c:v>77.040577518730686</c:v>
                </c:pt>
                <c:pt idx="1">
                  <c:v>123.50893425949513</c:v>
                </c:pt>
                <c:pt idx="2">
                  <c:v>153.89376133489733</c:v>
                </c:pt>
                <c:pt idx="3">
                  <c:v>167.07251335211819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01-48FC-9D73-AF3D2C80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'Hab. com. - AME'!$E$13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AME'!$H$13:$K$13</c:f>
              <c:numCache>
                <c:formatCode>#,##0</c:formatCode>
                <c:ptCount val="4"/>
                <c:pt idx="0">
                  <c:v>1843.8368</c:v>
                </c:pt>
                <c:pt idx="1">
                  <c:v>1356.591617460489</c:v>
                </c:pt>
                <c:pt idx="2">
                  <c:v>1120.1971472449666</c:v>
                </c:pt>
                <c:pt idx="3">
                  <c:v>859.72893757031011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2-47A4-A2AB-6F5D801C3AE7}"/>
            </c:ext>
          </c:extLst>
        </c:ser>
        <c:ser>
          <c:idx val="1"/>
          <c:order val="1"/>
          <c:tx>
            <c:strRef>
              <c:f>'Hab. com. - AME'!$E$14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AME'!$H$14:$K$14</c:f>
              <c:numCache>
                <c:formatCode>#,##0</c:formatCode>
                <c:ptCount val="4"/>
                <c:pt idx="0">
                  <c:v>3665.8959999999997</c:v>
                </c:pt>
                <c:pt idx="1">
                  <c:v>3203.8185447183646</c:v>
                </c:pt>
                <c:pt idx="2">
                  <c:v>3143.1475646701028</c:v>
                </c:pt>
                <c:pt idx="3">
                  <c:v>2965.1203819505367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2-47A4-A2AB-6F5D801C3AE7}"/>
            </c:ext>
          </c:extLst>
        </c:ser>
        <c:ser>
          <c:idx val="2"/>
          <c:order val="2"/>
          <c:tx>
            <c:strRef>
              <c:f>'Hab. com. - AME'!$E$15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AME'!$H$15:$K$15</c:f>
              <c:numCache>
                <c:formatCode>#,##0</c:formatCode>
                <c:ptCount val="4"/>
                <c:pt idx="0">
                  <c:v>217.77599999999995</c:v>
                </c:pt>
                <c:pt idx="1">
                  <c:v>216.09122506427667</c:v>
                </c:pt>
                <c:pt idx="2">
                  <c:v>237.64106700875459</c:v>
                </c:pt>
                <c:pt idx="3">
                  <c:v>249.68696132453832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2-47A4-A2AB-6F5D801C3AE7}"/>
            </c:ext>
          </c:extLst>
        </c:ser>
        <c:ser>
          <c:idx val="3"/>
          <c:order val="3"/>
          <c:tx>
            <c:strRef>
              <c:f>'Hab. com. - AME'!$E$16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AME'!$H$16:$K$16</c:f>
              <c:numCache>
                <c:formatCode>#,##0</c:formatCode>
                <c:ptCount val="4"/>
                <c:pt idx="0">
                  <c:v>36.295999999999999</c:v>
                </c:pt>
                <c:pt idx="1">
                  <c:v>32.464647106080861</c:v>
                </c:pt>
                <c:pt idx="2">
                  <c:v>32.543512405282137</c:v>
                </c:pt>
                <c:pt idx="3">
                  <c:v>31.416212002331349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2-47A4-A2AB-6F5D801C3AE7}"/>
            </c:ext>
          </c:extLst>
        </c:ser>
        <c:ser>
          <c:idx val="4"/>
          <c:order val="4"/>
          <c:tx>
            <c:strRef>
              <c:f>'Hab. com. - AME'!$E$17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AME'!$H$17:$K$17</c:f>
              <c:numCache>
                <c:formatCode>#,##0</c:formatCode>
                <c:ptCount val="4"/>
                <c:pt idx="0">
                  <c:v>108.88799999999998</c:v>
                </c:pt>
                <c:pt idx="1">
                  <c:v>74.057042229354209</c:v>
                </c:pt>
                <c:pt idx="2">
                  <c:v>53.266886056588604</c:v>
                </c:pt>
                <c:pt idx="3">
                  <c:v>31.132243478358717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82-47A4-A2AB-6F5D801C3AE7}"/>
            </c:ext>
          </c:extLst>
        </c:ser>
        <c:ser>
          <c:idx val="5"/>
          <c:order val="5"/>
          <c:tx>
            <c:strRef>
              <c:f>'Hab. com. - AME'!$E$18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AME'!$H$18:$K$18</c:f>
              <c:numCache>
                <c:formatCode>#,##0</c:formatCode>
                <c:ptCount val="4"/>
                <c:pt idx="0">
                  <c:v>999.59184000000005</c:v>
                </c:pt>
                <c:pt idx="1">
                  <c:v>922.29034013060584</c:v>
                </c:pt>
                <c:pt idx="2">
                  <c:v>970.65965872177981</c:v>
                </c:pt>
                <c:pt idx="3">
                  <c:v>970.8783354247339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82-47A4-A2AB-6F5D801C3AE7}"/>
            </c:ext>
          </c:extLst>
        </c:ser>
        <c:ser>
          <c:idx val="6"/>
          <c:order val="6"/>
          <c:tx>
            <c:strRef>
              <c:f>'Hab. com. - AME'!$E$19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AME'!$H$19:$K$19</c:f>
              <c:numCache>
                <c:formatCode>#,##0</c:formatCode>
                <c:ptCount val="4"/>
                <c:pt idx="0">
                  <c:v>97.999199999999973</c:v>
                </c:pt>
                <c:pt idx="1">
                  <c:v>115.67960342066006</c:v>
                </c:pt>
                <c:pt idx="2">
                  <c:v>127.64079156133455</c:v>
                </c:pt>
                <c:pt idx="3">
                  <c:v>133.13535768504175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82-47A4-A2AB-6F5D801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'Hab. com. - AME'!$E$8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'Hab. com.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'Hab. com. - AME'!$H$8:$K$8</c:f>
              <c:numCache>
                <c:formatCode>#,##0</c:formatCode>
                <c:ptCount val="4"/>
                <c:pt idx="0">
                  <c:v>0</c:v>
                </c:pt>
                <c:pt idx="1">
                  <c:v>3840.2979556716878</c:v>
                </c:pt>
                <c:pt idx="2">
                  <c:v>3746.0672444943634</c:v>
                </c:pt>
                <c:pt idx="3">
                  <c:v>3638.5091063100158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1-4E07-8ACC-FA162D2144C3}"/>
            </c:ext>
          </c:extLst>
        </c:ser>
        <c:ser>
          <c:idx val="1"/>
          <c:order val="1"/>
          <c:tx>
            <c:strRef>
              <c:f>'Hab. com. - AME'!$E$9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'Hab. com.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'Hab. com. - AME'!$H$9:$K$9</c:f>
              <c:numCache>
                <c:formatCode>#,##0</c:formatCode>
                <c:ptCount val="4"/>
                <c:pt idx="0">
                  <c:v>72592</c:v>
                </c:pt>
                <c:pt idx="1">
                  <c:v>77024.433528571317</c:v>
                </c:pt>
                <c:pt idx="2">
                  <c:v>85427.356459798117</c:v>
                </c:pt>
                <c:pt idx="3">
                  <c:v>91884.954014182775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1-4E07-8ACC-FA162D21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'Hab. com. - AME'!$E$107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AME'!$H$107:$K$107</c:f>
              <c:numCache>
                <c:formatCode>_-* #\ ##0_-;\-* #\ ##0_-;_-* "-"??_-;_-@_-</c:formatCode>
                <c:ptCount val="4"/>
                <c:pt idx="0" formatCode="0">
                  <c:v>671.1565952000002</c:v>
                </c:pt>
                <c:pt idx="1">
                  <c:v>383.65989343733179</c:v>
                </c:pt>
                <c:pt idx="2">
                  <c:v>304.77006514734342</c:v>
                </c:pt>
                <c:pt idx="3">
                  <c:v>218.0001265003404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F-4E0E-B67A-C0A56F7326FB}"/>
            </c:ext>
          </c:extLst>
        </c:ser>
        <c:ser>
          <c:idx val="1"/>
          <c:order val="1"/>
          <c:tx>
            <c:strRef>
              <c:f>'Hab. com. - AME'!$E$108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AME'!$H$108:$K$108</c:f>
              <c:numCache>
                <c:formatCode>_-* #\ ##0_-;\-* #\ ##0_-;_-* "-"??_-;_-@_-</c:formatCode>
                <c:ptCount val="4"/>
                <c:pt idx="0" formatCode="0">
                  <c:v>1334.3861440000003</c:v>
                </c:pt>
                <c:pt idx="1">
                  <c:v>880.14042785820368</c:v>
                </c:pt>
                <c:pt idx="2">
                  <c:v>826.28247798537097</c:v>
                </c:pt>
                <c:pt idx="3">
                  <c:v>722.37574726162677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F-4E0E-B67A-C0A56F7326FB}"/>
            </c:ext>
          </c:extLst>
        </c:ser>
        <c:ser>
          <c:idx val="2"/>
          <c:order val="2"/>
          <c:tx>
            <c:strRef>
              <c:f>'Hab. com. - AME'!$E$109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AME'!$H$109:$K$109</c:f>
              <c:numCache>
                <c:formatCode>_-* #\ ##0_-;\-* #\ ##0_-;_-* "-"??_-;_-@_-</c:formatCode>
                <c:ptCount val="4"/>
                <c:pt idx="0" formatCode="0">
                  <c:v>79.270464000000004</c:v>
                </c:pt>
                <c:pt idx="1">
                  <c:v>58.095077746416074</c:v>
                </c:pt>
                <c:pt idx="2">
                  <c:v>59.994107312469175</c:v>
                </c:pt>
                <c:pt idx="3">
                  <c:v>57.217880971217959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F-4E0E-B67A-C0A56F7326FB}"/>
            </c:ext>
          </c:extLst>
        </c:ser>
        <c:ser>
          <c:idx val="3"/>
          <c:order val="3"/>
          <c:tx>
            <c:strRef>
              <c:f>'Hab. com. - AME'!$E$110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AME'!$H$110:$K$110</c:f>
              <c:numCache>
                <c:formatCode>_-* #\ ##0_-;\-* #\ ##0_-;_-* "-"??_-;_-@_-</c:formatCode>
                <c:ptCount val="4"/>
                <c:pt idx="0" formatCode="0">
                  <c:v>13.211744000000003</c:v>
                </c:pt>
                <c:pt idx="1">
                  <c:v>8.7142616619624107</c:v>
                </c:pt>
                <c:pt idx="2">
                  <c:v>8.1810146335185223</c:v>
                </c:pt>
                <c:pt idx="3">
                  <c:v>7.1522351214022448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F-4E0E-B67A-C0A56F7326FB}"/>
            </c:ext>
          </c:extLst>
        </c:ser>
        <c:ser>
          <c:idx val="4"/>
          <c:order val="4"/>
          <c:tx>
            <c:strRef>
              <c:f>'Hab. com. - AME'!$E$111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AME'!$H$111:$K$111</c:f>
              <c:numCache>
                <c:formatCode>_-* #\ ##0_-;\-* #\ ##0_-;_-* "-"??_-;_-@_-</c:formatCode>
                <c:ptCount val="4"/>
                <c:pt idx="0" formatCode="0">
                  <c:v>39.635232000000002</c:v>
                </c:pt>
                <c:pt idx="1">
                  <c:v>20.33327721124563</c:v>
                </c:pt>
                <c:pt idx="2">
                  <c:v>13.635024389197543</c:v>
                </c:pt>
                <c:pt idx="3">
                  <c:v>7.1522351214022448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EF-4E0E-B67A-C0A56F7326FB}"/>
            </c:ext>
          </c:extLst>
        </c:ser>
        <c:ser>
          <c:idx val="5"/>
          <c:order val="5"/>
          <c:tx>
            <c:strRef>
              <c:f>'Hab. com. - AME'!$E$112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AME'!$H$112:$K$112</c:f>
              <c:numCache>
                <c:formatCode>_-* #\ ##0_-;\-* #\ ##0_-;_-* "-"??_-;_-@_-</c:formatCode>
                <c:ptCount val="4"/>
                <c:pt idx="0" formatCode="0">
                  <c:v>363.85142976000009</c:v>
                </c:pt>
                <c:pt idx="1">
                  <c:v>268.22497395520304</c:v>
                </c:pt>
                <c:pt idx="2">
                  <c:v>278.31811783230017</c:v>
                </c:pt>
                <c:pt idx="3">
                  <c:v>266.49228062344764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EF-4E0E-B67A-C0A56F7326FB}"/>
            </c:ext>
          </c:extLst>
        </c:ser>
        <c:ser>
          <c:idx val="6"/>
          <c:order val="6"/>
          <c:tx>
            <c:strRef>
              <c:f>'Hab. com. - AME'!$E$113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AME'!$H$113:$K$113</c:f>
              <c:numCache>
                <c:formatCode>_-* #\ ##0_-;\-* #\ ##0_-;_-* "-"??_-;_-@_-</c:formatCode>
                <c:ptCount val="4"/>
                <c:pt idx="0" formatCode="0">
                  <c:v>35.671708799999998</c:v>
                </c:pt>
                <c:pt idx="1">
                  <c:v>28.757063484475957</c:v>
                </c:pt>
                <c:pt idx="2">
                  <c:v>31.905957070722245</c:v>
                </c:pt>
                <c:pt idx="3">
                  <c:v>32.185058046310097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EF-4E0E-B67A-C0A56F73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'Hab. com. - AME'!$E$118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AME'!$H$118:$K$118</c:f>
              <c:numCache>
                <c:formatCode>_-* #\ ##0_-;\-* #\ ##0_-;_-* "-"??_-;_-@_-</c:formatCode>
                <c:ptCount val="4"/>
                <c:pt idx="0">
                  <c:v>1172.6802048</c:v>
                </c:pt>
                <c:pt idx="1">
                  <c:v>961.12863341271952</c:v>
                </c:pt>
                <c:pt idx="2">
                  <c:v>803.91360797922607</c:v>
                </c:pt>
                <c:pt idx="3">
                  <c:v>630.54591506439976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0-40A8-926A-BD6C6BC6D64C}"/>
            </c:ext>
          </c:extLst>
        </c:ser>
        <c:ser>
          <c:idx val="1"/>
          <c:order val="1"/>
          <c:tx>
            <c:strRef>
              <c:f>'Hab. com. - AME'!$E$119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AME'!$H$119:$K$119</c:f>
              <c:numCache>
                <c:formatCode>_-* #\ ##0_-;\-* #\ ##0_-;_-* "-"??_-;_-@_-</c:formatCode>
                <c:ptCount val="4"/>
                <c:pt idx="0">
                  <c:v>2331.5098559999997</c:v>
                </c:pt>
                <c:pt idx="1">
                  <c:v>2226.1048536748931</c:v>
                </c:pt>
                <c:pt idx="2">
                  <c:v>2221.6860122025205</c:v>
                </c:pt>
                <c:pt idx="3">
                  <c:v>2150.2983686100879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0-40A8-926A-BD6C6BC6D64C}"/>
            </c:ext>
          </c:extLst>
        </c:ser>
        <c:ser>
          <c:idx val="2"/>
          <c:order val="2"/>
          <c:tx>
            <c:strRef>
              <c:f>'Hab. com. - AME'!$E$120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AME'!$H$120:$K$120</c:f>
              <c:numCache>
                <c:formatCode>_-* #\ ##0_-;\-* #\ ##0_-;_-* "-"??_-;_-@_-</c:formatCode>
                <c:ptCount val="4"/>
                <c:pt idx="0">
                  <c:v>138.50553599999995</c:v>
                </c:pt>
                <c:pt idx="1">
                  <c:v>151.36548384324936</c:v>
                </c:pt>
                <c:pt idx="2">
                  <c:v>171.17899509087712</c:v>
                </c:pt>
                <c:pt idx="3">
                  <c:v>186.18682577002187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0-40A8-926A-BD6C6BC6D64C}"/>
            </c:ext>
          </c:extLst>
        </c:ser>
        <c:ser>
          <c:idx val="3"/>
          <c:order val="3"/>
          <c:tx>
            <c:strRef>
              <c:f>'Hab. com. - AME'!$E$121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AME'!$H$121:$K$121</c:f>
              <c:numCache>
                <c:formatCode>_-* #\ ##0_-;\-* #\ ##0_-;_-* "-"??_-;_-@_-</c:formatCode>
                <c:ptCount val="4"/>
                <c:pt idx="0">
                  <c:v>23.084255999999996</c:v>
                </c:pt>
                <c:pt idx="1">
                  <c:v>22.704822576487409</c:v>
                </c:pt>
                <c:pt idx="2">
                  <c:v>23.342590239665057</c:v>
                </c:pt>
                <c:pt idx="3">
                  <c:v>23.273353221252734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0-40A8-926A-BD6C6BC6D64C}"/>
            </c:ext>
          </c:extLst>
        </c:ser>
        <c:ser>
          <c:idx val="4"/>
          <c:order val="4"/>
          <c:tx>
            <c:strRef>
              <c:f>'Hab. com. - AME'!$E$122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AME'!$H$122:$K$122</c:f>
              <c:numCache>
                <c:formatCode>_-* #\ ##0_-;\-* #\ ##0_-;_-* "-"??_-;_-@_-</c:formatCode>
                <c:ptCount val="4"/>
                <c:pt idx="0">
                  <c:v>69.252767999999975</c:v>
                </c:pt>
                <c:pt idx="1">
                  <c:v>52.977919345137288</c:v>
                </c:pt>
                <c:pt idx="2">
                  <c:v>38.90431706610844</c:v>
                </c:pt>
                <c:pt idx="3">
                  <c:v>23.273353221252734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0-40A8-926A-BD6C6BC6D64C}"/>
            </c:ext>
          </c:extLst>
        </c:ser>
        <c:ser>
          <c:idx val="5"/>
          <c:order val="5"/>
          <c:tx>
            <c:strRef>
              <c:f>'Hab. com. - AME'!$E$123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AME'!$H$123:$K$123</c:f>
              <c:numCache>
                <c:formatCode>_-* #\ ##0_-;\-* #\ ##0_-;_-* "-"??_-;_-@_-</c:formatCode>
                <c:ptCount val="4"/>
                <c:pt idx="0">
                  <c:v>635.74041023999996</c:v>
                </c:pt>
                <c:pt idx="1">
                  <c:v>651.23456098116128</c:v>
                </c:pt>
                <c:pt idx="2">
                  <c:v>689.58019613547924</c:v>
                </c:pt>
                <c:pt idx="3">
                  <c:v>701.70399455587597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0-40A8-926A-BD6C6BC6D64C}"/>
            </c:ext>
          </c:extLst>
        </c:ser>
        <c:ser>
          <c:idx val="6"/>
          <c:order val="6"/>
          <c:tx>
            <c:strRef>
              <c:f>'Hab. com. - AME'!$E$124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'Hab. com.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AME'!$H$124:$K$124</c:f>
              <c:numCache>
                <c:formatCode>_-* #\ ##0_-;\-* #\ ##0_-;_-* "-"??_-;_-@_-</c:formatCode>
                <c:ptCount val="4"/>
                <c:pt idx="0">
                  <c:v>62.327491199999983</c:v>
                </c:pt>
                <c:pt idx="1">
                  <c:v>69.820469500904238</c:v>
                </c:pt>
                <c:pt idx="2">
                  <c:v>79.052403437047886</c:v>
                </c:pt>
                <c:pt idx="3">
                  <c:v>84.746859245878753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0-40A8-926A-BD6C6BC6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'Santé social - AME'!$E$13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AME'!$H$13:$K$13</c:f>
              <c:numCache>
                <c:formatCode>#,##0</c:formatCode>
                <c:ptCount val="4"/>
                <c:pt idx="0">
                  <c:v>2268.6669101312254</c:v>
                </c:pt>
                <c:pt idx="1">
                  <c:v>1304.0148065960177</c:v>
                </c:pt>
                <c:pt idx="2">
                  <c:v>887.17381364190032</c:v>
                </c:pt>
                <c:pt idx="3">
                  <c:v>510.10464783422253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C-4160-866C-B915522FFA8D}"/>
            </c:ext>
          </c:extLst>
        </c:ser>
        <c:ser>
          <c:idx val="1"/>
          <c:order val="1"/>
          <c:tx>
            <c:strRef>
              <c:f>'Santé social - AME'!$E$14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AME'!$H$14:$K$14</c:f>
              <c:numCache>
                <c:formatCode>#,##0</c:formatCode>
                <c:ptCount val="4"/>
                <c:pt idx="0">
                  <c:v>6032.588848458684</c:v>
                </c:pt>
                <c:pt idx="1">
                  <c:v>4529.8749646569149</c:v>
                </c:pt>
                <c:pt idx="2">
                  <c:v>4288.0513353723918</c:v>
                </c:pt>
                <c:pt idx="3">
                  <c:v>3992.2755618057477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C-4160-866C-B915522FFA8D}"/>
            </c:ext>
          </c:extLst>
        </c:ser>
        <c:ser>
          <c:idx val="2"/>
          <c:order val="2"/>
          <c:tx>
            <c:strRef>
              <c:f>'Santé social - AME'!$E$15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AME'!$H$15:$K$15</c:f>
              <c:numCache>
                <c:formatCode>#,##0</c:formatCode>
                <c:ptCount val="4"/>
                <c:pt idx="0">
                  <c:v>1173.5215677187266</c:v>
                </c:pt>
                <c:pt idx="1">
                  <c:v>1075.7847626429218</c:v>
                </c:pt>
                <c:pt idx="2">
                  <c:v>1173.5519095835627</c:v>
                </c:pt>
                <c:pt idx="3">
                  <c:v>1211.966815644709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C-4160-866C-B915522FFA8D}"/>
            </c:ext>
          </c:extLst>
        </c:ser>
        <c:ser>
          <c:idx val="3"/>
          <c:order val="3"/>
          <c:tx>
            <c:strRef>
              <c:f>'Santé social - AME'!$E$16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AME'!$H$16:$K$16</c:f>
              <c:numCache>
                <c:formatCode>#,##0</c:formatCode>
                <c:ptCount val="4"/>
                <c:pt idx="0">
                  <c:v>163.9762667639225</c:v>
                </c:pt>
                <c:pt idx="1">
                  <c:v>158.42038446186024</c:v>
                </c:pt>
                <c:pt idx="2">
                  <c:v>179.15124348955504</c:v>
                </c:pt>
                <c:pt idx="3">
                  <c:v>190.91122580328877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C-4160-866C-B915522FFA8D}"/>
            </c:ext>
          </c:extLst>
        </c:ser>
        <c:ser>
          <c:idx val="4"/>
          <c:order val="4"/>
          <c:tx>
            <c:strRef>
              <c:f>'Santé social - AME'!$E$17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AME'!$H$17:$K$17</c:f>
              <c:numCache>
                <c:formatCode>#,##0</c:formatCode>
                <c:ptCount val="4"/>
                <c:pt idx="0">
                  <c:v>135.52627574604799</c:v>
                </c:pt>
                <c:pt idx="1">
                  <c:v>110.38933669236447</c:v>
                </c:pt>
                <c:pt idx="2">
                  <c:v>108.02368558104951</c:v>
                </c:pt>
                <c:pt idx="3">
                  <c:v>97.867056481499276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C-4160-866C-B915522FFA8D}"/>
            </c:ext>
          </c:extLst>
        </c:ser>
        <c:ser>
          <c:idx val="5"/>
          <c:order val="5"/>
          <c:tx>
            <c:strRef>
              <c:f>'Santé social - AME'!$E$18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AME'!$H$18:$K$18</c:f>
              <c:numCache>
                <c:formatCode>#,##0</c:formatCode>
                <c:ptCount val="4"/>
                <c:pt idx="0">
                  <c:v>1397.4813862870146</c:v>
                </c:pt>
                <c:pt idx="1">
                  <c:v>1292.227031876615</c:v>
                </c:pt>
                <c:pt idx="2">
                  <c:v>1460.612092874213</c:v>
                </c:pt>
                <c:pt idx="3">
                  <c:v>1617.2136275140124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C-4160-866C-B915522FFA8D}"/>
            </c:ext>
          </c:extLst>
        </c:ser>
        <c:ser>
          <c:idx val="6"/>
          <c:order val="6"/>
          <c:tx>
            <c:strRef>
              <c:f>'Santé social - AME'!$E$19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AME'!$H$19:$K$19</c:f>
              <c:numCache>
                <c:formatCode>#,##0</c:formatCode>
                <c:ptCount val="4"/>
                <c:pt idx="0">
                  <c:v>172.1023611717651</c:v>
                </c:pt>
                <c:pt idx="1">
                  <c:v>244.24522744590809</c:v>
                </c:pt>
                <c:pt idx="2">
                  <c:v>319.37088860740187</c:v>
                </c:pt>
                <c:pt idx="3">
                  <c:v>360.11165486087214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C-4160-866C-B915522F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'Santé social - AME'!$E$8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'Santé social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'Santé social - AME'!$H$8:$K$8</c:f>
              <c:numCache>
                <c:formatCode>#,##0</c:formatCode>
                <c:ptCount val="4"/>
                <c:pt idx="0">
                  <c:v>0</c:v>
                </c:pt>
                <c:pt idx="1">
                  <c:v>13834.540453559624</c:v>
                </c:pt>
                <c:pt idx="2">
                  <c:v>20550.753645661614</c:v>
                </c:pt>
                <c:pt idx="3">
                  <c:v>18958.71024791403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8-4399-B2A2-ED207CDE82A9}"/>
            </c:ext>
          </c:extLst>
        </c:ser>
        <c:ser>
          <c:idx val="1"/>
          <c:order val="1"/>
          <c:tx>
            <c:strRef>
              <c:f>'Santé social - AME'!$E$9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'Santé social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'Santé social - AME'!$H$9:$K$9</c:f>
              <c:numCache>
                <c:formatCode>#,##0</c:formatCode>
                <c:ptCount val="4"/>
                <c:pt idx="0">
                  <c:v>118445.13907375958</c:v>
                </c:pt>
                <c:pt idx="1">
                  <c:v>115382.32014812742</c:v>
                </c:pt>
                <c:pt idx="2">
                  <c:v>125875.50063321114</c:v>
                </c:pt>
                <c:pt idx="3">
                  <c:v>142639.88443438738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8-4399-B2A2-ED207CDE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'Santé social - AME'!$E$107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AME'!$H$107:$K$107</c:f>
              <c:numCache>
                <c:formatCode>_-* #\ ##0_-;\-* #\ ##0_-;_-* "-"??_-;_-@_-</c:formatCode>
                <c:ptCount val="4"/>
                <c:pt idx="0" formatCode="0">
                  <c:v>1147.7639631735897</c:v>
                </c:pt>
                <c:pt idx="1">
                  <c:v>543.99233512861599</c:v>
                </c:pt>
                <c:pt idx="2">
                  <c:v>359.26748116158979</c:v>
                </c:pt>
                <c:pt idx="3">
                  <c:v>195.49954354258475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B-486A-8A9D-FD69ACC63A81}"/>
            </c:ext>
          </c:extLst>
        </c:ser>
        <c:ser>
          <c:idx val="1"/>
          <c:order val="1"/>
          <c:tx>
            <c:strRef>
              <c:f>'Santé social - AME'!$E$108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AME'!$H$108:$K$108</c:f>
              <c:numCache>
                <c:formatCode>_-* #\ ##0_-;\-* #\ ##0_-;_-* "-"??_-;_-@_-</c:formatCode>
                <c:ptCount val="4"/>
                <c:pt idx="0" formatCode="0">
                  <c:v>3052.0073502122177</c:v>
                </c:pt>
                <c:pt idx="1">
                  <c:v>1781.408292236652</c:v>
                </c:pt>
                <c:pt idx="2">
                  <c:v>1582.404753510709</c:v>
                </c:pt>
                <c:pt idx="3">
                  <c:v>1398.8122053732295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B-486A-8A9D-FD69ACC63A81}"/>
            </c:ext>
          </c:extLst>
        </c:ser>
        <c:ser>
          <c:idx val="2"/>
          <c:order val="2"/>
          <c:tx>
            <c:strRef>
              <c:f>'Santé social - AME'!$E$109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AME'!$H$109:$K$109</c:f>
              <c:numCache>
                <c:formatCode>_-* #\ ##0_-;\-* #\ ##0_-;_-* "-"??_-;_-@_-</c:formatCode>
                <c:ptCount val="4"/>
                <c:pt idx="0" formatCode="0">
                  <c:v>593.70803154025828</c:v>
                </c:pt>
                <c:pt idx="1">
                  <c:v>384.88200416627791</c:v>
                </c:pt>
                <c:pt idx="2">
                  <c:v>379.62612675012417</c:v>
                </c:pt>
                <c:pt idx="3">
                  <c:v>372.75206878340339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B-486A-8A9D-FD69ACC63A81}"/>
            </c:ext>
          </c:extLst>
        </c:ser>
        <c:ser>
          <c:idx val="3"/>
          <c:order val="3"/>
          <c:tx>
            <c:strRef>
              <c:f>'Santé social - AME'!$E$110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AME'!$H$110:$K$110</c:f>
              <c:numCache>
                <c:formatCode>_-* #\ ##0_-;\-* #\ ##0_-;_-* "-"??_-;_-@_-</c:formatCode>
                <c:ptCount val="4"/>
                <c:pt idx="0" formatCode="0">
                  <c:v>82.958872881203675</c:v>
                </c:pt>
                <c:pt idx="1">
                  <c:v>56.486515921918922</c:v>
                </c:pt>
                <c:pt idx="2">
                  <c:v>58.113983382699409</c:v>
                </c:pt>
                <c:pt idx="3">
                  <c:v>59.189466905906229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B-486A-8A9D-FD69ACC63A81}"/>
            </c:ext>
          </c:extLst>
        </c:ser>
        <c:ser>
          <c:idx val="4"/>
          <c:order val="4"/>
          <c:tx>
            <c:strRef>
              <c:f>'Santé social - AME'!$E$111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AME'!$H$111:$K$111</c:f>
              <c:numCache>
                <c:formatCode>_-* #\ ##0_-;\-* #\ ##0_-;_-* "-"??_-;_-@_-</c:formatCode>
                <c:ptCount val="4"/>
                <c:pt idx="0" formatCode="0">
                  <c:v>68.565453425440609</c:v>
                </c:pt>
                <c:pt idx="1">
                  <c:v>38.466616860218217</c:v>
                </c:pt>
                <c:pt idx="2">
                  <c:v>32.639995097502108</c:v>
                </c:pt>
                <c:pt idx="3">
                  <c:v>27.346665833573987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B-486A-8A9D-FD69ACC63A81}"/>
            </c:ext>
          </c:extLst>
        </c:ser>
        <c:ser>
          <c:idx val="5"/>
          <c:order val="5"/>
          <c:tx>
            <c:strRef>
              <c:f>'Santé social - AME'!$E$112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AME'!$H$112:$K$112</c:f>
              <c:numCache>
                <c:formatCode>_-* #\ ##0_-;\-* #\ ##0_-;_-* "-"??_-;_-@_-</c:formatCode>
                <c:ptCount val="4"/>
                <c:pt idx="0" formatCode="0">
                  <c:v>707.01378295032646</c:v>
                </c:pt>
                <c:pt idx="1">
                  <c:v>536.72491544954846</c:v>
                </c:pt>
                <c:pt idx="2">
                  <c:v>598.86400815977925</c:v>
                </c:pt>
                <c:pt idx="3">
                  <c:v>649.63899279142743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B-486A-8A9D-FD69ACC63A81}"/>
            </c:ext>
          </c:extLst>
        </c:ser>
        <c:ser>
          <c:idx val="6"/>
          <c:order val="6"/>
          <c:tx>
            <c:strRef>
              <c:f>'Santé social - AME'!$E$113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AME'!$H$113:$K$113</c:f>
              <c:numCache>
                <c:formatCode>_-* #\ ##0_-;\-* #\ ##0_-;_-* "-"??_-;_-@_-</c:formatCode>
                <c:ptCount val="4"/>
                <c:pt idx="0" formatCode="0">
                  <c:v>87.0700265640194</c:v>
                </c:pt>
                <c:pt idx="1">
                  <c:v>80.281247397892088</c:v>
                </c:pt>
                <c:pt idx="2">
                  <c:v>100.30854407836847</c:v>
                </c:pt>
                <c:pt idx="3">
                  <c:v>117.22894341602625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BB-486A-8A9D-FD69ACC6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parc hors décret en GWh AME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Résultats!$A$94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Résultats!$B$94:$E$94</c:f>
              <c:numCache>
                <c:formatCode>#,##0</c:formatCode>
                <c:ptCount val="4"/>
                <c:pt idx="0">
                  <c:v>10394.379834247127</c:v>
                </c:pt>
                <c:pt idx="1">
                  <c:v>7402.1702751306311</c:v>
                </c:pt>
                <c:pt idx="2">
                  <c:v>5223.68387106513</c:v>
                </c:pt>
                <c:pt idx="3">
                  <c:v>3347.1903448936055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B-4D16-BAD2-55148B93858E}"/>
            </c:ext>
          </c:extLst>
        </c:ser>
        <c:ser>
          <c:idx val="1"/>
          <c:order val="1"/>
          <c:tx>
            <c:strRef>
              <c:f>Résultats!$A$95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Résultats!$B$95:$E$95</c:f>
              <c:numCache>
                <c:formatCode>#,##0</c:formatCode>
                <c:ptCount val="4"/>
                <c:pt idx="0">
                  <c:v>31838.577281045964</c:v>
                </c:pt>
                <c:pt idx="1">
                  <c:v>25840.661189060804</c:v>
                </c:pt>
                <c:pt idx="2">
                  <c:v>21634.708233141882</c:v>
                </c:pt>
                <c:pt idx="3">
                  <c:v>17808.230769414342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B-4D16-BAD2-55148B93858E}"/>
            </c:ext>
          </c:extLst>
        </c:ser>
        <c:ser>
          <c:idx val="2"/>
          <c:order val="2"/>
          <c:tx>
            <c:strRef>
              <c:f>Résultats!$A$96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Résultats!$B$96:$E$96</c:f>
              <c:numCache>
                <c:formatCode>#,##0</c:formatCode>
                <c:ptCount val="4"/>
                <c:pt idx="0">
                  <c:v>4118.7357011287831</c:v>
                </c:pt>
                <c:pt idx="1">
                  <c:v>4224.1384738896304</c:v>
                </c:pt>
                <c:pt idx="2">
                  <c:v>4390.2421036627393</c:v>
                </c:pt>
                <c:pt idx="3">
                  <c:v>4440.7373365350504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B-4D16-BAD2-55148B93858E}"/>
            </c:ext>
          </c:extLst>
        </c:ser>
        <c:ser>
          <c:idx val="3"/>
          <c:order val="3"/>
          <c:tx>
            <c:strRef>
              <c:f>Résultats!$A$97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Résultats!$B$97:$E$97</c:f>
              <c:numCache>
                <c:formatCode>#,##0</c:formatCode>
                <c:ptCount val="4"/>
                <c:pt idx="0">
                  <c:v>708.97187141229813</c:v>
                </c:pt>
                <c:pt idx="1">
                  <c:v>616.22780565943071</c:v>
                </c:pt>
                <c:pt idx="2">
                  <c:v>556.38831119251608</c:v>
                </c:pt>
                <c:pt idx="3">
                  <c:v>500.59991682758277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B-4D16-BAD2-55148B93858E}"/>
            </c:ext>
          </c:extLst>
        </c:ser>
        <c:ser>
          <c:idx val="4"/>
          <c:order val="4"/>
          <c:tx>
            <c:strRef>
              <c:f>Résultats!$A$98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Résultats!$B$98:$E$98</c:f>
              <c:numCache>
                <c:formatCode>#,##0</c:formatCode>
                <c:ptCount val="4"/>
                <c:pt idx="0">
                  <c:v>530.61015752548826</c:v>
                </c:pt>
                <c:pt idx="1">
                  <c:v>527.1839624155906</c:v>
                </c:pt>
                <c:pt idx="2">
                  <c:v>534.86436657800812</c:v>
                </c:pt>
                <c:pt idx="3">
                  <c:v>527.68791058836337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B-4D16-BAD2-55148B93858E}"/>
            </c:ext>
          </c:extLst>
        </c:ser>
        <c:ser>
          <c:idx val="5"/>
          <c:order val="5"/>
          <c:tx>
            <c:strRef>
              <c:f>Résultats!$A$99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Résultats!$B$99:$E$99</c:f>
              <c:numCache>
                <c:formatCode>#,##0</c:formatCode>
                <c:ptCount val="4"/>
                <c:pt idx="0">
                  <c:v>9495.1339068169</c:v>
                </c:pt>
                <c:pt idx="1">
                  <c:v>8677.782470974269</c:v>
                </c:pt>
                <c:pt idx="2">
                  <c:v>8166.3132536765406</c:v>
                </c:pt>
                <c:pt idx="3">
                  <c:v>7558.2575737949664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8B-4D16-BAD2-55148B93858E}"/>
            </c:ext>
          </c:extLst>
        </c:ser>
        <c:ser>
          <c:idx val="6"/>
          <c:order val="6"/>
          <c:tx>
            <c:strRef>
              <c:f>Résultats!$A$100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Résultats!$B$57:$E$57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Résultats!$B$100:$E$100</c:f>
              <c:numCache>
                <c:formatCode>#,##0</c:formatCode>
                <c:ptCount val="4"/>
                <c:pt idx="0">
                  <c:v>2050.0063851055588</c:v>
                </c:pt>
                <c:pt idx="1">
                  <c:v>2436.7650414882064</c:v>
                </c:pt>
                <c:pt idx="2">
                  <c:v>2714.5354495334532</c:v>
                </c:pt>
                <c:pt idx="3">
                  <c:v>2809.9948288475089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8B-4D16-BAD2-55148B93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3771444153896"/>
          <c:y val="0.82762253198897495"/>
          <c:w val="0.76023977522290231"/>
          <c:h val="0.17237746801102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'Santé social - AME'!$E$118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AME'!$H$118:$K$118</c:f>
              <c:numCache>
                <c:formatCode>_-* #\ ##0_-;\-* #\ ##0_-;_-* "-"??_-;_-@_-</c:formatCode>
                <c:ptCount val="4"/>
                <c:pt idx="0">
                  <c:v>1120.902946957636</c:v>
                </c:pt>
                <c:pt idx="1">
                  <c:v>751.72582300794681</c:v>
                </c:pt>
                <c:pt idx="2">
                  <c:v>515.58193477825</c:v>
                </c:pt>
                <c:pt idx="3">
                  <c:v>303.23546359416639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C-4128-9C3A-2C321774B83A}"/>
            </c:ext>
          </c:extLst>
        </c:ser>
        <c:ser>
          <c:idx val="1"/>
          <c:order val="1"/>
          <c:tx>
            <c:strRef>
              <c:f>'Santé social - AME'!$E$119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AME'!$H$119:$K$119</c:f>
              <c:numCache>
                <c:formatCode>_-* #\ ##0_-;\-* #\ ##0_-;_-* "-"??_-;_-@_-</c:formatCode>
                <c:ptCount val="4"/>
                <c:pt idx="0">
                  <c:v>2980.5814982464663</c:v>
                </c:pt>
                <c:pt idx="1">
                  <c:v>2485.3564889401587</c:v>
                </c:pt>
                <c:pt idx="2">
                  <c:v>2314.8050804388299</c:v>
                </c:pt>
                <c:pt idx="3">
                  <c:v>2232.8998994373624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C-4128-9C3A-2C321774B83A}"/>
            </c:ext>
          </c:extLst>
        </c:ser>
        <c:ser>
          <c:idx val="2"/>
          <c:order val="2"/>
          <c:tx>
            <c:strRef>
              <c:f>'Santé social - AME'!$E$120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AME'!$H$120:$K$120</c:f>
              <c:numCache>
                <c:formatCode>_-* #\ ##0_-;\-* #\ ##0_-;_-* "-"??_-;_-@_-</c:formatCode>
                <c:ptCount val="4"/>
                <c:pt idx="0">
                  <c:v>579.81353617846844</c:v>
                </c:pt>
                <c:pt idx="1">
                  <c:v>553.15481413061593</c:v>
                </c:pt>
                <c:pt idx="2">
                  <c:v>589.30575378699803</c:v>
                </c:pt>
                <c:pt idx="3">
                  <c:v>650.44639760759492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C-4128-9C3A-2C321774B83A}"/>
            </c:ext>
          </c:extLst>
        </c:ser>
        <c:ser>
          <c:idx val="3"/>
          <c:order val="3"/>
          <c:tx>
            <c:strRef>
              <c:f>'Santé social - AME'!$E$121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AME'!$H$121:$K$121</c:f>
              <c:numCache>
                <c:formatCode>_-* #\ ##0_-;\-* #\ ##0_-;_-* "-"??_-;_-@_-</c:formatCode>
                <c:ptCount val="4"/>
                <c:pt idx="0">
                  <c:v>81.017393882718821</c:v>
                </c:pt>
                <c:pt idx="1">
                  <c:v>81.182772583402581</c:v>
                </c:pt>
                <c:pt idx="2">
                  <c:v>90.212191337000888</c:v>
                </c:pt>
                <c:pt idx="3">
                  <c:v>103.28467297556912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C-4128-9C3A-2C321774B83A}"/>
            </c:ext>
          </c:extLst>
        </c:ser>
        <c:ser>
          <c:idx val="4"/>
          <c:order val="4"/>
          <c:tx>
            <c:strRef>
              <c:f>'Santé social - AME'!$E$122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AME'!$H$122:$K$122</c:f>
              <c:numCache>
                <c:formatCode>_-* #\ ##0_-;\-* #\ ##0_-;_-* "-"??_-;_-@_-</c:formatCode>
                <c:ptCount val="4"/>
                <c:pt idx="0">
                  <c:v>66.960822320607377</c:v>
                </c:pt>
                <c:pt idx="1">
                  <c:v>55.284461391328243</c:v>
                </c:pt>
                <c:pt idx="2">
                  <c:v>50.66810622125103</c:v>
                </c:pt>
                <c:pt idx="3">
                  <c:v>47.719494451317928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C-4128-9C3A-2C321774B83A}"/>
            </c:ext>
          </c:extLst>
        </c:ser>
        <c:ser>
          <c:idx val="5"/>
          <c:order val="5"/>
          <c:tx>
            <c:strRef>
              <c:f>'Santé social - AME'!$E$123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AME'!$H$123:$K$123</c:f>
              <c:numCache>
                <c:formatCode>_-* #\ ##0_-;\-* #\ ##0_-;_-* "-"??_-;_-@_-</c:formatCode>
                <c:ptCount val="4"/>
                <c:pt idx="0">
                  <c:v>690.46760333668806</c:v>
                </c:pt>
                <c:pt idx="1">
                  <c:v>718.8223298353646</c:v>
                </c:pt>
                <c:pt idx="2">
                  <c:v>807.26147125937257</c:v>
                </c:pt>
                <c:pt idx="3">
                  <c:v>917.30903693986488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C-4128-9C3A-2C321774B83A}"/>
            </c:ext>
          </c:extLst>
        </c:ser>
        <c:ser>
          <c:idx val="6"/>
          <c:order val="6"/>
          <c:tx>
            <c:strRef>
              <c:f>'Santé social - AME'!$E$124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'Santé social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AME'!$H$124:$K$124</c:f>
              <c:numCache>
                <c:formatCode>_-* #\ ##0_-;\-* #\ ##0_-;_-* "-"??_-;_-@_-</c:formatCode>
                <c:ptCount val="4"/>
                <c:pt idx="0">
                  <c:v>85.032334607745696</c:v>
                </c:pt>
                <c:pt idx="1">
                  <c:v>107.51867788419553</c:v>
                </c:pt>
                <c:pt idx="2">
                  <c:v>135.21470946536641</c:v>
                </c:pt>
                <c:pt idx="3">
                  <c:v>165.53065684121907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5C-4128-9C3A-2C321774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'Sport Loisir Culture - AME'!$E$13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AME'!$H$13:$K$13</c:f>
              <c:numCache>
                <c:formatCode>#,##0</c:formatCode>
                <c:ptCount val="4"/>
                <c:pt idx="0">
                  <c:v>876.3765829561512</c:v>
                </c:pt>
                <c:pt idx="1">
                  <c:v>571.83816220087908</c:v>
                </c:pt>
                <c:pt idx="2">
                  <c:v>394.65260004484702</c:v>
                </c:pt>
                <c:pt idx="3">
                  <c:v>241.70871176619909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7-461A-BC31-05BE258E2DD8}"/>
            </c:ext>
          </c:extLst>
        </c:ser>
        <c:ser>
          <c:idx val="1"/>
          <c:order val="1"/>
          <c:tx>
            <c:strRef>
              <c:f>'Sport Loisir Culture - AME'!$E$14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AME'!$H$14:$K$14</c:f>
              <c:numCache>
                <c:formatCode>#,##0</c:formatCode>
                <c:ptCount val="4"/>
                <c:pt idx="0">
                  <c:v>4915.1977828396939</c:v>
                </c:pt>
                <c:pt idx="1">
                  <c:v>3847.1873028257214</c:v>
                </c:pt>
                <c:pt idx="2">
                  <c:v>3298.0729349330045</c:v>
                </c:pt>
                <c:pt idx="3">
                  <c:v>2736.3231006781029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7-461A-BC31-05BE258E2DD8}"/>
            </c:ext>
          </c:extLst>
        </c:ser>
        <c:ser>
          <c:idx val="2"/>
          <c:order val="2"/>
          <c:tx>
            <c:strRef>
              <c:f>'Sport Loisir Culture - AME'!$E$15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AME'!$H$15:$K$15</c:f>
              <c:numCache>
                <c:formatCode>#,##0</c:formatCode>
                <c:ptCount val="4"/>
                <c:pt idx="0">
                  <c:v>217.82341031793445</c:v>
                </c:pt>
                <c:pt idx="1">
                  <c:v>202.65124618866278</c:v>
                </c:pt>
                <c:pt idx="2">
                  <c:v>206.06076735196132</c:v>
                </c:pt>
                <c:pt idx="3">
                  <c:v>202.9208702608112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7-461A-BC31-05BE258E2DD8}"/>
            </c:ext>
          </c:extLst>
        </c:ser>
        <c:ser>
          <c:idx val="3"/>
          <c:order val="3"/>
          <c:tx>
            <c:strRef>
              <c:f>'Sport Loisir Culture - AME'!$E$16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AME'!$H$16:$K$16</c:f>
              <c:numCache>
                <c:formatCode>#,##0</c:formatCode>
                <c:ptCount val="4"/>
                <c:pt idx="0">
                  <c:v>27.214936388643864</c:v>
                </c:pt>
                <c:pt idx="1">
                  <c:v>24.125353558453675</c:v>
                </c:pt>
                <c:pt idx="2">
                  <c:v>23.536441124736388</c:v>
                </c:pt>
                <c:pt idx="3">
                  <c:v>22.346415400163014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7-461A-BC31-05BE258E2DD8}"/>
            </c:ext>
          </c:extLst>
        </c:ser>
        <c:ser>
          <c:idx val="4"/>
          <c:order val="4"/>
          <c:tx>
            <c:strRef>
              <c:f>'Sport Loisir Culture - AME'!$E$17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AME'!$H$17:$K$17</c:f>
              <c:numCache>
                <c:formatCode>#,##0</c:formatCode>
                <c:ptCount val="4"/>
                <c:pt idx="0">
                  <c:v>26.208309722728558</c:v>
                </c:pt>
                <c:pt idx="1">
                  <c:v>24.026373346632017</c:v>
                </c:pt>
                <c:pt idx="2">
                  <c:v>24.135579874216248</c:v>
                </c:pt>
                <c:pt idx="3">
                  <c:v>23.521815585336057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B7-461A-BC31-05BE258E2DD8}"/>
            </c:ext>
          </c:extLst>
        </c:ser>
        <c:ser>
          <c:idx val="5"/>
          <c:order val="5"/>
          <c:tx>
            <c:strRef>
              <c:f>'Sport Loisir Culture - AME'!$E$18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AME'!$H$18:$K$18</c:f>
              <c:numCache>
                <c:formatCode>#,##0</c:formatCode>
                <c:ptCount val="4"/>
                <c:pt idx="0">
                  <c:v>1075.7072340198747</c:v>
                </c:pt>
                <c:pt idx="1">
                  <c:v>934.63486807492689</c:v>
                </c:pt>
                <c:pt idx="2">
                  <c:v>892.08904785231221</c:v>
                </c:pt>
                <c:pt idx="3">
                  <c:v>824.19689850319151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B7-461A-BC31-05BE258E2DD8}"/>
            </c:ext>
          </c:extLst>
        </c:ser>
        <c:ser>
          <c:idx val="6"/>
          <c:order val="6"/>
          <c:tx>
            <c:strRef>
              <c:f>'Sport Loisir Culture - AME'!$E$19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AME'!$H$19:$K$19</c:f>
              <c:numCache>
                <c:formatCode>#,##0</c:formatCode>
                <c:ptCount val="4"/>
                <c:pt idx="0">
                  <c:v>212.58847367700915</c:v>
                </c:pt>
                <c:pt idx="1">
                  <c:v>208.6255990511504</c:v>
                </c:pt>
                <c:pt idx="2">
                  <c:v>211.07307260354384</c:v>
                </c:pt>
                <c:pt idx="3">
                  <c:v>202.21405918809768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B7-461A-BC31-05BE258E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'Sport Loisir Culture - AME'!$E$8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'Sport Loisir Culture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'Sport Loisir Culture - AME'!$H$8:$K$8</c:f>
              <c:numCache>
                <c:formatCode>#,##0</c:formatCode>
                <c:ptCount val="4"/>
                <c:pt idx="0">
                  <c:v>0</c:v>
                </c:pt>
                <c:pt idx="1">
                  <c:v>2606.2113096947755</c:v>
                </c:pt>
                <c:pt idx="2">
                  <c:v>2441.502020159372</c:v>
                </c:pt>
                <c:pt idx="3">
                  <c:v>1539.5198865418247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B-4083-A332-87A50277A12D}"/>
            </c:ext>
          </c:extLst>
        </c:ser>
        <c:ser>
          <c:idx val="1"/>
          <c:order val="1"/>
          <c:tx>
            <c:strRef>
              <c:f>'Sport Loisir Culture - AME'!$E$9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'Sport Loisir Culture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'Sport Loisir Culture - AME'!$H$9:$K$9</c:f>
              <c:numCache>
                <c:formatCode>#,##0</c:formatCode>
                <c:ptCount val="4"/>
                <c:pt idx="0">
                  <c:v>74481</c:v>
                </c:pt>
                <c:pt idx="1">
                  <c:v>72982.287754590609</c:v>
                </c:pt>
                <c:pt idx="2">
                  <c:v>74067.501639979033</c:v>
                </c:pt>
                <c:pt idx="3">
                  <c:v>74163.424009860362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B-4083-A332-87A50277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'Sport Loisir Culture - AME'!$E$107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AME'!$H$107:$K$107</c:f>
              <c:numCache>
                <c:formatCode>_-* #\ ##0_-;\-* #\ ##0_-;_-* "-"??_-;_-@_-</c:formatCode>
                <c:ptCount val="4"/>
                <c:pt idx="0" formatCode="0">
                  <c:v>250.51662812093053</c:v>
                </c:pt>
                <c:pt idx="1">
                  <c:v>126.1426183015418</c:v>
                </c:pt>
                <c:pt idx="2">
                  <c:v>84.805464717400341</c:v>
                </c:pt>
                <c:pt idx="3">
                  <c:v>49.09237513194941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7-4CF9-B9BC-B6A34F7C5DB7}"/>
            </c:ext>
          </c:extLst>
        </c:ser>
        <c:ser>
          <c:idx val="1"/>
          <c:order val="1"/>
          <c:tx>
            <c:strRef>
              <c:f>'Sport Loisir Culture - AME'!$E$108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AME'!$H$108:$K$108</c:f>
              <c:numCache>
                <c:formatCode>_-* #\ ##0_-;\-* #\ ##0_-;_-* "-"??_-;_-@_-</c:formatCode>
                <c:ptCount val="4"/>
                <c:pt idx="0" formatCode="0">
                  <c:v>1405.0338622136408</c:v>
                </c:pt>
                <c:pt idx="1">
                  <c:v>826.82017020977082</c:v>
                </c:pt>
                <c:pt idx="2">
                  <c:v>684.80450633509111</c:v>
                </c:pt>
                <c:pt idx="3">
                  <c:v>536.10224533220253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7-4CF9-B9BC-B6A34F7C5DB7}"/>
            </c:ext>
          </c:extLst>
        </c:ser>
        <c:ser>
          <c:idx val="2"/>
          <c:order val="2"/>
          <c:tx>
            <c:strRef>
              <c:f>'Sport Loisir Culture - AME'!$E$109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AME'!$H$109:$K$109</c:f>
              <c:numCache>
                <c:formatCode>_-* #\ ##0_-;\-* #\ ##0_-;_-* "-"??_-;_-@_-</c:formatCode>
                <c:ptCount val="4"/>
                <c:pt idx="0" formatCode="0">
                  <c:v>62.265910956433146</c:v>
                </c:pt>
                <c:pt idx="1">
                  <c:v>42.867985463257227</c:v>
                </c:pt>
                <c:pt idx="2">
                  <c:v>41.260741082544662</c:v>
                </c:pt>
                <c:pt idx="3">
                  <c:v>37.36267394414341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7-4CF9-B9BC-B6A34F7C5DB7}"/>
            </c:ext>
          </c:extLst>
        </c:ser>
        <c:ser>
          <c:idx val="3"/>
          <c:order val="3"/>
          <c:tx>
            <c:strRef>
              <c:f>'Sport Loisir Culture - AME'!$E$110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AME'!$H$110:$K$110</c:f>
              <c:numCache>
                <c:formatCode>_-* #\ ##0_-;\-* #\ ##0_-;_-* "-"??_-;_-@_-</c:formatCode>
                <c:ptCount val="4"/>
                <c:pt idx="0" formatCode="0">
                  <c:v>7.7795256413757903</c:v>
                </c:pt>
                <c:pt idx="1">
                  <c:v>5.1005405974696059</c:v>
                </c:pt>
                <c:pt idx="2">
                  <c:v>4.7074996017097632</c:v>
                </c:pt>
                <c:pt idx="3">
                  <c:v>4.110055210596709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7-4CF9-B9BC-B6A34F7C5DB7}"/>
            </c:ext>
          </c:extLst>
        </c:ser>
        <c:ser>
          <c:idx val="4"/>
          <c:order val="4"/>
          <c:tx>
            <c:strRef>
              <c:f>'Sport Loisir Culture - AME'!$E$111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AME'!$H$111:$K$111</c:f>
              <c:numCache>
                <c:formatCode>_-* #\ ##0_-;\-* #\ ##0_-;_-* "-"??_-;_-@_-</c:formatCode>
                <c:ptCount val="4"/>
                <c:pt idx="0" formatCode="0">
                  <c:v>7.4917763757905727</c:v>
                </c:pt>
                <c:pt idx="1">
                  <c:v>5.0820488381522839</c:v>
                </c:pt>
                <c:pt idx="2">
                  <c:v>4.8316243667085992</c:v>
                </c:pt>
                <c:pt idx="3">
                  <c:v>4.3298472113370172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7-4CF9-B9BC-B6A34F7C5DB7}"/>
            </c:ext>
          </c:extLst>
        </c:ser>
        <c:ser>
          <c:idx val="5"/>
          <c:order val="5"/>
          <c:tx>
            <c:strRef>
              <c:f>'Sport Loisir Culture - AME'!$E$112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AME'!$H$112:$K$112</c:f>
              <c:numCache>
                <c:formatCode>_-* #\ ##0_-;\-* #\ ##0_-;_-* "-"??_-;_-@_-</c:formatCode>
                <c:ptCount val="4"/>
                <c:pt idx="0" formatCode="0">
                  <c:v>307.49629138075125</c:v>
                </c:pt>
                <c:pt idx="1">
                  <c:v>209.55891609471738</c:v>
                </c:pt>
                <c:pt idx="2">
                  <c:v>200.0094804382135</c:v>
                </c:pt>
                <c:pt idx="3">
                  <c:v>179.83308908590703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7-4CF9-B9BC-B6A34F7C5DB7}"/>
            </c:ext>
          </c:extLst>
        </c:ser>
        <c:ser>
          <c:idx val="6"/>
          <c:order val="6"/>
          <c:tx>
            <c:strRef>
              <c:f>'Sport Loisir Culture - AME'!$E$113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AME'!$H$113:$K$113</c:f>
              <c:numCache>
                <c:formatCode>_-* #\ ##0_-;\-* #\ ##0_-;_-* "-"??_-;_-@_-</c:formatCode>
                <c:ptCount val="4"/>
                <c:pt idx="0" formatCode="0">
                  <c:v>60.769478142941445</c:v>
                </c:pt>
                <c:pt idx="1">
                  <c:v>44.852473659391045</c:v>
                </c:pt>
                <c:pt idx="2">
                  <c:v>45.552936730551572</c:v>
                </c:pt>
                <c:pt idx="3">
                  <c:v>43.051921008496087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7-4CF9-B9BC-B6A34F7C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'Sport Loisir Culture - AME'!$E$118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AME'!$H$118:$K$118</c:f>
              <c:numCache>
                <c:formatCode>_-* #\ ##0_-;\-* #\ ##0_-;_-* "-"??_-;_-@_-</c:formatCode>
                <c:ptCount val="4"/>
                <c:pt idx="0">
                  <c:v>625.85995483522061</c:v>
                </c:pt>
                <c:pt idx="1">
                  <c:v>443.36056591369851</c:v>
                </c:pt>
                <c:pt idx="2">
                  <c:v>307.65972502508225</c:v>
                </c:pt>
                <c:pt idx="3">
                  <c:v>191.2370374845006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8-4A19-BDC3-9B519E283110}"/>
            </c:ext>
          </c:extLst>
        </c:ser>
        <c:ser>
          <c:idx val="1"/>
          <c:order val="1"/>
          <c:tx>
            <c:strRef>
              <c:f>'Sport Loisir Culture - AME'!$E$119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AME'!$H$119:$K$119</c:f>
              <c:numCache>
                <c:formatCode>_-* #\ ##0_-;\-* #\ ##0_-;_-* "-"??_-;_-@_-</c:formatCode>
                <c:ptCount val="4"/>
                <c:pt idx="0">
                  <c:v>3510.1639206260534</c:v>
                </c:pt>
                <c:pt idx="1">
                  <c:v>2934.0318015390553</c:v>
                </c:pt>
                <c:pt idx="2">
                  <c:v>2532.3893822783525</c:v>
                </c:pt>
                <c:pt idx="3">
                  <c:v>2149.2215527914123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A19-BDC3-9B519E283110}"/>
            </c:ext>
          </c:extLst>
        </c:ser>
        <c:ser>
          <c:idx val="2"/>
          <c:order val="2"/>
          <c:tx>
            <c:strRef>
              <c:f>'Sport Loisir Culture - AME'!$E$120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AME'!$H$120:$K$120</c:f>
              <c:numCache>
                <c:formatCode>_-* #\ ##0_-;\-* #\ ##0_-;_-* "-"??_-;_-@_-</c:formatCode>
                <c:ptCount val="4"/>
                <c:pt idx="0">
                  <c:v>155.5574993615013</c:v>
                </c:pt>
                <c:pt idx="1">
                  <c:v>156.70422237616711</c:v>
                </c:pt>
                <c:pt idx="2">
                  <c:v>161.91557928622316</c:v>
                </c:pt>
                <c:pt idx="3">
                  <c:v>163.73937189807808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8-4A19-BDC3-9B519E283110}"/>
            </c:ext>
          </c:extLst>
        </c:ser>
        <c:ser>
          <c:idx val="3"/>
          <c:order val="3"/>
          <c:tx>
            <c:strRef>
              <c:f>'Sport Loisir Culture - AME'!$E$121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AME'!$H$121:$K$121</c:f>
              <c:numCache>
                <c:formatCode>_-* #\ ##0_-;\-* #\ ##0_-;_-* "-"??_-;_-@_-</c:formatCode>
                <c:ptCount val="4"/>
                <c:pt idx="0">
                  <c:v>19.435410747268072</c:v>
                </c:pt>
                <c:pt idx="1">
                  <c:v>18.645062029089672</c:v>
                </c:pt>
                <c:pt idx="2">
                  <c:v>18.473190374250375</c:v>
                </c:pt>
                <c:pt idx="3">
                  <c:v>18.012036816626647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8-4A19-BDC3-9B519E283110}"/>
            </c:ext>
          </c:extLst>
        </c:ser>
        <c:ser>
          <c:idx val="4"/>
          <c:order val="4"/>
          <c:tx>
            <c:strRef>
              <c:f>'Sport Loisir Culture - AME'!$E$122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AME'!$H$122:$K$122</c:f>
              <c:numCache>
                <c:formatCode>_-* #\ ##0_-;\-* #\ ##0_-;_-* "-"??_-;_-@_-</c:formatCode>
                <c:ptCount val="4"/>
                <c:pt idx="0">
                  <c:v>18.716533346937986</c:v>
                </c:pt>
                <c:pt idx="1">
                  <c:v>18.577465272842005</c:v>
                </c:pt>
                <c:pt idx="2">
                  <c:v>18.960281315936232</c:v>
                </c:pt>
                <c:pt idx="3">
                  <c:v>18.975260278717247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18-4A19-BDC3-9B519E283110}"/>
            </c:ext>
          </c:extLst>
        </c:ser>
        <c:ser>
          <c:idx val="5"/>
          <c:order val="5"/>
          <c:tx>
            <c:strRef>
              <c:f>'Sport Loisir Culture - AME'!$E$123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AME'!$H$123:$K$123</c:f>
              <c:numCache>
                <c:formatCode>_-* #\ ##0_-;\-* #\ ##0_-;_-* "-"??_-;_-@_-</c:formatCode>
                <c:ptCount val="4"/>
                <c:pt idx="0">
                  <c:v>768.21094263912357</c:v>
                </c:pt>
                <c:pt idx="1">
                  <c:v>713.84591697519545</c:v>
                </c:pt>
                <c:pt idx="2">
                  <c:v>681.55925655165629</c:v>
                </c:pt>
                <c:pt idx="3">
                  <c:v>637.73009474017158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18-4A19-BDC3-9B519E283110}"/>
            </c:ext>
          </c:extLst>
        </c:ser>
        <c:ser>
          <c:idx val="6"/>
          <c:order val="6"/>
          <c:tx>
            <c:strRef>
              <c:f>'Sport Loisir Culture - AME'!$E$124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'Sport Loisir Culture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AME'!$H$124:$K$124</c:f>
              <c:numCache>
                <c:formatCode>_-* #\ ##0_-;\-* #\ ##0_-;_-* "-"??_-;_-@_-</c:formatCode>
                <c:ptCount val="4"/>
                <c:pt idx="0">
                  <c:v>151.81899553406771</c:v>
                </c:pt>
                <c:pt idx="1">
                  <c:v>152.78641340902078</c:v>
                </c:pt>
                <c:pt idx="2">
                  <c:v>155.22777032266899</c:v>
                </c:pt>
                <c:pt idx="3">
                  <c:v>152.67215729347217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18-4A19-BDC3-9B519E283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- AME'!$E$13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AME'!$H$13:$K$13</c:f>
              <c:numCache>
                <c:formatCode>#,##0</c:formatCode>
                <c:ptCount val="4"/>
                <c:pt idx="0">
                  <c:v>648.92228698886663</c:v>
                </c:pt>
                <c:pt idx="1">
                  <c:v>415.83573245349402</c:v>
                </c:pt>
                <c:pt idx="2">
                  <c:v>299.82923649682635</c:v>
                </c:pt>
                <c:pt idx="3">
                  <c:v>198.32570743933249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D-48EF-823C-48F57DB871D7}"/>
            </c:ext>
          </c:extLst>
        </c:ser>
        <c:ser>
          <c:idx val="1"/>
          <c:order val="1"/>
          <c:tx>
            <c:strRef>
              <c:f>'Transport - AME'!$E$14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AME'!$H$14:$K$14</c:f>
              <c:numCache>
                <c:formatCode>#,##0</c:formatCode>
                <c:ptCount val="4"/>
                <c:pt idx="0">
                  <c:v>1312.2159698455907</c:v>
                </c:pt>
                <c:pt idx="1">
                  <c:v>969.45197167219362</c:v>
                </c:pt>
                <c:pt idx="2">
                  <c:v>830.19241080091047</c:v>
                </c:pt>
                <c:pt idx="3">
                  <c:v>689.64926751474297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D-48EF-823C-48F57DB871D7}"/>
            </c:ext>
          </c:extLst>
        </c:ser>
        <c:ser>
          <c:idx val="2"/>
          <c:order val="2"/>
          <c:tx>
            <c:strRef>
              <c:f>'Transport - AME'!$E$15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AME'!$H$15:$K$15</c:f>
              <c:numCache>
                <c:formatCode>#,##0</c:formatCode>
                <c:ptCount val="4"/>
                <c:pt idx="0">
                  <c:v>188.15305580285894</c:v>
                </c:pt>
                <c:pt idx="1">
                  <c:v>154.32461172238501</c:v>
                </c:pt>
                <c:pt idx="2">
                  <c:v>141.07018183483734</c:v>
                </c:pt>
                <c:pt idx="3">
                  <c:v>124.18762026058812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D-48EF-823C-48F57DB871D7}"/>
            </c:ext>
          </c:extLst>
        </c:ser>
        <c:ser>
          <c:idx val="3"/>
          <c:order val="3"/>
          <c:tx>
            <c:strRef>
              <c:f>'Transport - AME'!$E$16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AME'!$H$16:$K$16</c:f>
              <c:numCache>
                <c:formatCode>#,##0</c:formatCode>
                <c:ptCount val="4"/>
                <c:pt idx="0">
                  <c:v>51.163592458605265</c:v>
                </c:pt>
                <c:pt idx="1">
                  <c:v>43.566745445545791</c:v>
                </c:pt>
                <c:pt idx="2">
                  <c:v>42.144927081554528</c:v>
                </c:pt>
                <c:pt idx="3">
                  <c:v>39.455997410624306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D-48EF-823C-48F57DB871D7}"/>
            </c:ext>
          </c:extLst>
        </c:ser>
        <c:ser>
          <c:idx val="4"/>
          <c:order val="4"/>
          <c:tx>
            <c:strRef>
              <c:f>'Transport - AME'!$E$17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AME'!$H$17:$K$17</c:f>
              <c:numCache>
                <c:formatCode>#,##0</c:formatCode>
                <c:ptCount val="4"/>
                <c:pt idx="0">
                  <c:v>26.787512001856264</c:v>
                </c:pt>
                <c:pt idx="1">
                  <c:v>19.83569995306139</c:v>
                </c:pt>
                <c:pt idx="2">
                  <c:v>16.446310486209995</c:v>
                </c:pt>
                <c:pt idx="3">
                  <c:v>12.981469098670733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D-48EF-823C-48F57DB871D7}"/>
            </c:ext>
          </c:extLst>
        </c:ser>
        <c:ser>
          <c:idx val="5"/>
          <c:order val="5"/>
          <c:tx>
            <c:strRef>
              <c:f>'Transport - AME'!$E$18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AME'!$H$18:$K$18</c:f>
              <c:numCache>
                <c:formatCode>#,##0</c:formatCode>
                <c:ptCount val="4"/>
                <c:pt idx="0">
                  <c:v>357.89954101382017</c:v>
                </c:pt>
                <c:pt idx="1">
                  <c:v>322.03978745766608</c:v>
                </c:pt>
                <c:pt idx="2">
                  <c:v>324.2013153760762</c:v>
                </c:pt>
                <c:pt idx="3">
                  <c:v>311.09186737564426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5D-48EF-823C-48F57DB871D7}"/>
            </c:ext>
          </c:extLst>
        </c:ser>
        <c:ser>
          <c:idx val="6"/>
          <c:order val="6"/>
          <c:tx>
            <c:strRef>
              <c:f>'Transport - AME'!$E$19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AME'!$H$19:$K$19</c:f>
              <c:numCache>
                <c:formatCode>#,##0</c:formatCode>
                <c:ptCount val="4"/>
                <c:pt idx="0">
                  <c:v>80.433952361465742</c:v>
                </c:pt>
                <c:pt idx="1">
                  <c:v>81.475149739652252</c:v>
                </c:pt>
                <c:pt idx="2">
                  <c:v>81.402636493469657</c:v>
                </c:pt>
                <c:pt idx="3">
                  <c:v>75.692702406714702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5D-48EF-823C-48F57DB8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'Transport - AME'!$E$8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'Transport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'Transport - AME'!$H$8:$K$8</c:f>
              <c:numCache>
                <c:formatCode>#,##0</c:formatCode>
                <c:ptCount val="4"/>
                <c:pt idx="0">
                  <c:v>0</c:v>
                </c:pt>
                <c:pt idx="1">
                  <c:v>1056.0407324289231</c:v>
                </c:pt>
                <c:pt idx="2">
                  <c:v>1001.1574110556077</c:v>
                </c:pt>
                <c:pt idx="3">
                  <c:v>690.11456501052521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9-407B-BFA1-2F61F7DCE921}"/>
            </c:ext>
          </c:extLst>
        </c:ser>
        <c:ser>
          <c:idx val="1"/>
          <c:order val="1"/>
          <c:tx>
            <c:strRef>
              <c:f>'Transport - AME'!$E$9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'Transport - AME'!$H$6:$K$6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'Transport - AME'!$H$9:$K$9</c:f>
              <c:numCache>
                <c:formatCode>#,##0</c:formatCode>
                <c:ptCount val="4"/>
                <c:pt idx="0">
                  <c:v>25839.303197908266</c:v>
                </c:pt>
                <c:pt idx="1">
                  <c:v>25167.481314762652</c:v>
                </c:pt>
                <c:pt idx="2">
                  <c:v>25541.710473964595</c:v>
                </c:pt>
                <c:pt idx="3">
                  <c:v>25573.111228324349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9-407B-BFA1-2F61F7DC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- AME'!$E$107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AME'!$H$107:$K$107</c:f>
              <c:numCache>
                <c:formatCode>_-* #\ ##0_-;\-* #\ ##0_-;_-* "-"??_-;_-@_-</c:formatCode>
                <c:ptCount val="4"/>
                <c:pt idx="0" formatCode="0">
                  <c:v>265.73367652194094</c:v>
                </c:pt>
                <c:pt idx="1">
                  <c:v>137.43410268648884</c:v>
                </c:pt>
                <c:pt idx="2">
                  <c:v>97.118622835602082</c:v>
                </c:pt>
                <c:pt idx="3">
                  <c:v>61.270191776682111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7-4483-8424-67C3F1C69540}"/>
            </c:ext>
          </c:extLst>
        </c:ser>
        <c:ser>
          <c:idx val="1"/>
          <c:order val="1"/>
          <c:tx>
            <c:strRef>
              <c:f>'Transport - AME'!$E$108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AME'!$H$108:$K$108</c:f>
              <c:numCache>
                <c:formatCode>_-* #\ ##0_-;\-* #\ ##0_-;_-* "-"??_-;_-@_-</c:formatCode>
                <c:ptCount val="4"/>
                <c:pt idx="0" formatCode="0">
                  <c:v>537.35243965176949</c:v>
                </c:pt>
                <c:pt idx="1">
                  <c:v>316.01283801212418</c:v>
                </c:pt>
                <c:pt idx="2">
                  <c:v>263.28625618746054</c:v>
                </c:pt>
                <c:pt idx="3">
                  <c:v>207.45336499736223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7-4483-8424-67C3F1C69540}"/>
            </c:ext>
          </c:extLst>
        </c:ser>
        <c:ser>
          <c:idx val="2"/>
          <c:order val="2"/>
          <c:tx>
            <c:strRef>
              <c:f>'Transport - AME'!$E$109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AME'!$H$109:$K$109</c:f>
              <c:numCache>
                <c:formatCode>_-* #\ ##0_-;\-* #\ ##0_-;_-* "-"??_-;_-@_-</c:formatCode>
                <c:ptCount val="4"/>
                <c:pt idx="0" formatCode="0">
                  <c:v>77.048676351270743</c:v>
                </c:pt>
                <c:pt idx="1">
                  <c:v>47.202098516537824</c:v>
                </c:pt>
                <c:pt idx="2">
                  <c:v>41.070622668907667</c:v>
                </c:pt>
                <c:pt idx="3">
                  <c:v>33.891457551476314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7-4483-8424-67C3F1C69540}"/>
            </c:ext>
          </c:extLst>
        </c:ser>
        <c:ser>
          <c:idx val="3"/>
          <c:order val="3"/>
          <c:tx>
            <c:strRef>
              <c:f>'Transport - AME'!$E$110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AME'!$H$110:$K$110</c:f>
              <c:numCache>
                <c:formatCode>_-* #\ ##0_-;\-* #\ ##0_-;_-* "-"??_-;_-@_-</c:formatCode>
                <c:ptCount val="4"/>
                <c:pt idx="0" formatCode="0">
                  <c:v>20.951491111798855</c:v>
                </c:pt>
                <c:pt idx="1">
                  <c:v>13.652176462397019</c:v>
                </c:pt>
                <c:pt idx="2">
                  <c:v>12.602166718851485</c:v>
                </c:pt>
                <c:pt idx="3">
                  <c:v>11.007046176444115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7-4483-8424-67C3F1C69540}"/>
            </c:ext>
          </c:extLst>
        </c:ser>
        <c:ser>
          <c:idx val="4"/>
          <c:order val="4"/>
          <c:tx>
            <c:strRef>
              <c:f>'Transport - AME'!$E$111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AME'!$H$111:$K$111</c:f>
              <c:numCache>
                <c:formatCode>_-* #\ ##0_-;\-* #\ ##0_-;_-* "-"??_-;_-@_-</c:formatCode>
                <c:ptCount val="4"/>
                <c:pt idx="0" formatCode="0">
                  <c:v>10.96948616476014</c:v>
                </c:pt>
                <c:pt idx="1">
                  <c:v>6.1386246588687525</c:v>
                </c:pt>
                <c:pt idx="2">
                  <c:v>4.8261158794231118</c:v>
                </c:pt>
                <c:pt idx="3">
                  <c:v>3.549743381919761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7-4483-8424-67C3F1C69540}"/>
            </c:ext>
          </c:extLst>
        </c:ser>
        <c:ser>
          <c:idx val="5"/>
          <c:order val="5"/>
          <c:tx>
            <c:strRef>
              <c:f>'Transport - AME'!$E$112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AME'!$H$112:$K$112</c:f>
              <c:numCache>
                <c:formatCode>_-* #\ ##0_-;\-* #\ ##0_-;_-* "-"??_-;_-@_-</c:formatCode>
                <c:ptCount val="4"/>
                <c:pt idx="0" formatCode="0">
                  <c:v>146.55986204515935</c:v>
                </c:pt>
                <c:pt idx="1">
                  <c:v>106.47102353807699</c:v>
                </c:pt>
                <c:pt idx="2">
                  <c:v>107.41827722711847</c:v>
                </c:pt>
                <c:pt idx="3">
                  <c:v>101.05679953404669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A7-4483-8424-67C3F1C69540}"/>
            </c:ext>
          </c:extLst>
        </c:ser>
        <c:ser>
          <c:idx val="6"/>
          <c:order val="6"/>
          <c:tx>
            <c:strRef>
              <c:f>'Transport - AME'!$E$113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AME'!$H$113:$K$113</c:f>
              <c:numCache>
                <c:formatCode>_-* #\ ##0_-;\-* #\ ##0_-;_-* "-"??_-;_-@_-</c:formatCode>
                <c:ptCount val="4"/>
                <c:pt idx="0" formatCode="0">
                  <c:v>32.937703492020219</c:v>
                </c:pt>
                <c:pt idx="1">
                  <c:v>23.892449559435672</c:v>
                </c:pt>
                <c:pt idx="2">
                  <c:v>24.078327491627778</c:v>
                </c:pt>
                <c:pt idx="3">
                  <c:v>22.633033709697727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7-4483-8424-67C3F1C6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- AME'!$E$118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AME'!$H$118:$K$118</c:f>
              <c:numCache>
                <c:formatCode>_-* #\ ##0_-;\-* #\ ##0_-;_-* "-"??_-;_-@_-</c:formatCode>
                <c:ptCount val="4"/>
                <c:pt idx="0">
                  <c:v>383.1886104669257</c:v>
                </c:pt>
                <c:pt idx="1">
                  <c:v>278.34869954766867</c:v>
                </c:pt>
                <c:pt idx="2">
                  <c:v>202.6604342697195</c:v>
                </c:pt>
                <c:pt idx="3">
                  <c:v>137.02092616797313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C-40AE-A265-4120F4FA8D51}"/>
            </c:ext>
          </c:extLst>
        </c:ser>
        <c:ser>
          <c:idx val="1"/>
          <c:order val="1"/>
          <c:tx>
            <c:strRef>
              <c:f>'Transport - AME'!$E$119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AME'!$H$119:$K$119</c:f>
              <c:numCache>
                <c:formatCode>_-* #\ ##0_-;\-* #\ ##0_-;_-* "-"??_-;_-@_-</c:formatCode>
                <c:ptCount val="4"/>
                <c:pt idx="0">
                  <c:v>774.86353019382125</c:v>
                </c:pt>
                <c:pt idx="1">
                  <c:v>646.18659456039711</c:v>
                </c:pt>
                <c:pt idx="2">
                  <c:v>560.03053604530328</c:v>
                </c:pt>
                <c:pt idx="3">
                  <c:v>477.45642352542916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C-40AE-A265-4120F4FA8D51}"/>
            </c:ext>
          </c:extLst>
        </c:ser>
        <c:ser>
          <c:idx val="2"/>
          <c:order val="2"/>
          <c:tx>
            <c:strRef>
              <c:f>'Transport - AME'!$E$120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AME'!$H$120:$K$120</c:f>
              <c:numCache>
                <c:formatCode>_-* #\ ##0_-;\-* #\ ##0_-;_-* "-"??_-;_-@_-</c:formatCode>
                <c:ptCount val="4"/>
                <c:pt idx="0">
                  <c:v>111.10437945158822</c:v>
                </c:pt>
                <c:pt idx="1">
                  <c:v>99.427929265889091</c:v>
                </c:pt>
                <c:pt idx="2">
                  <c:v>92.704869198090762</c:v>
                </c:pt>
                <c:pt idx="3">
                  <c:v>85.26781078517827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C-40AE-A265-4120F4FA8D51}"/>
            </c:ext>
          </c:extLst>
        </c:ser>
        <c:ser>
          <c:idx val="3"/>
          <c:order val="3"/>
          <c:tx>
            <c:strRef>
              <c:f>'Transport - AME'!$E$121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AME'!$H$121:$K$121</c:f>
              <c:numCache>
                <c:formatCode>_-* #\ ##0_-;\-* #\ ##0_-;_-* "-"??_-;_-@_-</c:formatCode>
                <c:ptCount val="4"/>
                <c:pt idx="0">
                  <c:v>30.212101346806406</c:v>
                </c:pt>
                <c:pt idx="1">
                  <c:v>28.757357793172318</c:v>
                </c:pt>
                <c:pt idx="2">
                  <c:v>28.445690407516082</c:v>
                </c:pt>
                <c:pt idx="3">
                  <c:v>27.692722546713664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C-40AE-A265-4120F4FA8D51}"/>
            </c:ext>
          </c:extLst>
        </c:ser>
        <c:ser>
          <c:idx val="4"/>
          <c:order val="4"/>
          <c:tx>
            <c:strRef>
              <c:f>'Transport - AME'!$E$122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AME'!$H$122:$K$122</c:f>
              <c:numCache>
                <c:formatCode>_-* #\ ##0_-;\-* #\ ##0_-;_-* "-"??_-;_-@_-</c:formatCode>
                <c:ptCount val="4"/>
                <c:pt idx="0">
                  <c:v>15.818025837096123</c:v>
                </c:pt>
                <c:pt idx="1">
                  <c:v>12.930584816223821</c:v>
                </c:pt>
                <c:pt idx="2">
                  <c:v>10.893539280948223</c:v>
                </c:pt>
                <c:pt idx="3">
                  <c:v>8.930830034847185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1C-40AE-A265-4120F4FA8D51}"/>
            </c:ext>
          </c:extLst>
        </c:ser>
        <c:ser>
          <c:idx val="5"/>
          <c:order val="5"/>
          <c:tx>
            <c:strRef>
              <c:f>'Transport - AME'!$E$123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AME'!$H$123:$K$123</c:f>
              <c:numCache>
                <c:formatCode>_-* #\ ##0_-;\-* #\ ##0_-;_-* "-"??_-;_-@_-</c:formatCode>
                <c:ptCount val="4"/>
                <c:pt idx="0">
                  <c:v>211.33967896866082</c:v>
                </c:pt>
                <c:pt idx="1">
                  <c:v>208.99179171505224</c:v>
                </c:pt>
                <c:pt idx="2">
                  <c:v>210.54787669857117</c:v>
                </c:pt>
                <c:pt idx="3">
                  <c:v>205.73706666357407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1C-40AE-A265-4120F4FA8D51}"/>
            </c:ext>
          </c:extLst>
        </c:ser>
        <c:ser>
          <c:idx val="6"/>
          <c:order val="6"/>
          <c:tx>
            <c:strRef>
              <c:f>'Transport - AME'!$E$124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'Transport - AME'!$H$11:$K$12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AME'!$H$124:$K$124</c:f>
              <c:numCache>
                <c:formatCode>_-* #\ ##0_-;\-* #\ ##0_-;_-* "-"??_-;_-@_-</c:formatCode>
                <c:ptCount val="4"/>
                <c:pt idx="0">
                  <c:v>47.496248869445516</c:v>
                </c:pt>
                <c:pt idx="1">
                  <c:v>46.898448760589027</c:v>
                </c:pt>
                <c:pt idx="2">
                  <c:v>47.195327077310424</c:v>
                </c:pt>
                <c:pt idx="3">
                  <c:v>46.07759187507429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1C-40AE-A265-4120F4FA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'Bureaux - AMS'!$E$13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AMS'!$H$13:$K$13</c:f>
              <c:numCache>
                <c:formatCode>#,##0</c:formatCode>
                <c:ptCount val="4"/>
                <c:pt idx="0">
                  <c:v>2726.6120560153463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4-4CDD-A7CD-27A1B116A5F6}"/>
            </c:ext>
          </c:extLst>
        </c:ser>
        <c:ser>
          <c:idx val="1"/>
          <c:order val="1"/>
          <c:tx>
            <c:strRef>
              <c:f>'Bureaux - AMS'!$E$14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AMS'!$H$14:$K$14</c:f>
              <c:numCache>
                <c:formatCode>#,##0</c:formatCode>
                <c:ptCount val="4"/>
                <c:pt idx="0">
                  <c:v>12612.742080216067</c:v>
                </c:pt>
                <c:pt idx="1">
                  <c:v>5166.5770263796967</c:v>
                </c:pt>
                <c:pt idx="2">
                  <c:v>3546.030836832103</c:v>
                </c:pt>
                <c:pt idx="3">
                  <c:v>2104.1911481412662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4-4CDD-A7CD-27A1B116A5F6}"/>
            </c:ext>
          </c:extLst>
        </c:ser>
        <c:ser>
          <c:idx val="2"/>
          <c:order val="2"/>
          <c:tx>
            <c:strRef>
              <c:f>'Bureaux - AMS'!$E$15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AMS'!$H$15:$K$15</c:f>
              <c:numCache>
                <c:formatCode>#,##0</c:formatCode>
                <c:ptCount val="4"/>
                <c:pt idx="0">
                  <c:v>2182.2882773806514</c:v>
                </c:pt>
                <c:pt idx="1">
                  <c:v>5762.6632571292403</c:v>
                </c:pt>
                <c:pt idx="2">
                  <c:v>5000.8739106244875</c:v>
                </c:pt>
                <c:pt idx="3">
                  <c:v>4676.2622598124617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4-4CDD-A7CD-27A1B116A5F6}"/>
            </c:ext>
          </c:extLst>
        </c:ser>
        <c:ser>
          <c:idx val="3"/>
          <c:order val="3"/>
          <c:tx>
            <c:strRef>
              <c:f>'Bureaux - AMS'!$E$16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AMS'!$H$16:$K$16</c:f>
              <c:numCache>
                <c:formatCode>#,##0</c:formatCode>
                <c:ptCount val="4"/>
                <c:pt idx="0">
                  <c:v>307.62788714260148</c:v>
                </c:pt>
                <c:pt idx="1">
                  <c:v>149.27400319447321</c:v>
                </c:pt>
                <c:pt idx="2">
                  <c:v>67.604223695704007</c:v>
                </c:pt>
                <c:pt idx="3">
                  <c:v>5.0800130096935447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4-4CDD-A7CD-27A1B116A5F6}"/>
            </c:ext>
          </c:extLst>
        </c:ser>
        <c:ser>
          <c:idx val="4"/>
          <c:order val="4"/>
          <c:tx>
            <c:strRef>
              <c:f>'Bureaux - AMS'!$E$17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AMS'!$H$17:$K$17</c:f>
              <c:numCache>
                <c:formatCode>#,##0</c:formatCode>
                <c:ptCount val="4"/>
                <c:pt idx="0">
                  <c:v>211.60220438310148</c:v>
                </c:pt>
                <c:pt idx="1">
                  <c:v>242.45693026692524</c:v>
                </c:pt>
                <c:pt idx="2">
                  <c:v>210.50575147997154</c:v>
                </c:pt>
                <c:pt idx="3">
                  <c:v>172.08630188143769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E4-4CDD-A7CD-27A1B116A5F6}"/>
            </c:ext>
          </c:extLst>
        </c:ser>
        <c:ser>
          <c:idx val="5"/>
          <c:order val="5"/>
          <c:tx>
            <c:strRef>
              <c:f>'Bureaux - AMS'!$E$18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AMS'!$H$18:$K$18</c:f>
              <c:numCache>
                <c:formatCode>#,##0</c:formatCode>
                <c:ptCount val="4"/>
                <c:pt idx="0">
                  <c:v>4852.5796236647593</c:v>
                </c:pt>
                <c:pt idx="1">
                  <c:v>1919.7510233583523</c:v>
                </c:pt>
                <c:pt idx="2">
                  <c:v>520.38837018846414</c:v>
                </c:pt>
                <c:pt idx="3">
                  <c:v>288.81212712475218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E4-4CDD-A7CD-27A1B116A5F6}"/>
            </c:ext>
          </c:extLst>
        </c:ser>
        <c:ser>
          <c:idx val="6"/>
          <c:order val="6"/>
          <c:tx>
            <c:strRef>
              <c:f>'Bureaux - AMS'!$E$19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AMS'!$H$19:$K$19</c:f>
              <c:numCache>
                <c:formatCode>#,##0</c:formatCode>
                <c:ptCount val="4"/>
                <c:pt idx="0">
                  <c:v>962.9956913685495</c:v>
                </c:pt>
                <c:pt idx="1">
                  <c:v>2318.2985490342458</c:v>
                </c:pt>
                <c:pt idx="2">
                  <c:v>3312.4376618533661</c:v>
                </c:pt>
                <c:pt idx="3">
                  <c:v>2721.6626278237345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E4-4CDD-A7CD-27A1B116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Parc tertiaire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Résultats!$B$25</c:f>
              <c:strCache>
                <c:ptCount val="1"/>
                <c:pt idx="0">
                  <c:v>Neuf post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Résultats!$Z$8:$AC$8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Résultats!$Z$25:$AC$25</c:f>
              <c:numCache>
                <c:formatCode>#,##0</c:formatCode>
                <c:ptCount val="4"/>
                <c:pt idx="0">
                  <c:v>0</c:v>
                </c:pt>
                <c:pt idx="1">
                  <c:v>43305.628128021497</c:v>
                </c:pt>
                <c:pt idx="2">
                  <c:v>49369.372265111757</c:v>
                </c:pt>
                <c:pt idx="3">
                  <c:v>45299.353840345255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3-435E-81BF-1F15E705C503}"/>
            </c:ext>
          </c:extLst>
        </c:ser>
        <c:ser>
          <c:idx val="1"/>
          <c:order val="1"/>
          <c:tx>
            <c:strRef>
              <c:f>Résultats!$B$26</c:f>
              <c:strCache>
                <c:ptCount val="1"/>
                <c:pt idx="0">
                  <c:v>Existant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Résultats!$Z$8:$AC$8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Résultats!$Z$26:$AC$26</c:f>
              <c:numCache>
                <c:formatCode>#,##0</c:formatCode>
                <c:ptCount val="4"/>
                <c:pt idx="0">
                  <c:v>1004670.0170267724</c:v>
                </c:pt>
                <c:pt idx="1">
                  <c:v>974586.26312492765</c:v>
                </c:pt>
                <c:pt idx="2">
                  <c:v>981571.0812123362</c:v>
                </c:pt>
                <c:pt idx="3">
                  <c:v>976998.43666769937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3-435E-81BF-1F15E705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783488"/>
        <c:axId val="1017780992"/>
      </c:barChart>
      <c:catAx>
        <c:axId val="10177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80992"/>
        <c:crosses val="autoZero"/>
        <c:auto val="1"/>
        <c:lblAlgn val="ctr"/>
        <c:lblOffset val="100"/>
        <c:noMultiLvlLbl val="0"/>
      </c:catAx>
      <c:valAx>
        <c:axId val="1017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7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'Bureaux - AMS'!$E$8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'Bureaux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'Bureaux - AMS'!$H$8:$K$8</c:f>
              <c:numCache>
                <c:formatCode>#,##0</c:formatCode>
                <c:ptCount val="4"/>
                <c:pt idx="0">
                  <c:v>0</c:v>
                </c:pt>
                <c:pt idx="1">
                  <c:v>5164.8553369834699</c:v>
                </c:pt>
                <c:pt idx="2">
                  <c:v>5108.6719031846442</c:v>
                </c:pt>
                <c:pt idx="3">
                  <c:v>4946.8592483837929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2-4AC5-9DF1-2A2482ABA7CF}"/>
            </c:ext>
          </c:extLst>
        </c:ser>
        <c:ser>
          <c:idx val="1"/>
          <c:order val="1"/>
          <c:tx>
            <c:strRef>
              <c:f>'Bureaux - AMS'!$E$9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'Bureaux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'Bureaux - AMS'!$H$9:$K$9</c:f>
              <c:numCache>
                <c:formatCode>#,##0</c:formatCode>
                <c:ptCount val="4"/>
                <c:pt idx="0">
                  <c:v>239113.67300849396</c:v>
                </c:pt>
                <c:pt idx="1">
                  <c:v>231347.73277341673</c:v>
                </c:pt>
                <c:pt idx="2">
                  <c:v>223912.58959606502</c:v>
                </c:pt>
                <c:pt idx="3">
                  <c:v>211713.03814975632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2-4AC5-9DF1-2A2482AB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'Bureaux - AMS'!$E$107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AMS'!$H$107:$K$107</c:f>
              <c:numCache>
                <c:formatCode>_-* #\ ##0_-;\-* #\ ##0_-;_-* "-"??_-;_-@_-</c:formatCode>
                <c:ptCount val="4"/>
                <c:pt idx="0" formatCode="0">
                  <c:v>2058.2512757845843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E-4773-BFCA-43E8E5ECB471}"/>
            </c:ext>
          </c:extLst>
        </c:ser>
        <c:ser>
          <c:idx val="1"/>
          <c:order val="1"/>
          <c:tx>
            <c:strRef>
              <c:f>'Bureaux - AMS'!$E$108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AMS'!$H$108:$K$108</c:f>
              <c:numCache>
                <c:formatCode>_-* #\ ##0_-;\-* #\ ##0_-;_-* "-"??_-;_-@_-</c:formatCode>
                <c:ptCount val="4"/>
                <c:pt idx="0" formatCode="0">
                  <c:v>9521.0436778031035</c:v>
                </c:pt>
                <c:pt idx="1">
                  <c:v>3581.3958381765415</c:v>
                </c:pt>
                <c:pt idx="2">
                  <c:v>2441.5688537532474</c:v>
                </c:pt>
                <c:pt idx="3">
                  <c:v>1399.4173713716471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E-4773-BFCA-43E8E5ECB471}"/>
            </c:ext>
          </c:extLst>
        </c:ser>
        <c:ser>
          <c:idx val="2"/>
          <c:order val="2"/>
          <c:tx>
            <c:strRef>
              <c:f>'Bureaux - AMS'!$E$109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AMS'!$H$109:$K$109</c:f>
              <c:numCache>
                <c:formatCode>_-* #\ ##0_-;\-* #\ ##0_-;_-* "-"??_-;_-@_-</c:formatCode>
                <c:ptCount val="4"/>
                <c:pt idx="0" formatCode="0">
                  <c:v>1647.3548633877192</c:v>
                </c:pt>
                <c:pt idx="1">
                  <c:v>3929.0819018310199</c:v>
                </c:pt>
                <c:pt idx="2">
                  <c:v>3348.2489889474591</c:v>
                </c:pt>
                <c:pt idx="3">
                  <c:v>2985.2558431167527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E-4773-BFCA-43E8E5ECB471}"/>
            </c:ext>
          </c:extLst>
        </c:ser>
        <c:ser>
          <c:idx val="3"/>
          <c:order val="3"/>
          <c:tx>
            <c:strRef>
              <c:f>'Bureaux - AMS'!$E$110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AMS'!$H$110:$K$110</c:f>
              <c:numCache>
                <c:formatCode>_-* #\ ##0_-;\-* #\ ##0_-;_-* "-"??_-;_-@_-</c:formatCode>
                <c:ptCount val="4"/>
                <c:pt idx="0" formatCode="0">
                  <c:v>232.22060130677127</c:v>
                </c:pt>
                <c:pt idx="1">
                  <c:v>98.883746352698026</c:v>
                </c:pt>
                <c:pt idx="2">
                  <c:v>42.132922145815499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E-4773-BFCA-43E8E5ECB471}"/>
            </c:ext>
          </c:extLst>
        </c:ser>
        <c:ser>
          <c:idx val="4"/>
          <c:order val="4"/>
          <c:tx>
            <c:strRef>
              <c:f>'Bureaux - AMS'!$E$111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AMS'!$H$111:$K$111</c:f>
              <c:numCache>
                <c:formatCode>_-* #\ ##0_-;\-* #\ ##0_-;_-* "-"??_-;_-@_-</c:formatCode>
                <c:ptCount val="4"/>
                <c:pt idx="0" formatCode="0">
                  <c:v>159.73321403369371</c:v>
                </c:pt>
                <c:pt idx="1">
                  <c:v>163.87734293407647</c:v>
                </c:pt>
                <c:pt idx="2">
                  <c:v>139.65149149339774</c:v>
                </c:pt>
                <c:pt idx="3">
                  <c:v>106.72412416762225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E-4773-BFCA-43E8E5ECB471}"/>
            </c:ext>
          </c:extLst>
        </c:ser>
        <c:ser>
          <c:idx val="5"/>
          <c:order val="5"/>
          <c:tx>
            <c:strRef>
              <c:f>'Bureaux - AMS'!$E$112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AMS'!$H$112:$K$112</c:f>
              <c:numCache>
                <c:formatCode>_-* #\ ##0_-;\-* #\ ##0_-;_-* "-"??_-;_-@_-</c:formatCode>
                <c:ptCount val="4"/>
                <c:pt idx="0" formatCode="0">
                  <c:v>3663.091043413935</c:v>
                </c:pt>
                <c:pt idx="1">
                  <c:v>1307.5447624695992</c:v>
                </c:pt>
                <c:pt idx="2">
                  <c:v>361.82027159002797</c:v>
                </c:pt>
                <c:pt idx="3">
                  <c:v>199.00784217848897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E-4773-BFCA-43E8E5ECB471}"/>
            </c:ext>
          </c:extLst>
        </c:ser>
        <c:ser>
          <c:idx val="6"/>
          <c:order val="6"/>
          <c:tx>
            <c:strRef>
              <c:f>'Bureaux - AMS'!$E$113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AMS'!$H$113:$K$113</c:f>
              <c:numCache>
                <c:formatCode>_-* #\ ##0_-;\-* #\ ##0_-;_-* "-"??_-;_-@_-</c:formatCode>
                <c:ptCount val="4"/>
                <c:pt idx="0" formatCode="0">
                  <c:v>726.94137252183373</c:v>
                </c:pt>
                <c:pt idx="1">
                  <c:v>1584.8705286466363</c:v>
                </c:pt>
                <c:pt idx="2">
                  <c:v>2268.9751312396202</c:v>
                </c:pt>
                <c:pt idx="3">
                  <c:v>1816.5616568252408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E-4773-BFCA-43E8E5EC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'Bureaux - AMS'!$E$118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AMS'!$H$118:$K$118</c:f>
              <c:numCache>
                <c:formatCode>_-* #\ ##0_-;\-* #\ ##0_-;_-* "-"??_-;_-@_-</c:formatCode>
                <c:ptCount val="4"/>
                <c:pt idx="0">
                  <c:v>668.36078023076186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A-487B-83F3-AA189AC75505}"/>
            </c:ext>
          </c:extLst>
        </c:ser>
        <c:ser>
          <c:idx val="1"/>
          <c:order val="1"/>
          <c:tx>
            <c:strRef>
              <c:f>'Bureaux - AMS'!$E$119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AMS'!$H$119:$K$119</c:f>
              <c:numCache>
                <c:formatCode>_-* #\ ##0_-;\-* #\ ##0_-;_-* "-"??_-;_-@_-</c:formatCode>
                <c:ptCount val="4"/>
                <c:pt idx="0">
                  <c:v>3091.6984024129642</c:v>
                </c:pt>
                <c:pt idx="1">
                  <c:v>1585.1811882031554</c:v>
                </c:pt>
                <c:pt idx="2">
                  <c:v>1104.4619830788556</c:v>
                </c:pt>
                <c:pt idx="3">
                  <c:v>704.77377676961919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A-487B-83F3-AA189AC75505}"/>
            </c:ext>
          </c:extLst>
        </c:ser>
        <c:ser>
          <c:idx val="2"/>
          <c:order val="2"/>
          <c:tx>
            <c:strRef>
              <c:f>'Bureaux - AMS'!$E$120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AMS'!$H$120:$K$120</c:f>
              <c:numCache>
                <c:formatCode>_-* #\ ##0_-;\-* #\ ##0_-;_-* "-"??_-;_-@_-</c:formatCode>
                <c:ptCount val="4"/>
                <c:pt idx="0">
                  <c:v>534.93341399293229</c:v>
                </c:pt>
                <c:pt idx="1">
                  <c:v>1791.4782371549584</c:v>
                </c:pt>
                <c:pt idx="2">
                  <c:v>1607.2642363320238</c:v>
                </c:pt>
                <c:pt idx="3">
                  <c:v>1643.4846120765651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A-487B-83F3-AA189AC75505}"/>
            </c:ext>
          </c:extLst>
        </c:ser>
        <c:ser>
          <c:idx val="3"/>
          <c:order val="3"/>
          <c:tx>
            <c:strRef>
              <c:f>'Bureaux - AMS'!$E$121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AMS'!$H$121:$K$121</c:f>
              <c:numCache>
                <c:formatCode>_-* #\ ##0_-;\-* #\ ##0_-;_-* "-"??_-;_-@_-</c:formatCode>
                <c:ptCount val="4"/>
                <c:pt idx="0">
                  <c:v>75.407285835830208</c:v>
                </c:pt>
                <c:pt idx="1">
                  <c:v>45.086379980181988</c:v>
                </c:pt>
                <c:pt idx="2">
                  <c:v>20.225120401938366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A-487B-83F3-AA189AC75505}"/>
            </c:ext>
          </c:extLst>
        </c:ser>
        <c:ser>
          <c:idx val="4"/>
          <c:order val="4"/>
          <c:tx>
            <c:strRef>
              <c:f>'Bureaux - AMS'!$E$122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AMS'!$H$122:$K$122</c:f>
              <c:numCache>
                <c:formatCode>_-* #\ ##0_-;\-* #\ ##0_-;_-* "-"??_-;_-@_-</c:formatCode>
                <c:ptCount val="4"/>
                <c:pt idx="0">
                  <c:v>51.86899034940776</c:v>
                </c:pt>
                <c:pt idx="1">
                  <c:v>74.720431073824983</c:v>
                </c:pt>
                <c:pt idx="2">
                  <c:v>67.037083732032514</c:v>
                </c:pt>
                <c:pt idx="3">
                  <c:v>58.755250814184912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AA-487B-83F3-AA189AC75505}"/>
            </c:ext>
          </c:extLst>
        </c:ser>
        <c:ser>
          <c:idx val="5"/>
          <c:order val="5"/>
          <c:tx>
            <c:strRef>
              <c:f>'Bureaux - AMS'!$E$123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AMS'!$H$123:$K$123</c:f>
              <c:numCache>
                <c:formatCode>_-* #\ ##0_-;\-* #\ ##0_-;_-* "-"??_-;_-@_-</c:formatCode>
                <c:ptCount val="4"/>
                <c:pt idx="0">
                  <c:v>1189.4885802508243</c:v>
                </c:pt>
                <c:pt idx="1">
                  <c:v>555.55585992492263</c:v>
                </c:pt>
                <c:pt idx="2">
                  <c:v>150.82170812101444</c:v>
                </c:pt>
                <c:pt idx="3">
                  <c:v>88.655648956910937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A-487B-83F3-AA189AC75505}"/>
            </c:ext>
          </c:extLst>
        </c:ser>
        <c:ser>
          <c:idx val="6"/>
          <c:order val="6"/>
          <c:tx>
            <c:strRef>
              <c:f>'Bureaux - AMS'!$E$124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'Bureaux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'Bureaux - AMS'!$H$124:$K$124</c:f>
              <c:numCache>
                <c:formatCode>_-* #\ ##0_-;\-* #\ ##0_-;_-* "-"??_-;_-@_-</c:formatCode>
                <c:ptCount val="4"/>
                <c:pt idx="0">
                  <c:v>236.05431884671577</c:v>
                </c:pt>
                <c:pt idx="1">
                  <c:v>673.38735520530224</c:v>
                </c:pt>
                <c:pt idx="2">
                  <c:v>945.80301837099739</c:v>
                </c:pt>
                <c:pt idx="3">
                  <c:v>809.25681517434691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A-487B-83F3-AA189AC7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'CaHoREs - AMS'!$E$13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AMS'!$H$13:$K$13</c:f>
              <c:numCache>
                <c:formatCode>#,##0</c:formatCode>
                <c:ptCount val="4"/>
                <c:pt idx="0">
                  <c:v>684.76544972812997</c:v>
                </c:pt>
                <c:pt idx="1">
                  <c:v>166.82044030811954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5F1-8712-7154D3C16988}"/>
            </c:ext>
          </c:extLst>
        </c:ser>
        <c:ser>
          <c:idx val="1"/>
          <c:order val="1"/>
          <c:tx>
            <c:strRef>
              <c:f>'CaHoREs - AMS'!$E$14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AMS'!$H$14:$K$14</c:f>
              <c:numCache>
                <c:formatCode>#,##0</c:formatCode>
                <c:ptCount val="4"/>
                <c:pt idx="0">
                  <c:v>3344.9889661355855</c:v>
                </c:pt>
                <c:pt idx="1">
                  <c:v>1865.3890617198003</c:v>
                </c:pt>
                <c:pt idx="2">
                  <c:v>1409.4449115228704</c:v>
                </c:pt>
                <c:pt idx="3">
                  <c:v>956.97174442006758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E-45F1-8712-7154D3C16988}"/>
            </c:ext>
          </c:extLst>
        </c:ser>
        <c:ser>
          <c:idx val="2"/>
          <c:order val="2"/>
          <c:tx>
            <c:strRef>
              <c:f>'CaHoREs - AMS'!$E$15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AMS'!$H$15:$K$15</c:f>
              <c:numCache>
                <c:formatCode>#,##0</c:formatCode>
                <c:ptCount val="4"/>
                <c:pt idx="0">
                  <c:v>644.05562556936832</c:v>
                </c:pt>
                <c:pt idx="1">
                  <c:v>1330.5873134868173</c:v>
                </c:pt>
                <c:pt idx="2">
                  <c:v>1332.3626424128772</c:v>
                </c:pt>
                <c:pt idx="3">
                  <c:v>1329.1367555725415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E-45F1-8712-7154D3C16988}"/>
            </c:ext>
          </c:extLst>
        </c:ser>
        <c:ser>
          <c:idx val="3"/>
          <c:order val="3"/>
          <c:tx>
            <c:strRef>
              <c:f>'CaHoREs - AMS'!$E$16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AMS'!$H$16:$K$16</c:f>
              <c:numCache>
                <c:formatCode>#,##0</c:formatCode>
                <c:ptCount val="4"/>
                <c:pt idx="0">
                  <c:v>110.94916911207362</c:v>
                </c:pt>
                <c:pt idx="1">
                  <c:v>48.458408419146735</c:v>
                </c:pt>
                <c:pt idx="2">
                  <c:v>22.101290729913437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E-45F1-8712-7154D3C16988}"/>
            </c:ext>
          </c:extLst>
        </c:ser>
        <c:ser>
          <c:idx val="4"/>
          <c:order val="4"/>
          <c:tx>
            <c:strRef>
              <c:f>'CaHoREs - AMS'!$E$17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AMS'!$H$17:$K$17</c:f>
              <c:numCache>
                <c:formatCode>#,##0</c:formatCode>
                <c:ptCount val="4"/>
                <c:pt idx="0">
                  <c:v>105.085067784548</c:v>
                </c:pt>
                <c:pt idx="1">
                  <c:v>67.530420497959653</c:v>
                </c:pt>
                <c:pt idx="2">
                  <c:v>56.602390650768243</c:v>
                </c:pt>
                <c:pt idx="3">
                  <c:v>44.793748535993203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DE-45F1-8712-7154D3C16988}"/>
            </c:ext>
          </c:extLst>
        </c:ser>
        <c:ser>
          <c:idx val="5"/>
          <c:order val="5"/>
          <c:tx>
            <c:strRef>
              <c:f>'CaHoREs - AMS'!$E$18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AMS'!$H$18:$K$18</c:f>
              <c:numCache>
                <c:formatCode>#,##0</c:formatCode>
                <c:ptCount val="4"/>
                <c:pt idx="0">
                  <c:v>1126.3148298057915</c:v>
                </c:pt>
                <c:pt idx="1">
                  <c:v>280.17131772446379</c:v>
                </c:pt>
                <c:pt idx="2">
                  <c:v>276.17262296174408</c:v>
                </c:pt>
                <c:pt idx="3">
                  <c:v>147.02925207990731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DE-45F1-8712-7154D3C16988}"/>
            </c:ext>
          </c:extLst>
        </c:ser>
        <c:ser>
          <c:idx val="6"/>
          <c:order val="6"/>
          <c:tx>
            <c:strRef>
              <c:f>'CaHoREs - AMS'!$E$19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AMS'!$H$19:$K$19</c:f>
              <c:numCache>
                <c:formatCode>#,##0</c:formatCode>
                <c:ptCount val="4"/>
                <c:pt idx="0">
                  <c:v>330.54470576018718</c:v>
                </c:pt>
                <c:pt idx="1">
                  <c:v>627.7659568758462</c:v>
                </c:pt>
                <c:pt idx="2">
                  <c:v>648.76855611470569</c:v>
                </c:pt>
                <c:pt idx="3">
                  <c:v>636.16808933728714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DE-45F1-8712-7154D3C1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'CaHoREs - AMS'!$E$8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'CaHoREs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'CaHoREs - AMS'!$H$8:$K$8</c:f>
              <c:numCache>
                <c:formatCode>#,##0</c:formatCode>
                <c:ptCount val="4"/>
                <c:pt idx="0">
                  <c:v>0</c:v>
                </c:pt>
                <c:pt idx="1">
                  <c:v>2942.8867840113244</c:v>
                </c:pt>
                <c:pt idx="2">
                  <c:v>2802.5547212735701</c:v>
                </c:pt>
                <c:pt idx="3">
                  <c:v>1993.67497877806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C80-B2C2-70A53929F313}"/>
            </c:ext>
          </c:extLst>
        </c:ser>
        <c:ser>
          <c:idx val="1"/>
          <c:order val="1"/>
          <c:tx>
            <c:strRef>
              <c:f>'CaHoREs - AMS'!$E$9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'CaHoREs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'CaHoREs - AMS'!$H$9:$K$9</c:f>
              <c:numCache>
                <c:formatCode>#,##0</c:formatCode>
                <c:ptCount val="4"/>
                <c:pt idx="0">
                  <c:v>67389.90174661066</c:v>
                </c:pt>
                <c:pt idx="1">
                  <c:v>65449.072576308274</c:v>
                </c:pt>
                <c:pt idx="2">
                  <c:v>66422.270930742394</c:v>
                </c:pt>
                <c:pt idx="3">
                  <c:v>66501.833286520778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C80-B2C2-70A53929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'CaHoREs - AMS'!$E$107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AMS'!$H$107:$K$107</c:f>
              <c:numCache>
                <c:formatCode>_-* #\ ##0_-;\-* #\ ##0_-;_-* "-"??_-;_-@_-</c:formatCode>
                <c:ptCount val="4"/>
                <c:pt idx="0" formatCode="0">
                  <c:v>508.43834642313647</c:v>
                </c:pt>
                <c:pt idx="1">
                  <c:v>109.28087945600954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96A-BA8E-5D2BAFA751EB}"/>
            </c:ext>
          </c:extLst>
        </c:ser>
        <c:ser>
          <c:idx val="1"/>
          <c:order val="1"/>
          <c:tx>
            <c:strRef>
              <c:f>'CaHoREs - AMS'!$E$108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AMS'!$H$108:$K$108</c:f>
              <c:numCache>
                <c:formatCode>_-* #\ ##0_-;\-* #\ ##0_-;_-* "-"??_-;_-@_-</c:formatCode>
                <c:ptCount val="4"/>
                <c:pt idx="0" formatCode="0">
                  <c:v>2483.6543073556722</c:v>
                </c:pt>
                <c:pt idx="1">
                  <c:v>1217.9388491764748</c:v>
                </c:pt>
                <c:pt idx="2">
                  <c:v>914.33593753444654</c:v>
                </c:pt>
                <c:pt idx="3">
                  <c:v>597.54889497840622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96A-BA8E-5D2BAFA751EB}"/>
            </c:ext>
          </c:extLst>
        </c:ser>
        <c:ser>
          <c:idx val="2"/>
          <c:order val="2"/>
          <c:tx>
            <c:strRef>
              <c:f>'CaHoREs - AMS'!$E$109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AMS'!$H$109:$K$109</c:f>
              <c:numCache>
                <c:formatCode>_-* #\ ##0_-;\-* #\ ##0_-;_-* "-"??_-;_-@_-</c:formatCode>
                <c:ptCount val="4"/>
                <c:pt idx="0" formatCode="0">
                  <c:v>478.21130198525594</c:v>
                </c:pt>
                <c:pt idx="1">
                  <c:v>825.10908793213207</c:v>
                </c:pt>
                <c:pt idx="2">
                  <c:v>813.70835306376432</c:v>
                </c:pt>
                <c:pt idx="3">
                  <c:v>779.95711160728717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96A-BA8E-5D2BAFA751EB}"/>
            </c:ext>
          </c:extLst>
        </c:ser>
        <c:ser>
          <c:idx val="3"/>
          <c:order val="3"/>
          <c:tx>
            <c:strRef>
              <c:f>'CaHoREs - AMS'!$E$110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AMS'!$H$110:$K$110</c:f>
              <c:numCache>
                <c:formatCode>_-* #\ ##0_-;\-* #\ ##0_-;_-* "-"??_-;_-@_-</c:formatCode>
                <c:ptCount val="4"/>
                <c:pt idx="0" formatCode="0">
                  <c:v>82.379758065714654</c:v>
                </c:pt>
                <c:pt idx="1">
                  <c:v>31.31168345486601</c:v>
                </c:pt>
                <c:pt idx="2">
                  <c:v>14.035928289173102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96A-BA8E-5D2BAFA751EB}"/>
            </c:ext>
          </c:extLst>
        </c:ser>
        <c:ser>
          <c:idx val="4"/>
          <c:order val="4"/>
          <c:tx>
            <c:strRef>
              <c:f>'CaHoREs - AMS'!$E$111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AMS'!$H$111:$K$111</c:f>
              <c:numCache>
                <c:formatCode>_-* #\ ##0_-;\-* #\ ##0_-;_-* "-"??_-;_-@_-</c:formatCode>
                <c:ptCount val="4"/>
                <c:pt idx="0" formatCode="0">
                  <c:v>78.025662830026889</c:v>
                </c:pt>
                <c:pt idx="1">
                  <c:v>40.821423623574574</c:v>
                </c:pt>
                <c:pt idx="2">
                  <c:v>33.313021313238998</c:v>
                </c:pt>
                <c:pt idx="3">
                  <c:v>24.354755519168222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96A-BA8E-5D2BAFA751EB}"/>
            </c:ext>
          </c:extLst>
        </c:ser>
        <c:ser>
          <c:idx val="5"/>
          <c:order val="5"/>
          <c:tx>
            <c:strRef>
              <c:f>'CaHoREs - AMS'!$E$112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AMS'!$H$112:$K$112</c:f>
              <c:numCache>
                <c:formatCode>_-* #\ ##0_-;\-* #\ ##0_-;_-* "-"??_-;_-@_-</c:formatCode>
                <c:ptCount val="4"/>
                <c:pt idx="0" formatCode="0">
                  <c:v>836.28876113080014</c:v>
                </c:pt>
                <c:pt idx="1">
                  <c:v>183.99621961259851</c:v>
                </c:pt>
                <c:pt idx="2">
                  <c:v>182.79054354006058</c:v>
                </c:pt>
                <c:pt idx="3">
                  <c:v>95.715676716883394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CF-496A-BA8E-5D2BAFA751EB}"/>
            </c:ext>
          </c:extLst>
        </c:ser>
        <c:ser>
          <c:idx val="6"/>
          <c:order val="6"/>
          <c:tx>
            <c:strRef>
              <c:f>'CaHoREs - AMS'!$E$113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AMS'!$H$113:$K$113</c:f>
              <c:numCache>
                <c:formatCode>_-* #\ ##0_-;\-* #\ ##0_-;_-* "-"??_-;_-@_-</c:formatCode>
                <c:ptCount val="4"/>
                <c:pt idx="0" formatCode="0">
                  <c:v>245.42944402693894</c:v>
                </c:pt>
                <c:pt idx="1">
                  <c:v>393.09716350345229</c:v>
                </c:pt>
                <c:pt idx="2">
                  <c:v>411.16053095595692</c:v>
                </c:pt>
                <c:pt idx="3">
                  <c:v>400.16946364658213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CF-496A-BA8E-5D2BAFA7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'CaHoREs - AMS'!$E$118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AMS'!$H$118:$K$118</c:f>
              <c:numCache>
                <c:formatCode>_-* #\ ##0_-;\-* #\ ##0_-;_-* "-"??_-;_-@_-</c:formatCode>
                <c:ptCount val="4"/>
                <c:pt idx="0">
                  <c:v>176.3271033049935</c:v>
                </c:pt>
                <c:pt idx="1">
                  <c:v>57.539560852109993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1-43AF-A6A3-6D014858E6E5}"/>
            </c:ext>
          </c:extLst>
        </c:ser>
        <c:ser>
          <c:idx val="1"/>
          <c:order val="1"/>
          <c:tx>
            <c:strRef>
              <c:f>'CaHoREs - AMS'!$E$119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AMS'!$H$119:$K$119</c:f>
              <c:numCache>
                <c:formatCode>_-* #\ ##0_-;\-* #\ ##0_-;_-* "-"??_-;_-@_-</c:formatCode>
                <c:ptCount val="4"/>
                <c:pt idx="0">
                  <c:v>861.33465877991352</c:v>
                </c:pt>
                <c:pt idx="1">
                  <c:v>647.45021254332562</c:v>
                </c:pt>
                <c:pt idx="2">
                  <c:v>495.10897398842377</c:v>
                </c:pt>
                <c:pt idx="3">
                  <c:v>359.42284944166136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1-43AF-A6A3-6D014858E6E5}"/>
            </c:ext>
          </c:extLst>
        </c:ser>
        <c:ser>
          <c:idx val="2"/>
          <c:order val="2"/>
          <c:tx>
            <c:strRef>
              <c:f>'CaHoREs - AMS'!$E$120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AMS'!$H$120:$K$120</c:f>
              <c:numCache>
                <c:formatCode>_-* #\ ##0_-;\-* #\ ##0_-;_-* "-"??_-;_-@_-</c:formatCode>
                <c:ptCount val="4"/>
                <c:pt idx="0">
                  <c:v>165.8443235841124</c:v>
                </c:pt>
                <c:pt idx="1">
                  <c:v>451.84151841258227</c:v>
                </c:pt>
                <c:pt idx="2">
                  <c:v>467.57525781743635</c:v>
                </c:pt>
                <c:pt idx="3">
                  <c:v>512.84315913878049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1-43AF-A6A3-6D014858E6E5}"/>
            </c:ext>
          </c:extLst>
        </c:ser>
        <c:ser>
          <c:idx val="3"/>
          <c:order val="3"/>
          <c:tx>
            <c:strRef>
              <c:f>'CaHoREs - AMS'!$E$121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AMS'!$H$121:$K$121</c:f>
              <c:numCache>
                <c:formatCode>_-* #\ ##0_-;\-* #\ ##0_-;_-* "-"??_-;_-@_-</c:formatCode>
                <c:ptCount val="4"/>
                <c:pt idx="0">
                  <c:v>28.569411046358969</c:v>
                </c:pt>
                <c:pt idx="1">
                  <c:v>17.146724964280729</c:v>
                </c:pt>
                <c:pt idx="2">
                  <c:v>8.065362440740337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1-43AF-A6A3-6D014858E6E5}"/>
            </c:ext>
          </c:extLst>
        </c:ser>
        <c:ser>
          <c:idx val="4"/>
          <c:order val="4"/>
          <c:tx>
            <c:strRef>
              <c:f>'CaHoREs - AMS'!$E$122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AMS'!$H$122:$K$122</c:f>
              <c:numCache>
                <c:formatCode>_-* #\ ##0_-;\-* #\ ##0_-;_-* "-"??_-;_-@_-</c:formatCode>
                <c:ptCount val="4"/>
                <c:pt idx="0">
                  <c:v>27.059404954521117</c:v>
                </c:pt>
                <c:pt idx="1">
                  <c:v>22.354394471723896</c:v>
                </c:pt>
                <c:pt idx="2">
                  <c:v>19.142416899823651</c:v>
                </c:pt>
                <c:pt idx="3">
                  <c:v>16.013918681713037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1-43AF-A6A3-6D014858E6E5}"/>
            </c:ext>
          </c:extLst>
        </c:ser>
        <c:ser>
          <c:idx val="5"/>
          <c:order val="5"/>
          <c:tx>
            <c:strRef>
              <c:f>'CaHoREs - AMS'!$E$123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AMS'!$H$123:$K$123</c:f>
              <c:numCache>
                <c:formatCode>_-* #\ ##0_-;\-* #\ ##0_-;_-* "-"??_-;_-@_-</c:formatCode>
                <c:ptCount val="4"/>
                <c:pt idx="0">
                  <c:v>290.02606867499145</c:v>
                </c:pt>
                <c:pt idx="1">
                  <c:v>93.893250990464907</c:v>
                </c:pt>
                <c:pt idx="2">
                  <c:v>91.20904257295075</c:v>
                </c:pt>
                <c:pt idx="3">
                  <c:v>50.927112865039895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D1-43AF-A6A3-6D014858E6E5}"/>
            </c:ext>
          </c:extLst>
        </c:ser>
        <c:ser>
          <c:idx val="6"/>
          <c:order val="6"/>
          <c:tx>
            <c:strRef>
              <c:f>'CaHoREs - AMS'!$E$124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'CaHoREs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'CaHoREs - AMS'!$H$124:$K$124</c:f>
              <c:numCache>
                <c:formatCode>_-* #\ ##0_-;\-* #\ ##0_-;_-* "-"??_-;_-@_-</c:formatCode>
                <c:ptCount val="4"/>
                <c:pt idx="0">
                  <c:v>85.115261733248218</c:v>
                </c:pt>
                <c:pt idx="1">
                  <c:v>200.59744006796018</c:v>
                </c:pt>
                <c:pt idx="2">
                  <c:v>205.16137019998533</c:v>
                </c:pt>
                <c:pt idx="3">
                  <c:v>212.91679836890506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D1-43AF-A6A3-6D014858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'Commerce - AMS'!$E$13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AMS'!$H$13:$K$13</c:f>
              <c:numCache>
                <c:formatCode>#,##0</c:formatCode>
                <c:ptCount val="4"/>
                <c:pt idx="0">
                  <c:v>3624.4323503592609</c:v>
                </c:pt>
                <c:pt idx="1">
                  <c:v>435.55022416270833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4612-BBA8-EF3C5C4FAB53}"/>
            </c:ext>
          </c:extLst>
        </c:ser>
        <c:ser>
          <c:idx val="1"/>
          <c:order val="1"/>
          <c:tx>
            <c:strRef>
              <c:f>'Commerce - AMS'!$E$14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AMS'!$H$14:$K$14</c:f>
              <c:numCache>
                <c:formatCode>#,##0</c:formatCode>
                <c:ptCount val="4"/>
                <c:pt idx="0">
                  <c:v>8287.8230883102515</c:v>
                </c:pt>
                <c:pt idx="1">
                  <c:v>4672.581188751682</c:v>
                </c:pt>
                <c:pt idx="2">
                  <c:v>3630.6927105391842</c:v>
                </c:pt>
                <c:pt idx="3">
                  <c:v>2317.0298710383167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A-4612-BBA8-EF3C5C4FAB53}"/>
            </c:ext>
          </c:extLst>
        </c:ser>
        <c:ser>
          <c:idx val="2"/>
          <c:order val="2"/>
          <c:tx>
            <c:strRef>
              <c:f>'Commerce - AMS'!$E$15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AMS'!$H$15:$K$15</c:f>
              <c:numCache>
                <c:formatCode>#,##0</c:formatCode>
                <c:ptCount val="4"/>
                <c:pt idx="0">
                  <c:v>467.84860691760446</c:v>
                </c:pt>
                <c:pt idx="1">
                  <c:v>1886.5369964598613</c:v>
                </c:pt>
                <c:pt idx="2">
                  <c:v>1688.7790538596801</c:v>
                </c:pt>
                <c:pt idx="3">
                  <c:v>1449.446060597206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A-4612-BBA8-EF3C5C4FAB53}"/>
            </c:ext>
          </c:extLst>
        </c:ser>
        <c:ser>
          <c:idx val="3"/>
          <c:order val="3"/>
          <c:tx>
            <c:strRef>
              <c:f>'Commerce - AMS'!$E$16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AMS'!$H$16:$K$16</c:f>
              <c:numCache>
                <c:formatCode>#,##0</c:formatCode>
                <c:ptCount val="4"/>
                <c:pt idx="0">
                  <c:v>160.53332984064483</c:v>
                </c:pt>
                <c:pt idx="1">
                  <c:v>83.224901491933082</c:v>
                </c:pt>
                <c:pt idx="2">
                  <c:v>38.938477235188408</c:v>
                </c:pt>
                <c:pt idx="3">
                  <c:v>3.1961447029368548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A-4612-BBA8-EF3C5C4FAB53}"/>
            </c:ext>
          </c:extLst>
        </c:ser>
        <c:ser>
          <c:idx val="4"/>
          <c:order val="4"/>
          <c:tx>
            <c:strRef>
              <c:f>'Commerce - AMS'!$E$17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AMS'!$H$17:$K$17</c:f>
              <c:numCache>
                <c:formatCode>#,##0</c:formatCode>
                <c:ptCount val="4"/>
                <c:pt idx="0">
                  <c:v>103.23138425216302</c:v>
                </c:pt>
                <c:pt idx="1">
                  <c:v>135.18489580401234</c:v>
                </c:pt>
                <c:pt idx="2">
                  <c:v>174.45003138733881</c:v>
                </c:pt>
                <c:pt idx="3">
                  <c:v>198.10191301234488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A-4612-BBA8-EF3C5C4FAB53}"/>
            </c:ext>
          </c:extLst>
        </c:ser>
        <c:ser>
          <c:idx val="5"/>
          <c:order val="5"/>
          <c:tx>
            <c:strRef>
              <c:f>'Commerce - AMS'!$E$18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AMS'!$H$18:$K$18</c:f>
              <c:numCache>
                <c:formatCode>#,##0</c:formatCode>
                <c:ptCount val="4"/>
                <c:pt idx="0">
                  <c:v>3378.6340135212163</c:v>
                </c:pt>
                <c:pt idx="1">
                  <c:v>1750.4519934937564</c:v>
                </c:pt>
                <c:pt idx="2">
                  <c:v>777.01276419982435</c:v>
                </c:pt>
                <c:pt idx="3">
                  <c:v>65.853306239224693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A-4612-BBA8-EF3C5C4FAB53}"/>
            </c:ext>
          </c:extLst>
        </c:ser>
        <c:ser>
          <c:idx val="6"/>
          <c:order val="6"/>
          <c:tx>
            <c:strRef>
              <c:f>'Commerce - AMS'!$E$19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AMS'!$H$19:$K$19</c:f>
              <c:numCache>
                <c:formatCode>#,##0</c:formatCode>
                <c:ptCount val="4"/>
                <c:pt idx="0">
                  <c:v>961.63435268409228</c:v>
                </c:pt>
                <c:pt idx="1">
                  <c:v>2038.459660694446</c:v>
                </c:pt>
                <c:pt idx="2">
                  <c:v>2850.954293534614</c:v>
                </c:pt>
                <c:pt idx="3">
                  <c:v>3229.0683717653819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A-4612-BBA8-EF3C5C4F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'Commerce - AMS'!$E$8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'Commerce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'Commerce - AMS'!$H$8:$K$8</c:f>
              <c:numCache>
                <c:formatCode>#,##0</c:formatCode>
                <c:ptCount val="4"/>
                <c:pt idx="0">
                  <c:v>0</c:v>
                </c:pt>
                <c:pt idx="1">
                  <c:v>10020.497600000001</c:v>
                </c:pt>
                <c:pt idx="2">
                  <c:v>9972.5980747882168</c:v>
                </c:pt>
                <c:pt idx="3">
                  <c:v>9893.4567010969913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6-4316-8923-1C8D00C3F2FF}"/>
            </c:ext>
          </c:extLst>
        </c:ser>
        <c:ser>
          <c:idx val="1"/>
          <c:order val="1"/>
          <c:tx>
            <c:strRef>
              <c:f>'Commerce - AMS'!$E$9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'Commerce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'Commerce - AMS'!$H$9:$K$9</c:f>
              <c:numCache>
                <c:formatCode>#,##0</c:formatCode>
                <c:ptCount val="4"/>
                <c:pt idx="0">
                  <c:v>215959</c:v>
                </c:pt>
                <c:pt idx="1">
                  <c:v>204906.18504629776</c:v>
                </c:pt>
                <c:pt idx="2">
                  <c:v>203248.45151781934</c:v>
                </c:pt>
                <c:pt idx="3">
                  <c:v>196776.17202410474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6-4316-8923-1C8D00C3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'Commerce - AMS'!$E$107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AMS'!$H$107:$K$107</c:f>
              <c:numCache>
                <c:formatCode>_-* #\ ##0_-;\-* #\ ##0_-;_-* "-"??_-;_-@_-</c:formatCode>
                <c:ptCount val="4"/>
                <c:pt idx="0" formatCode="0">
                  <c:v>2364.942108609418</c:v>
                </c:pt>
                <c:pt idx="1">
                  <c:v>261.55789087512096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B-4B9B-8539-106D984C36C3}"/>
            </c:ext>
          </c:extLst>
        </c:ser>
        <c:ser>
          <c:idx val="1"/>
          <c:order val="1"/>
          <c:tx>
            <c:strRef>
              <c:f>'Commerce - AMS'!$E$108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AMS'!$H$108:$K$108</c:f>
              <c:numCache>
                <c:formatCode>_-* #\ ##0_-;\-* #\ ##0_-;_-* "-"??_-;_-@_-</c:formatCode>
                <c:ptCount val="4"/>
                <c:pt idx="0" formatCode="0">
                  <c:v>5407.8045651224393</c:v>
                </c:pt>
                <c:pt idx="1">
                  <c:v>2795.2485028946007</c:v>
                </c:pt>
                <c:pt idx="2">
                  <c:v>2154.3725468435496</c:v>
                </c:pt>
                <c:pt idx="3">
                  <c:v>1343.8241747385468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B-4B9B-8539-106D984C36C3}"/>
            </c:ext>
          </c:extLst>
        </c:ser>
        <c:ser>
          <c:idx val="2"/>
          <c:order val="2"/>
          <c:tx>
            <c:strRef>
              <c:f>'Commerce - AMS'!$E$109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AMS'!$H$109:$K$109</c:f>
              <c:numCache>
                <c:formatCode>_-* #\ ##0_-;\-* #\ ##0_-;_-* "-"??_-;_-@_-</c:formatCode>
                <c:ptCount val="4"/>
                <c:pt idx="0" formatCode="0">
                  <c:v>305.27121601373693</c:v>
                </c:pt>
                <c:pt idx="1">
                  <c:v>1091.9554026753572</c:v>
                </c:pt>
                <c:pt idx="2">
                  <c:v>955.22737920963243</c:v>
                </c:pt>
                <c:pt idx="3">
                  <c:v>787.44129529018096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B-4B9B-8539-106D984C36C3}"/>
            </c:ext>
          </c:extLst>
        </c:ser>
        <c:ser>
          <c:idx val="3"/>
          <c:order val="3"/>
          <c:tx>
            <c:strRef>
              <c:f>'Commerce - AMS'!$E$110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AMS'!$H$110:$K$110</c:f>
              <c:numCache>
                <c:formatCode>_-* #\ ##0_-;\-* #\ ##0_-;_-* "-"??_-;_-@_-</c:formatCode>
                <c:ptCount val="4"/>
                <c:pt idx="0" formatCode="0">
                  <c:v>104.74799772102077</c:v>
                </c:pt>
                <c:pt idx="1">
                  <c:v>47.278132725456445</c:v>
                </c:pt>
                <c:pt idx="2">
                  <c:v>20.679126046088889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B-4B9B-8539-106D984C36C3}"/>
            </c:ext>
          </c:extLst>
        </c:ser>
        <c:ser>
          <c:idx val="4"/>
          <c:order val="4"/>
          <c:tx>
            <c:strRef>
              <c:f>'Commerce - AMS'!$E$111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AMS'!$H$111:$K$111</c:f>
              <c:numCache>
                <c:formatCode>_-* #\ ##0_-;\-* #\ ##0_-;_-* "-"??_-;_-@_-</c:formatCode>
                <c:ptCount val="4"/>
                <c:pt idx="0" formatCode="0">
                  <c:v>67.358478224536384</c:v>
                </c:pt>
                <c:pt idx="1">
                  <c:v>74.413305626013511</c:v>
                </c:pt>
                <c:pt idx="2">
                  <c:v>90.298146068401564</c:v>
                </c:pt>
                <c:pt idx="3">
                  <c:v>95.212846065339647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B-4B9B-8539-106D984C36C3}"/>
            </c:ext>
          </c:extLst>
        </c:ser>
        <c:ser>
          <c:idx val="5"/>
          <c:order val="5"/>
          <c:tx>
            <c:strRef>
              <c:f>'Commerce - AMS'!$E$112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AMS'!$H$112:$K$112</c:f>
              <c:numCache>
                <c:formatCode>_-* #\ ##0_-;\-* #\ ##0_-;_-* "-"??_-;_-@_-</c:formatCode>
                <c:ptCount val="4"/>
                <c:pt idx="0" formatCode="0">
                  <c:v>2204.5586938225938</c:v>
                </c:pt>
                <c:pt idx="1">
                  <c:v>1026.254190556424</c:v>
                </c:pt>
                <c:pt idx="2">
                  <c:v>477.19649424761258</c:v>
                </c:pt>
                <c:pt idx="3">
                  <c:v>41.056370692289391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6B-4B9B-8539-106D984C36C3}"/>
            </c:ext>
          </c:extLst>
        </c:ser>
        <c:ser>
          <c:idx val="6"/>
          <c:order val="6"/>
          <c:tx>
            <c:strRef>
              <c:f>'Commerce - AMS'!$E$113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AMS'!$H$113:$K$113</c:f>
              <c:numCache>
                <c:formatCode>_-* #\ ##0_-;\-* #\ ##0_-;_-* "-"??_-;_-@_-</c:formatCode>
                <c:ptCount val="4"/>
                <c:pt idx="0" formatCode="0">
                  <c:v>627.46641512637029</c:v>
                </c:pt>
                <c:pt idx="1">
                  <c:v>1139.8492988253845</c:v>
                </c:pt>
                <c:pt idx="2">
                  <c:v>1622.6293455256787</c:v>
                </c:pt>
                <c:pt idx="3">
                  <c:v>1853.2486623144489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6B-4B9B-8539-106D984C3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totale de chauffage en AMS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Résultats!$A$58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Résultats!$Y$58:$AB$58</c:f>
              <c:numCache>
                <c:formatCode>#,##0</c:formatCode>
                <c:ptCount val="4"/>
                <c:pt idx="0">
                  <c:v>16110.195584164085</c:v>
                </c:pt>
                <c:pt idx="1">
                  <c:v>3169.8969130994283</c:v>
                </c:pt>
                <c:pt idx="2">
                  <c:v>504.73115555072877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7-4539-AA67-0F702B6837F5}"/>
            </c:ext>
          </c:extLst>
        </c:ser>
        <c:ser>
          <c:idx val="1"/>
          <c:order val="1"/>
          <c:tx>
            <c:strRef>
              <c:f>Résultats!$A$59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Résultats!$Y$59:$AB$59</c:f>
              <c:numCache>
                <c:formatCode>#,##0</c:formatCode>
                <c:ptCount val="4"/>
                <c:pt idx="0">
                  <c:v>48612.54886241199</c:v>
                </c:pt>
                <c:pt idx="1">
                  <c:v>23395.933424789455</c:v>
                </c:pt>
                <c:pt idx="2">
                  <c:v>17132.841358011039</c:v>
                </c:pt>
                <c:pt idx="3">
                  <c:v>10457.633295136364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7-4539-AA67-0F702B6837F5}"/>
            </c:ext>
          </c:extLst>
        </c:ser>
        <c:ser>
          <c:idx val="2"/>
          <c:order val="2"/>
          <c:tx>
            <c:strRef>
              <c:f>Résultats!$A$60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Résultats!$Y$60:$AB$60</c:f>
              <c:numCache>
                <c:formatCode>_-* #\ ##0_-;\-* #\ ##0_-;_-* "-"??_-;_-@_-</c:formatCode>
                <c:ptCount val="4"/>
                <c:pt idx="0" formatCode="#,##0">
                  <c:v>6493.6554094894636</c:v>
                </c:pt>
                <c:pt idx="1">
                  <c:v>17146.786627674293</c:v>
                </c:pt>
                <c:pt idx="2" formatCode="#,##0">
                  <c:v>17572.509491804194</c:v>
                </c:pt>
                <c:pt idx="3" formatCode="#,##0">
                  <c:v>17519.396795060671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7-4539-AA67-0F702B6837F5}"/>
            </c:ext>
          </c:extLst>
        </c:ser>
        <c:ser>
          <c:idx val="3"/>
          <c:order val="3"/>
          <c:tx>
            <c:strRef>
              <c:f>Résultats!$A$61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Résultats!$Y$61:$AB$61</c:f>
              <c:numCache>
                <c:formatCode>#,##0</c:formatCode>
                <c:ptCount val="4"/>
                <c:pt idx="0">
                  <c:v>1103.9262822092655</c:v>
                </c:pt>
                <c:pt idx="1">
                  <c:v>526.32370685106901</c:v>
                </c:pt>
                <c:pt idx="2">
                  <c:v>287.48296836836829</c:v>
                </c:pt>
                <c:pt idx="3">
                  <c:v>37.491714290223243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7-4539-AA67-0F702B6837F5}"/>
            </c:ext>
          </c:extLst>
        </c:ser>
        <c:ser>
          <c:idx val="4"/>
          <c:order val="4"/>
          <c:tx>
            <c:strRef>
              <c:f>Résultats!$A$62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Résultats!$Y$62:$AB$62</c:f>
              <c:numCache>
                <c:formatCode>#,##0</c:formatCode>
                <c:ptCount val="4"/>
                <c:pt idx="0">
                  <c:v>822.6533353506511</c:v>
                </c:pt>
                <c:pt idx="1">
                  <c:v>862.89499755451322</c:v>
                </c:pt>
                <c:pt idx="2">
                  <c:v>1011.875100086625</c:v>
                </c:pt>
                <c:pt idx="3">
                  <c:v>987.18886646583712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7-4539-AA67-0F702B6837F5}"/>
            </c:ext>
          </c:extLst>
        </c:ser>
        <c:ser>
          <c:idx val="5"/>
          <c:order val="5"/>
          <c:tx>
            <c:strRef>
              <c:f>Résultats!$A$63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Résultats!$Y$63:$AB$63</c:f>
              <c:numCache>
                <c:formatCode>#,##0</c:formatCode>
                <c:ptCount val="4"/>
                <c:pt idx="0">
                  <c:v>14018.640382729085</c:v>
                </c:pt>
                <c:pt idx="1">
                  <c:v>6503.371375219951</c:v>
                </c:pt>
                <c:pt idx="2">
                  <c:v>3609.7346208845333</c:v>
                </c:pt>
                <c:pt idx="3">
                  <c:v>1591.3135823885473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27-4539-AA67-0F702B6837F5}"/>
            </c:ext>
          </c:extLst>
        </c:ser>
        <c:ser>
          <c:idx val="6"/>
          <c:order val="6"/>
          <c:tx>
            <c:strRef>
              <c:f>Résultats!$A$64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Résultats!$Y$64:$AB$64</c:f>
              <c:numCache>
                <c:formatCode>#,##0</c:formatCode>
                <c:ptCount val="4"/>
                <c:pt idx="0">
                  <c:v>2951.5926987320195</c:v>
                </c:pt>
                <c:pt idx="1">
                  <c:v>6859.0694062140155</c:v>
                </c:pt>
                <c:pt idx="2">
                  <c:v>9526.5645831590136</c:v>
                </c:pt>
                <c:pt idx="3">
                  <c:v>9825.0448919564969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27-4539-AA67-0F702B68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'Commerce - AMS'!$E$118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AMS'!$H$118:$K$118</c:f>
              <c:numCache>
                <c:formatCode>_-* #\ ##0_-;\-* #\ ##0_-;_-* "-"??_-;_-@_-</c:formatCode>
                <c:ptCount val="4"/>
                <c:pt idx="0">
                  <c:v>1259.4902417498429</c:v>
                </c:pt>
                <c:pt idx="1">
                  <c:v>173.99233328758734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0-443C-8C93-DFDB8616FFFC}"/>
            </c:ext>
          </c:extLst>
        </c:ser>
        <c:ser>
          <c:idx val="1"/>
          <c:order val="1"/>
          <c:tx>
            <c:strRef>
              <c:f>'Commerce - AMS'!$E$119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AMS'!$H$119:$K$119</c:f>
              <c:numCache>
                <c:formatCode>_-* #\ ##0_-;\-* #\ ##0_-;_-* "-"??_-;_-@_-</c:formatCode>
                <c:ptCount val="4"/>
                <c:pt idx="0">
                  <c:v>2880.0185231878113</c:v>
                </c:pt>
                <c:pt idx="1">
                  <c:v>1877.3326858570815</c:v>
                </c:pt>
                <c:pt idx="2">
                  <c:v>1476.3201636956348</c:v>
                </c:pt>
                <c:pt idx="3">
                  <c:v>973.20569629976978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0-443C-8C93-DFDB8616FFFC}"/>
            </c:ext>
          </c:extLst>
        </c:ser>
        <c:ser>
          <c:idx val="2"/>
          <c:order val="2"/>
          <c:tx>
            <c:strRef>
              <c:f>'Commerce - AMS'!$E$120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AMS'!$H$120:$K$120</c:f>
              <c:numCache>
                <c:formatCode>_-* #\ ##0_-;\-* #\ ##0_-;_-* "-"??_-;_-@_-</c:formatCode>
                <c:ptCount val="4"/>
                <c:pt idx="0">
                  <c:v>162.5773909038675</c:v>
                </c:pt>
                <c:pt idx="1">
                  <c:v>755.47411612371161</c:v>
                </c:pt>
                <c:pt idx="2">
                  <c:v>694.63113676879107</c:v>
                </c:pt>
                <c:pt idx="3">
                  <c:v>623.3930962691353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0-443C-8C93-DFDB8616FFFC}"/>
            </c:ext>
          </c:extLst>
        </c:ser>
        <c:ser>
          <c:idx val="3"/>
          <c:order val="3"/>
          <c:tx>
            <c:strRef>
              <c:f>'Commerce - AMS'!$E$121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AMS'!$H$121:$K$121</c:f>
              <c:numCache>
                <c:formatCode>_-* #\ ##0_-;\-* #\ ##0_-;_-* "-"??_-;_-@_-</c:formatCode>
                <c:ptCount val="4"/>
                <c:pt idx="0">
                  <c:v>55.785332119624066</c:v>
                </c:pt>
                <c:pt idx="1">
                  <c:v>32.709582685551005</c:v>
                </c:pt>
                <c:pt idx="2">
                  <c:v>15.037639357306853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0-443C-8C93-DFDB8616FFFC}"/>
            </c:ext>
          </c:extLst>
        </c:ser>
        <c:ser>
          <c:idx val="4"/>
          <c:order val="4"/>
          <c:tx>
            <c:strRef>
              <c:f>'Commerce - AMS'!$E$122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AMS'!$H$122:$K$122</c:f>
              <c:numCache>
                <c:formatCode>_-* #\ ##0_-;\-* #\ ##0_-;_-* "-"??_-;_-@_-</c:formatCode>
                <c:ptCount val="4"/>
                <c:pt idx="0">
                  <c:v>35.872906027626641</c:v>
                </c:pt>
                <c:pt idx="1">
                  <c:v>51.483170611107646</c:v>
                </c:pt>
                <c:pt idx="2">
                  <c:v>65.663846343586513</c:v>
                </c:pt>
                <c:pt idx="3">
                  <c:v>75.377086861307731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0-443C-8C93-DFDB8616FFFC}"/>
            </c:ext>
          </c:extLst>
        </c:ser>
        <c:ser>
          <c:idx val="5"/>
          <c:order val="5"/>
          <c:tx>
            <c:strRef>
              <c:f>'Commerce - AMS'!$E$123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AMS'!$H$123:$K$123</c:f>
              <c:numCache>
                <c:formatCode>_-* #\ ##0_-;\-* #\ ##0_-;_-* "-"??_-;_-@_-</c:formatCode>
                <c:ptCount val="4"/>
                <c:pt idx="0">
                  <c:v>1174.0753196986225</c:v>
                </c:pt>
                <c:pt idx="1">
                  <c:v>661.63785315351458</c:v>
                </c:pt>
                <c:pt idx="2">
                  <c:v>301.33262442599965</c:v>
                </c:pt>
                <c:pt idx="3">
                  <c:v>26.30125640870369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E0-443C-8C93-DFDB8616FFFC}"/>
            </c:ext>
          </c:extLst>
        </c:ser>
        <c:ser>
          <c:idx val="6"/>
          <c:order val="6"/>
          <c:tx>
            <c:strRef>
              <c:f>'Commerce - AMS'!$E$124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'Commerce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'Commerce - AMS'!$H$124:$K$124</c:f>
              <c:numCache>
                <c:formatCode>_-* #\ ##0_-;\-* #\ ##0_-;_-* "-"??_-;_-@_-</c:formatCode>
                <c:ptCount val="4"/>
                <c:pt idx="0">
                  <c:v>334.16793755772198</c:v>
                </c:pt>
                <c:pt idx="1">
                  <c:v>734.87392298438738</c:v>
                </c:pt>
                <c:pt idx="2">
                  <c:v>1024.6327562167357</c:v>
                </c:pt>
                <c:pt idx="3">
                  <c:v>1187.2157093947326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0-443C-8C93-DFDB8616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'Enseignement - AMS'!$E$13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AMS'!$H$13:$K$13</c:f>
              <c:numCache>
                <c:formatCode>#,##0</c:formatCode>
                <c:ptCount val="4"/>
                <c:pt idx="0">
                  <c:v>3436.5831479851036</c:v>
                </c:pt>
                <c:pt idx="1">
                  <c:v>987.77760853782809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C-42E4-B74C-E478FE364A14}"/>
            </c:ext>
          </c:extLst>
        </c:ser>
        <c:ser>
          <c:idx val="1"/>
          <c:order val="1"/>
          <c:tx>
            <c:strRef>
              <c:f>'Enseignement - AMS'!$E$14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AMS'!$H$14:$K$14</c:f>
              <c:numCache>
                <c:formatCode>#,##0</c:formatCode>
                <c:ptCount val="4"/>
                <c:pt idx="0">
                  <c:v>8441.096126606124</c:v>
                </c:pt>
                <c:pt idx="1">
                  <c:v>3757.0000727906677</c:v>
                </c:pt>
                <c:pt idx="2">
                  <c:v>2532.5086209310807</c:v>
                </c:pt>
                <c:pt idx="3">
                  <c:v>1353.5000839274273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C-42E4-B74C-E478FE364A14}"/>
            </c:ext>
          </c:extLst>
        </c:ser>
        <c:ser>
          <c:idx val="2"/>
          <c:order val="2"/>
          <c:tx>
            <c:strRef>
              <c:f>'Enseignement - AMS'!$E$15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AMS'!$H$15:$K$15</c:f>
              <c:numCache>
                <c:formatCode>#,##0</c:formatCode>
                <c:ptCount val="4"/>
                <c:pt idx="0">
                  <c:v>1402.1888657823199</c:v>
                </c:pt>
                <c:pt idx="1">
                  <c:v>3441.6160354487356</c:v>
                </c:pt>
                <c:pt idx="2">
                  <c:v>3707.3785058395197</c:v>
                </c:pt>
                <c:pt idx="3">
                  <c:v>3202.8358831332566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C-42E4-B74C-E478FE364A14}"/>
            </c:ext>
          </c:extLst>
        </c:ser>
        <c:ser>
          <c:idx val="3"/>
          <c:order val="3"/>
          <c:tx>
            <c:strRef>
              <c:f>'Enseignement - AMS'!$E$16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AMS'!$H$16:$K$16</c:f>
              <c:numCache>
                <c:formatCode>#,##0</c:formatCode>
                <c:ptCount val="4"/>
                <c:pt idx="0">
                  <c:v>246.16510050277404</c:v>
                </c:pt>
                <c:pt idx="1">
                  <c:v>97.660041242462029</c:v>
                </c:pt>
                <c:pt idx="2">
                  <c:v>42.033265021763825</c:v>
                </c:pt>
                <c:pt idx="3">
                  <c:v>1.8441082375176416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C-42E4-B74C-E478FE364A14}"/>
            </c:ext>
          </c:extLst>
        </c:ser>
        <c:ser>
          <c:idx val="4"/>
          <c:order val="4"/>
          <c:tx>
            <c:strRef>
              <c:f>'Enseignement - AMS'!$E$17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AMS'!$H$17:$K$17</c:f>
              <c:numCache>
                <c:formatCode>#,##0</c:formatCode>
                <c:ptCount val="4"/>
                <c:pt idx="0">
                  <c:v>105.32458146020574</c:v>
                </c:pt>
                <c:pt idx="1">
                  <c:v>129.27343647421145</c:v>
                </c:pt>
                <c:pt idx="2">
                  <c:v>220.9072233456001</c:v>
                </c:pt>
                <c:pt idx="3">
                  <c:v>174.80263506365466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C-42E4-B74C-E478FE364A14}"/>
            </c:ext>
          </c:extLst>
        </c:ser>
        <c:ser>
          <c:idx val="5"/>
          <c:order val="5"/>
          <c:tx>
            <c:strRef>
              <c:f>'Enseignement - AMS'!$E$18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AMS'!$H$18:$K$18</c:f>
              <c:numCache>
                <c:formatCode>#,##0</c:formatCode>
                <c:ptCount val="4"/>
                <c:pt idx="0">
                  <c:v>830.43191441660827</c:v>
                </c:pt>
                <c:pt idx="1">
                  <c:v>54.343022151695422</c:v>
                </c:pt>
                <c:pt idx="2">
                  <c:v>112.17606456045696</c:v>
                </c:pt>
                <c:pt idx="3">
                  <c:v>137.73692832817886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C-42E4-B74C-E478FE364A14}"/>
            </c:ext>
          </c:extLst>
        </c:ser>
        <c:ser>
          <c:idx val="6"/>
          <c:order val="6"/>
          <c:tx>
            <c:strRef>
              <c:f>'Enseignement - AMS'!$E$19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AMS'!$H$19:$K$19</c:f>
              <c:numCache>
                <c:formatCode>#,##0</c:formatCode>
                <c:ptCount val="4"/>
                <c:pt idx="0">
                  <c:v>133.29396170895049</c:v>
                </c:pt>
                <c:pt idx="1">
                  <c:v>424.80405482823215</c:v>
                </c:pt>
                <c:pt idx="2">
                  <c:v>640.37915899939696</c:v>
                </c:pt>
                <c:pt idx="3">
                  <c:v>707.16884741379977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C-42E4-B74C-E478FE36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'Enseignement - AMS'!$E$8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'Enseignement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'Enseignement - AMS'!$H$8:$K$8</c:f>
              <c:numCache>
                <c:formatCode>#,##0</c:formatCode>
                <c:ptCount val="4"/>
                <c:pt idx="0">
                  <c:v>0</c:v>
                </c:pt>
                <c:pt idx="1">
                  <c:v>3840.2979556716878</c:v>
                </c:pt>
                <c:pt idx="2">
                  <c:v>3746.0672444943634</c:v>
                </c:pt>
                <c:pt idx="3">
                  <c:v>3638.5091063100158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E-4954-9F34-987F0D2BE964}"/>
            </c:ext>
          </c:extLst>
        </c:ser>
        <c:ser>
          <c:idx val="1"/>
          <c:order val="1"/>
          <c:tx>
            <c:strRef>
              <c:f>'Enseignement - AMS'!$E$9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'Enseignement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'Enseignement - AMS'!$H$9:$K$9</c:f>
              <c:numCache>
                <c:formatCode>#,##0</c:formatCode>
                <c:ptCount val="4"/>
                <c:pt idx="0">
                  <c:v>190850</c:v>
                </c:pt>
                <c:pt idx="1">
                  <c:v>182326.74998285295</c:v>
                </c:pt>
                <c:pt idx="2">
                  <c:v>177075.69996075644</c:v>
                </c:pt>
                <c:pt idx="3">
                  <c:v>167746.0195205627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E-4954-9F34-987F0D2B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'Enseignement - AMS'!$E$107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AMS'!$H$107:$K$107</c:f>
              <c:numCache>
                <c:formatCode>_-* #\ ##0_-;\-* #\ ##0_-;_-* "-"??_-;_-@_-</c:formatCode>
                <c:ptCount val="4"/>
                <c:pt idx="0" formatCode="0">
                  <c:v>3240.6979085499529</c:v>
                </c:pt>
                <c:pt idx="1">
                  <c:v>905.30432164779586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2-456E-B9BB-36A93F3D0D0B}"/>
            </c:ext>
          </c:extLst>
        </c:ser>
        <c:ser>
          <c:idx val="1"/>
          <c:order val="1"/>
          <c:tx>
            <c:strRef>
              <c:f>'Enseignement - AMS'!$E$108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AMS'!$H$108:$K$108</c:f>
              <c:numCache>
                <c:formatCode>_-* #\ ##0_-;\-* #\ ##0_-;_-* "-"??_-;_-@_-</c:formatCode>
                <c:ptCount val="4"/>
                <c:pt idx="0" formatCode="0">
                  <c:v>7959.9536473895751</c:v>
                </c:pt>
                <c:pt idx="1">
                  <c:v>3440.550056018621</c:v>
                </c:pt>
                <c:pt idx="2">
                  <c:v>2309.5891395160534</c:v>
                </c:pt>
                <c:pt idx="3">
                  <c:v>1222.5301313232251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2-456E-B9BB-36A93F3D0D0B}"/>
            </c:ext>
          </c:extLst>
        </c:ser>
        <c:ser>
          <c:idx val="2"/>
          <c:order val="2"/>
          <c:tx>
            <c:strRef>
              <c:f>'Enseignement - AMS'!$E$109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AMS'!$H$109:$K$109</c:f>
              <c:numCache>
                <c:formatCode>_-* #\ ##0_-;\-* #\ ##0_-;_-* "-"??_-;_-@_-</c:formatCode>
                <c:ptCount val="4"/>
                <c:pt idx="0" formatCode="0">
                  <c:v>1322.2641004327277</c:v>
                </c:pt>
                <c:pt idx="1">
                  <c:v>3112.2204966640584</c:v>
                </c:pt>
                <c:pt idx="2">
                  <c:v>3332.3910644565321</c:v>
                </c:pt>
                <c:pt idx="3">
                  <c:v>2843.6524421884942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2-456E-B9BB-36A93F3D0D0B}"/>
            </c:ext>
          </c:extLst>
        </c:ser>
        <c:ser>
          <c:idx val="3"/>
          <c:order val="3"/>
          <c:tx>
            <c:strRef>
              <c:f>'Enseignement - AMS'!$E$110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AMS'!$H$110:$K$110</c:f>
              <c:numCache>
                <c:formatCode>_-* #\ ##0_-;\-* #\ ##0_-;_-* "-"??_-;_-@_-</c:formatCode>
                <c:ptCount val="4"/>
                <c:pt idx="0" formatCode="0">
                  <c:v>232.13368977411594</c:v>
                </c:pt>
                <c:pt idx="1">
                  <c:v>87.429837718628875</c:v>
                </c:pt>
                <c:pt idx="2">
                  <c:v>36.40581936147025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2-456E-B9BB-36A93F3D0D0B}"/>
            </c:ext>
          </c:extLst>
        </c:ser>
        <c:ser>
          <c:idx val="4"/>
          <c:order val="4"/>
          <c:tx>
            <c:strRef>
              <c:f>'Enseignement - AMS'!$E$111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AMS'!$H$111:$K$111</c:f>
              <c:numCache>
                <c:formatCode>_-* #\ ##0_-;\-* #\ ##0_-;_-* "-"??_-;_-@_-</c:formatCode>
                <c:ptCount val="4"/>
                <c:pt idx="0" formatCode="0">
                  <c:v>99.321080316974019</c:v>
                </c:pt>
                <c:pt idx="1">
                  <c:v>117.31308697514949</c:v>
                </c:pt>
                <c:pt idx="2">
                  <c:v>199.63539594731679</c:v>
                </c:pt>
                <c:pt idx="3">
                  <c:v>153.32063471154879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2-456E-B9BB-36A93F3D0D0B}"/>
            </c:ext>
          </c:extLst>
        </c:ser>
        <c:ser>
          <c:idx val="5"/>
          <c:order val="5"/>
          <c:tx>
            <c:strRef>
              <c:f>'Enseignement - AMS'!$E$112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AMS'!$H$112:$K$112</c:f>
              <c:numCache>
                <c:formatCode>_-* #\ ##0_-;\-* #\ ##0_-;_-* "-"??_-;_-@_-</c:formatCode>
                <c:ptCount val="4"/>
                <c:pt idx="0" formatCode="0">
                  <c:v>783.09729529486162</c:v>
                </c:pt>
                <c:pt idx="1">
                  <c:v>30.387039618675278</c:v>
                </c:pt>
                <c:pt idx="2">
                  <c:v>103.13815249969404</c:v>
                </c:pt>
                <c:pt idx="3">
                  <c:v>125.99499522122386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2-456E-B9BB-36A93F3D0D0B}"/>
            </c:ext>
          </c:extLst>
        </c:ser>
        <c:ser>
          <c:idx val="6"/>
          <c:order val="6"/>
          <c:tx>
            <c:strRef>
              <c:f>'Enseignement - AMS'!$E$113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AMS'!$H$113:$K$113</c:f>
              <c:numCache>
                <c:formatCode>_-* #\ ##0_-;\-* #\ ##0_-;_-* "-"??_-;_-@_-</c:formatCode>
                <c:ptCount val="4"/>
                <c:pt idx="0" formatCode="0">
                  <c:v>125.69620589154033</c:v>
                </c:pt>
                <c:pt idx="1">
                  <c:v>355.43226660330168</c:v>
                </c:pt>
                <c:pt idx="2">
                  <c:v>532.86926781427712</c:v>
                </c:pt>
                <c:pt idx="3">
                  <c:v>591.15842025456504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C2-456E-B9BB-36A93F3D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'Enseignement - AMS'!$E$118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AMS'!$H$118:$K$118</c:f>
              <c:numCache>
                <c:formatCode>_-* #\ ##0_-;\-* #\ ##0_-;_-* "-"??_-;_-@_-</c:formatCode>
                <c:ptCount val="4"/>
                <c:pt idx="0">
                  <c:v>195.88523943515071</c:v>
                </c:pt>
                <c:pt idx="1">
                  <c:v>82.473286890032227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3-4E56-8B06-DC08355C2B92}"/>
            </c:ext>
          </c:extLst>
        </c:ser>
        <c:ser>
          <c:idx val="1"/>
          <c:order val="1"/>
          <c:tx>
            <c:strRef>
              <c:f>'Enseignement - AMS'!$E$119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AMS'!$H$119:$K$119</c:f>
              <c:numCache>
                <c:formatCode>_-* #\ ##0_-;\-* #\ ##0_-;_-* "-"??_-;_-@_-</c:formatCode>
                <c:ptCount val="4"/>
                <c:pt idx="0">
                  <c:v>481.14247921654851</c:v>
                </c:pt>
                <c:pt idx="1">
                  <c:v>316.45001677204675</c:v>
                </c:pt>
                <c:pt idx="2">
                  <c:v>222.91948141502752</c:v>
                </c:pt>
                <c:pt idx="3">
                  <c:v>130.96995260420229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3-4E56-8B06-DC08355C2B92}"/>
            </c:ext>
          </c:extLst>
        </c:ser>
        <c:ser>
          <c:idx val="2"/>
          <c:order val="2"/>
          <c:tx>
            <c:strRef>
              <c:f>'Enseignement - AMS'!$E$120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AMS'!$H$120:$K$120</c:f>
              <c:numCache>
                <c:formatCode>_-* #\ ##0_-;\-* #\ ##0_-;_-* "-"??_-;_-@_-</c:formatCode>
                <c:ptCount val="4"/>
                <c:pt idx="0">
                  <c:v>79.92476534959215</c:v>
                </c:pt>
                <c:pt idx="1">
                  <c:v>294.87738780160646</c:v>
                </c:pt>
                <c:pt idx="2">
                  <c:v>341.31627413742973</c:v>
                </c:pt>
                <c:pt idx="3">
                  <c:v>333.01992798100406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3-4E56-8B06-DC08355C2B92}"/>
            </c:ext>
          </c:extLst>
        </c:ser>
        <c:ser>
          <c:idx val="3"/>
          <c:order val="3"/>
          <c:tx>
            <c:strRef>
              <c:f>'Enseignement - AMS'!$E$121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AMS'!$H$121:$K$121</c:f>
              <c:numCache>
                <c:formatCode>_-* #\ ##0_-;\-* #\ ##0_-;_-* "-"??_-;_-@_-</c:formatCode>
                <c:ptCount val="4"/>
                <c:pt idx="0">
                  <c:v>14.031410728658106</c:v>
                </c:pt>
                <c:pt idx="1">
                  <c:v>8.283822495874567</c:v>
                </c:pt>
                <c:pt idx="2">
                  <c:v>3.7288236527557186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3-4E56-8B06-DC08355C2B92}"/>
            </c:ext>
          </c:extLst>
        </c:ser>
        <c:ser>
          <c:idx val="4"/>
          <c:order val="4"/>
          <c:tx>
            <c:strRef>
              <c:f>'Enseignement - AMS'!$E$122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AMS'!$H$122:$K$122</c:f>
              <c:numCache>
                <c:formatCode>_-* #\ ##0_-;\-* #\ ##0_-;_-* "-"??_-;_-@_-</c:formatCode>
                <c:ptCount val="4"/>
                <c:pt idx="0">
                  <c:v>6.0035011432317216</c:v>
                </c:pt>
                <c:pt idx="1">
                  <c:v>11.115207511567522</c:v>
                </c:pt>
                <c:pt idx="2">
                  <c:v>20.447422950283663</c:v>
                </c:pt>
                <c:pt idx="3">
                  <c:v>17.955368234222949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3-4E56-8B06-DC08355C2B92}"/>
            </c:ext>
          </c:extLst>
        </c:ser>
        <c:ser>
          <c:idx val="5"/>
          <c:order val="5"/>
          <c:tx>
            <c:strRef>
              <c:f>'Enseignement - AMS'!$E$123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AMS'!$H$123:$K$123</c:f>
              <c:numCache>
                <c:formatCode>_-* #\ ##0_-;\-* #\ ##0_-;_-* "-"??_-;_-@_-</c:formatCode>
                <c:ptCount val="4"/>
                <c:pt idx="0">
                  <c:v>47.334619121746627</c:v>
                </c:pt>
                <c:pt idx="1">
                  <c:v>2.6829354049528118</c:v>
                </c:pt>
                <c:pt idx="2">
                  <c:v>9.1732199627049358</c:v>
                </c:pt>
                <c:pt idx="3">
                  <c:v>11.939857387675113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3-4E56-8B06-DC08355C2B92}"/>
            </c:ext>
          </c:extLst>
        </c:ser>
        <c:ser>
          <c:idx val="6"/>
          <c:order val="6"/>
          <c:tx>
            <c:strRef>
              <c:f>'Enseignement - AMS'!$E$124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'Enseignement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'Enseignement - AMS'!$H$124:$K$124</c:f>
              <c:numCache>
                <c:formatCode>_-* #\ ##0_-;\-* #\ ##0_-;_-* "-"??_-;_-@_-</c:formatCode>
                <c:ptCount val="4"/>
                <c:pt idx="0">
                  <c:v>7.5977558174101718</c:v>
                </c:pt>
                <c:pt idx="1">
                  <c:v>31.381859638164944</c:v>
                </c:pt>
                <c:pt idx="2">
                  <c:v>47.39397484398792</c:v>
                </c:pt>
                <c:pt idx="3">
                  <c:v>56.020853994792958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3-4E56-8B06-DC08355C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'Hab. com. - AMS'!$E$13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AMS'!$H$13:$K$13</c:f>
              <c:numCache>
                <c:formatCode>#,##0</c:formatCode>
                <c:ptCount val="4"/>
                <c:pt idx="0">
                  <c:v>1843.8368</c:v>
                </c:pt>
                <c:pt idx="1">
                  <c:v>994.36529889843905</c:v>
                </c:pt>
                <c:pt idx="2">
                  <c:v>504.73115555072877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4-4B3A-BE8E-DA1C1C6244AD}"/>
            </c:ext>
          </c:extLst>
        </c:ser>
        <c:ser>
          <c:idx val="1"/>
          <c:order val="1"/>
          <c:tx>
            <c:strRef>
              <c:f>'Hab. com. - AMS'!$E$14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AMS'!$H$14:$K$14</c:f>
              <c:numCache>
                <c:formatCode>#,##0</c:formatCode>
                <c:ptCount val="4"/>
                <c:pt idx="0">
                  <c:v>3665.8959999999997</c:v>
                </c:pt>
                <c:pt idx="1">
                  <c:v>1951.9442817215725</c:v>
                </c:pt>
                <c:pt idx="2">
                  <c:v>1862.5254001397268</c:v>
                </c:pt>
                <c:pt idx="3">
                  <c:v>1274.2349704588478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4-4B3A-BE8E-DA1C1C6244AD}"/>
            </c:ext>
          </c:extLst>
        </c:ser>
        <c:ser>
          <c:idx val="2"/>
          <c:order val="2"/>
          <c:tx>
            <c:strRef>
              <c:f>'Hab. com. - AMS'!$E$15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AMS'!$H$15:$K$15</c:f>
              <c:numCache>
                <c:formatCode>#,##0</c:formatCode>
                <c:ptCount val="4"/>
                <c:pt idx="0">
                  <c:v>217.77599999999998</c:v>
                </c:pt>
                <c:pt idx="1">
                  <c:v>831.99746985773675</c:v>
                </c:pt>
                <c:pt idx="2">
                  <c:v>1131.8038637918175</c:v>
                </c:pt>
                <c:pt idx="3">
                  <c:v>1605.9461710950063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4-4B3A-BE8E-DA1C1C6244AD}"/>
            </c:ext>
          </c:extLst>
        </c:ser>
        <c:ser>
          <c:idx val="3"/>
          <c:order val="3"/>
          <c:tx>
            <c:strRef>
              <c:f>'Hab. com. - AMS'!$E$16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AMS'!$H$16:$K$16</c:f>
              <c:numCache>
                <c:formatCode>#,##0</c:formatCode>
                <c:ptCount val="4"/>
                <c:pt idx="0">
                  <c:v>36.295999999999999</c:v>
                </c:pt>
                <c:pt idx="1">
                  <c:v>19.744107408923881</c:v>
                </c:pt>
                <c:pt idx="2">
                  <c:v>10.107050384251771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4-4B3A-BE8E-DA1C1C6244AD}"/>
            </c:ext>
          </c:extLst>
        </c:ser>
        <c:ser>
          <c:idx val="4"/>
          <c:order val="4"/>
          <c:tx>
            <c:strRef>
              <c:f>'Hab. com. - AMS'!$E$17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AMS'!$H$17:$K$17</c:f>
              <c:numCache>
                <c:formatCode>#,##0</c:formatCode>
                <c:ptCount val="4"/>
                <c:pt idx="0">
                  <c:v>108.88799999999999</c:v>
                </c:pt>
                <c:pt idx="1">
                  <c:v>103.67871951739582</c:v>
                </c:pt>
                <c:pt idx="2">
                  <c:v>116.01407607165987</c:v>
                </c:pt>
                <c:pt idx="3">
                  <c:v>128.47569368760051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4-4B3A-BE8E-DA1C1C6244AD}"/>
            </c:ext>
          </c:extLst>
        </c:ser>
        <c:ser>
          <c:idx val="5"/>
          <c:order val="5"/>
          <c:tx>
            <c:strRef>
              <c:f>'Hab. com. - AMS'!$E$18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AMS'!$H$18:$K$18</c:f>
              <c:numCache>
                <c:formatCode>#,##0</c:formatCode>
                <c:ptCount val="4"/>
                <c:pt idx="0">
                  <c:v>999.59184000000005</c:v>
                </c:pt>
                <c:pt idx="1">
                  <c:v>624.25358288202335</c:v>
                </c:pt>
                <c:pt idx="2">
                  <c:v>438.8095000658351</c:v>
                </c:pt>
                <c:pt idx="3">
                  <c:v>249.67208383626817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64-4B3A-BE8E-DA1C1C6244AD}"/>
            </c:ext>
          </c:extLst>
        </c:ser>
        <c:ser>
          <c:idx val="6"/>
          <c:order val="6"/>
          <c:tx>
            <c:strRef>
              <c:f>'Hab. com. - AMS'!$E$19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AMS'!$H$19:$K$19</c:f>
              <c:numCache>
                <c:formatCode>#,##0</c:formatCode>
                <c:ptCount val="4"/>
                <c:pt idx="0">
                  <c:v>97.999200000000002</c:v>
                </c:pt>
                <c:pt idx="1">
                  <c:v>338.40857288881784</c:v>
                </c:pt>
                <c:pt idx="2">
                  <c:v>420.08917991148826</c:v>
                </c:pt>
                <c:pt idx="3">
                  <c:v>582.56819561795828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64-4B3A-BE8E-DA1C1C624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'Hab. com. - AMS'!$E$8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'Hab. com.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'Hab. com. - AMS'!$H$8:$K$8</c:f>
              <c:numCache>
                <c:formatCode>#,##0</c:formatCode>
                <c:ptCount val="4"/>
                <c:pt idx="0">
                  <c:v>0</c:v>
                </c:pt>
                <c:pt idx="1">
                  <c:v>3840.2979556716878</c:v>
                </c:pt>
                <c:pt idx="2">
                  <c:v>3746.0672444943634</c:v>
                </c:pt>
                <c:pt idx="3">
                  <c:v>3638.5091063100158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7-417C-BDE1-C382653C2216}"/>
            </c:ext>
          </c:extLst>
        </c:ser>
        <c:ser>
          <c:idx val="1"/>
          <c:order val="1"/>
          <c:tx>
            <c:strRef>
              <c:f>'Hab. com. - AMS'!$E$9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'Hab. com.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'Hab. com. - AMS'!$H$9:$K$9</c:f>
              <c:numCache>
                <c:formatCode>#,##0</c:formatCode>
                <c:ptCount val="4"/>
                <c:pt idx="0">
                  <c:v>72592</c:v>
                </c:pt>
                <c:pt idx="1">
                  <c:v>77024.433528571317</c:v>
                </c:pt>
                <c:pt idx="2">
                  <c:v>85427.356459798117</c:v>
                </c:pt>
                <c:pt idx="3">
                  <c:v>91884.954014182775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7-417C-BDE1-C382653C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'Hab. com. - AMS'!$E$107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AMS'!$H$107:$K$107</c:f>
              <c:numCache>
                <c:formatCode>_-* #\ ##0_-;\-* #\ ##0_-;_-* "-"??_-;_-@_-</c:formatCode>
                <c:ptCount val="4"/>
                <c:pt idx="0" formatCode="0">
                  <c:v>1501.8050736</c:v>
                </c:pt>
                <c:pt idx="1">
                  <c:v>778.72746447891859</c:v>
                </c:pt>
                <c:pt idx="2">
                  <c:v>398.15169994742223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2-489A-B35C-6D6E82547EDA}"/>
            </c:ext>
          </c:extLst>
        </c:ser>
        <c:ser>
          <c:idx val="1"/>
          <c:order val="1"/>
          <c:tx>
            <c:strRef>
              <c:f>'Hab. com. - AMS'!$E$108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AMS'!$H$108:$K$108</c:f>
              <c:numCache>
                <c:formatCode>_-* #\ ##0_-;\-* #\ ##0_-;_-* "-"??_-;_-@_-</c:formatCode>
                <c:ptCount val="4"/>
                <c:pt idx="0" formatCode="0">
                  <c:v>2985.872292</c:v>
                </c:pt>
                <c:pt idx="1">
                  <c:v>1486.3270660605501</c:v>
                </c:pt>
                <c:pt idx="2">
                  <c:v>1424.881477370893</c:v>
                </c:pt>
                <c:pt idx="3">
                  <c:v>975.92051935781797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2-489A-B35C-6D6E82547EDA}"/>
            </c:ext>
          </c:extLst>
        </c:ser>
        <c:ser>
          <c:idx val="2"/>
          <c:order val="2"/>
          <c:tx>
            <c:strRef>
              <c:f>'Hab. com. - AMS'!$E$109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AMS'!$H$109:$K$109</c:f>
              <c:numCache>
                <c:formatCode>_-* #\ ##0_-;\-* #\ ##0_-;_-* "-"??_-;_-@_-</c:formatCode>
                <c:ptCount val="4"/>
                <c:pt idx="0" formatCode="0">
                  <c:v>177.37855199999998</c:v>
                </c:pt>
                <c:pt idx="1">
                  <c:v>597.84195107633502</c:v>
                </c:pt>
                <c:pt idx="2">
                  <c:v>830.78898020525094</c:v>
                </c:pt>
                <c:pt idx="3">
                  <c:v>1207.8224249477942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2-489A-B35C-6D6E82547EDA}"/>
            </c:ext>
          </c:extLst>
        </c:ser>
        <c:ser>
          <c:idx val="3"/>
          <c:order val="3"/>
          <c:tx>
            <c:strRef>
              <c:f>'Hab. com. - AMS'!$E$110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AMS'!$H$110:$K$110</c:f>
              <c:numCache>
                <c:formatCode>_-* #\ ##0_-;\-* #\ ##0_-;_-* "-"??_-;_-@_-</c:formatCode>
                <c:ptCount val="4"/>
                <c:pt idx="0" formatCode="0">
                  <c:v>29.563092000000001</c:v>
                </c:pt>
                <c:pt idx="1">
                  <c:v>15.329280796829105</c:v>
                </c:pt>
                <c:pt idx="2">
                  <c:v>7.8376318887287795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2-489A-B35C-6D6E82547EDA}"/>
            </c:ext>
          </c:extLst>
        </c:ser>
        <c:ser>
          <c:idx val="4"/>
          <c:order val="4"/>
          <c:tx>
            <c:strRef>
              <c:f>'Hab. com. - AMS'!$E$111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AMS'!$H$111:$K$111</c:f>
              <c:numCache>
                <c:formatCode>_-* #\ ##0_-;\-* #\ ##0_-;_-* "-"??_-;_-@_-</c:formatCode>
                <c:ptCount val="4"/>
                <c:pt idx="0" formatCode="0">
                  <c:v>88.689275999999992</c:v>
                </c:pt>
                <c:pt idx="1">
                  <c:v>76.646403984145508</c:v>
                </c:pt>
                <c:pt idx="2">
                  <c:v>86.213950776016603</c:v>
                </c:pt>
                <c:pt idx="3">
                  <c:v>96.625793995823543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2-489A-B35C-6D6E82547EDA}"/>
            </c:ext>
          </c:extLst>
        </c:ser>
        <c:ser>
          <c:idx val="5"/>
          <c:order val="5"/>
          <c:tx>
            <c:strRef>
              <c:f>'Hab. com. - AMS'!$E$112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AMS'!$H$112:$K$112</c:f>
              <c:numCache>
                <c:formatCode>_-* #\ ##0_-;\-* #\ ##0_-;_-* "-"??_-;_-@_-</c:formatCode>
                <c:ptCount val="4"/>
                <c:pt idx="0" formatCode="0">
                  <c:v>814.16755368000008</c:v>
                </c:pt>
                <c:pt idx="1">
                  <c:v>484.25198037183156</c:v>
                </c:pt>
                <c:pt idx="2">
                  <c:v>342.81801881299714</c:v>
                </c:pt>
                <c:pt idx="3">
                  <c:v>195.66723284154298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2-489A-B35C-6D6E82547EDA}"/>
            </c:ext>
          </c:extLst>
        </c:ser>
        <c:ser>
          <c:idx val="6"/>
          <c:order val="6"/>
          <c:tx>
            <c:strRef>
              <c:f>'Hab. com. - AMS'!$E$113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AMS'!$H$113:$K$113</c:f>
              <c:numCache>
                <c:formatCode>_-* #\ ##0_-;\-* #\ ##0_-;_-* "-"??_-;_-@_-</c:formatCode>
                <c:ptCount val="4"/>
                <c:pt idx="0" formatCode="0">
                  <c:v>79.8203484</c:v>
                </c:pt>
                <c:pt idx="1">
                  <c:v>248.33434890863145</c:v>
                </c:pt>
                <c:pt idx="2">
                  <c:v>317.42409149351568</c:v>
                </c:pt>
                <c:pt idx="3">
                  <c:v>456.55687663026623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32-489A-B35C-6D6E8254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'Hab. com. - AMS'!$E$118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AMS'!$H$118:$K$118</c:f>
              <c:numCache>
                <c:formatCode>_-* #\ ##0_-;\-* #\ ##0_-;_-* "-"??_-;_-@_-</c:formatCode>
                <c:ptCount val="4"/>
                <c:pt idx="0">
                  <c:v>342.03172640000003</c:v>
                </c:pt>
                <c:pt idx="1">
                  <c:v>215.63783441952043</c:v>
                </c:pt>
                <c:pt idx="2">
                  <c:v>106.57945560330651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771-98E2-9A4C740E9EF0}"/>
            </c:ext>
          </c:extLst>
        </c:ser>
        <c:ser>
          <c:idx val="1"/>
          <c:order val="1"/>
          <c:tx>
            <c:strRef>
              <c:f>'Hab. com. - AMS'!$E$119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AMS'!$H$119:$K$119</c:f>
              <c:numCache>
                <c:formatCode>_-* #\ ##0_-;\-* #\ ##0_-;_-* "-"??_-;_-@_-</c:formatCode>
                <c:ptCount val="4"/>
                <c:pt idx="0">
                  <c:v>680.02370799999994</c:v>
                </c:pt>
                <c:pt idx="1">
                  <c:v>415.53957268598015</c:v>
                </c:pt>
                <c:pt idx="2">
                  <c:v>388.79505213544121</c:v>
                </c:pt>
                <c:pt idx="3">
                  <c:v>250.86814300451036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771-98E2-9A4C740E9EF0}"/>
            </c:ext>
          </c:extLst>
        </c:ser>
        <c:ser>
          <c:idx val="2"/>
          <c:order val="2"/>
          <c:tx>
            <c:strRef>
              <c:f>'Hab. com. - AMS'!$E$120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AMS'!$H$120:$K$120</c:f>
              <c:numCache>
                <c:formatCode>_-* #\ ##0_-;\-* #\ ##0_-;_-* "-"??_-;_-@_-</c:formatCode>
                <c:ptCount val="4"/>
                <c:pt idx="0">
                  <c:v>40.397447999999997</c:v>
                </c:pt>
                <c:pt idx="1">
                  <c:v>172.17823787169621</c:v>
                </c:pt>
                <c:pt idx="2">
                  <c:v>240.55836052543719</c:v>
                </c:pt>
                <c:pt idx="3">
                  <c:v>339.40306780993575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A-4771-98E2-9A4C740E9EF0}"/>
            </c:ext>
          </c:extLst>
        </c:ser>
        <c:ser>
          <c:idx val="3"/>
          <c:order val="3"/>
          <c:tx>
            <c:strRef>
              <c:f>'Hab. com. - AMS'!$E$121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AMS'!$H$121:$K$121</c:f>
              <c:numCache>
                <c:formatCode>_-* #\ ##0_-;\-* #\ ##0_-;_-* "-"??_-;_-@_-</c:formatCode>
                <c:ptCount val="4"/>
                <c:pt idx="0">
                  <c:v>6.7329079999999992</c:v>
                </c:pt>
                <c:pt idx="1">
                  <c:v>4.4148266120947746</c:v>
                </c:pt>
                <c:pt idx="2">
                  <c:v>2.2694184955229915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A-4771-98E2-9A4C740E9EF0}"/>
            </c:ext>
          </c:extLst>
        </c:ser>
        <c:ser>
          <c:idx val="4"/>
          <c:order val="4"/>
          <c:tx>
            <c:strRef>
              <c:f>'Hab. com. - AMS'!$E$122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AMS'!$H$122:$K$122</c:f>
              <c:numCache>
                <c:formatCode>_-* #\ ##0_-;\-* #\ ##0_-;_-* "-"??_-;_-@_-</c:formatCode>
                <c:ptCount val="4"/>
                <c:pt idx="0">
                  <c:v>20.198723999999999</c:v>
                </c:pt>
                <c:pt idx="1">
                  <c:v>22.074133060473869</c:v>
                </c:pt>
                <c:pt idx="2">
                  <c:v>24.963603450752913</c:v>
                </c:pt>
                <c:pt idx="3">
                  <c:v>27.152245424794863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6A-4771-98E2-9A4C740E9EF0}"/>
            </c:ext>
          </c:extLst>
        </c:ser>
        <c:ser>
          <c:idx val="5"/>
          <c:order val="5"/>
          <c:tx>
            <c:strRef>
              <c:f>'Hab. com. - AMS'!$E$123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AMS'!$H$123:$K$123</c:f>
              <c:numCache>
                <c:formatCode>_-* #\ ##0_-;\-* #\ ##0_-;_-* "-"??_-;_-@_-</c:formatCode>
                <c:ptCount val="4"/>
                <c:pt idx="0">
                  <c:v>185.42428632000002</c:v>
                </c:pt>
                <c:pt idx="1">
                  <c:v>129.96128300281953</c:v>
                </c:pt>
                <c:pt idx="2">
                  <c:v>86.197524516934962</c:v>
                </c:pt>
                <c:pt idx="3">
                  <c:v>44.492101104086409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6A-4771-98E2-9A4C740E9EF0}"/>
            </c:ext>
          </c:extLst>
        </c:ser>
        <c:ser>
          <c:idx val="6"/>
          <c:order val="6"/>
          <c:tx>
            <c:strRef>
              <c:f>'Hab. com. - AMS'!$E$124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'Hab. com.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'Hab. com. - AMS'!$H$124:$K$124</c:f>
              <c:numCache>
                <c:formatCode>_-* #\ ##0_-;\-* #\ ##0_-;_-* "-"??_-;_-@_-</c:formatCode>
                <c:ptCount val="4"/>
                <c:pt idx="0">
                  <c:v>18.178851599999998</c:v>
                </c:pt>
                <c:pt idx="1">
                  <c:v>66.646811796317678</c:v>
                </c:pt>
                <c:pt idx="2">
                  <c:v>79.812522700865657</c:v>
                </c:pt>
                <c:pt idx="3">
                  <c:v>103.81490257620148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6A-4771-98E2-9A4C740E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'Santé social - AMS'!$E$13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AMS'!$H$13:$K$13</c:f>
              <c:numCache>
                <c:formatCode>#,##0</c:formatCode>
                <c:ptCount val="4"/>
                <c:pt idx="0">
                  <c:v>2268.666910131225</c:v>
                </c:pt>
                <c:pt idx="1">
                  <c:v>181.2074073954366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D-4DF8-BFFA-1FE0356B5A00}"/>
            </c:ext>
          </c:extLst>
        </c:ser>
        <c:ser>
          <c:idx val="1"/>
          <c:order val="1"/>
          <c:tx>
            <c:strRef>
              <c:f>'Santé social - AMS'!$E$14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AMS'!$H$14:$K$14</c:f>
              <c:numCache>
                <c:formatCode>#,##0</c:formatCode>
                <c:ptCount val="4"/>
                <c:pt idx="0">
                  <c:v>6032.588848458684</c:v>
                </c:pt>
                <c:pt idx="1">
                  <c:v>2522.2761068058253</c:v>
                </c:pt>
                <c:pt idx="2">
                  <c:v>1651.1778349236304</c:v>
                </c:pt>
                <c:pt idx="3">
                  <c:v>909.3890498026143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D-4DF8-BFFA-1FE0356B5A00}"/>
            </c:ext>
          </c:extLst>
        </c:ser>
        <c:ser>
          <c:idx val="2"/>
          <c:order val="2"/>
          <c:tx>
            <c:strRef>
              <c:f>'Santé social - AMS'!$E$15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AMS'!$H$15:$K$15</c:f>
              <c:numCache>
                <c:formatCode>#,##0</c:formatCode>
                <c:ptCount val="4"/>
                <c:pt idx="0">
                  <c:v>1173.5215677187266</c:v>
                </c:pt>
                <c:pt idx="1">
                  <c:v>2871.5447400552598</c:v>
                </c:pt>
                <c:pt idx="2">
                  <c:v>3587.111051872429</c:v>
                </c:pt>
                <c:pt idx="3">
                  <c:v>4032.2025186011301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D-4DF8-BFFA-1FE0356B5A00}"/>
            </c:ext>
          </c:extLst>
        </c:ser>
        <c:ser>
          <c:idx val="3"/>
          <c:order val="3"/>
          <c:tx>
            <c:strRef>
              <c:f>'Santé social - AMS'!$E$16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AMS'!$H$16:$K$16</c:f>
              <c:numCache>
                <c:formatCode>#,##0</c:formatCode>
                <c:ptCount val="4"/>
                <c:pt idx="0">
                  <c:v>163.97626676392247</c:v>
                </c:pt>
                <c:pt idx="1">
                  <c:v>88.908487745356737</c:v>
                </c:pt>
                <c:pt idx="2">
                  <c:v>61.315130380527464</c:v>
                </c:pt>
                <c:pt idx="3">
                  <c:v>27.371448340075201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D-4DF8-BFFA-1FE0356B5A00}"/>
            </c:ext>
          </c:extLst>
        </c:ser>
        <c:ser>
          <c:idx val="4"/>
          <c:order val="4"/>
          <c:tx>
            <c:strRef>
              <c:f>'Santé social - AMS'!$E$17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AMS'!$H$17:$K$17</c:f>
              <c:numCache>
                <c:formatCode>#,##0</c:formatCode>
                <c:ptCount val="4"/>
                <c:pt idx="0">
                  <c:v>135.52627574604799</c:v>
                </c:pt>
                <c:pt idx="1">
                  <c:v>115.31930365494325</c:v>
                </c:pt>
                <c:pt idx="2">
                  <c:v>141.36144983517909</c:v>
                </c:pt>
                <c:pt idx="3">
                  <c:v>162.58486729725081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BD-4DF8-BFFA-1FE0356B5A00}"/>
            </c:ext>
          </c:extLst>
        </c:ser>
        <c:ser>
          <c:idx val="5"/>
          <c:order val="5"/>
          <c:tx>
            <c:strRef>
              <c:f>'Santé social - AMS'!$E$18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AMS'!$H$18:$K$18</c:f>
              <c:numCache>
                <c:formatCode>#,##0</c:formatCode>
                <c:ptCount val="4"/>
                <c:pt idx="0">
                  <c:v>1397.4813862870144</c:v>
                </c:pt>
                <c:pt idx="1">
                  <c:v>1092.793617179185</c:v>
                </c:pt>
                <c:pt idx="2">
                  <c:v>878.64133074795677</c:v>
                </c:pt>
                <c:pt idx="3">
                  <c:v>366.05101392676613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D-4DF8-BFFA-1FE0356B5A00}"/>
            </c:ext>
          </c:extLst>
        </c:ser>
        <c:ser>
          <c:idx val="6"/>
          <c:order val="6"/>
          <c:tx>
            <c:strRef>
              <c:f>'Santé social - AMS'!$E$19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AMS'!$H$19:$K$19</c:f>
              <c:numCache>
                <c:formatCode>#,##0</c:formatCode>
                <c:ptCount val="4"/>
                <c:pt idx="0">
                  <c:v>172.1023611717651</c:v>
                </c:pt>
                <c:pt idx="1">
                  <c:v>460.71703878765265</c:v>
                </c:pt>
                <c:pt idx="2">
                  <c:v>645.80832533828425</c:v>
                </c:pt>
                <c:pt idx="3">
                  <c:v>876.31848456802948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BD-4DF8-BFFA-1FE0356B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parc suivant le décret en GWh AMS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Résultats!$A$82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Résultats!$Y$82:$AB$82</c:f>
              <c:numCache>
                <c:formatCode>#,##0</c:formatCode>
                <c:ptCount val="4"/>
                <c:pt idx="0">
                  <c:v>15256.135436326505</c:v>
                </c:pt>
                <c:pt idx="1">
                  <c:v>2692.8096715671018</c:v>
                </c:pt>
                <c:pt idx="2">
                  <c:v>398.15169994742223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4BDC-9271-374D7BB41563}"/>
            </c:ext>
          </c:extLst>
        </c:ser>
        <c:ser>
          <c:idx val="1"/>
          <c:order val="1"/>
          <c:tx>
            <c:strRef>
              <c:f>Résultats!$A$83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Résultats!$Y$83:$AB$83</c:f>
              <c:numCache>
                <c:formatCode>#,##0</c:formatCode>
                <c:ptCount val="4"/>
                <c:pt idx="0">
                  <c:v>44652.906225424005</c:v>
                </c:pt>
                <c:pt idx="1">
                  <c:v>19749.220062925244</c:v>
                </c:pt>
                <c:pt idx="2">
                  <c:v>14114.79427633611</c:v>
                </c:pt>
                <c:pt idx="3">
                  <c:v>8325.1846318915959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7-4BDC-9271-374D7BB41563}"/>
            </c:ext>
          </c:extLst>
        </c:ser>
        <c:ser>
          <c:idx val="2"/>
          <c:order val="2"/>
          <c:tx>
            <c:strRef>
              <c:f>Résultats!$A$84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Résultats!$Y$84:$AB$84</c:f>
              <c:numCache>
                <c:formatCode>#,##0</c:formatCode>
                <c:ptCount val="4"/>
                <c:pt idx="0">
                  <c:v>6517.6525772497771</c:v>
                </c:pt>
                <c:pt idx="1">
                  <c:v>15239.910148331423</c:v>
                </c:pt>
                <c:pt idx="2">
                  <c:v>16129.55283333477</c:v>
                </c:pt>
                <c:pt idx="3">
                  <c:v>16361.018416692175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7-4BDC-9271-374D7BB41563}"/>
            </c:ext>
          </c:extLst>
        </c:ser>
        <c:ser>
          <c:idx val="3"/>
          <c:order val="3"/>
          <c:tx>
            <c:strRef>
              <c:f>Résultats!$A$85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Résultats!$Y$85:$AB$85</c:f>
              <c:numCache>
                <c:formatCode>#,##0</c:formatCode>
                <c:ptCount val="4"/>
                <c:pt idx="0">
                  <c:v>1062.8405089841831</c:v>
                </c:pt>
                <c:pt idx="1">
                  <c:v>440.5674462780878</c:v>
                </c:pt>
                <c:pt idx="2">
                  <c:v>218.63984386420051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7-4BDC-9271-374D7BB41563}"/>
            </c:ext>
          </c:extLst>
        </c:ser>
        <c:ser>
          <c:idx val="4"/>
          <c:order val="4"/>
          <c:tx>
            <c:strRef>
              <c:f>Résultats!$A$86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Résultats!$Y$86:$AB$86</c:f>
              <c:numCache>
                <c:formatCode>#,##0</c:formatCode>
                <c:ptCount val="4"/>
                <c:pt idx="0">
                  <c:v>797.24498472744153</c:v>
                </c:pt>
                <c:pt idx="1">
                  <c:v>707.77880619700124</c:v>
                </c:pt>
                <c:pt idx="2">
                  <c:v>805.16495190092314</c:v>
                </c:pt>
                <c:pt idx="3">
                  <c:v>745.6828122904974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7-4BDC-9271-374D7BB41563}"/>
            </c:ext>
          </c:extLst>
        </c:ser>
        <c:ser>
          <c:idx val="5"/>
          <c:order val="5"/>
          <c:tx>
            <c:strRef>
              <c:f>Résultats!$A$87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Résultats!$Y$87:$AB$87</c:f>
              <c:numCache>
                <c:formatCode>#,##0</c:formatCode>
                <c:ptCount val="4"/>
                <c:pt idx="0">
                  <c:v>12080.381510731888</c:v>
                </c:pt>
                <c:pt idx="1">
                  <c:v>5605.6856616836267</c:v>
                </c:pt>
                <c:pt idx="2">
                  <c:v>3514.1817926724984</c:v>
                </c:pt>
                <c:pt idx="3">
                  <c:v>1566.5305217355381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7-4BDC-9271-374D7BB41563}"/>
            </c:ext>
          </c:extLst>
        </c:ser>
        <c:ser>
          <c:idx val="6"/>
          <c:order val="6"/>
          <c:tx>
            <c:strRef>
              <c:f>Résultats!$A$88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Résultats!$Y$88:$AB$88</c:f>
              <c:numCache>
                <c:formatCode>#,##0</c:formatCode>
                <c:ptCount val="4"/>
                <c:pt idx="0">
                  <c:v>2360.3627662113554</c:v>
                </c:pt>
                <c:pt idx="1">
                  <c:v>4803.2649273083434</c:v>
                </c:pt>
                <c:pt idx="2">
                  <c:v>6744.801717256646</c:v>
                </c:pt>
                <c:pt idx="3">
                  <c:v>7232.3171213023743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7-4BDC-9271-374D7BB4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'Santé social - AMS'!$E$8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'Santé social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'Santé social - AMS'!$H$8:$K$8</c:f>
              <c:numCache>
                <c:formatCode>#,##0</c:formatCode>
                <c:ptCount val="4"/>
                <c:pt idx="0">
                  <c:v>0</c:v>
                </c:pt>
                <c:pt idx="1">
                  <c:v>13834.540453559624</c:v>
                </c:pt>
                <c:pt idx="2">
                  <c:v>20550.753645661614</c:v>
                </c:pt>
                <c:pt idx="3">
                  <c:v>18958.71024791403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D-4B7E-955E-E84D5DB436EC}"/>
            </c:ext>
          </c:extLst>
        </c:ser>
        <c:ser>
          <c:idx val="1"/>
          <c:order val="1"/>
          <c:tx>
            <c:strRef>
              <c:f>'Santé social - AMS'!$E$9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'Santé social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'Santé social - AMS'!$H$9:$K$9</c:f>
              <c:numCache>
                <c:formatCode>#,##0</c:formatCode>
                <c:ptCount val="4"/>
                <c:pt idx="0">
                  <c:v>118445.13907375958</c:v>
                </c:pt>
                <c:pt idx="1">
                  <c:v>115382.32014812742</c:v>
                </c:pt>
                <c:pt idx="2">
                  <c:v>125875.50063321114</c:v>
                </c:pt>
                <c:pt idx="3">
                  <c:v>142639.88443438738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D-4B7E-955E-E84D5DB4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'Santé social - AMS'!$E$107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AMS'!$H$107:$K$107</c:f>
              <c:numCache>
                <c:formatCode>_-* #\ ##0_-;\-* #\ ##0_-;_-* "-"??_-;_-@_-</c:formatCode>
                <c:ptCount val="4"/>
                <c:pt idx="0" formatCode="0">
                  <c:v>2186.9949013665009</c:v>
                </c:pt>
                <c:pt idx="1">
                  <c:v>172.20780456258541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0-46AC-8A95-46541E2710B2}"/>
            </c:ext>
          </c:extLst>
        </c:ser>
        <c:ser>
          <c:idx val="1"/>
          <c:order val="1"/>
          <c:tx>
            <c:strRef>
              <c:f>'Santé social - AMS'!$E$108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AMS'!$H$108:$K$108</c:f>
              <c:numCache>
                <c:formatCode>_-* #\ ##0_-;\-* #\ ##0_-;_-* "-"??_-;_-@_-</c:formatCode>
                <c:ptCount val="4"/>
                <c:pt idx="0" formatCode="0">
                  <c:v>5815.4156499141709</c:v>
                </c:pt>
                <c:pt idx="1">
                  <c:v>2395.8632980579009</c:v>
                </c:pt>
                <c:pt idx="2">
                  <c:v>1562.5370489531592</c:v>
                </c:pt>
                <c:pt idx="3">
                  <c:v>855.15734887716019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0-46AC-8A95-46541E2710B2}"/>
            </c:ext>
          </c:extLst>
        </c:ser>
        <c:ser>
          <c:idx val="2"/>
          <c:order val="2"/>
          <c:tx>
            <c:strRef>
              <c:f>'Santé social - AMS'!$E$109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AMS'!$H$109:$K$109</c:f>
              <c:numCache>
                <c:formatCode>_-* #\ ##0_-;\-* #\ ##0_-;_-* "-"??_-;_-@_-</c:formatCode>
                <c:ptCount val="4"/>
                <c:pt idx="0" formatCode="0">
                  <c:v>1131.2747912808525</c:v>
                </c:pt>
                <c:pt idx="1">
                  <c:v>2462.5690007315538</c:v>
                </c:pt>
                <c:pt idx="2">
                  <c:v>2997.943676954626</c:v>
                </c:pt>
                <c:pt idx="3">
                  <c:v>3418.2037056672712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0-46AC-8A95-46541E2710B2}"/>
            </c:ext>
          </c:extLst>
        </c:ser>
        <c:ser>
          <c:idx val="3"/>
          <c:order val="3"/>
          <c:tx>
            <c:strRef>
              <c:f>'Santé social - AMS'!$E$110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AMS'!$H$110:$K$110</c:f>
              <c:numCache>
                <c:formatCode>_-* #\ ##0_-;\-* #\ ##0_-;_-* "-"??_-;_-@_-</c:formatCode>
                <c:ptCount val="4"/>
                <c:pt idx="0" formatCode="0">
                  <c:v>158.07312116042127</c:v>
                </c:pt>
                <c:pt idx="1">
                  <c:v>65.381341208177034</c:v>
                </c:pt>
                <c:pt idx="2">
                  <c:v>29.848338017275683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0-46AC-8A95-46541E2710B2}"/>
            </c:ext>
          </c:extLst>
        </c:ser>
        <c:ser>
          <c:idx val="4"/>
          <c:order val="4"/>
          <c:tx>
            <c:strRef>
              <c:f>'Santé social - AMS'!$E$111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AMS'!$H$111:$K$111</c:f>
              <c:numCache>
                <c:formatCode>_-* #\ ##0_-;\-* #\ ##0_-;_-* "-"??_-;_-@_-</c:formatCode>
                <c:ptCount val="4"/>
                <c:pt idx="0" formatCode="0">
                  <c:v>130.64732981919025</c:v>
                </c:pt>
                <c:pt idx="1">
                  <c:v>94.185293130712509</c:v>
                </c:pt>
                <c:pt idx="2">
                  <c:v>97.983567558502969</c:v>
                </c:pt>
                <c:pt idx="3">
                  <c:v>100.3095433327121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0-46AC-8A95-46541E2710B2}"/>
            </c:ext>
          </c:extLst>
        </c:ser>
        <c:ser>
          <c:idx val="5"/>
          <c:order val="5"/>
          <c:tx>
            <c:strRef>
              <c:f>'Santé social - AMS'!$E$112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AMS'!$H$112:$K$112</c:f>
              <c:numCache>
                <c:formatCode>_-* #\ ##0_-;\-* #\ ##0_-;_-* "-"??_-;_-@_-</c:formatCode>
                <c:ptCount val="4"/>
                <c:pt idx="0" formatCode="0">
                  <c:v>1347.1720563806819</c:v>
                </c:pt>
                <c:pt idx="1">
                  <c:v>1007.9737438627733</c:v>
                </c:pt>
                <c:pt idx="2">
                  <c:v>797.98195455172072</c:v>
                </c:pt>
                <c:pt idx="3">
                  <c:v>328.67899266914321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0-46AC-8A95-46541E2710B2}"/>
            </c:ext>
          </c:extLst>
        </c:ser>
        <c:ser>
          <c:idx val="6"/>
          <c:order val="6"/>
          <c:tx>
            <c:strRef>
              <c:f>'Santé social - AMS'!$E$113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AMS'!$H$113:$K$113</c:f>
              <c:numCache>
                <c:formatCode>_-* #\ ##0_-;\-* #\ ##0_-;_-* "-"??_-;_-@_-</c:formatCode>
                <c:ptCount val="4"/>
                <c:pt idx="0" formatCode="0">
                  <c:v>165.90667616958154</c:v>
                </c:pt>
                <c:pt idx="1">
                  <c:v>322.69479078841215</c:v>
                </c:pt>
                <c:pt idx="2">
                  <c:v>441.95651299955085</c:v>
                </c:pt>
                <c:pt idx="3">
                  <c:v>671.88159763937392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D0-46AC-8A95-46541E27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'Santé social - AMS'!$E$118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AMS'!$H$118:$K$118</c:f>
              <c:numCache>
                <c:formatCode>_-* #\ ##0_-;\-* #\ ##0_-;_-* "-"??_-;_-@_-</c:formatCode>
                <c:ptCount val="4"/>
                <c:pt idx="0">
                  <c:v>81.672008764724197</c:v>
                </c:pt>
                <c:pt idx="1">
                  <c:v>8.9996028328511919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F-407C-9703-0A248E611919}"/>
            </c:ext>
          </c:extLst>
        </c:ser>
        <c:ser>
          <c:idx val="1"/>
          <c:order val="1"/>
          <c:tx>
            <c:strRef>
              <c:f>'Santé social - AMS'!$E$119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AMS'!$H$119:$K$119</c:f>
              <c:numCache>
                <c:formatCode>_-* #\ ##0_-;\-* #\ ##0_-;_-* "-"??_-;_-@_-</c:formatCode>
                <c:ptCount val="4"/>
                <c:pt idx="0">
                  <c:v>217.17319854451281</c:v>
                </c:pt>
                <c:pt idx="1">
                  <c:v>126.41280874792456</c:v>
                </c:pt>
                <c:pt idx="2">
                  <c:v>88.640785970471143</c:v>
                </c:pt>
                <c:pt idx="3">
                  <c:v>54.231700925454128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F-407C-9703-0A248E611919}"/>
            </c:ext>
          </c:extLst>
        </c:ser>
        <c:ser>
          <c:idx val="2"/>
          <c:order val="2"/>
          <c:tx>
            <c:strRef>
              <c:f>'Santé social - AMS'!$E$120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AMS'!$H$120:$K$120</c:f>
              <c:numCache>
                <c:formatCode>_-* #\ ##0_-;\-* #\ ##0_-;_-* "-"??_-;_-@_-</c:formatCode>
                <c:ptCount val="4"/>
                <c:pt idx="0">
                  <c:v>42.246776437874196</c:v>
                </c:pt>
                <c:pt idx="1">
                  <c:v>133.84782680081912</c:v>
                </c:pt>
                <c:pt idx="2">
                  <c:v>180.47393329009842</c:v>
                </c:pt>
                <c:pt idx="3">
                  <c:v>236.96638513877753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F-407C-9703-0A248E611919}"/>
            </c:ext>
          </c:extLst>
        </c:ser>
        <c:ser>
          <c:idx val="3"/>
          <c:order val="3"/>
          <c:tx>
            <c:strRef>
              <c:f>'Santé social - AMS'!$E$121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AMS'!$H$121:$K$121</c:f>
              <c:numCache>
                <c:formatCode>_-* #\ ##0_-;\-* #\ ##0_-;_-* "-"??_-;_-@_-</c:formatCode>
                <c:ptCount val="4"/>
                <c:pt idx="0">
                  <c:v>5.9031456035012155</c:v>
                </c:pt>
                <c:pt idx="1">
                  <c:v>3.5536670978306155</c:v>
                </c:pt>
                <c:pt idx="2">
                  <c:v>1.7968472875455062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F-407C-9703-0A248E611919}"/>
            </c:ext>
          </c:extLst>
        </c:ser>
        <c:ser>
          <c:idx val="4"/>
          <c:order val="4"/>
          <c:tx>
            <c:strRef>
              <c:f>'Santé social - AMS'!$E$122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AMS'!$H$122:$K$122</c:f>
              <c:numCache>
                <c:formatCode>_-* #\ ##0_-;\-* #\ ##0_-;_-* "-"??_-;_-@_-</c:formatCode>
                <c:ptCount val="4"/>
                <c:pt idx="0">
                  <c:v>4.8789459268577309</c:v>
                </c:pt>
                <c:pt idx="1">
                  <c:v>5.1192461199661761</c:v>
                </c:pt>
                <c:pt idx="2">
                  <c:v>5.898536377121788</c:v>
                </c:pt>
                <c:pt idx="3">
                  <c:v>6.9539418727633064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F-407C-9703-0A248E611919}"/>
            </c:ext>
          </c:extLst>
        </c:ser>
        <c:ser>
          <c:idx val="5"/>
          <c:order val="5"/>
          <c:tx>
            <c:strRef>
              <c:f>'Santé social - AMS'!$E$123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AMS'!$H$123:$K$123</c:f>
              <c:numCache>
                <c:formatCode>_-* #\ ##0_-;\-* #\ ##0_-;_-* "-"??_-;_-@_-</c:formatCode>
                <c:ptCount val="4"/>
                <c:pt idx="0">
                  <c:v>50.309329906332572</c:v>
                </c:pt>
                <c:pt idx="1">
                  <c:v>51.053185814853791</c:v>
                </c:pt>
                <c:pt idx="2">
                  <c:v>41.714352760370346</c:v>
                </c:pt>
                <c:pt idx="3">
                  <c:v>18.437960810386798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3F-407C-9703-0A248E611919}"/>
            </c:ext>
          </c:extLst>
        </c:ser>
        <c:ser>
          <c:idx val="6"/>
          <c:order val="6"/>
          <c:tx>
            <c:strRef>
              <c:f>'Santé social - AMS'!$E$124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'Santé social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'Santé social - AMS'!$H$124:$K$124</c:f>
              <c:numCache>
                <c:formatCode>_-* #\ ##0_-;\-* #\ ##0_-;_-* "-"??_-;_-@_-</c:formatCode>
                <c:ptCount val="4"/>
                <c:pt idx="0">
                  <c:v>6.1956850021835486</c:v>
                </c:pt>
                <c:pt idx="1">
                  <c:v>16.344272076445126</c:v>
                </c:pt>
                <c:pt idx="2">
                  <c:v>23.103191472999097</c:v>
                </c:pt>
                <c:pt idx="3">
                  <c:v>37.690655146205401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3F-407C-9703-0A248E61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'Sport Loisir Culture - AMS'!$E$13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AMS'!$H$13:$K$13</c:f>
              <c:numCache>
                <c:formatCode>#,##0</c:formatCode>
                <c:ptCount val="4"/>
                <c:pt idx="0">
                  <c:v>876.37658295615097</c:v>
                </c:pt>
                <c:pt idx="1">
                  <c:v>292.55933805953907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1-41A4-92FD-599983F559A5}"/>
            </c:ext>
          </c:extLst>
        </c:ser>
        <c:ser>
          <c:idx val="1"/>
          <c:order val="1"/>
          <c:tx>
            <c:strRef>
              <c:f>'Sport Loisir Culture - AMS'!$E$14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AMS'!$H$14:$K$14</c:f>
              <c:numCache>
                <c:formatCode>#,##0</c:formatCode>
                <c:ptCount val="4"/>
                <c:pt idx="0">
                  <c:v>4915.1977828396939</c:v>
                </c:pt>
                <c:pt idx="1">
                  <c:v>2804.4220416925496</c:v>
                </c:pt>
                <c:pt idx="2">
                  <c:v>2188.6683248192485</c:v>
                </c:pt>
                <c:pt idx="3">
                  <c:v>1374.5476151684902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1-41A4-92FD-599983F559A5}"/>
            </c:ext>
          </c:extLst>
        </c:ser>
        <c:ser>
          <c:idx val="2"/>
          <c:order val="2"/>
          <c:tx>
            <c:strRef>
              <c:f>'Sport Loisir Culture - AMS'!$E$15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AMS'!$H$15:$K$15</c:f>
              <c:numCache>
                <c:formatCode>#,##0</c:formatCode>
                <c:ptCount val="4"/>
                <c:pt idx="0">
                  <c:v>217.82341031793447</c:v>
                </c:pt>
                <c:pt idx="1">
                  <c:v>535.10511613154347</c:v>
                </c:pt>
                <c:pt idx="2">
                  <c:v>527.82234340685534</c:v>
                </c:pt>
                <c:pt idx="3">
                  <c:v>583.70525704229544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1-41A4-92FD-599983F559A5}"/>
            </c:ext>
          </c:extLst>
        </c:ser>
        <c:ser>
          <c:idx val="3"/>
          <c:order val="3"/>
          <c:tx>
            <c:strRef>
              <c:f>'Sport Loisir Culture - AMS'!$E$16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AMS'!$H$16:$K$16</c:f>
              <c:numCache>
                <c:formatCode>#,##0</c:formatCode>
                <c:ptCount val="4"/>
                <c:pt idx="0">
                  <c:v>27.214936388643864</c:v>
                </c:pt>
                <c:pt idx="1">
                  <c:v>14.694857417461041</c:v>
                </c:pt>
                <c:pt idx="2">
                  <c:v>6.7031843682992367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1-41A4-92FD-599983F559A5}"/>
            </c:ext>
          </c:extLst>
        </c:ser>
        <c:ser>
          <c:idx val="4"/>
          <c:order val="4"/>
          <c:tx>
            <c:strRef>
              <c:f>'Sport Loisir Culture - AMS'!$E$17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AMS'!$H$17:$K$17</c:f>
              <c:numCache>
                <c:formatCode>#,##0</c:formatCode>
                <c:ptCount val="4"/>
                <c:pt idx="0">
                  <c:v>26.208309722728565</c:v>
                </c:pt>
                <c:pt idx="1">
                  <c:v>52.246664038715039</c:v>
                </c:pt>
                <c:pt idx="2">
                  <c:v>77.384220660621239</c:v>
                </c:pt>
                <c:pt idx="3">
                  <c:v>95.897438463003255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1-41A4-92FD-599983F559A5}"/>
            </c:ext>
          </c:extLst>
        </c:ser>
        <c:ser>
          <c:idx val="5"/>
          <c:order val="5"/>
          <c:tx>
            <c:strRef>
              <c:f>'Sport Loisir Culture - AMS'!$E$18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AMS'!$H$18:$K$18</c:f>
              <c:numCache>
                <c:formatCode>#,##0</c:formatCode>
                <c:ptCount val="4"/>
                <c:pt idx="0">
                  <c:v>1075.7072340198747</c:v>
                </c:pt>
                <c:pt idx="1">
                  <c:v>578.33399447955662</c:v>
                </c:pt>
                <c:pt idx="2">
                  <c:v>413.50529290419547</c:v>
                </c:pt>
                <c:pt idx="3">
                  <c:v>242.17817333010123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81-41A4-92FD-599983F559A5}"/>
            </c:ext>
          </c:extLst>
        </c:ser>
        <c:ser>
          <c:idx val="6"/>
          <c:order val="6"/>
          <c:tx>
            <c:strRef>
              <c:f>'Sport Loisir Culture - AMS'!$E$19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AMS'!$H$19:$K$19</c:f>
              <c:numCache>
                <c:formatCode>#,##0</c:formatCode>
                <c:ptCount val="4"/>
                <c:pt idx="0">
                  <c:v>212.58847367700912</c:v>
                </c:pt>
                <c:pt idx="1">
                  <c:v>472.67490819391912</c:v>
                </c:pt>
                <c:pt idx="2">
                  <c:v>747.33935116819976</c:v>
                </c:pt>
                <c:pt idx="3">
                  <c:v>834.23235305882042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81-41A4-92FD-599983F5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'Sport Loisir Culture - AMS'!$E$8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'Sport Loisir Culture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'Sport Loisir Culture - AMS'!$H$8:$K$8</c:f>
              <c:numCache>
                <c:formatCode>#,##0</c:formatCode>
                <c:ptCount val="4"/>
                <c:pt idx="0">
                  <c:v>0</c:v>
                </c:pt>
                <c:pt idx="1">
                  <c:v>2606.2113096947755</c:v>
                </c:pt>
                <c:pt idx="2">
                  <c:v>2441.502020159372</c:v>
                </c:pt>
                <c:pt idx="3">
                  <c:v>1539.5198865418247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B-480C-A5E0-BCBCACCA77B6}"/>
            </c:ext>
          </c:extLst>
        </c:ser>
        <c:ser>
          <c:idx val="1"/>
          <c:order val="1"/>
          <c:tx>
            <c:strRef>
              <c:f>'Sport Loisir Culture - AMS'!$E$9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'Sport Loisir Culture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'Sport Loisir Culture - AMS'!$H$9:$K$9</c:f>
              <c:numCache>
                <c:formatCode>#,##0</c:formatCode>
                <c:ptCount val="4"/>
                <c:pt idx="0">
                  <c:v>74481</c:v>
                </c:pt>
                <c:pt idx="1">
                  <c:v>72982.287754590609</c:v>
                </c:pt>
                <c:pt idx="2">
                  <c:v>74067.501639979033</c:v>
                </c:pt>
                <c:pt idx="3">
                  <c:v>74163.424009860362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80C-A5E0-BCBCACCA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'Sport Loisir Culture - AMS'!$E$107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AMS'!$H$107:$K$107</c:f>
              <c:numCache>
                <c:formatCode>_-* #\ ##0_-;\-* #\ ##0_-;_-* "-"??_-;_-@_-</c:formatCode>
                <c:ptCount val="4"/>
                <c:pt idx="0" formatCode="0">
                  <c:v>619.27617575576221</c:v>
                </c:pt>
                <c:pt idx="1">
                  <c:v>195.23865383867042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2-482A-BBA4-D39929B1949C}"/>
            </c:ext>
          </c:extLst>
        </c:ser>
        <c:ser>
          <c:idx val="1"/>
          <c:order val="1"/>
          <c:tx>
            <c:strRef>
              <c:f>'Sport Loisir Culture - AMS'!$E$108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AMS'!$H$108:$K$108</c:f>
              <c:numCache>
                <c:formatCode>_-* #\ ##0_-;\-* #\ ##0_-;_-* "-"??_-;_-@_-</c:formatCode>
                <c:ptCount val="4"/>
                <c:pt idx="0" formatCode="0">
                  <c:v>3473.2384972824693</c:v>
                </c:pt>
                <c:pt idx="1">
                  <c:v>1865.5523462670283</c:v>
                </c:pt>
                <c:pt idx="2">
                  <c:v>1475.0034268122045</c:v>
                </c:pt>
                <c:pt idx="3">
                  <c:v>933.10242274360792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2-482A-BBA4-D39929B1949C}"/>
            </c:ext>
          </c:extLst>
        </c:ser>
        <c:ser>
          <c:idx val="2"/>
          <c:order val="2"/>
          <c:tx>
            <c:strRef>
              <c:f>'Sport Loisir Culture - AMS'!$E$109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AMS'!$H$109:$K$109</c:f>
              <c:numCache>
                <c:formatCode>_-* #\ ##0_-;\-* #\ ##0_-;_-* "-"??_-;_-@_-</c:formatCode>
                <c:ptCount val="4"/>
                <c:pt idx="0" formatCode="0">
                  <c:v>153.92110099148778</c:v>
                </c:pt>
                <c:pt idx="1">
                  <c:v>341.75710043853275</c:v>
                </c:pt>
                <c:pt idx="2">
                  <c:v>338.74770326339603</c:v>
                </c:pt>
                <c:pt idx="3">
                  <c:v>377.17911258507479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2-482A-BBA4-D39929B1949C}"/>
            </c:ext>
          </c:extLst>
        </c:ser>
        <c:ser>
          <c:idx val="3"/>
          <c:order val="3"/>
          <c:tx>
            <c:strRef>
              <c:f>'Sport Loisir Culture - AMS'!$E$110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AMS'!$H$110:$K$110</c:f>
              <c:numCache>
                <c:formatCode>_-* #\ ##0_-;\-* #\ ##0_-;_-* "-"??_-;_-@_-</c:formatCode>
                <c:ptCount val="4"/>
                <c:pt idx="0" formatCode="0">
                  <c:v>19.230958537648377</c:v>
                </c:pt>
                <c:pt idx="1">
                  <c:v>9.3254707992146635</c:v>
                </c:pt>
                <c:pt idx="2">
                  <c:v>4.4291070601079774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C2-482A-BBA4-D39929B1949C}"/>
            </c:ext>
          </c:extLst>
        </c:ser>
        <c:ser>
          <c:idx val="4"/>
          <c:order val="4"/>
          <c:tx>
            <c:strRef>
              <c:f>'Sport Loisir Culture - AMS'!$E$111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AMS'!$H$111:$K$111</c:f>
              <c:numCache>
                <c:formatCode>_-* #\ ##0_-;\-* #\ ##0_-;_-* "-"??_-;_-@_-</c:formatCode>
                <c:ptCount val="4"/>
                <c:pt idx="0" formatCode="0">
                  <c:v>18.519643420145986</c:v>
                </c:pt>
                <c:pt idx="1">
                  <c:v>31.940074049739934</c:v>
                </c:pt>
                <c:pt idx="2">
                  <c:v>47.883556668967664</c:v>
                </c:pt>
                <c:pt idx="3">
                  <c:v>60.289856394907218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C2-482A-BBA4-D39929B1949C}"/>
            </c:ext>
          </c:extLst>
        </c:ser>
        <c:ser>
          <c:idx val="5"/>
          <c:order val="5"/>
          <c:tx>
            <c:strRef>
              <c:f>'Sport Loisir Culture - AMS'!$E$112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AMS'!$H$112:$K$112</c:f>
              <c:numCache>
                <c:formatCode>_-* #\ ##0_-;\-* #\ ##0_-;_-* "-"??_-;_-@_-</c:formatCode>
                <c:ptCount val="4"/>
                <c:pt idx="0" formatCode="0">
                  <c:v>760.12969204354897</c:v>
                </c:pt>
                <c:pt idx="1">
                  <c:v>380.88450510480357</c:v>
                </c:pt>
                <c:pt idx="2">
                  <c:v>281.10427280007661</c:v>
                </c:pt>
                <c:pt idx="3">
                  <c:v>170.73000795165919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C2-482A-BBA4-D39929B1949C}"/>
            </c:ext>
          </c:extLst>
        </c:ser>
        <c:ser>
          <c:idx val="6"/>
          <c:order val="6"/>
          <c:tx>
            <c:strRef>
              <c:f>'Sport Loisir Culture - AMS'!$E$113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AMS'!$H$113:$K$113</c:f>
              <c:numCache>
                <c:formatCode>_-* #\ ##0_-;\-* #\ ##0_-;_-* "-"??_-;_-@_-</c:formatCode>
                <c:ptCount val="4"/>
                <c:pt idx="0" formatCode="0">
                  <c:v>150.2219246255691</c:v>
                </c:pt>
                <c:pt idx="1">
                  <c:v>291.06716545020885</c:v>
                </c:pt>
                <c:pt idx="2">
                  <c:v>487.91139067387337</c:v>
                </c:pt>
                <c:pt idx="3">
                  <c:v>569.4922494988781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C2-482A-BBA4-D39929B1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'Sport Loisir Culture - AMS'!$E$118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AMS'!$H$118:$K$118</c:f>
              <c:numCache>
                <c:formatCode>_-* #\ ##0_-;\-* #\ ##0_-;_-* "-"??_-;_-@_-</c:formatCode>
                <c:ptCount val="4"/>
                <c:pt idx="0">
                  <c:v>257.10040720038882</c:v>
                </c:pt>
                <c:pt idx="1">
                  <c:v>97.320684220868628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F-4B87-B8EA-F074C9EDC591}"/>
            </c:ext>
          </c:extLst>
        </c:ser>
        <c:ser>
          <c:idx val="1"/>
          <c:order val="1"/>
          <c:tx>
            <c:strRef>
              <c:f>'Sport Loisir Culture - AMS'!$E$119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AMS'!$H$119:$K$119</c:f>
              <c:numCache>
                <c:formatCode>_-* #\ ##0_-;\-* #\ ##0_-;_-* "-"??_-;_-@_-</c:formatCode>
                <c:ptCount val="4"/>
                <c:pt idx="0">
                  <c:v>1441.959285557225</c:v>
                </c:pt>
                <c:pt idx="1">
                  <c:v>938.8696954255214</c:v>
                </c:pt>
                <c:pt idx="2">
                  <c:v>713.6648980070438</c:v>
                </c:pt>
                <c:pt idx="3">
                  <c:v>441.44519242488224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F-4B87-B8EA-F074C9EDC591}"/>
            </c:ext>
          </c:extLst>
        </c:ser>
        <c:ser>
          <c:idx val="2"/>
          <c:order val="2"/>
          <c:tx>
            <c:strRef>
              <c:f>'Sport Loisir Culture - AMS'!$E$120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AMS'!$H$120:$K$120</c:f>
              <c:numCache>
                <c:formatCode>_-* #\ ##0_-;\-* #\ ##0_-;_-* "-"??_-;_-@_-</c:formatCode>
                <c:ptCount val="4"/>
                <c:pt idx="0">
                  <c:v>63.902309326446691</c:v>
                </c:pt>
                <c:pt idx="1">
                  <c:v>177.17779713283139</c:v>
                </c:pt>
                <c:pt idx="2">
                  <c:v>173.9263591371429</c:v>
                </c:pt>
                <c:pt idx="3">
                  <c:v>195.06381692429045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F-4B87-B8EA-F074C9EDC591}"/>
            </c:ext>
          </c:extLst>
        </c:ser>
        <c:ser>
          <c:idx val="3"/>
          <c:order val="3"/>
          <c:tx>
            <c:strRef>
              <c:f>'Sport Loisir Culture - AMS'!$E$121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AMS'!$H$121:$K$121</c:f>
              <c:numCache>
                <c:formatCode>_-* #\ ##0_-;\-* #\ ##0_-;_-* "-"??_-;_-@_-</c:formatCode>
                <c:ptCount val="4"/>
                <c:pt idx="0">
                  <c:v>7.9839778509954851</c:v>
                </c:pt>
                <c:pt idx="1">
                  <c:v>4.8346219326862814</c:v>
                </c:pt>
                <c:pt idx="2">
                  <c:v>2.2740773081912597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F-4B87-B8EA-F074C9EDC591}"/>
            </c:ext>
          </c:extLst>
        </c:ser>
        <c:ser>
          <c:idx val="4"/>
          <c:order val="4"/>
          <c:tx>
            <c:strRef>
              <c:f>'Sport Loisir Culture - AMS'!$E$122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AMS'!$H$122:$K$122</c:f>
              <c:numCache>
                <c:formatCode>_-* #\ ##0_-;\-* #\ ##0_-;_-* "-"??_-;_-@_-</c:formatCode>
                <c:ptCount val="4"/>
                <c:pt idx="0">
                  <c:v>7.6886663025825781</c:v>
                </c:pt>
                <c:pt idx="1">
                  <c:v>16.558754604164413</c:v>
                </c:pt>
                <c:pt idx="2">
                  <c:v>24.585296354009326</c:v>
                </c:pt>
                <c:pt idx="3">
                  <c:v>31.179800571685501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F-4B87-B8EA-F074C9EDC591}"/>
            </c:ext>
          </c:extLst>
        </c:ser>
        <c:ser>
          <c:idx val="5"/>
          <c:order val="5"/>
          <c:tx>
            <c:strRef>
              <c:f>'Sport Loisir Culture - AMS'!$E$123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AMS'!$H$123:$K$123</c:f>
              <c:numCache>
                <c:formatCode>_-* #\ ##0_-;\-* #\ ##0_-;_-* "-"??_-;_-@_-</c:formatCode>
                <c:ptCount val="4"/>
                <c:pt idx="0">
                  <c:v>315.57754197632585</c:v>
                </c:pt>
                <c:pt idx="1">
                  <c:v>184.00760352248966</c:v>
                </c:pt>
                <c:pt idx="2">
                  <c:v>125.33083074096453</c:v>
                </c:pt>
                <c:pt idx="3">
                  <c:v>71.448165378442042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F-4B87-B8EA-F074C9EDC591}"/>
            </c:ext>
          </c:extLst>
        </c:ser>
        <c:ser>
          <c:idx val="6"/>
          <c:order val="6"/>
          <c:tx>
            <c:strRef>
              <c:f>'Sport Loisir Culture - AMS'!$E$124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'Sport Loisir Culture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'Sport Loisir Culture - AMS'!$H$124:$K$124</c:f>
              <c:numCache>
                <c:formatCode>_-* #\ ##0_-;\-* #\ ##0_-;_-* "-"??_-;_-@_-</c:formatCode>
                <c:ptCount val="4"/>
                <c:pt idx="0">
                  <c:v>62.366549051440032</c:v>
                </c:pt>
                <c:pt idx="1">
                  <c:v>140.61630457726241</c:v>
                </c:pt>
                <c:pt idx="2">
                  <c:v>217.53614526032621</c:v>
                </c:pt>
                <c:pt idx="3">
                  <c:v>238.32469120166408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F-4B87-B8EA-F074C9ED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par source énergie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- AMS'!$E$13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AMS'!$H$13:$K$13</c:f>
              <c:numCache>
                <c:formatCode>#,##0</c:formatCode>
                <c:ptCount val="4"/>
                <c:pt idx="0">
                  <c:v>648.92228698886652</c:v>
                </c:pt>
                <c:pt idx="1">
                  <c:v>111.61659573735736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2-4B36-A480-3A159D262738}"/>
            </c:ext>
          </c:extLst>
        </c:ser>
        <c:ser>
          <c:idx val="1"/>
          <c:order val="1"/>
          <c:tx>
            <c:strRef>
              <c:f>'Transport - AMS'!$E$14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AMS'!$H$14:$K$14</c:f>
              <c:numCache>
                <c:formatCode>#,##0</c:formatCode>
                <c:ptCount val="4"/>
                <c:pt idx="0">
                  <c:v>1312.2159698455907</c:v>
                </c:pt>
                <c:pt idx="1">
                  <c:v>655.74364492765994</c:v>
                </c:pt>
                <c:pt idx="2">
                  <c:v>311.79271830319539</c:v>
                </c:pt>
                <c:pt idx="3">
                  <c:v>167.76881217933274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2-4B36-A480-3A159D262738}"/>
            </c:ext>
          </c:extLst>
        </c:ser>
        <c:ser>
          <c:idx val="2"/>
          <c:order val="2"/>
          <c:tx>
            <c:strRef>
              <c:f>'Transport - AMS'!$E$15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AMS'!$H$15:$K$15</c:f>
              <c:numCache>
                <c:formatCode>#,##0</c:formatCode>
                <c:ptCount val="4"/>
                <c:pt idx="0">
                  <c:v>188.15305580285894</c:v>
                </c:pt>
                <c:pt idx="1">
                  <c:v>486.73569910509735</c:v>
                </c:pt>
                <c:pt idx="2">
                  <c:v>596.3781199965216</c:v>
                </c:pt>
                <c:pt idx="3">
                  <c:v>639.86188920677148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2-4B36-A480-3A159D262738}"/>
            </c:ext>
          </c:extLst>
        </c:ser>
        <c:ser>
          <c:idx val="3"/>
          <c:order val="3"/>
          <c:tx>
            <c:strRef>
              <c:f>'Transport - AMS'!$E$16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AMS'!$H$16:$K$16</c:f>
              <c:numCache>
                <c:formatCode>#,##0</c:formatCode>
                <c:ptCount val="4"/>
                <c:pt idx="0">
                  <c:v>51.163592458605258</c:v>
                </c:pt>
                <c:pt idx="1">
                  <c:v>24.35889993131228</c:v>
                </c:pt>
                <c:pt idx="2">
                  <c:v>38.680346552720131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2-4B36-A480-3A159D262738}"/>
            </c:ext>
          </c:extLst>
        </c:ser>
        <c:ser>
          <c:idx val="4"/>
          <c:order val="4"/>
          <c:tx>
            <c:strRef>
              <c:f>'Transport - AMS'!$E$17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AMS'!$H$17:$K$17</c:f>
              <c:numCache>
                <c:formatCode>#,##0</c:formatCode>
                <c:ptCount val="4"/>
                <c:pt idx="0">
                  <c:v>26.787512001856257</c:v>
                </c:pt>
                <c:pt idx="1">
                  <c:v>17.204627300350367</c:v>
                </c:pt>
                <c:pt idx="2">
                  <c:v>14.649956655486031</c:v>
                </c:pt>
                <c:pt idx="3">
                  <c:v>10.44626852455219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2-4B36-A480-3A159D262738}"/>
            </c:ext>
          </c:extLst>
        </c:ser>
        <c:ser>
          <c:idx val="5"/>
          <c:order val="5"/>
          <c:tx>
            <c:strRef>
              <c:f>'Transport - AMS'!$E$18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AMS'!$H$18:$K$18</c:f>
              <c:numCache>
                <c:formatCode>#,##0</c:formatCode>
                <c:ptCount val="4"/>
                <c:pt idx="0">
                  <c:v>357.89954101382017</c:v>
                </c:pt>
                <c:pt idx="1">
                  <c:v>203.27282395091831</c:v>
                </c:pt>
                <c:pt idx="2">
                  <c:v>193.02867525605703</c:v>
                </c:pt>
                <c:pt idx="3">
                  <c:v>93.980697523348681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2-4B36-A480-3A159D262738}"/>
            </c:ext>
          </c:extLst>
        </c:ser>
        <c:ser>
          <c:idx val="6"/>
          <c:order val="6"/>
          <c:tx>
            <c:strRef>
              <c:f>'Transport - AMS'!$E$19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AMS'!$H$19:$K$19</c:f>
              <c:numCache>
                <c:formatCode>#,##0</c:formatCode>
                <c:ptCount val="4"/>
                <c:pt idx="0">
                  <c:v>80.433952361465728</c:v>
                </c:pt>
                <c:pt idx="1">
                  <c:v>177.94066491085559</c:v>
                </c:pt>
                <c:pt idx="2">
                  <c:v>260.78805623895931</c:v>
                </c:pt>
                <c:pt idx="3">
                  <c:v>237.85792237148419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2-4B36-A480-3A159D262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 du parc chauffé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'Transport - AMS'!$E$8</c:f>
              <c:strCache>
                <c:ptCount val="1"/>
                <c:pt idx="0">
                  <c:v>Dont surfaces construites après 2015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'Transport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'Transport - AMS'!$H$8:$K$8</c:f>
              <c:numCache>
                <c:formatCode>#,##0</c:formatCode>
                <c:ptCount val="4"/>
                <c:pt idx="0">
                  <c:v>0</c:v>
                </c:pt>
                <c:pt idx="1">
                  <c:v>1056.0407324289231</c:v>
                </c:pt>
                <c:pt idx="2">
                  <c:v>1001.1574110556077</c:v>
                </c:pt>
                <c:pt idx="3">
                  <c:v>690.11456501052521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394-80BD-E4885C1B9532}"/>
            </c:ext>
          </c:extLst>
        </c:ser>
        <c:ser>
          <c:idx val="1"/>
          <c:order val="1"/>
          <c:tx>
            <c:strRef>
              <c:f>'Transport - AMS'!$E$9</c:f>
              <c:strCache>
                <c:ptCount val="1"/>
                <c:pt idx="0">
                  <c:v>Dont surfaces existantes en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'Transport - AMS'!$H$6:$K$6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'Transport - AMS'!$H$9:$K$9</c:f>
              <c:numCache>
                <c:formatCode>#,##0</c:formatCode>
                <c:ptCount val="4"/>
                <c:pt idx="0">
                  <c:v>25839.303197908266</c:v>
                </c:pt>
                <c:pt idx="1">
                  <c:v>25167.481314762652</c:v>
                </c:pt>
                <c:pt idx="2">
                  <c:v>25541.710473964595</c:v>
                </c:pt>
                <c:pt idx="3">
                  <c:v>25573.111228324349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2-4394-80BD-E4885C1B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56895"/>
        <c:axId val="1384149407"/>
      </c:areaChart>
      <c:catAx>
        <c:axId val="138415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49407"/>
        <c:crosses val="autoZero"/>
        <c:auto val="1"/>
        <c:lblAlgn val="ctr"/>
        <c:lblOffset val="100"/>
        <c:noMultiLvlLbl val="0"/>
      </c:catAx>
      <c:valAx>
        <c:axId val="13841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1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 la partie du parc </a:t>
            </a:r>
            <a:r>
              <a:rPr lang="fr-FR" b="1"/>
              <a:t>suivant le décret tertiaire</a:t>
            </a:r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- AMS'!$E$107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AMS'!$H$107:$K$107</c:f>
              <c:numCache>
                <c:formatCode>_-* #\ ##0_-;\-* #\ ##0_-;_-* "-"??_-;_-@_-</c:formatCode>
                <c:ptCount val="4"/>
                <c:pt idx="0" formatCode="0">
                  <c:v>588.73474487064914</c:v>
                </c:pt>
                <c:pt idx="1">
                  <c:v>98.284852145415812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B-4A9A-874A-F88A09378D58}"/>
            </c:ext>
          </c:extLst>
        </c:ser>
        <c:ser>
          <c:idx val="1"/>
          <c:order val="1"/>
          <c:tx>
            <c:strRef>
              <c:f>'Transport - AMS'!$E$108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AMS'!$H$108:$K$108</c:f>
              <c:numCache>
                <c:formatCode>_-* #\ ##0_-;\-* #\ ##0_-;_-* "-"??_-;_-@_-</c:formatCode>
                <c:ptCount val="4"/>
                <c:pt idx="0" formatCode="0">
                  <c:v>1190.5079386424122</c:v>
                </c:pt>
                <c:pt idx="1">
                  <c:v>570.48080821562758</c:v>
                </c:pt>
                <c:pt idx="2">
                  <c:v>269.96879659939373</c:v>
                </c:pt>
                <c:pt idx="3">
                  <c:v>142.5264196240233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B-4A9A-874A-F88A09378D58}"/>
            </c:ext>
          </c:extLst>
        </c:ser>
        <c:ser>
          <c:idx val="2"/>
          <c:order val="2"/>
          <c:tx>
            <c:strRef>
              <c:f>'Transport - AMS'!$E$109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AMS'!$H$109:$K$109</c:f>
              <c:numCache>
                <c:formatCode>_-* #\ ##0_-;\-* #\ ##0_-;_-* "-"??_-;_-@_-</c:formatCode>
                <c:ptCount val="4"/>
                <c:pt idx="0" formatCode="0">
                  <c:v>170.70185987714379</c:v>
                </c:pt>
                <c:pt idx="1">
                  <c:v>416.80620625087971</c:v>
                </c:pt>
                <c:pt idx="2">
                  <c:v>514.55301027948155</c:v>
                </c:pt>
                <c:pt idx="3">
                  <c:v>543.30277562205094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B-4A9A-874A-F88A09378D58}"/>
            </c:ext>
          </c:extLst>
        </c:ser>
        <c:ser>
          <c:idx val="3"/>
          <c:order val="3"/>
          <c:tx>
            <c:strRef>
              <c:f>'Transport - AMS'!$E$110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AMS'!$H$110:$K$110</c:f>
              <c:numCache>
                <c:formatCode>_-* #\ ##0_-;\-* #\ ##0_-;_-* "-"??_-;_-@_-</c:formatCode>
                <c:ptCount val="4"/>
                <c:pt idx="0" formatCode="0">
                  <c:v>46.418169258069618</c:v>
                </c:pt>
                <c:pt idx="1">
                  <c:v>20.246612014040583</c:v>
                </c:pt>
                <c:pt idx="2">
                  <c:v>33.422633038264628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B-4A9A-874A-F88A09378D58}"/>
            </c:ext>
          </c:extLst>
        </c:ser>
        <c:ser>
          <c:idx val="4"/>
          <c:order val="4"/>
          <c:tx>
            <c:strRef>
              <c:f>'Transport - AMS'!$E$111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AMS'!$H$111:$K$111</c:f>
              <c:numCache>
                <c:formatCode>_-* #\ ##0_-;\-* #\ ##0_-;_-* "-"??_-;_-@_-</c:formatCode>
                <c:ptCount val="4"/>
                <c:pt idx="0" formatCode="0">
                  <c:v>24.302970263684088</c:v>
                </c:pt>
                <c:pt idx="1">
                  <c:v>14.396582742876978</c:v>
                </c:pt>
                <c:pt idx="2">
                  <c:v>12.202254516577741</c:v>
                </c:pt>
                <c:pt idx="3">
                  <c:v>8.5357147706635157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B-4A9A-874A-F88A09378D58}"/>
            </c:ext>
          </c:extLst>
        </c:ser>
        <c:ser>
          <c:idx val="5"/>
          <c:order val="5"/>
          <c:tx>
            <c:strRef>
              <c:f>'Transport - AMS'!$E$112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AMS'!$H$112:$K$112</c:f>
              <c:numCache>
                <c:formatCode>_-* #\ ##0_-;\-* #\ ##0_-;_-* "-"??_-;_-@_-</c:formatCode>
                <c:ptCount val="4"/>
                <c:pt idx="0" formatCode="0">
                  <c:v>324.70435858478834</c:v>
                </c:pt>
                <c:pt idx="1">
                  <c:v>176.41947622414753</c:v>
                </c:pt>
                <c:pt idx="2">
                  <c:v>169.35013007858782</c:v>
                </c:pt>
                <c:pt idx="3">
                  <c:v>81.000410795163802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1B-4A9A-874A-F88A09378D58}"/>
            </c:ext>
          </c:extLst>
        </c:ser>
        <c:ser>
          <c:idx val="6"/>
          <c:order val="6"/>
          <c:tx>
            <c:strRef>
              <c:f>'Transport - AMS'!$E$113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AMS'!$H$113:$K$113</c:f>
              <c:numCache>
                <c:formatCode>_-* #\ ##0_-;\-* #\ ##0_-;_-* "-"??_-;_-@_-</c:formatCode>
                <c:ptCount val="4"/>
                <c:pt idx="0" formatCode="0">
                  <c:v>72.973703279939784</c:v>
                </c:pt>
                <c:pt idx="1">
                  <c:v>145.22457379390386</c:v>
                </c:pt>
                <c:pt idx="2">
                  <c:v>219.91893355462304</c:v>
                </c:pt>
                <c:pt idx="3">
                  <c:v>201.36659685364495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1B-4A9A-874A-F88A0937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Consommation de chauffage du du parc hors décret en GWh AMS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Résultats!$A$94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Résultats!$Y$94:$AB$94</c:f>
              <c:numCache>
                <c:formatCode>#,##0</c:formatCode>
                <c:ptCount val="4"/>
                <c:pt idx="0">
                  <c:v>3041.0550492040788</c:v>
                </c:pt>
                <c:pt idx="1">
                  <c:v>649.29504609491141</c:v>
                </c:pt>
                <c:pt idx="2">
                  <c:v>106.57945560330651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8-41BF-8E5E-FC2D03167088}"/>
            </c:ext>
          </c:extLst>
        </c:ser>
        <c:ser>
          <c:idx val="1"/>
          <c:order val="1"/>
          <c:tx>
            <c:strRef>
              <c:f>Résultats!$A$95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Résultats!$Y$95:$AB$95</c:f>
              <c:numCache>
                <c:formatCode>#,##0</c:formatCode>
                <c:ptCount val="4"/>
                <c:pt idx="0">
                  <c:v>9775.0582869021528</c:v>
                </c:pt>
                <c:pt idx="1">
                  <c:v>5985.3629619933736</c:v>
                </c:pt>
                <c:pt idx="2">
                  <c:v>4525.5850889030644</c:v>
                </c:pt>
                <c:pt idx="3">
                  <c:v>2936.3442297146789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8-41BF-8E5E-FC2D03167088}"/>
            </c:ext>
          </c:extLst>
        </c:ser>
        <c:ser>
          <c:idx val="2"/>
          <c:order val="2"/>
          <c:tx>
            <c:strRef>
              <c:f>Résultats!$A$96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Résultats!$Y$96:$AB$96</c:f>
              <c:numCache>
                <c:formatCode>#,##0</c:formatCode>
                <c:ptCount val="4"/>
                <c:pt idx="0">
                  <c:v>1107.2776235205401</c:v>
                </c:pt>
                <c:pt idx="1">
                  <c:v>3835.676423366956</c:v>
                </c:pt>
                <c:pt idx="2">
                  <c:v>3777.8983372140533</c:v>
                </c:pt>
                <c:pt idx="3">
                  <c:v>3973.4609911112834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8-41BF-8E5E-FC2D03167088}"/>
            </c:ext>
          </c:extLst>
        </c:ser>
        <c:ser>
          <c:idx val="3"/>
          <c:order val="3"/>
          <c:tx>
            <c:strRef>
              <c:f>Résultats!$A$97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Résultats!$Y$97:$AB$97</c:f>
              <c:numCache>
                <c:formatCode>#,##0</c:formatCode>
                <c:ptCount val="4"/>
                <c:pt idx="0">
                  <c:v>199.15889438550369</c:v>
                </c:pt>
                <c:pt idx="1">
                  <c:v>118.88593436240271</c:v>
                </c:pt>
                <c:pt idx="2">
                  <c:v>58.083950597720637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8-41BF-8E5E-FC2D03167088}"/>
            </c:ext>
          </c:extLst>
        </c:ser>
        <c:ser>
          <c:idx val="4"/>
          <c:order val="4"/>
          <c:tx>
            <c:strRef>
              <c:f>Résultats!$A$98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Résultats!$Y$98:$AB$98</c:f>
              <c:numCache>
                <c:formatCode>#,##0</c:formatCode>
                <c:ptCount val="4"/>
                <c:pt idx="0">
                  <c:v>156.05568044239973</c:v>
                </c:pt>
                <c:pt idx="1">
                  <c:v>205.45634802303132</c:v>
                </c:pt>
                <c:pt idx="2">
                  <c:v>229.44925736638757</c:v>
                </c:pt>
                <c:pt idx="3">
                  <c:v>234.79038042973593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8-41BF-8E5E-FC2D03167088}"/>
            </c:ext>
          </c:extLst>
        </c:ser>
        <c:ser>
          <c:idx val="5"/>
          <c:order val="5"/>
          <c:tx>
            <c:strRef>
              <c:f>Résultats!$A$99</c:f>
              <c:strCache>
                <c:ptCount val="1"/>
                <c:pt idx="0">
                  <c:v>Electricité Joule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Résultats!$Y$99:$AB$99</c:f>
              <c:numCache>
                <c:formatCode>#,##0</c:formatCode>
                <c:ptCount val="4"/>
                <c:pt idx="0">
                  <c:v>3285.4309283778753</c:v>
                </c:pt>
                <c:pt idx="1">
                  <c:v>1701.9846022000484</c:v>
                </c:pt>
                <c:pt idx="2">
                  <c:v>826.40031155312886</c:v>
                </c:pt>
                <c:pt idx="3">
                  <c:v>322.973829094167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8-41BF-8E5E-FC2D03167088}"/>
            </c:ext>
          </c:extLst>
        </c:ser>
        <c:ser>
          <c:idx val="6"/>
          <c:order val="6"/>
          <c:tx>
            <c:strRef>
              <c:f>Résultats!$A$100</c:f>
              <c:strCache>
                <c:ptCount val="1"/>
                <c:pt idx="0">
                  <c:v>Electricité PAC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Résultats!$Y$57:$AB$57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Résultats!$Y$100:$AB$100</c:f>
              <c:numCache>
                <c:formatCode>#,##0</c:formatCode>
                <c:ptCount val="4"/>
                <c:pt idx="0">
                  <c:v>757.13660869024568</c:v>
                </c:pt>
                <c:pt idx="1">
                  <c:v>1882.9396218424897</c:v>
                </c:pt>
                <c:pt idx="2">
                  <c:v>2570.2215247069421</c:v>
                </c:pt>
                <c:pt idx="3">
                  <c:v>2672.018880711596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8-41BF-8E5E-FC2D0316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94832"/>
        <c:axId val="1242079440"/>
      </c:barChart>
      <c:catAx>
        <c:axId val="124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79440"/>
        <c:crosses val="autoZero"/>
        <c:auto val="1"/>
        <c:lblAlgn val="ctr"/>
        <c:lblOffset val="100"/>
        <c:noMultiLvlLbl val="0"/>
      </c:catAx>
      <c:valAx>
        <c:axId val="1242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de chauffage de</a:t>
            </a:r>
            <a:r>
              <a:rPr lang="fr-FR" baseline="0"/>
              <a:t> la partie du parc </a:t>
            </a:r>
            <a:r>
              <a:rPr lang="fr-FR" b="1" baseline="0"/>
              <a:t>ne suivant pas le décret tertiaire</a:t>
            </a:r>
            <a:endParaRPr lang="fr-FR" b="1"/>
          </a:p>
        </c:rich>
      </c:tx>
      <c:layout>
        <c:manualLayout>
          <c:xMode val="edge"/>
          <c:yMode val="edge"/>
          <c:x val="0.251506780402449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'Transport - AMS'!$E$118</c:f>
              <c:strCache>
                <c:ptCount val="1"/>
                <c:pt idx="0">
                  <c:v>Fuel domestique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AMS'!$H$118:$K$118</c:f>
              <c:numCache>
                <c:formatCode>_-* #\ ##0_-;\-* #\ ##0_-;_-* "-"??_-;_-@_-</c:formatCode>
                <c:ptCount val="4"/>
                <c:pt idx="0">
                  <c:v>60.187542118217372</c:v>
                </c:pt>
                <c:pt idx="1">
                  <c:v>13.331743591941553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4E6A-A793-8C28C360E6E7}"/>
            </c:ext>
          </c:extLst>
        </c:ser>
        <c:ser>
          <c:idx val="1"/>
          <c:order val="1"/>
          <c:tx>
            <c:strRef>
              <c:f>'Transport - AMS'!$E$119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AMS'!$H$119:$K$119</c:f>
              <c:numCache>
                <c:formatCode>_-* #\ ##0_-;\-* #\ ##0_-;_-* "-"??_-;_-@_-</c:formatCode>
                <c:ptCount val="4"/>
                <c:pt idx="0">
                  <c:v>121.70803120317854</c:v>
                </c:pt>
                <c:pt idx="1">
                  <c:v>78.126781758337515</c:v>
                </c:pt>
                <c:pt idx="2">
                  <c:v>35.673750612165883</c:v>
                </c:pt>
                <c:pt idx="3">
                  <c:v>21.42691824457896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7-4E6A-A793-8C28C360E6E7}"/>
            </c:ext>
          </c:extLst>
        </c:ser>
        <c:ser>
          <c:idx val="2"/>
          <c:order val="2"/>
          <c:tx>
            <c:strRef>
              <c:f>'Transport - AMS'!$E$120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AMS'!$H$120:$K$120</c:f>
              <c:numCache>
                <c:formatCode>_-* #\ ##0_-;\-* #\ ##0_-;_-* "-"??_-;_-@_-</c:formatCode>
                <c:ptCount val="4"/>
                <c:pt idx="0">
                  <c:v>17.451195925715169</c:v>
                </c:pt>
                <c:pt idx="1">
                  <c:v>58.801302068750459</c:v>
                </c:pt>
                <c:pt idx="2">
                  <c:v>72.152779205693818</c:v>
                </c:pt>
                <c:pt idx="3">
                  <c:v>89.286925772794632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7-4E6A-A793-8C28C360E6E7}"/>
            </c:ext>
          </c:extLst>
        </c:ser>
        <c:ser>
          <c:idx val="3"/>
          <c:order val="3"/>
          <c:tx>
            <c:strRef>
              <c:f>'Transport - AMS'!$E$121</c:f>
              <c:strCache>
                <c:ptCount val="1"/>
                <c:pt idx="0">
                  <c:v>GPL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AMS'!$H$121:$K$121</c:f>
              <c:numCache>
                <c:formatCode>_-* #\ ##0_-;\-* #\ ##0_-;_-* "-"??_-;_-@_-</c:formatCode>
                <c:ptCount val="4"/>
                <c:pt idx="0">
                  <c:v>4.7454232005356376</c:v>
                </c:pt>
                <c:pt idx="1">
                  <c:v>2.8563085939027562</c:v>
                </c:pt>
                <c:pt idx="2">
                  <c:v>4.6866616537196037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7-4E6A-A793-8C28C360E6E7}"/>
            </c:ext>
          </c:extLst>
        </c:ser>
        <c:ser>
          <c:idx val="4"/>
          <c:order val="4"/>
          <c:tx>
            <c:strRef>
              <c:f>'Transport - AMS'!$E$122</c:f>
              <c:strCache>
                <c:ptCount val="1"/>
                <c:pt idx="0">
                  <c:v>ENR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AMS'!$H$122:$K$122</c:f>
              <c:numCache>
                <c:formatCode>_-* #\ ##0_-;\-* #\ ##0_-;_-* "-"??_-;_-@_-</c:formatCode>
                <c:ptCount val="4"/>
                <c:pt idx="0">
                  <c:v>2.4845417381721679</c:v>
                </c:pt>
                <c:pt idx="1">
                  <c:v>2.0310105702028101</c:v>
                </c:pt>
                <c:pt idx="2">
                  <c:v>1.7110512587772189</c:v>
                </c:pt>
                <c:pt idx="3">
                  <c:v>1.4027679690636348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7-4E6A-A793-8C28C360E6E7}"/>
            </c:ext>
          </c:extLst>
        </c:ser>
        <c:ser>
          <c:idx val="5"/>
          <c:order val="5"/>
          <c:tx>
            <c:strRef>
              <c:f>'Transport - AMS'!$E$123</c:f>
              <c:strCache>
                <c:ptCount val="1"/>
                <c:pt idx="0">
                  <c:v>Joule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AMS'!$H$123:$K$123</c:f>
              <c:numCache>
                <c:formatCode>_-* #\ ##0_-;\-* #\ ##0_-;_-* "-"??_-;_-@_-</c:formatCode>
                <c:ptCount val="4"/>
                <c:pt idx="0">
                  <c:v>33.195182429031817</c:v>
                </c:pt>
                <c:pt idx="1">
                  <c:v>23.192630386030533</c:v>
                </c:pt>
                <c:pt idx="2">
                  <c:v>20.621008452189159</c:v>
                </c:pt>
                <c:pt idx="3">
                  <c:v>10.771726182922096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F7-4E6A-A793-8C28C360E6E7}"/>
            </c:ext>
          </c:extLst>
        </c:ser>
        <c:ser>
          <c:idx val="6"/>
          <c:order val="6"/>
          <c:tx>
            <c:strRef>
              <c:f>'Transport - AMS'!$E$124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'Transport - AMS'!$H$11:$K$12</c:f>
              <c:strCach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strCache>
            </c:strRef>
          </c:cat>
          <c:val>
            <c:numRef>
              <c:f>'Transport - AMS'!$H$124:$K$124</c:f>
              <c:numCache>
                <c:formatCode>_-* #\ ##0_-;\-* #\ ##0_-;_-* "-"??_-;_-@_-</c:formatCode>
                <c:ptCount val="4"/>
                <c:pt idx="0">
                  <c:v>7.460249081525947</c:v>
                </c:pt>
                <c:pt idx="1">
                  <c:v>19.091655496649825</c:v>
                </c:pt>
                <c:pt idx="2">
                  <c:v>26.778545641044623</c:v>
                </c:pt>
                <c:pt idx="3">
                  <c:v>26.778454854747871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F7-4E6A-A793-8C28C360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366928"/>
        <c:axId val="1307369008"/>
      </c:barChart>
      <c:catAx>
        <c:axId val="13073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9008"/>
        <c:crosses val="autoZero"/>
        <c:auto val="1"/>
        <c:lblAlgn val="ctr"/>
        <c:lblOffset val="100"/>
        <c:noMultiLvlLbl val="0"/>
      </c:catAx>
      <c:valAx>
        <c:axId val="1307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Résultats!$A$31</c:f>
              <c:strCache>
                <c:ptCount val="1"/>
                <c:pt idx="0">
                  <c:v>Chauffage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Résultats!$B$30:$E$30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Résultats!$B$31:$E$31</c:f>
              <c:numCache>
                <c:formatCode>#,##0</c:formatCode>
                <c:ptCount val="4"/>
                <c:pt idx="0">
                  <c:v>112000</c:v>
                </c:pt>
                <c:pt idx="1">
                  <c:v>86666.435950300583</c:v>
                </c:pt>
                <c:pt idx="2">
                  <c:v>75339.500031772128</c:v>
                </c:pt>
                <c:pt idx="3">
                  <c:v>63642.311085512876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D-4947-BA4A-E39F1E48E90D}"/>
            </c:ext>
          </c:extLst>
        </c:ser>
        <c:ser>
          <c:idx val="1"/>
          <c:order val="1"/>
          <c:tx>
            <c:strRef>
              <c:f>Résultats!$A$32</c:f>
              <c:strCache>
                <c:ptCount val="1"/>
                <c:pt idx="0">
                  <c:v>Hors chauffage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Résultats!$B$30:$E$30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Résultats!$B$32:$E$32</c:f>
              <c:numCache>
                <c:formatCode>#,##0</c:formatCode>
                <c:ptCount val="4"/>
                <c:pt idx="0">
                  <c:v>149176.07514302438</c:v>
                </c:pt>
                <c:pt idx="1">
                  <c:v>153541.2440791699</c:v>
                </c:pt>
                <c:pt idx="2">
                  <c:v>145656.72853316195</c:v>
                </c:pt>
                <c:pt idx="3">
                  <c:v>172857.82316500918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D-4947-BA4A-E39F1E48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18207"/>
        <c:axId val="1895409135"/>
      </c:areaChart>
      <c:catAx>
        <c:axId val="164811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5409135"/>
        <c:crosses val="autoZero"/>
        <c:auto val="1"/>
        <c:lblAlgn val="ctr"/>
        <c:lblOffset val="100"/>
        <c:noMultiLvlLbl val="0"/>
      </c:catAx>
      <c:valAx>
        <c:axId val="18954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811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59417</xdr:colOff>
      <xdr:row>4</xdr:row>
      <xdr:rowOff>52614</xdr:rowOff>
    </xdr:from>
    <xdr:to>
      <xdr:col>13</xdr:col>
      <xdr:colOff>545192</xdr:colOff>
      <xdr:row>22</xdr:row>
      <xdr:rowOff>125639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752474</xdr:colOff>
      <xdr:row>61</xdr:row>
      <xdr:rowOff>136072</xdr:rowOff>
    </xdr:from>
    <xdr:to>
      <xdr:col>13</xdr:col>
      <xdr:colOff>469899</xdr:colOff>
      <xdr:row>78</xdr:row>
      <xdr:rowOff>34925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78</xdr:row>
      <xdr:rowOff>25401</xdr:rowOff>
    </xdr:from>
    <xdr:to>
      <xdr:col>13</xdr:col>
      <xdr:colOff>504825</xdr:colOff>
      <xdr:row>91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650422</xdr:colOff>
      <xdr:row>90</xdr:row>
      <xdr:rowOff>135165</xdr:rowOff>
    </xdr:from>
    <xdr:to>
      <xdr:col>13</xdr:col>
      <xdr:colOff>450397</xdr:colOff>
      <xdr:row>103</xdr:row>
      <xdr:rowOff>109764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362857</xdr:colOff>
      <xdr:row>4</xdr:row>
      <xdr:rowOff>81643</xdr:rowOff>
    </xdr:from>
    <xdr:to>
      <xdr:col>22</xdr:col>
      <xdr:colOff>86632</xdr:colOff>
      <xdr:row>22</xdr:row>
      <xdr:rowOff>154668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362857</xdr:colOff>
      <xdr:row>60</xdr:row>
      <xdr:rowOff>172357</xdr:rowOff>
    </xdr:from>
    <xdr:to>
      <xdr:col>22</xdr:col>
      <xdr:colOff>80282</xdr:colOff>
      <xdr:row>78</xdr:row>
      <xdr:rowOff>63046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371929</xdr:colOff>
      <xdr:row>78</xdr:row>
      <xdr:rowOff>90715</xdr:rowOff>
    </xdr:from>
    <xdr:to>
      <xdr:col>22</xdr:col>
      <xdr:colOff>171904</xdr:colOff>
      <xdr:row>91</xdr:row>
      <xdr:rowOff>65314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399142</xdr:colOff>
      <xdr:row>91</xdr:row>
      <xdr:rowOff>9072</xdr:rowOff>
    </xdr:from>
    <xdr:to>
      <xdr:col>22</xdr:col>
      <xdr:colOff>199117</xdr:colOff>
      <xdr:row>103</xdr:row>
      <xdr:rowOff>165099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86178</xdr:colOff>
      <xdr:row>22</xdr:row>
      <xdr:rowOff>18142</xdr:rowOff>
    </xdr:from>
    <xdr:to>
      <xdr:col>13</xdr:col>
      <xdr:colOff>136071</xdr:colOff>
      <xdr:row>34</xdr:row>
      <xdr:rowOff>69850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607785</xdr:colOff>
      <xdr:row>22</xdr:row>
      <xdr:rowOff>0</xdr:rowOff>
    </xdr:from>
    <xdr:to>
      <xdr:col>21</xdr:col>
      <xdr:colOff>171450</xdr:colOff>
      <xdr:row>35</xdr:row>
      <xdr:rowOff>12700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95249</xdr:colOff>
      <xdr:row>34</xdr:row>
      <xdr:rowOff>29936</xdr:rowOff>
    </xdr:from>
    <xdr:to>
      <xdr:col>13</xdr:col>
      <xdr:colOff>95249</xdr:colOff>
      <xdr:row>48</xdr:row>
      <xdr:rowOff>178707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616857</xdr:colOff>
      <xdr:row>35</xdr:row>
      <xdr:rowOff>0</xdr:rowOff>
    </xdr:from>
    <xdr:to>
      <xdr:col>21</xdr:col>
      <xdr:colOff>607786</xdr:colOff>
      <xdr:row>49</xdr:row>
      <xdr:rowOff>15421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625929</xdr:colOff>
      <xdr:row>110</xdr:row>
      <xdr:rowOff>0</xdr:rowOff>
    </xdr:from>
    <xdr:to>
      <xdr:col>13</xdr:col>
      <xdr:colOff>425904</xdr:colOff>
      <xdr:row>122</xdr:row>
      <xdr:rowOff>156027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425823</xdr:colOff>
      <xdr:row>110</xdr:row>
      <xdr:rowOff>134470</xdr:rowOff>
    </xdr:from>
    <xdr:to>
      <xdr:col>22</xdr:col>
      <xdr:colOff>225798</xdr:colOff>
      <xdr:row>123</xdr:row>
      <xdr:rowOff>103732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571499</xdr:colOff>
      <xdr:row>129</xdr:row>
      <xdr:rowOff>166204</xdr:rowOff>
    </xdr:from>
    <xdr:to>
      <xdr:col>12</xdr:col>
      <xdr:colOff>571499</xdr:colOff>
      <xdr:row>145</xdr:row>
      <xdr:rowOff>120926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705971</xdr:colOff>
      <xdr:row>129</xdr:row>
      <xdr:rowOff>136713</xdr:rowOff>
    </xdr:from>
    <xdr:to>
      <xdr:col>21</xdr:col>
      <xdr:colOff>705971</xdr:colOff>
      <xdr:row>145</xdr:row>
      <xdr:rowOff>91435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</xdr:colOff>
      <xdr:row>2</xdr:row>
      <xdr:rowOff>120650</xdr:rowOff>
    </xdr:from>
    <xdr:to>
      <xdr:col>12</xdr:col>
      <xdr:colOff>457200</xdr:colOff>
      <xdr:row>24</xdr:row>
      <xdr:rowOff>119100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350" y="488950"/>
          <a:ext cx="8070850" cy="404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184149</xdr:rowOff>
    </xdr:from>
    <xdr:to>
      <xdr:col>16</xdr:col>
      <xdr:colOff>342900</xdr:colOff>
      <xdr:row>42</xdr:row>
      <xdr:rowOff>148300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972049"/>
          <a:ext cx="11010900" cy="291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499085</xdr:colOff>
      <xdr:row>1</xdr:row>
      <xdr:rowOff>83457</xdr:rowOff>
    </xdr:from>
    <xdr:to>
      <xdr:col>26</xdr:col>
      <xdr:colOff>121556</xdr:colOff>
      <xdr:row>25</xdr:row>
      <xdr:rowOff>56243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564590</xdr:colOff>
      <xdr:row>25</xdr:row>
      <xdr:rowOff>97758</xdr:rowOff>
    </xdr:from>
    <xdr:to>
      <xdr:col>26</xdr:col>
      <xdr:colOff>239059</xdr:colOff>
      <xdr:row>42</xdr:row>
      <xdr:rowOff>179294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450850</xdr:colOff>
      <xdr:row>2</xdr:row>
      <xdr:rowOff>96052</xdr:rowOff>
    </xdr:from>
    <xdr:to>
      <xdr:col>33</xdr:col>
      <xdr:colOff>572250</xdr:colOff>
      <xdr:row>25</xdr:row>
      <xdr:rowOff>51710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490391</xdr:colOff>
      <xdr:row>25</xdr:row>
      <xdr:rowOff>26681</xdr:rowOff>
    </xdr:from>
    <xdr:to>
      <xdr:col>33</xdr:col>
      <xdr:colOff>611791</xdr:colOff>
      <xdr:row>42</xdr:row>
      <xdr:rowOff>264085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B84B"/>
  </sheetPr>
  <dimension ref="B1:U52"/>
  <sheetViews>
    <sheetView topLeftCell="A22" zoomScale="94" zoomScaleNormal="115" workbookViewId="0">
      <selection activeCell="O25" sqref="O25"/>
    </sheetView>
  </sheetViews>
  <sheetFormatPr baseColWidth="10" defaultRowHeight="14.5"/>
  <cols>
    <col min="2" max="2" width="8.08984375" customWidth="1"/>
    <col min="3" max="3" width="22.81640625" customWidth="1"/>
    <col min="4" max="4" width="11.36328125" style="74" customWidth="1"/>
    <col min="7" max="7" width="10" bestFit="1" customWidth="1"/>
    <col min="8" max="8" width="13" bestFit="1" customWidth="1"/>
    <col min="9" max="9" width="14.7265625" customWidth="1"/>
    <col min="11" max="11" width="11.81640625" customWidth="1"/>
    <col min="13" max="13" width="10.90625" style="185"/>
  </cols>
  <sheetData>
    <row r="1" spans="2:20">
      <c r="B1" s="174"/>
      <c r="C1" s="174"/>
      <c r="D1" s="175"/>
      <c r="E1" s="174"/>
      <c r="F1" s="174"/>
      <c r="G1" s="174"/>
      <c r="H1" s="174"/>
      <c r="I1" s="174"/>
      <c r="J1" s="174"/>
      <c r="K1" s="174"/>
      <c r="L1" s="174"/>
    </row>
    <row r="2" spans="2:20" ht="29">
      <c r="B2" s="174"/>
      <c r="C2" s="174"/>
      <c r="D2" s="175"/>
      <c r="E2" s="181" t="s">
        <v>0</v>
      </c>
      <c r="F2" s="181" t="s">
        <v>51</v>
      </c>
      <c r="G2" s="181" t="s">
        <v>3</v>
      </c>
      <c r="H2" s="181" t="s">
        <v>45</v>
      </c>
      <c r="I2" s="181" t="s">
        <v>1</v>
      </c>
      <c r="J2" s="181" t="s">
        <v>47</v>
      </c>
      <c r="K2" s="181" t="s">
        <v>46</v>
      </c>
      <c r="L2" s="181" t="s">
        <v>4</v>
      </c>
      <c r="M2" s="182" t="s">
        <v>17</v>
      </c>
    </row>
    <row r="3" spans="2:20">
      <c r="B3" s="174"/>
      <c r="C3" s="174"/>
      <c r="D3"/>
      <c r="Q3" s="16"/>
      <c r="R3" s="16"/>
      <c r="S3" s="16"/>
    </row>
    <row r="4" spans="2:20">
      <c r="B4" s="174"/>
      <c r="C4" s="288" t="s">
        <v>110</v>
      </c>
      <c r="D4" s="288"/>
      <c r="E4" s="266">
        <v>239113.67300849396</v>
      </c>
      <c r="F4" s="266">
        <v>67389.90174661066</v>
      </c>
      <c r="G4" s="266">
        <v>215959</v>
      </c>
      <c r="H4" s="266">
        <v>190850</v>
      </c>
      <c r="I4" s="266">
        <v>72592</v>
      </c>
      <c r="J4" s="266">
        <v>118445.13907375958</v>
      </c>
      <c r="K4" s="266">
        <v>74481</v>
      </c>
      <c r="L4" s="266">
        <v>25839.303197908266</v>
      </c>
      <c r="M4" s="183">
        <f>SUM(E4:L4)</f>
        <v>1004670.0170267724</v>
      </c>
      <c r="Q4" s="16"/>
      <c r="R4" s="16"/>
      <c r="S4" s="16"/>
    </row>
    <row r="5" spans="2:20">
      <c r="B5" s="174"/>
      <c r="C5" s="174"/>
      <c r="D5"/>
      <c r="Q5" s="16"/>
      <c r="R5" s="16"/>
      <c r="S5" s="16"/>
    </row>
    <row r="6" spans="2:20">
      <c r="C6" s="286" t="s">
        <v>101</v>
      </c>
      <c r="D6" s="287"/>
      <c r="E6" s="176">
        <v>0.1</v>
      </c>
      <c r="F6" s="176">
        <v>0</v>
      </c>
      <c r="G6" s="176">
        <v>0</v>
      </c>
      <c r="H6" s="176">
        <v>7.0000000000000007E-2</v>
      </c>
      <c r="I6" s="176">
        <v>0</v>
      </c>
      <c r="J6" s="176">
        <v>0.6</v>
      </c>
      <c r="K6" s="176">
        <v>0.06</v>
      </c>
      <c r="L6" s="176">
        <v>0.5</v>
      </c>
      <c r="M6" s="184">
        <f>SUMPRODUCT(E$4:L$4,E6:L6)/M$4</f>
        <v>0.12514204685448369</v>
      </c>
      <c r="N6" s="107"/>
      <c r="Q6" s="16"/>
      <c r="R6" s="16"/>
      <c r="S6" s="16"/>
    </row>
    <row r="7" spans="2:20" ht="14.5" customHeight="1">
      <c r="C7" s="286" t="s">
        <v>103</v>
      </c>
      <c r="D7" s="287"/>
      <c r="E7" s="176">
        <v>0.1</v>
      </c>
      <c r="F7" s="176">
        <v>0</v>
      </c>
      <c r="G7" s="176">
        <v>0</v>
      </c>
      <c r="H7" s="176">
        <v>0.72</v>
      </c>
      <c r="I7" s="176">
        <v>0.1</v>
      </c>
      <c r="J7" s="176">
        <v>0.08</v>
      </c>
      <c r="K7" s="176">
        <v>0.85</v>
      </c>
      <c r="L7" s="176">
        <v>0</v>
      </c>
      <c r="M7" s="184">
        <f>SUMPRODUCT(E$4:L$4,E7:L7)/M$4</f>
        <v>0.24024507981342322</v>
      </c>
      <c r="N7" s="173"/>
      <c r="Q7" s="16"/>
      <c r="S7" s="16"/>
    </row>
    <row r="8" spans="2:20" ht="14.5" customHeight="1">
      <c r="C8" s="286" t="s">
        <v>102</v>
      </c>
      <c r="D8" s="287"/>
      <c r="E8" s="176">
        <v>0.8</v>
      </c>
      <c r="F8" s="176">
        <v>1</v>
      </c>
      <c r="G8" s="176">
        <v>1</v>
      </c>
      <c r="H8" s="176">
        <v>0.21</v>
      </c>
      <c r="I8" s="176">
        <v>0.9</v>
      </c>
      <c r="J8" s="176">
        <v>0.32</v>
      </c>
      <c r="K8" s="176">
        <v>0.09</v>
      </c>
      <c r="L8" s="176">
        <v>0.5</v>
      </c>
      <c r="M8" s="184">
        <f>SUMPRODUCT(E$4:L$4,E8:L8)/M$4</f>
        <v>0.63461287333209315</v>
      </c>
    </row>
    <row r="9" spans="2:20" ht="14.5" customHeight="1">
      <c r="C9" s="174"/>
      <c r="D9" s="177"/>
      <c r="E9" s="178"/>
      <c r="F9" s="178"/>
      <c r="G9" s="178"/>
      <c r="H9" s="178"/>
      <c r="I9" s="178"/>
      <c r="J9" s="178"/>
      <c r="K9" s="178"/>
      <c r="L9" s="178"/>
      <c r="M9" s="186"/>
      <c r="Q9" s="281" t="s">
        <v>237</v>
      </c>
      <c r="R9" s="282"/>
      <c r="S9" s="282"/>
      <c r="T9" s="282"/>
    </row>
    <row r="10" spans="2:20" ht="28.5" customHeight="1">
      <c r="C10" s="286" t="s">
        <v>121</v>
      </c>
      <c r="D10" s="287"/>
      <c r="E10" s="176">
        <v>0.65</v>
      </c>
      <c r="F10" s="176">
        <v>0.65</v>
      </c>
      <c r="G10" s="176">
        <v>0.55000000000000004</v>
      </c>
      <c r="H10" s="176">
        <v>0.85</v>
      </c>
      <c r="I10" s="176">
        <v>0.8</v>
      </c>
      <c r="J10" s="176">
        <v>0.93</v>
      </c>
      <c r="K10" s="176">
        <v>0.56999999999999995</v>
      </c>
      <c r="L10" s="176">
        <v>0.78</v>
      </c>
      <c r="M10" s="184">
        <f>SUMPRODUCT(E$4:L$4,E10:L10)/M$4</f>
        <v>0.7077584354792531</v>
      </c>
      <c r="Q10" s="279" t="s">
        <v>238</v>
      </c>
      <c r="R10" s="93" t="s">
        <v>8</v>
      </c>
      <c r="S10" s="93" t="s">
        <v>9</v>
      </c>
      <c r="T10" s="93" t="s">
        <v>10</v>
      </c>
    </row>
    <row r="11" spans="2:20" ht="28.5" customHeight="1">
      <c r="C11" s="286" t="s">
        <v>122</v>
      </c>
      <c r="D11" s="287"/>
      <c r="E11" s="176">
        <f>MIN(100%, E10+0.175)</f>
        <v>0.82499999999999996</v>
      </c>
      <c r="F11" s="176">
        <f t="shared" ref="F11:L11" si="0">MIN(100%, F10+0.175)</f>
        <v>0.82499999999999996</v>
      </c>
      <c r="G11" s="176">
        <f t="shared" si="0"/>
        <v>0.72500000000000009</v>
      </c>
      <c r="H11" s="176">
        <f t="shared" si="0"/>
        <v>1</v>
      </c>
      <c r="I11" s="176">
        <v>0.9</v>
      </c>
      <c r="J11" s="176">
        <f t="shared" si="0"/>
        <v>1</v>
      </c>
      <c r="K11" s="176">
        <f t="shared" si="0"/>
        <v>0.74499999999999988</v>
      </c>
      <c r="L11" s="176">
        <f t="shared" si="0"/>
        <v>0.95500000000000007</v>
      </c>
      <c r="M11" s="184">
        <f t="shared" ref="M11" si="1">SUMPRODUCT(E$4:L$4,E11:L11)/M$4</f>
        <v>0.86021134119073972</v>
      </c>
      <c r="Q11" s="105"/>
      <c r="R11" s="93"/>
      <c r="S11" s="93"/>
      <c r="T11" s="93"/>
    </row>
    <row r="12" spans="2:20">
      <c r="B12" s="174"/>
      <c r="C12" s="177"/>
      <c r="D12" s="177"/>
      <c r="E12" s="174"/>
      <c r="F12" s="174"/>
      <c r="G12" s="174"/>
      <c r="H12" s="174"/>
      <c r="I12" s="174"/>
      <c r="J12" s="174"/>
      <c r="K12" s="174"/>
      <c r="L12" s="174"/>
      <c r="Q12" s="93" t="s">
        <v>0</v>
      </c>
      <c r="R12" s="102">
        <v>0.65</v>
      </c>
      <c r="S12" s="102">
        <v>0.65</v>
      </c>
      <c r="T12" s="102">
        <v>0.55000000000000004</v>
      </c>
    </row>
    <row r="13" spans="2:20" ht="14.5" customHeight="1">
      <c r="B13" s="283" t="s">
        <v>18</v>
      </c>
      <c r="C13" s="284" t="s">
        <v>236</v>
      </c>
      <c r="D13" s="172" t="s">
        <v>104</v>
      </c>
      <c r="E13" s="179">
        <v>0.6</v>
      </c>
      <c r="F13" s="179">
        <v>0.6</v>
      </c>
      <c r="G13" s="179">
        <v>0.6</v>
      </c>
      <c r="H13" s="179">
        <v>0.6</v>
      </c>
      <c r="I13" s="179">
        <v>0.6</v>
      </c>
      <c r="J13" s="179">
        <v>0.6</v>
      </c>
      <c r="K13" s="179">
        <v>0.6</v>
      </c>
      <c r="L13" s="179">
        <v>0.6</v>
      </c>
      <c r="M13" s="187">
        <f>SUMPRODUCT(E$4:L$4,E13:L13)/M$4</f>
        <v>0.6</v>
      </c>
      <c r="Q13" s="93" t="s">
        <v>11</v>
      </c>
      <c r="R13" s="102">
        <v>0.66</v>
      </c>
      <c r="S13" s="102">
        <v>0.66</v>
      </c>
      <c r="T13" s="102">
        <v>0.55000000000000004</v>
      </c>
    </row>
    <row r="14" spans="2:20">
      <c r="B14" s="283"/>
      <c r="C14" s="284"/>
      <c r="D14" s="172" t="s">
        <v>106</v>
      </c>
      <c r="E14" s="179">
        <v>0.5</v>
      </c>
      <c r="F14" s="179">
        <v>0.5</v>
      </c>
      <c r="G14" s="179">
        <v>0.5</v>
      </c>
      <c r="H14" s="179">
        <v>0.5</v>
      </c>
      <c r="I14" s="179">
        <v>0.5</v>
      </c>
      <c r="J14" s="179">
        <v>0.5</v>
      </c>
      <c r="K14" s="179">
        <v>0.5</v>
      </c>
      <c r="L14" s="179">
        <v>0.5</v>
      </c>
      <c r="M14" s="187">
        <f t="shared" ref="M14:M15" si="2">SUMPRODUCT(E$4:L$4,E14:L14)/M$4</f>
        <v>0.5</v>
      </c>
      <c r="Q14" s="93" t="s">
        <v>3</v>
      </c>
      <c r="R14" s="102">
        <v>0.52</v>
      </c>
      <c r="S14" s="102">
        <v>0.52</v>
      </c>
      <c r="T14" s="102">
        <v>0.42</v>
      </c>
    </row>
    <row r="15" spans="2:20" ht="27" customHeight="1">
      <c r="B15" s="283"/>
      <c r="C15" s="284"/>
      <c r="D15" s="172" t="s">
        <v>105</v>
      </c>
      <c r="E15" s="179">
        <v>0.45</v>
      </c>
      <c r="F15" s="179">
        <v>0.45</v>
      </c>
      <c r="G15" s="179">
        <v>0.45</v>
      </c>
      <c r="H15" s="179">
        <v>0.45</v>
      </c>
      <c r="I15" s="179">
        <v>0.45</v>
      </c>
      <c r="J15" s="179">
        <v>0.45</v>
      </c>
      <c r="K15" s="179">
        <v>0.45</v>
      </c>
      <c r="L15" s="179">
        <v>0.45</v>
      </c>
      <c r="M15" s="187">
        <f t="shared" si="2"/>
        <v>0.45000000000000012</v>
      </c>
      <c r="Q15" s="93" t="s">
        <v>12</v>
      </c>
      <c r="R15" s="102">
        <v>0.85</v>
      </c>
      <c r="S15" s="102">
        <v>0.85</v>
      </c>
      <c r="T15" s="102">
        <v>0.75</v>
      </c>
    </row>
    <row r="16" spans="2:20">
      <c r="B16" s="174"/>
      <c r="C16" s="276"/>
      <c r="D16" s="177"/>
      <c r="E16" s="174"/>
      <c r="F16" s="174"/>
      <c r="G16" s="174"/>
      <c r="H16" s="174"/>
      <c r="I16" s="174"/>
      <c r="J16" s="174"/>
      <c r="K16" s="174"/>
      <c r="L16" s="174"/>
      <c r="Q16" s="93" t="s">
        <v>1</v>
      </c>
      <c r="R16" s="102">
        <v>0.78</v>
      </c>
      <c r="S16" s="102">
        <v>0.78</v>
      </c>
      <c r="T16" s="102">
        <v>0.68</v>
      </c>
    </row>
    <row r="17" spans="2:21">
      <c r="B17" s="285" t="s">
        <v>19</v>
      </c>
      <c r="C17" s="284" t="s">
        <v>236</v>
      </c>
      <c r="D17" s="172" t="s">
        <v>104</v>
      </c>
      <c r="E17" s="179">
        <v>1</v>
      </c>
      <c r="F17" s="179">
        <v>1</v>
      </c>
      <c r="G17" s="179">
        <v>1</v>
      </c>
      <c r="H17" s="179">
        <v>1</v>
      </c>
      <c r="I17" s="179">
        <v>1</v>
      </c>
      <c r="J17" s="179">
        <v>1</v>
      </c>
      <c r="K17" s="179">
        <v>1</v>
      </c>
      <c r="L17" s="179">
        <v>1</v>
      </c>
      <c r="M17" s="187">
        <f>SUMPRODUCT(E$4:L$4,E17:L17)/M$4</f>
        <v>1</v>
      </c>
      <c r="Q17" s="93" t="s">
        <v>2</v>
      </c>
      <c r="R17" s="102">
        <v>0.99</v>
      </c>
      <c r="S17" s="102">
        <v>0.99</v>
      </c>
      <c r="T17" s="102">
        <v>0.89</v>
      </c>
    </row>
    <row r="18" spans="2:21">
      <c r="B18" s="285"/>
      <c r="C18" s="284"/>
      <c r="D18" s="172" t="s">
        <v>106</v>
      </c>
      <c r="E18" s="179">
        <v>0.95</v>
      </c>
      <c r="F18" s="179">
        <v>0.95</v>
      </c>
      <c r="G18" s="179">
        <v>0.95</v>
      </c>
      <c r="H18" s="179">
        <v>0.95</v>
      </c>
      <c r="I18" s="179">
        <v>0.95</v>
      </c>
      <c r="J18" s="179">
        <v>0.95</v>
      </c>
      <c r="K18" s="179">
        <v>0.95</v>
      </c>
      <c r="L18" s="179">
        <v>0.95</v>
      </c>
      <c r="M18" s="187">
        <f t="shared" ref="M18:M19" si="3">SUMPRODUCT(E$4:L$4,E18:L18)/M$4</f>
        <v>0.95</v>
      </c>
      <c r="Q18" s="93" t="s">
        <v>13</v>
      </c>
      <c r="R18" s="102">
        <v>0.59</v>
      </c>
      <c r="S18" s="102">
        <v>0.59</v>
      </c>
      <c r="T18" s="102">
        <v>0.49</v>
      </c>
    </row>
    <row r="19" spans="2:21" ht="34" customHeight="1">
      <c r="B19" s="285"/>
      <c r="C19" s="284"/>
      <c r="D19" s="172" t="s">
        <v>105</v>
      </c>
      <c r="E19" s="179">
        <v>0.9</v>
      </c>
      <c r="F19" s="179">
        <v>0.9</v>
      </c>
      <c r="G19" s="179">
        <v>0.9</v>
      </c>
      <c r="H19" s="179">
        <v>0.9</v>
      </c>
      <c r="I19" s="179">
        <v>0.9</v>
      </c>
      <c r="J19" s="179">
        <v>0.9</v>
      </c>
      <c r="K19" s="179">
        <v>0.9</v>
      </c>
      <c r="L19" s="179">
        <v>0.9</v>
      </c>
      <c r="M19" s="187">
        <f t="shared" si="3"/>
        <v>0.90000000000000024</v>
      </c>
      <c r="Q19" s="93" t="s">
        <v>4</v>
      </c>
      <c r="R19" s="102">
        <v>0.78</v>
      </c>
      <c r="S19" s="102">
        <v>0.57999999999999996</v>
      </c>
      <c r="T19" s="102">
        <v>0.57999999999999996</v>
      </c>
    </row>
    <row r="20" spans="2:21">
      <c r="B20" s="174"/>
      <c r="C20" s="277"/>
      <c r="D20" s="175"/>
      <c r="E20" s="174"/>
      <c r="F20" s="174"/>
      <c r="G20" s="174"/>
      <c r="H20" s="174"/>
      <c r="I20" s="174"/>
      <c r="J20" s="174"/>
      <c r="K20" s="174"/>
      <c r="L20" s="174"/>
      <c r="Q20" s="105" t="s">
        <v>14</v>
      </c>
      <c r="R20" s="106">
        <v>0.70855330401002814</v>
      </c>
      <c r="S20" s="106">
        <v>0.71522962558045855</v>
      </c>
      <c r="T20" s="106">
        <v>0.61947513903282436</v>
      </c>
    </row>
    <row r="21" spans="2:21" ht="15" thickBot="1">
      <c r="B21" s="174"/>
      <c r="C21" s="277"/>
      <c r="D21" s="175"/>
      <c r="E21" s="174"/>
      <c r="F21" s="174"/>
      <c r="G21" s="174"/>
      <c r="H21" s="174"/>
      <c r="I21" s="174"/>
      <c r="J21" s="174"/>
      <c r="K21" s="174"/>
      <c r="L21" s="174"/>
    </row>
    <row r="22" spans="2:21" ht="14.5" customHeight="1">
      <c r="B22" s="130" t="s">
        <v>18</v>
      </c>
      <c r="C22" s="284" t="s">
        <v>243</v>
      </c>
      <c r="D22" s="180" t="s">
        <v>17</v>
      </c>
      <c r="E22" s="179">
        <f>E6*E13+E7*E14+E8*E15</f>
        <v>0.47000000000000003</v>
      </c>
      <c r="F22" s="179">
        <f>F6*F13+F7*F14+F8*F15</f>
        <v>0.45</v>
      </c>
      <c r="G22" s="179">
        <f t="shared" ref="G22:L22" si="4">G6*G13+G7*G14+G8*G15</f>
        <v>0.45</v>
      </c>
      <c r="H22" s="179">
        <f t="shared" si="4"/>
        <v>0.49649999999999994</v>
      </c>
      <c r="I22" s="179">
        <f t="shared" ref="I22" si="5">I6*I13+I7*I14+I8*I15</f>
        <v>0.45500000000000002</v>
      </c>
      <c r="J22" s="179">
        <f t="shared" si="4"/>
        <v>0.54400000000000004</v>
      </c>
      <c r="K22" s="179">
        <f t="shared" si="4"/>
        <v>0.50149999999999995</v>
      </c>
      <c r="L22" s="189">
        <f t="shared" si="4"/>
        <v>0.52500000000000002</v>
      </c>
      <c r="M22" s="190">
        <f t="shared" ref="M22:M23" si="6">SUMPRODUCT(E$4:L$4,E22:L22)/M$4</f>
        <v>0.48078356101884373</v>
      </c>
    </row>
    <row r="23" spans="2:21" ht="43.5" customHeight="1" thickBot="1">
      <c r="B23" s="130" t="s">
        <v>19</v>
      </c>
      <c r="C23" s="284"/>
      <c r="D23" s="180" t="s">
        <v>17</v>
      </c>
      <c r="E23" s="179">
        <f>E6*E17+E7*E18+E8*E19</f>
        <v>0.91500000000000004</v>
      </c>
      <c r="F23" s="179">
        <f t="shared" ref="F23:L23" si="7">F6*F17+F7*F18+F8*F19</f>
        <v>0.9</v>
      </c>
      <c r="G23" s="179">
        <f t="shared" si="7"/>
        <v>0.9</v>
      </c>
      <c r="H23" s="179">
        <f t="shared" si="7"/>
        <v>0.94300000000000006</v>
      </c>
      <c r="I23" s="179">
        <f t="shared" ref="I23" si="8">I6*I17+I7*I18+I8*I19</f>
        <v>0.90500000000000003</v>
      </c>
      <c r="J23" s="179">
        <f t="shared" si="7"/>
        <v>0.96399999999999997</v>
      </c>
      <c r="K23" s="179">
        <f t="shared" si="7"/>
        <v>0.9484999999999999</v>
      </c>
      <c r="L23" s="189">
        <f t="shared" si="7"/>
        <v>0.95</v>
      </c>
      <c r="M23" s="191">
        <f t="shared" si="6"/>
        <v>0.92452645867611971</v>
      </c>
    </row>
    <row r="24" spans="2:21" ht="15" thickBot="1">
      <c r="C24" s="278"/>
      <c r="L24" s="171"/>
      <c r="M24" s="188"/>
      <c r="N24" s="171"/>
      <c r="S24" s="171"/>
      <c r="T24" s="171"/>
      <c r="U24" s="171"/>
    </row>
    <row r="25" spans="2:21">
      <c r="B25" s="130" t="s">
        <v>18</v>
      </c>
      <c r="C25" s="284" t="s">
        <v>237</v>
      </c>
      <c r="D25" s="180" t="s">
        <v>17</v>
      </c>
      <c r="E25" s="179">
        <f>E10*E22</f>
        <v>0.30550000000000005</v>
      </c>
      <c r="F25" s="179">
        <f t="shared" ref="F25:K25" si="9">F10*F22</f>
        <v>0.29250000000000004</v>
      </c>
      <c r="G25" s="179">
        <f t="shared" si="9"/>
        <v>0.24750000000000003</v>
      </c>
      <c r="H25" s="179">
        <f t="shared" si="9"/>
        <v>0.42202499999999993</v>
      </c>
      <c r="I25" s="179">
        <f t="shared" ref="I25" si="10">I10*I22</f>
        <v>0.36400000000000005</v>
      </c>
      <c r="J25" s="179">
        <f t="shared" si="9"/>
        <v>0.50592000000000004</v>
      </c>
      <c r="K25" s="179">
        <f t="shared" si="9"/>
        <v>0.28585499999999997</v>
      </c>
      <c r="L25" s="189">
        <f>L10*L22</f>
        <v>0.40950000000000003</v>
      </c>
      <c r="M25" s="190">
        <f t="shared" ref="M25:M26" si="11">SUMPRODUCT(E$4:L$4,E25:L25)/M$4</f>
        <v>0.34336976812609077</v>
      </c>
      <c r="S25" s="171"/>
      <c r="T25" s="171"/>
      <c r="U25" s="171"/>
    </row>
    <row r="26" spans="2:21" ht="45" customHeight="1" thickBot="1">
      <c r="B26" s="130" t="s">
        <v>19</v>
      </c>
      <c r="C26" s="284"/>
      <c r="D26" s="180" t="s">
        <v>17</v>
      </c>
      <c r="E26" s="179">
        <f>E11*E23</f>
        <v>0.75487499999999996</v>
      </c>
      <c r="F26" s="179">
        <f t="shared" ref="F26:L26" si="12">F11*F23</f>
        <v>0.74249999999999994</v>
      </c>
      <c r="G26" s="179">
        <f t="shared" si="12"/>
        <v>0.65250000000000008</v>
      </c>
      <c r="H26" s="179">
        <f t="shared" si="12"/>
        <v>0.94300000000000006</v>
      </c>
      <c r="I26" s="179">
        <f t="shared" ref="I26" si="13">I11*I23</f>
        <v>0.8145</v>
      </c>
      <c r="J26" s="179">
        <f t="shared" si="12"/>
        <v>0.96399999999999997</v>
      </c>
      <c r="K26" s="179">
        <f t="shared" si="12"/>
        <v>0.70663249999999977</v>
      </c>
      <c r="L26" s="179">
        <f t="shared" si="12"/>
        <v>0.90725</v>
      </c>
      <c r="M26" s="191">
        <f t="shared" si="11"/>
        <v>0.79708105249816774</v>
      </c>
    </row>
    <row r="27" spans="2:21">
      <c r="S27" s="171"/>
      <c r="T27" s="171"/>
      <c r="U27" s="171"/>
    </row>
    <row r="31" spans="2:21"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</row>
    <row r="32" spans="2:21"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</row>
    <row r="33" spans="3:18"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</row>
    <row r="34" spans="3:18"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</row>
    <row r="35" spans="3:18"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</row>
    <row r="36" spans="3:18"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</row>
    <row r="37" spans="3:18"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</row>
    <row r="38" spans="3:18"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</row>
    <row r="39" spans="3:18"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</row>
    <row r="40" spans="3:18"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</row>
    <row r="41" spans="3:18"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</row>
    <row r="42" spans="3:18"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</row>
    <row r="43" spans="3:18"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</row>
    <row r="44" spans="3:18"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</row>
    <row r="45" spans="3:18"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</row>
    <row r="46" spans="3:18"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</row>
    <row r="47" spans="3:18"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</row>
    <row r="48" spans="3:18"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</row>
    <row r="49" spans="3:18"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</row>
    <row r="50" spans="3:18"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</row>
    <row r="51" spans="3:18"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</row>
    <row r="52" spans="3:18"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</row>
  </sheetData>
  <mergeCells count="13">
    <mergeCell ref="C25:C26"/>
    <mergeCell ref="C22:C23"/>
    <mergeCell ref="C11:D11"/>
    <mergeCell ref="C4:D4"/>
    <mergeCell ref="C6:D6"/>
    <mergeCell ref="C7:D7"/>
    <mergeCell ref="C8:D8"/>
    <mergeCell ref="C10:D10"/>
    <mergeCell ref="Q9:T9"/>
    <mergeCell ref="B13:B15"/>
    <mergeCell ref="C13:C15"/>
    <mergeCell ref="C17:C19"/>
    <mergeCell ref="B17:B1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GB1589"/>
  <sheetViews>
    <sheetView showGridLines="0" topLeftCell="C131" zoomScale="115" zoomScaleNormal="115" workbookViewId="0">
      <selection activeCell="M164" sqref="M164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118445.13907375958</v>
      </c>
      <c r="I7" s="10">
        <f t="shared" si="0"/>
        <v>129216.86060168703</v>
      </c>
      <c r="J7" s="10">
        <f t="shared" si="0"/>
        <v>146426.25427887274</v>
      </c>
      <c r="K7" s="10">
        <f t="shared" si="0"/>
        <v>161598.59468230139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13834.540453559624</v>
      </c>
      <c r="J8" s="76">
        <f t="shared" si="0"/>
        <v>20550.753645661614</v>
      </c>
      <c r="K8" s="76">
        <f t="shared" si="0"/>
        <v>18958.71024791403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118445.13907375958</v>
      </c>
      <c r="I9" s="96">
        <f t="shared" si="1"/>
        <v>115382.32014812742</v>
      </c>
      <c r="J9" s="96">
        <f t="shared" si="1"/>
        <v>125875.50063321114</v>
      </c>
      <c r="K9" s="96">
        <f t="shared" si="1"/>
        <v>142639.88443438738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2268.6669101312254</v>
      </c>
      <c r="I13" s="86">
        <f t="shared" ref="I13:K13" si="2">I129+I163</f>
        <v>1304.0148065960177</v>
      </c>
      <c r="J13" s="86">
        <f t="shared" si="2"/>
        <v>887.17381364190032</v>
      </c>
      <c r="K13" s="86">
        <f t="shared" si="2"/>
        <v>510.10464783422253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6032.588848458684</v>
      </c>
      <c r="I14" s="86">
        <f t="shared" si="3"/>
        <v>4529.8749646569149</v>
      </c>
      <c r="J14" s="86">
        <f t="shared" si="3"/>
        <v>4288.0513353723918</v>
      </c>
      <c r="K14" s="86">
        <f t="shared" si="3"/>
        <v>3992.2755618057477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1173.5215677187266</v>
      </c>
      <c r="I15" s="86">
        <f t="shared" si="3"/>
        <v>1075.7847626429218</v>
      </c>
      <c r="J15" s="86">
        <f t="shared" si="3"/>
        <v>1173.5519095835627</v>
      </c>
      <c r="K15" s="86">
        <f t="shared" si="3"/>
        <v>1211.966815644709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163.9762667639225</v>
      </c>
      <c r="I16" s="86">
        <f t="shared" si="3"/>
        <v>158.42038446186024</v>
      </c>
      <c r="J16" s="86">
        <f t="shared" si="3"/>
        <v>179.15124348955504</v>
      </c>
      <c r="K16" s="86">
        <f t="shared" si="3"/>
        <v>190.91122580328877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135.52627574604799</v>
      </c>
      <c r="I17" s="86">
        <f t="shared" si="3"/>
        <v>110.38933669236447</v>
      </c>
      <c r="J17" s="86">
        <f t="shared" si="3"/>
        <v>108.02368558104951</v>
      </c>
      <c r="K17" s="86">
        <f t="shared" si="3"/>
        <v>97.867056481499276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1397.4813862870146</v>
      </c>
      <c r="I18" s="86">
        <f t="shared" si="3"/>
        <v>1292.227031876615</v>
      </c>
      <c r="J18" s="86">
        <f t="shared" si="3"/>
        <v>1460.612092874213</v>
      </c>
      <c r="K18" s="86">
        <f t="shared" si="3"/>
        <v>1617.2136275140124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172.1023611717651</v>
      </c>
      <c r="I19" s="86">
        <f t="shared" si="3"/>
        <v>244.24522744590809</v>
      </c>
      <c r="J19" s="86">
        <f t="shared" si="3"/>
        <v>319.37088860740187</v>
      </c>
      <c r="K19" s="86">
        <f t="shared" si="3"/>
        <v>360.11165486087214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11343.863616277384</v>
      </c>
      <c r="I20" s="13">
        <f t="shared" ref="I20:K20" si="4">SUM(I13:I19)</f>
        <v>8714.9565143726031</v>
      </c>
      <c r="J20" s="13">
        <f t="shared" si="4"/>
        <v>8415.9349691500738</v>
      </c>
      <c r="K20" s="13">
        <f t="shared" si="4"/>
        <v>7980.4505899443529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-0.41551512683213543</v>
      </c>
      <c r="J23" s="193">
        <f t="shared" ref="J23:K23" si="5">J114/$G114-1</f>
        <v>-0.46863374209546749</v>
      </c>
      <c r="K23" s="193">
        <f t="shared" si="5"/>
        <v>-0.51829214588346773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-0.16877403326451657</v>
      </c>
      <c r="J24" s="193">
        <f t="shared" ref="J24:K24" si="6">J125/$G125-1</f>
        <v>-0.21249405923776166</v>
      </c>
      <c r="K24" s="193">
        <f t="shared" si="6"/>
        <v>-0.22694351166613436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118445.13907375958</v>
      </c>
      <c r="H34" s="127">
        <f>'Init. parc'!C9</f>
        <v>118445.13907375958</v>
      </c>
      <c r="I34" s="127">
        <f>'Init. parc'!D9</f>
        <v>129216.86060168703</v>
      </c>
      <c r="J34" s="127">
        <f>'Init. parc'!E9</f>
        <v>146426.25427887274</v>
      </c>
      <c r="K34" s="127">
        <f>'Init. parc'!F9</f>
        <v>161598.59468230139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parc'!N9</f>
        <v>13834.540453559624</v>
      </c>
      <c r="J35" s="127">
        <f>'Init. parc'!O9</f>
        <v>20550.753645661614</v>
      </c>
      <c r="K35" s="127">
        <f>'Init. parc'!P9</f>
        <v>18958.71024791403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118445.13907375958</v>
      </c>
      <c r="H36" s="127">
        <f>H34-H35</f>
        <v>118445.13907375958</v>
      </c>
      <c r="I36" s="127">
        <f>I34-I35</f>
        <v>115382.32014812742</v>
      </c>
      <c r="J36" s="127">
        <f>J34-J35</f>
        <v>125875.50063321114</v>
      </c>
      <c r="K36" s="127">
        <f>K34-K35</f>
        <v>142639.88443438738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0.15758395350413734</v>
      </c>
      <c r="H45" s="55">
        <f>'Init. énergie'!B48</f>
        <v>0.15758395350413734</v>
      </c>
      <c r="I45" s="47">
        <f>H45+((K45-H45)/3)</f>
        <v>0.1217226356694249</v>
      </c>
      <c r="J45" s="47">
        <f>H45+((K45-H45)/3*2)</f>
        <v>8.5861317834712444E-2</v>
      </c>
      <c r="K45" s="47">
        <v>0.05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0.52707670990322253</v>
      </c>
      <c r="H46" s="55">
        <f>'Init. énergie'!B49</f>
        <v>0.52707670990322253</v>
      </c>
      <c r="I46" s="47">
        <f t="shared" ref="I46:I51" si="8">H46+((K46-H46)/3)</f>
        <v>0.50138447326881508</v>
      </c>
      <c r="J46" s="47">
        <f t="shared" ref="J46:J51" si="9">H46+((K46-H46)/3*2)</f>
        <v>0.47569223663440752</v>
      </c>
      <c r="K46" s="47">
        <v>0.45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8.5504311043289719E-2</v>
      </c>
      <c r="H47" s="55">
        <f>'Init. énergie'!B50</f>
        <v>8.5504311043289719E-2</v>
      </c>
      <c r="I47" s="47">
        <f t="shared" si="8"/>
        <v>9.0336207362193152E-2</v>
      </c>
      <c r="J47" s="47">
        <f t="shared" si="9"/>
        <v>9.5168103681096572E-2</v>
      </c>
      <c r="K47" s="47">
        <v>0.1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1.5048165554765945E-2</v>
      </c>
      <c r="H48" s="55">
        <f>'Init. énergie'!B51</f>
        <v>1.5048165554765945E-2</v>
      </c>
      <c r="I48" s="47">
        <f t="shared" si="8"/>
        <v>1.6698777036510629E-2</v>
      </c>
      <c r="J48" s="47">
        <f t="shared" si="9"/>
        <v>1.8349388518255315E-2</v>
      </c>
      <c r="K48" s="47">
        <v>0.02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1.3459722901950799E-2</v>
      </c>
      <c r="H49" s="55">
        <f>'Init. énergie'!B52</f>
        <v>1.3459722901950799E-2</v>
      </c>
      <c r="I49" s="47">
        <f t="shared" si="8"/>
        <v>1.2306481934633866E-2</v>
      </c>
      <c r="J49" s="47">
        <f t="shared" si="9"/>
        <v>1.1153240967316933E-2</v>
      </c>
      <c r="K49" s="47">
        <v>0.01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0.16942946687247459</v>
      </c>
      <c r="H50" s="55">
        <f>'Init. énergie'!B53</f>
        <v>0.16942946687247459</v>
      </c>
      <c r="I50" s="47">
        <f t="shared" si="8"/>
        <v>0.20961964458164969</v>
      </c>
      <c r="J50" s="47">
        <f t="shared" si="9"/>
        <v>0.24980982229082477</v>
      </c>
      <c r="K50" s="47">
        <f>1-K45-K46-K47-K48-K49-K51</f>
        <v>0.28999999999999987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3.1897670220158943E-2</v>
      </c>
      <c r="H51" s="55">
        <f>'Init. énergie'!B54</f>
        <v>3.1897670220158943E-2</v>
      </c>
      <c r="I51" s="47">
        <f t="shared" si="8"/>
        <v>4.7931780146772629E-2</v>
      </c>
      <c r="J51" s="47">
        <f t="shared" si="9"/>
        <v>6.3965890073386322E-2</v>
      </c>
      <c r="K51" s="125">
        <v>0.08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0">SUM(G45:G51)</f>
        <v>0.99999999999999989</v>
      </c>
      <c r="H52" s="164">
        <f t="shared" si="10"/>
        <v>0.99999999999999989</v>
      </c>
      <c r="I52" s="170">
        <f t="shared" si="10"/>
        <v>1</v>
      </c>
      <c r="J52" s="170">
        <f t="shared" si="10"/>
        <v>0.99999999999999978</v>
      </c>
      <c r="K52" s="170">
        <f>SUM(K45:K51)</f>
        <v>0.99999999999999989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1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-2.8177336238265249E-2</v>
      </c>
      <c r="J55" s="157">
        <f t="shared" si="11"/>
        <v>-2.8994318911226544E-2</v>
      </c>
      <c r="K55" s="157">
        <f t="shared" si="11"/>
        <v>-2.9860091939643004E-2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0.15758395350413734</v>
      </c>
      <c r="H59" s="55">
        <f>H45</f>
        <v>0.15758395350413734</v>
      </c>
      <c r="I59" s="47">
        <f>H59+((K59-H59)/3)</f>
        <v>0.1217226356694249</v>
      </c>
      <c r="J59" s="47">
        <f>H59+((K59-H59)/3*2)</f>
        <v>8.5861317834712444E-2</v>
      </c>
      <c r="K59" s="47">
        <v>0.05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2">H60</f>
        <v>0.52707670990322253</v>
      </c>
      <c r="H60" s="55">
        <f t="shared" ref="H60:H65" si="13">H46</f>
        <v>0.52707670990322253</v>
      </c>
      <c r="I60" s="47">
        <f t="shared" ref="I60:I65" si="14">H60+((K60-H60)/3)</f>
        <v>0.50138447326881508</v>
      </c>
      <c r="J60" s="47">
        <f t="shared" ref="J60:J65" si="15">H60+((K60-H60)/3*2)</f>
        <v>0.47569223663440752</v>
      </c>
      <c r="K60" s="47">
        <v>0.45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2"/>
        <v>8.5504311043289719E-2</v>
      </c>
      <c r="H61" s="55">
        <f t="shared" si="13"/>
        <v>8.5504311043289719E-2</v>
      </c>
      <c r="I61" s="47">
        <f t="shared" si="14"/>
        <v>9.0336207362193152E-2</v>
      </c>
      <c r="J61" s="47">
        <f t="shared" si="15"/>
        <v>9.5168103681096572E-2</v>
      </c>
      <c r="K61" s="47">
        <v>0.1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2"/>
        <v>1.5048165554765945E-2</v>
      </c>
      <c r="H62" s="55">
        <f t="shared" si="13"/>
        <v>1.5048165554765945E-2</v>
      </c>
      <c r="I62" s="47">
        <f t="shared" si="14"/>
        <v>1.6698777036510629E-2</v>
      </c>
      <c r="J62" s="47">
        <f t="shared" si="15"/>
        <v>1.8349388518255315E-2</v>
      </c>
      <c r="K62" s="47">
        <v>0.02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2"/>
        <v>1.3459722901950799E-2</v>
      </c>
      <c r="H63" s="55">
        <f t="shared" si="13"/>
        <v>1.3459722901950799E-2</v>
      </c>
      <c r="I63" s="47">
        <f t="shared" si="14"/>
        <v>1.2306481934633866E-2</v>
      </c>
      <c r="J63" s="47">
        <f t="shared" si="15"/>
        <v>1.1153240967316933E-2</v>
      </c>
      <c r="K63" s="47">
        <v>0.01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2"/>
        <v>0.16942946687247459</v>
      </c>
      <c r="H64" s="55">
        <f t="shared" si="13"/>
        <v>0.16942946687247459</v>
      </c>
      <c r="I64" s="47">
        <f t="shared" si="14"/>
        <v>0.20961964458164969</v>
      </c>
      <c r="J64" s="47">
        <f t="shared" si="15"/>
        <v>0.24980982229082477</v>
      </c>
      <c r="K64" s="47">
        <f>1-K59-K60-K61-K62-K63-K65</f>
        <v>0.28999999999999987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2"/>
        <v>3.1897670220158943E-2</v>
      </c>
      <c r="H65" s="55">
        <f t="shared" si="13"/>
        <v>3.1897670220158943E-2</v>
      </c>
      <c r="I65" s="47">
        <f t="shared" si="14"/>
        <v>4.7931780146772629E-2</v>
      </c>
      <c r="J65" s="47">
        <f t="shared" si="15"/>
        <v>6.3965890073386322E-2</v>
      </c>
      <c r="K65" s="125">
        <v>0.08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6">SUM(G59:G65)</f>
        <v>0.99999999999999989</v>
      </c>
      <c r="H66" s="164">
        <v>1</v>
      </c>
      <c r="I66" s="47">
        <f t="shared" ref="I66:J66" si="17">SUM(I59:I65)</f>
        <v>1</v>
      </c>
      <c r="J66" s="47">
        <f t="shared" si="17"/>
        <v>0.99999999999999978</v>
      </c>
      <c r="K66" s="47">
        <f>SUM(K59:K65)</f>
        <v>0.99999999999999989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-2.8177336238265249E-2</v>
      </c>
      <c r="J69" s="157">
        <f t="shared" ref="J69:K69" si="18">(I$97*(J59-I59)+I$98*(J60-I60)+I$99*(J61-I61)+I$100*(J62-I62)+I$101*(J63-I63)+I$102*(J64-I64)+I$103*(J65-I65))/(I$97*I59+I$98*I60+I$99*I61+I$100*I62+I$101*I63+I$102*I64+I$103*I65)</f>
        <v>-3.0003626294260073E-2</v>
      </c>
      <c r="K69" s="157">
        <f t="shared" si="18"/>
        <v>-3.1933717829000376E-2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32" t="s">
        <v>92</v>
      </c>
      <c r="G72" s="131" t="s">
        <v>91</v>
      </c>
      <c r="H72" s="131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bord'!J10</f>
        <v>0.93</v>
      </c>
      <c r="G73" s="92">
        <f>'Tableau de bord'!J22</f>
        <v>0.54400000000000004</v>
      </c>
      <c r="H73" s="92">
        <f>'Tableau de bord'!J25</f>
        <v>0.50592000000000004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124.00411283166794</v>
      </c>
      <c r="H77" s="54">
        <f>'Init. énergie'!D48</f>
        <v>121.54623268705149</v>
      </c>
      <c r="I77" s="81">
        <f>G77*60%/(1+I$55)</f>
        <v>76.559716575247819</v>
      </c>
      <c r="J77" s="81">
        <f>G77*50%/(1+I$55)/(1+J$55)</f>
        <v>65.704830625881442</v>
      </c>
      <c r="K77" s="81">
        <f>G77*40%/(1+I$55)/(1+J$55)/(1+K$55)</f>
        <v>54.181736122780869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19">H78/0.998^10</f>
        <v>98.584183882212017</v>
      </c>
      <c r="H78" s="54">
        <f>'Init. énergie'!D49</f>
        <v>96.63015104729925</v>
      </c>
      <c r="I78" s="81">
        <f t="shared" ref="I78:I83" si="20">G78*60%/(1+I$55)</f>
        <v>60.865539089577503</v>
      </c>
      <c r="J78" s="81">
        <f t="shared" ref="J78:J83" si="21">G78*50%/(1+I$55)/(1+J$55)</f>
        <v>52.235824735623531</v>
      </c>
      <c r="K78" s="81">
        <f t="shared" ref="K78:K83" si="22">G78*40%/(1+I$55)/(1+J$55)/(1+K$55)</f>
        <v>43.074879655295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19"/>
        <v>118.21712920159915</v>
      </c>
      <c r="H79" s="54">
        <f>'Init. énergie'!D50</f>
        <v>115.87395260863727</v>
      </c>
      <c r="I79" s="81">
        <f t="shared" si="20"/>
        <v>72.98685260786398</v>
      </c>
      <c r="J79" s="81">
        <f t="shared" si="21"/>
        <v>62.638538947599983</v>
      </c>
      <c r="K79" s="81">
        <f t="shared" si="22"/>
        <v>51.653200473186139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19"/>
        <v>93.858752808897108</v>
      </c>
      <c r="H80" s="54">
        <f>'Init. énergie'!D51</f>
        <v>91.998382538431869</v>
      </c>
      <c r="I80" s="81">
        <f t="shared" si="20"/>
        <v>57.948074052268936</v>
      </c>
      <c r="J80" s="81">
        <f t="shared" si="21"/>
        <v>49.732007392662446</v>
      </c>
      <c r="K80" s="81">
        <f t="shared" si="22"/>
        <v>41.010173464232658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19"/>
        <v>86.729078087534262</v>
      </c>
      <c r="H81" s="54">
        <f>'Init. énergie'!D52</f>
        <v>85.010024790635853</v>
      </c>
      <c r="I81" s="81">
        <f t="shared" si="20"/>
        <v>53.546237181888529</v>
      </c>
      <c r="J81" s="81">
        <f t="shared" si="21"/>
        <v>45.95427728930138</v>
      </c>
      <c r="K81" s="81">
        <f t="shared" si="22"/>
        <v>37.89496909259595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19"/>
        <v>71.045149528754024</v>
      </c>
      <c r="H82" s="54">
        <f>'Init. énergie'!D53</f>
        <v>69.636966699890323</v>
      </c>
      <c r="I82" s="81">
        <f t="shared" si="20"/>
        <v>43.863033150771884</v>
      </c>
      <c r="J82" s="81">
        <f t="shared" si="21"/>
        <v>37.643989461171294</v>
      </c>
      <c r="K82" s="81">
        <f t="shared" si="22"/>
        <v>31.042111883787616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19"/>
        <v>46.473481673793643</v>
      </c>
      <c r="H83" s="54">
        <f>'Init. énergie'!D54</f>
        <v>45.552332808253411</v>
      </c>
      <c r="I83" s="81">
        <f t="shared" si="20"/>
        <v>28.692569173415187</v>
      </c>
      <c r="J83" s="81">
        <f t="shared" si="21"/>
        <v>24.624443272431613</v>
      </c>
      <c r="K83" s="81">
        <f t="shared" si="22"/>
        <v>20.30589037135012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3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3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3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3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3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3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124.00411283166794</v>
      </c>
      <c r="H97" s="54">
        <f>H77</f>
        <v>121.54623268705149</v>
      </c>
      <c r="I97" s="81">
        <f>$H97*(1+$G87)^(I$96-$H$96)</f>
        <v>108.33070753745659</v>
      </c>
      <c r="J97" s="81">
        <f>$H97*(1+$G87)^(J$96-$H$96)</f>
        <v>96.552085047191767</v>
      </c>
      <c r="K97" s="81">
        <f>$H97*(1+$G87)^(K$96-$H$96)</f>
        <v>86.054133115828279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4">G78</f>
        <v>98.584183882212017</v>
      </c>
      <c r="H98" s="54">
        <f t="shared" si="24"/>
        <v>96.63015104729925</v>
      </c>
      <c r="I98" s="81">
        <f t="shared" ref="I98:K103" si="25">$H98*(1+$G88)^(I$96-$H$96)</f>
        <v>86.952338851928076</v>
      </c>
      <c r="J98" s="81">
        <f t="shared" si="25"/>
        <v>78.243789851054331</v>
      </c>
      <c r="K98" s="81">
        <f t="shared" si="25"/>
        <v>70.407429300795656</v>
      </c>
      <c r="L98" s="67"/>
      <c r="M98" s="79">
        <f t="shared" ref="M98:M103" si="26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4"/>
        <v>118.21712920159915</v>
      </c>
      <c r="H99" s="54">
        <f t="shared" si="24"/>
        <v>115.87395260863727</v>
      </c>
      <c r="I99" s="81">
        <f t="shared" si="25"/>
        <v>107.41088652457009</v>
      </c>
      <c r="J99" s="81">
        <f t="shared" si="25"/>
        <v>99.565935952495451</v>
      </c>
      <c r="K99" s="81">
        <f t="shared" si="25"/>
        <v>92.293955695345261</v>
      </c>
      <c r="L99" s="67"/>
      <c r="M99" s="79">
        <f t="shared" si="26"/>
        <v>-0.22371872990135291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4"/>
        <v>93.858752808897108</v>
      </c>
      <c r="H100" s="54">
        <f t="shared" si="24"/>
        <v>91.998382538431869</v>
      </c>
      <c r="I100" s="81">
        <f t="shared" si="25"/>
        <v>85.279112387359064</v>
      </c>
      <c r="J100" s="81">
        <f t="shared" si="25"/>
        <v>79.050596422581194</v>
      </c>
      <c r="K100" s="81">
        <f t="shared" si="25"/>
        <v>73.276991514420317</v>
      </c>
      <c r="L100" s="67"/>
      <c r="M100" s="79">
        <f t="shared" si="26"/>
        <v>-0.22371872990135303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4"/>
        <v>86.729078087534262</v>
      </c>
      <c r="H101" s="54">
        <f t="shared" si="24"/>
        <v>85.010024790635853</v>
      </c>
      <c r="I101" s="81">
        <f t="shared" si="25"/>
        <v>78.801162130696582</v>
      </c>
      <c r="J101" s="81">
        <f>$H101*(1+$G91)^(J$96-$H$96)</f>
        <v>73.045775112305819</v>
      </c>
      <c r="K101" s="81">
        <f>$H101*(1+$G91)^(K$96-$H$96)</f>
        <v>67.710743312490678</v>
      </c>
      <c r="L101" s="67"/>
      <c r="M101" s="79">
        <f t="shared" si="26"/>
        <v>-0.223718729901353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4"/>
        <v>71.045149528754024</v>
      </c>
      <c r="H102" s="54">
        <f t="shared" si="24"/>
        <v>69.636966699890323</v>
      </c>
      <c r="I102" s="81">
        <f t="shared" si="25"/>
        <v>60.152410765547387</v>
      </c>
      <c r="J102" s="81">
        <f t="shared" si="25"/>
        <v>51.959651495171165</v>
      </c>
      <c r="K102" s="81">
        <f t="shared" si="25"/>
        <v>44.882746163283812</v>
      </c>
      <c r="L102" s="67"/>
      <c r="M102" s="79">
        <f t="shared" si="26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4"/>
        <v>46.473481673793643</v>
      </c>
      <c r="H103" s="54">
        <f t="shared" si="24"/>
        <v>45.552332808253411</v>
      </c>
      <c r="I103" s="81">
        <f t="shared" si="25"/>
        <v>39.348104379958521</v>
      </c>
      <c r="J103" s="81">
        <f t="shared" si="25"/>
        <v>33.98889195891163</v>
      </c>
      <c r="K103" s="81">
        <f t="shared" si="25"/>
        <v>29.359604351943769</v>
      </c>
      <c r="L103" s="67"/>
      <c r="M103" s="79">
        <f t="shared" si="26"/>
        <v>-0.37569705582123536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1170.9737837778541</v>
      </c>
      <c r="H107" s="54">
        <f>H$36*H45*$H$73*H77/1000</f>
        <v>1147.7639631735897</v>
      </c>
      <c r="I107" s="127">
        <f>I$36*I45*$H$73*I77/1000</f>
        <v>543.99233512861599</v>
      </c>
      <c r="J107" s="127">
        <f>J$36*J45*$H$73*J77/1000</f>
        <v>359.26748116158979</v>
      </c>
      <c r="K107" s="127">
        <f>K$36*K45*$H$73*K77/1000</f>
        <v>195.49954354258475</v>
      </c>
      <c r="L107" s="46"/>
      <c r="M107" s="79">
        <f>(K107-G107)/H107</f>
        <v>-0.84989098066649882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7">G$36*G46*$H$73*G78/1000</f>
        <v>3113.724345477915</v>
      </c>
      <c r="H108" s="54">
        <f t="shared" si="27"/>
        <v>3052.0073502122177</v>
      </c>
      <c r="I108" s="127">
        <f t="shared" si="27"/>
        <v>1781.408292236652</v>
      </c>
      <c r="J108" s="127">
        <f t="shared" si="27"/>
        <v>1582.404753510709</v>
      </c>
      <c r="K108" s="127">
        <f t="shared" si="27"/>
        <v>1398.8122053732295</v>
      </c>
      <c r="L108" s="46"/>
      <c r="M108" s="79">
        <f t="shared" ref="M108:M114" si="28">(K108-G108)/H108</f>
        <v>-0.56189646462858001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7"/>
        <v>605.71385969438404</v>
      </c>
      <c r="H109" s="54">
        <f t="shared" si="27"/>
        <v>593.70803154025828</v>
      </c>
      <c r="I109" s="127">
        <f t="shared" si="27"/>
        <v>384.88200416627791</v>
      </c>
      <c r="J109" s="127">
        <f t="shared" si="27"/>
        <v>379.62612675012417</v>
      </c>
      <c r="K109" s="127">
        <f t="shared" si="27"/>
        <v>372.75206878340339</v>
      </c>
      <c r="L109" s="46"/>
      <c r="M109" s="79">
        <f t="shared" si="28"/>
        <v>-0.39238443567389053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7"/>
        <v>84.636448252868746</v>
      </c>
      <c r="H110" s="54">
        <f t="shared" si="27"/>
        <v>82.958872881203675</v>
      </c>
      <c r="I110" s="127">
        <f t="shared" si="27"/>
        <v>56.486515921918922</v>
      </c>
      <c r="J110" s="127">
        <f t="shared" si="27"/>
        <v>58.113983382699409</v>
      </c>
      <c r="K110" s="127">
        <f t="shared" si="27"/>
        <v>59.189466905906229</v>
      </c>
      <c r="L110" s="46"/>
      <c r="M110" s="79">
        <f t="shared" si="28"/>
        <v>-0.30674212972254761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7"/>
        <v>69.951968357704459</v>
      </c>
      <c r="H111" s="54">
        <f t="shared" si="27"/>
        <v>68.565453425440609</v>
      </c>
      <c r="I111" s="127">
        <f t="shared" si="27"/>
        <v>38.466616860218217</v>
      </c>
      <c r="J111" s="127">
        <f t="shared" si="27"/>
        <v>32.639995097502108</v>
      </c>
      <c r="K111" s="127">
        <f t="shared" si="27"/>
        <v>27.346665833573987</v>
      </c>
      <c r="L111" s="46"/>
      <c r="M111" s="79">
        <f t="shared" si="28"/>
        <v>-0.62138147413347589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7"/>
        <v>721.3108541195993</v>
      </c>
      <c r="H112" s="54">
        <f t="shared" si="27"/>
        <v>707.01378295032646</v>
      </c>
      <c r="I112" s="127">
        <f t="shared" si="27"/>
        <v>536.72491544954846</v>
      </c>
      <c r="J112" s="127">
        <f t="shared" si="27"/>
        <v>598.86400815977925</v>
      </c>
      <c r="K112" s="127">
        <f t="shared" si="27"/>
        <v>649.63899279142743</v>
      </c>
      <c r="L112" s="46"/>
      <c r="M112" s="79">
        <f t="shared" si="28"/>
        <v>-0.10137265079768241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7"/>
        <v>88.83073674607779</v>
      </c>
      <c r="H113" s="54">
        <f t="shared" si="27"/>
        <v>87.0700265640194</v>
      </c>
      <c r="I113" s="127">
        <f t="shared" si="27"/>
        <v>80.281247397892088</v>
      </c>
      <c r="J113" s="127">
        <f t="shared" si="27"/>
        <v>100.30854407836847</v>
      </c>
      <c r="K113" s="127">
        <f t="shared" si="27"/>
        <v>117.22894341602625</v>
      </c>
      <c r="L113" s="46"/>
      <c r="M113" s="79">
        <f t="shared" si="28"/>
        <v>0.32615364656020063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5855.1419964264032</v>
      </c>
      <c r="H114" s="161">
        <f>SUM(H107:H113)</f>
        <v>5739.0874807470564</v>
      </c>
      <c r="I114" s="159">
        <f t="shared" ref="I114:J114" si="29">SUM(I107:I113)</f>
        <v>3422.2419271611238</v>
      </c>
      <c r="J114" s="159">
        <f t="shared" si="29"/>
        <v>3111.2248921407718</v>
      </c>
      <c r="K114" s="159">
        <f>SUM(K107:K113)</f>
        <v>2820.4678866461513</v>
      </c>
      <c r="L114" s="21"/>
      <c r="M114" s="79">
        <f t="shared" si="28"/>
        <v>-0.52877293123004088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1143.5695902296059</v>
      </c>
      <c r="H118" s="162">
        <f>H$36*H45*(1-$H$73)*H97/1000</f>
        <v>1120.902946957636</v>
      </c>
      <c r="I118" s="158">
        <f t="shared" ref="I118:K118" si="30">I$36*I45*(1-$H$73)*I97/1000</f>
        <v>751.72582300794681</v>
      </c>
      <c r="J118" s="158">
        <f t="shared" si="30"/>
        <v>515.58193477825</v>
      </c>
      <c r="K118" s="158">
        <f t="shared" si="30"/>
        <v>303.23546359416639</v>
      </c>
      <c r="L118" s="46"/>
      <c r="M118" s="79">
        <f>(K118-G118)/H118</f>
        <v>-0.74969392213329555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1">G$36*G46*(1-$H$73)*G98/1000</f>
        <v>3040.854136254206</v>
      </c>
      <c r="H119" s="162">
        <f t="shared" si="31"/>
        <v>2980.5814982464663</v>
      </c>
      <c r="I119" s="158">
        <f t="shared" si="31"/>
        <v>2485.3564889401587</v>
      </c>
      <c r="J119" s="158">
        <f t="shared" si="31"/>
        <v>2314.8050804388299</v>
      </c>
      <c r="K119" s="158">
        <f t="shared" si="31"/>
        <v>2232.8998994373624</v>
      </c>
      <c r="L119" s="46"/>
      <c r="M119" s="79">
        <f t="shared" ref="M119:M125" si="32">(K119-G119)/H119</f>
        <v>-0.27107268742430923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1"/>
        <v>591.53839302221945</v>
      </c>
      <c r="H120" s="162">
        <f t="shared" si="31"/>
        <v>579.81353617846844</v>
      </c>
      <c r="I120" s="158">
        <f t="shared" si="31"/>
        <v>553.15481413061593</v>
      </c>
      <c r="J120" s="158">
        <f t="shared" si="31"/>
        <v>589.30575378699803</v>
      </c>
      <c r="K120" s="158">
        <f t="shared" si="31"/>
        <v>650.44639760759492</v>
      </c>
      <c r="L120" s="46"/>
      <c r="M120" s="79">
        <f t="shared" si="32"/>
        <v>0.10159818788232532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1"/>
        <v>82.655709109695977</v>
      </c>
      <c r="H121" s="162">
        <f t="shared" si="31"/>
        <v>81.017393882718821</v>
      </c>
      <c r="I121" s="158">
        <f t="shared" si="31"/>
        <v>81.182772583402581</v>
      </c>
      <c r="J121" s="158">
        <f t="shared" si="31"/>
        <v>90.212191337000888</v>
      </c>
      <c r="K121" s="158">
        <f t="shared" si="31"/>
        <v>103.28467297556912</v>
      </c>
      <c r="L121" s="46"/>
      <c r="M121" s="79">
        <f t="shared" si="32"/>
        <v>0.25462388849159645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1"/>
        <v>68.314888769320476</v>
      </c>
      <c r="H122" s="162">
        <f t="shared" si="31"/>
        <v>66.960822320607377</v>
      </c>
      <c r="I122" s="158">
        <f t="shared" si="31"/>
        <v>55.284461391328243</v>
      </c>
      <c r="J122" s="158">
        <f t="shared" si="31"/>
        <v>50.66810622125103</v>
      </c>
      <c r="K122" s="158">
        <f t="shared" si="31"/>
        <v>47.719494451317928</v>
      </c>
      <c r="L122" s="46"/>
      <c r="M122" s="79">
        <f t="shared" si="32"/>
        <v>-0.30757379620268283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1"/>
        <v>704.43008144254338</v>
      </c>
      <c r="H123" s="162">
        <f t="shared" si="31"/>
        <v>690.46760333668806</v>
      </c>
      <c r="I123" s="158">
        <f t="shared" si="31"/>
        <v>718.8223298353646</v>
      </c>
      <c r="J123" s="158">
        <f t="shared" si="31"/>
        <v>807.26147125937257</v>
      </c>
      <c r="K123" s="158">
        <f t="shared" si="31"/>
        <v>917.30903693986488</v>
      </c>
      <c r="L123" s="46"/>
      <c r="M123" s="79">
        <f t="shared" si="32"/>
        <v>0.30831128711699568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1"/>
        <v>86.751839048667989</v>
      </c>
      <c r="H124" s="162">
        <f t="shared" si="31"/>
        <v>85.032334607745696</v>
      </c>
      <c r="I124" s="158">
        <f t="shared" si="31"/>
        <v>107.51867788419553</v>
      </c>
      <c r="J124" s="158">
        <f t="shared" si="31"/>
        <v>135.21470946536641</v>
      </c>
      <c r="K124" s="158">
        <f t="shared" si="31"/>
        <v>165.53065684121907</v>
      </c>
      <c r="L124" s="46"/>
      <c r="M124" s="79">
        <f t="shared" si="32"/>
        <v>0.92645719014958139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5718.1146378762587</v>
      </c>
      <c r="H125" s="163">
        <f>SUM(H118:H124)</f>
        <v>5604.7761355303319</v>
      </c>
      <c r="I125" s="160">
        <f t="shared" ref="I125:K125" si="33">SUM(I118:I124)</f>
        <v>4753.045367773012</v>
      </c>
      <c r="J125" s="160">
        <f t="shared" si="33"/>
        <v>4503.0492472870692</v>
      </c>
      <c r="K125" s="160">
        <f t="shared" si="33"/>
        <v>4420.4256218470946</v>
      </c>
      <c r="L125" s="21"/>
      <c r="M125" s="79">
        <f t="shared" si="32"/>
        <v>-0.23153271150344973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2268.6669101312254</v>
      </c>
      <c r="I129" s="158">
        <f t="shared" ref="I129:K129" si="34">I107+I118</f>
        <v>1295.7181581365628</v>
      </c>
      <c r="J129" s="158">
        <f t="shared" si="34"/>
        <v>874.84941593983979</v>
      </c>
      <c r="K129" s="158">
        <f t="shared" si="34"/>
        <v>498.73500713675116</v>
      </c>
      <c r="L129" s="46"/>
      <c r="M129" s="79">
        <f>(K129-G129)/H129</f>
        <v>0.21983615351797195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5">H108+H119</f>
        <v>6032.588848458684</v>
      </c>
      <c r="I130" s="158">
        <f t="shared" si="35"/>
        <v>4266.7647811768111</v>
      </c>
      <c r="J130" s="158">
        <f t="shared" si="35"/>
        <v>3897.2098339495387</v>
      </c>
      <c r="K130" s="158">
        <f t="shared" si="35"/>
        <v>3631.7121048105919</v>
      </c>
      <c r="L130" s="46"/>
      <c r="M130" s="79">
        <f t="shared" ref="M130:M136" si="36">(K130-G130)/H130</f>
        <v>0.60201551871689185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5"/>
        <v>1173.5215677187266</v>
      </c>
      <c r="I131" s="158">
        <f t="shared" si="35"/>
        <v>938.0368182968939</v>
      </c>
      <c r="J131" s="158">
        <f t="shared" si="35"/>
        <v>968.9318805371222</v>
      </c>
      <c r="K131" s="158">
        <f t="shared" si="35"/>
        <v>1023.1984663909983</v>
      </c>
      <c r="L131" s="46"/>
      <c r="M131" s="79">
        <f t="shared" si="36"/>
        <v>0.87190427047715047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5"/>
        <v>163.9762667639225</v>
      </c>
      <c r="I132" s="158">
        <f t="shared" si="35"/>
        <v>137.6692885053215</v>
      </c>
      <c r="J132" s="158">
        <f t="shared" si="35"/>
        <v>148.3261747197003</v>
      </c>
      <c r="K132" s="158">
        <f t="shared" si="35"/>
        <v>162.47413988147537</v>
      </c>
      <c r="L132" s="46"/>
      <c r="M132" s="79">
        <f t="shared" si="36"/>
        <v>0.99083936406108242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5"/>
        <v>135.52627574604799</v>
      </c>
      <c r="I133" s="158">
        <f t="shared" si="35"/>
        <v>93.75107825154646</v>
      </c>
      <c r="J133" s="158">
        <f t="shared" si="35"/>
        <v>83.308101318753131</v>
      </c>
      <c r="K133" s="158">
        <f t="shared" si="35"/>
        <v>75.066160284891907</v>
      </c>
      <c r="L133" s="46"/>
      <c r="M133" s="79">
        <f t="shared" si="36"/>
        <v>0.55388639488295588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5"/>
        <v>1397.4813862870146</v>
      </c>
      <c r="I134" s="158">
        <f t="shared" si="35"/>
        <v>1255.5472452849131</v>
      </c>
      <c r="J134" s="158">
        <f t="shared" si="35"/>
        <v>1406.1254794191518</v>
      </c>
      <c r="K134" s="158">
        <f t="shared" si="35"/>
        <v>1566.9480297312923</v>
      </c>
      <c r="L134" s="46"/>
      <c r="M134" s="79">
        <f t="shared" si="36"/>
        <v>1.1212657607515872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5"/>
        <v>172.1023611717651</v>
      </c>
      <c r="I135" s="158">
        <f t="shared" si="35"/>
        <v>187.7999252820876</v>
      </c>
      <c r="J135" s="158">
        <f t="shared" si="35"/>
        <v>235.52325354373488</v>
      </c>
      <c r="K135" s="158">
        <f t="shared" si="35"/>
        <v>282.75960025724532</v>
      </c>
      <c r="L135" s="46"/>
      <c r="M135" s="79">
        <f t="shared" si="36"/>
        <v>1.6429733928812276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11343.863616277384</v>
      </c>
      <c r="I136" s="160">
        <f t="shared" ref="I136:K136" si="37">SUM(I129:I135)</f>
        <v>8175.2872949341372</v>
      </c>
      <c r="J136" s="160">
        <f t="shared" si="37"/>
        <v>7614.2741394278401</v>
      </c>
      <c r="K136" s="160">
        <f t="shared" si="37"/>
        <v>7240.8935084932455</v>
      </c>
      <c r="L136" s="21"/>
      <c r="M136" s="79">
        <f t="shared" si="36"/>
        <v>0.63830928803685905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énergie'!C48</f>
        <v>1.1068404808735261E-2</v>
      </c>
      <c r="I142" s="47">
        <f>H142</f>
        <v>1.1068404808735261E-2</v>
      </c>
      <c r="J142" s="47">
        <f>I142</f>
        <v>1.1068404808735261E-2</v>
      </c>
      <c r="K142" s="47">
        <f>J142</f>
        <v>1.1068404808735261E-2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énergie'!C49</f>
        <v>0.44151844048973238</v>
      </c>
      <c r="I143" s="47">
        <f t="shared" ref="I143:K143" si="38">H143</f>
        <v>0.44151844048973238</v>
      </c>
      <c r="J143" s="47">
        <f t="shared" si="38"/>
        <v>0.44151844048973238</v>
      </c>
      <c r="K143" s="47">
        <f t="shared" si="38"/>
        <v>0.44151844048973238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énergie'!C50</f>
        <v>0.19276276753541544</v>
      </c>
      <c r="I144" s="47">
        <f t="shared" ref="I144:K144" si="39">H144</f>
        <v>0.19276276753541544</v>
      </c>
      <c r="J144" s="47">
        <f t="shared" si="39"/>
        <v>0.19276276753541544</v>
      </c>
      <c r="K144" s="47">
        <f t="shared" si="39"/>
        <v>0.19276276753541544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énergie'!C51</f>
        <v>3.6575030316210601E-2</v>
      </c>
      <c r="I145" s="47">
        <f t="shared" ref="I145:K145" si="40">H145</f>
        <v>3.6575030316210601E-2</v>
      </c>
      <c r="J145" s="47">
        <f t="shared" si="40"/>
        <v>3.6575030316210601E-2</v>
      </c>
      <c r="K145" s="47">
        <f t="shared" si="40"/>
        <v>3.6575030316210601E-2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énergie'!C52</f>
        <v>3.1736685713051743E-2</v>
      </c>
      <c r="I146" s="47">
        <f t="shared" ref="I146:K146" si="41">H146</f>
        <v>3.1736685713051743E-2</v>
      </c>
      <c r="J146" s="47">
        <f t="shared" si="41"/>
        <v>3.1736685713051743E-2</v>
      </c>
      <c r="K146" s="47">
        <f t="shared" si="41"/>
        <v>3.1736685713051743E-2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énergie'!C53</f>
        <v>8.5410409228175652E-2</v>
      </c>
      <c r="I147" s="47">
        <f t="shared" ref="I147:K147" si="42">H147</f>
        <v>8.5410409228175652E-2</v>
      </c>
      <c r="J147" s="47">
        <f t="shared" si="42"/>
        <v>8.5410409228175652E-2</v>
      </c>
      <c r="K147" s="47">
        <f t="shared" si="42"/>
        <v>8.5410409228175652E-2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énergie'!C54</f>
        <v>0.20092826190867891</v>
      </c>
      <c r="I148" s="47">
        <f t="shared" ref="I148:K148" si="43">H148</f>
        <v>0.20092826190867891</v>
      </c>
      <c r="J148" s="47">
        <f t="shared" si="43"/>
        <v>0.20092826190867891</v>
      </c>
      <c r="K148" s="47">
        <f t="shared" si="43"/>
        <v>0.20092826190867891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4">SUM(I142:I148)</f>
        <v>1</v>
      </c>
      <c r="J149" s="15">
        <f t="shared" si="44"/>
        <v>1</v>
      </c>
      <c r="K149" s="15">
        <f t="shared" si="44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54.181736122780869</v>
      </c>
      <c r="J153" s="45">
        <f>K153</f>
        <v>54.181736122780869</v>
      </c>
      <c r="K153" s="45">
        <f t="shared" ref="K153:K159" si="45">K77</f>
        <v>54.181736122780869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6">J154</f>
        <v>43.074879655295</v>
      </c>
      <c r="J154" s="45">
        <f t="shared" si="46"/>
        <v>43.074879655295</v>
      </c>
      <c r="K154" s="45">
        <f t="shared" si="45"/>
        <v>43.074879655295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6"/>
        <v>51.653200473186139</v>
      </c>
      <c r="J155" s="45">
        <f t="shared" si="46"/>
        <v>51.653200473186139</v>
      </c>
      <c r="K155" s="45">
        <f t="shared" si="45"/>
        <v>51.653200473186139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6"/>
        <v>41.010173464232658</v>
      </c>
      <c r="J156" s="45">
        <f t="shared" si="46"/>
        <v>41.010173464232658</v>
      </c>
      <c r="K156" s="45">
        <f t="shared" si="45"/>
        <v>41.010173464232658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6"/>
        <v>37.89496909259595</v>
      </c>
      <c r="J157" s="45">
        <f t="shared" si="46"/>
        <v>37.89496909259595</v>
      </c>
      <c r="K157" s="45">
        <f t="shared" si="45"/>
        <v>37.89496909259595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6"/>
        <v>31.042111883787616</v>
      </c>
      <c r="J158" s="45">
        <f t="shared" si="46"/>
        <v>31.042111883787616</v>
      </c>
      <c r="K158" s="45">
        <f t="shared" si="45"/>
        <v>31.042111883787616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6"/>
        <v>20.30589037135012</v>
      </c>
      <c r="J159" s="45">
        <f t="shared" si="46"/>
        <v>20.30589037135012</v>
      </c>
      <c r="K159" s="45">
        <f t="shared" si="45"/>
        <v>20.30589037135012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7">I$35*I142*I153/1000</f>
        <v>8.2966484594547953</v>
      </c>
      <c r="J163" s="10">
        <f t="shared" si="47"/>
        <v>12.324397702060514</v>
      </c>
      <c r="K163" s="10">
        <f t="shared" si="47"/>
        <v>11.369640697471388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8">H$35*H143*H154/1000</f>
        <v>0</v>
      </c>
      <c r="I164" s="10">
        <f t="shared" si="48"/>
        <v>263.11018348010396</v>
      </c>
      <c r="J164" s="10">
        <f t="shared" si="48"/>
        <v>390.84150142285301</v>
      </c>
      <c r="K164" s="10">
        <f t="shared" si="48"/>
        <v>360.56345699515566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8"/>
        <v>0</v>
      </c>
      <c r="I165" s="10">
        <f t="shared" si="48"/>
        <v>137.74794434602796</v>
      </c>
      <c r="J165" s="10">
        <f t="shared" si="48"/>
        <v>204.62002904644055</v>
      </c>
      <c r="K165" s="10">
        <f t="shared" si="48"/>
        <v>188.76834925371065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8"/>
        <v>0</v>
      </c>
      <c r="I166" s="10">
        <f t="shared" si="48"/>
        <v>20.751095956538741</v>
      </c>
      <c r="J166" s="10">
        <f t="shared" si="48"/>
        <v>30.825068769854724</v>
      </c>
      <c r="K166" s="10">
        <f t="shared" si="48"/>
        <v>28.437085921813409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8"/>
        <v>0</v>
      </c>
      <c r="I167" s="10">
        <f t="shared" si="48"/>
        <v>16.638258440818003</v>
      </c>
      <c r="J167" s="10">
        <f t="shared" si="48"/>
        <v>24.715584262296371</v>
      </c>
      <c r="K167" s="10">
        <f t="shared" si="48"/>
        <v>22.800896196607372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8"/>
        <v>0</v>
      </c>
      <c r="I168" s="10">
        <f t="shared" si="48"/>
        <v>36.679786591701912</v>
      </c>
      <c r="J168" s="10">
        <f t="shared" si="48"/>
        <v>54.486613455061047</v>
      </c>
      <c r="K168" s="10">
        <f t="shared" si="48"/>
        <v>50.265597782720135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8"/>
        <v>0</v>
      </c>
      <c r="I169" s="10">
        <f t="shared" si="48"/>
        <v>56.445302163820493</v>
      </c>
      <c r="J169" s="10">
        <f t="shared" si="48"/>
        <v>83.847635063666999</v>
      </c>
      <c r="K169" s="10">
        <f t="shared" si="48"/>
        <v>77.352054603626783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9">SUM(I163:I169)</f>
        <v>539.66921943846592</v>
      </c>
      <c r="J170" s="11">
        <f t="shared" si="49"/>
        <v>801.66082972223319</v>
      </c>
      <c r="K170" s="11">
        <f t="shared" si="49"/>
        <v>739.55708145110543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GB1589"/>
  <sheetViews>
    <sheetView showGridLines="0" zoomScaleNormal="100" workbookViewId="0">
      <selection activeCell="Z48" sqref="Z48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74481</v>
      </c>
      <c r="I7" s="10">
        <f t="shared" si="0"/>
        <v>75588.499064285381</v>
      </c>
      <c r="J7" s="10">
        <f t="shared" si="0"/>
        <v>76509.003660138405</v>
      </c>
      <c r="K7" s="10">
        <f t="shared" si="0"/>
        <v>75702.943896402183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2606.2113096947755</v>
      </c>
      <c r="J8" s="76">
        <f t="shared" si="0"/>
        <v>2441.502020159372</v>
      </c>
      <c r="K8" s="76">
        <f t="shared" si="0"/>
        <v>1539.5198865418247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74481</v>
      </c>
      <c r="I9" s="96">
        <f t="shared" si="1"/>
        <v>72982.287754590609</v>
      </c>
      <c r="J9" s="96">
        <f t="shared" si="1"/>
        <v>74067.501639979033</v>
      </c>
      <c r="K9" s="96">
        <f t="shared" si="1"/>
        <v>74163.424009860362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876.3765829561512</v>
      </c>
      <c r="I13" s="86">
        <f t="shared" ref="I13:K13" si="2">I129+I163</f>
        <v>571.83816220087908</v>
      </c>
      <c r="J13" s="86">
        <f t="shared" si="2"/>
        <v>394.65260004484702</v>
      </c>
      <c r="K13" s="86">
        <f t="shared" si="2"/>
        <v>241.70871176619909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4915.1977828396939</v>
      </c>
      <c r="I14" s="86">
        <f t="shared" si="3"/>
        <v>3847.1873028257214</v>
      </c>
      <c r="J14" s="86">
        <f t="shared" si="3"/>
        <v>3298.0729349330045</v>
      </c>
      <c r="K14" s="86">
        <f t="shared" si="3"/>
        <v>2736.3231006781029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217.82341031793445</v>
      </c>
      <c r="I15" s="86">
        <f t="shared" si="3"/>
        <v>202.65124618866278</v>
      </c>
      <c r="J15" s="86">
        <f t="shared" si="3"/>
        <v>206.06076735196132</v>
      </c>
      <c r="K15" s="86">
        <f t="shared" si="3"/>
        <v>202.9208702608112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27.214936388643864</v>
      </c>
      <c r="I16" s="86">
        <f t="shared" si="3"/>
        <v>24.125353558453675</v>
      </c>
      <c r="J16" s="86">
        <f t="shared" si="3"/>
        <v>23.536441124736388</v>
      </c>
      <c r="K16" s="86">
        <f t="shared" si="3"/>
        <v>22.346415400163014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26.208309722728558</v>
      </c>
      <c r="I17" s="86">
        <f t="shared" si="3"/>
        <v>24.026373346632017</v>
      </c>
      <c r="J17" s="86">
        <f t="shared" si="3"/>
        <v>24.135579874216248</v>
      </c>
      <c r="K17" s="86">
        <f t="shared" si="3"/>
        <v>23.521815585336057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1075.7072340198747</v>
      </c>
      <c r="I18" s="86">
        <f t="shared" si="3"/>
        <v>934.63486807492689</v>
      </c>
      <c r="J18" s="86">
        <f t="shared" si="3"/>
        <v>892.08904785231221</v>
      </c>
      <c r="K18" s="86">
        <f t="shared" si="3"/>
        <v>824.19689850319151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212.58847367700915</v>
      </c>
      <c r="I19" s="86">
        <f t="shared" si="3"/>
        <v>208.6255990511504</v>
      </c>
      <c r="J19" s="86">
        <f t="shared" si="3"/>
        <v>211.07307260354384</v>
      </c>
      <c r="K19" s="86">
        <f t="shared" si="3"/>
        <v>202.21405918809768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7351.116729922036</v>
      </c>
      <c r="I20" s="13">
        <f t="shared" ref="I20:K20" si="4">SUM(I13:I19)</f>
        <v>5813.0889052464263</v>
      </c>
      <c r="J20" s="13">
        <f t="shared" si="4"/>
        <v>5049.6204437846209</v>
      </c>
      <c r="K20" s="13">
        <f t="shared" si="4"/>
        <v>4253.2318713819013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-0.41207324481741159</v>
      </c>
      <c r="J23" s="193">
        <f t="shared" ref="J23:K23" si="5">J114/$G114-1</f>
        <v>-0.50277586471731694</v>
      </c>
      <c r="K23" s="193">
        <f t="shared" si="5"/>
        <v>-0.60170554095750406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-0.17139368172597913</v>
      </c>
      <c r="J24" s="193">
        <f t="shared" ref="J24:K24" si="6">J125/$G125-1</f>
        <v>-0.27628060531908405</v>
      </c>
      <c r="K24" s="193">
        <f t="shared" si="6"/>
        <v>-0.37796199566487143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74481</v>
      </c>
      <c r="H34" s="127">
        <f>'Init. parc'!C10</f>
        <v>74481</v>
      </c>
      <c r="I34" s="127">
        <f>'Init. parc'!D10</f>
        <v>75588.499064285381</v>
      </c>
      <c r="J34" s="127">
        <f>'Init. parc'!E10</f>
        <v>76509.003660138405</v>
      </c>
      <c r="K34" s="127">
        <f>'Init. parc'!F10</f>
        <v>75702.943896402183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parc'!N10</f>
        <v>2606.2113096947755</v>
      </c>
      <c r="J35" s="127">
        <f>'Init. parc'!O10</f>
        <v>2441.502020159372</v>
      </c>
      <c r="K35" s="127">
        <f>'Init. parc'!P10</f>
        <v>1539.5198865418247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74481</v>
      </c>
      <c r="H36" s="127">
        <f>H34-H35</f>
        <v>74481</v>
      </c>
      <c r="I36" s="127">
        <f>I34-I35</f>
        <v>72982.287754590609</v>
      </c>
      <c r="J36" s="127">
        <f>J34-J35</f>
        <v>74067.501639979033</v>
      </c>
      <c r="K36" s="127">
        <f>K34-K35</f>
        <v>74163.424009860362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0.11535851755011599</v>
      </c>
      <c r="H45" s="55">
        <f>'Init. énergie'!B57</f>
        <v>0.11535851755011599</v>
      </c>
      <c r="I45" s="47">
        <f>H45+((K45-H45)/3)</f>
        <v>9.3572345033410664E-2</v>
      </c>
      <c r="J45" s="47">
        <f>H45+((K45-H45)/3*2)</f>
        <v>7.1786172516705327E-2</v>
      </c>
      <c r="K45" s="47">
        <v>0.05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0.47397594912324764</v>
      </c>
      <c r="H46" s="55">
        <f>'Init. énergie'!B58</f>
        <v>0.47397594912324764</v>
      </c>
      <c r="I46" s="47">
        <f t="shared" ref="I46:I51" si="8">H46+((K46-H46)/3)</f>
        <v>0.44931729941549842</v>
      </c>
      <c r="J46" s="47">
        <f t="shared" ref="J46:J51" si="9">H46+((K46-H46)/3*2)</f>
        <v>0.42465864970774925</v>
      </c>
      <c r="K46" s="47">
        <v>0.4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7.5347621054706812E-2</v>
      </c>
      <c r="H47" s="55">
        <f>'Init. énergie'!B59</f>
        <v>7.5347621054706812E-2</v>
      </c>
      <c r="I47" s="47">
        <f t="shared" si="8"/>
        <v>8.3565080703137881E-2</v>
      </c>
      <c r="J47" s="47">
        <f t="shared" si="9"/>
        <v>9.1782540351568936E-2</v>
      </c>
      <c r="K47" s="47">
        <v>0.1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8.5578093947910449E-3</v>
      </c>
      <c r="H48" s="55">
        <f>'Init. énergie'!B60</f>
        <v>8.5578093947910449E-3</v>
      </c>
      <c r="I48" s="47">
        <f t="shared" si="8"/>
        <v>9.0385395965273639E-3</v>
      </c>
      <c r="J48" s="47">
        <f t="shared" si="9"/>
        <v>9.5192697982636812E-3</v>
      </c>
      <c r="K48" s="47">
        <v>0.01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7.8229288904559831E-3</v>
      </c>
      <c r="H49" s="55">
        <f>'Init. énergie'!B61</f>
        <v>7.8229288904559831E-3</v>
      </c>
      <c r="I49" s="47">
        <f t="shared" si="8"/>
        <v>8.5486192603039888E-3</v>
      </c>
      <c r="J49" s="47">
        <f t="shared" si="9"/>
        <v>9.2743096301519945E-3</v>
      </c>
      <c r="K49" s="47">
        <v>0.01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0.25511815548729244</v>
      </c>
      <c r="H50" s="55">
        <f>'Init. énergie'!B62</f>
        <v>0.25511815548729244</v>
      </c>
      <c r="I50" s="47">
        <f t="shared" si="8"/>
        <v>0.28007877032486161</v>
      </c>
      <c r="J50" s="47">
        <f t="shared" si="9"/>
        <v>0.30503938516243079</v>
      </c>
      <c r="K50" s="47">
        <f>1-K45-K46-K47-K48-K49-K51</f>
        <v>0.32999999999999996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6.3819018499390159E-2</v>
      </c>
      <c r="H51" s="55">
        <f>'Init. énergie'!B63</f>
        <v>6.3819018499390159E-2</v>
      </c>
      <c r="I51" s="47">
        <f t="shared" si="8"/>
        <v>7.5879345666260103E-2</v>
      </c>
      <c r="J51" s="47">
        <f t="shared" si="9"/>
        <v>8.7939672833130061E-2</v>
      </c>
      <c r="K51" s="125">
        <v>0.1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0">SUM(G45:G51)</f>
        <v>1</v>
      </c>
      <c r="H52" s="164">
        <f t="shared" si="10"/>
        <v>1</v>
      </c>
      <c r="I52" s="170">
        <f t="shared" si="10"/>
        <v>1</v>
      </c>
      <c r="J52" s="170">
        <f t="shared" si="10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1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-3.3748068642250814E-2</v>
      </c>
      <c r="J55" s="157">
        <f t="shared" si="11"/>
        <v>-3.4926780011532751E-2</v>
      </c>
      <c r="K55" s="157">
        <f t="shared" si="11"/>
        <v>-3.6190808415500542E-2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0.11535851755011599</v>
      </c>
      <c r="H59" s="55">
        <f>H45</f>
        <v>0.11535851755011599</v>
      </c>
      <c r="I59" s="47">
        <f>H59+((K59-H59)/3)</f>
        <v>9.3572345033410664E-2</v>
      </c>
      <c r="J59" s="47">
        <f>H59+((K59-H59)/3*2)</f>
        <v>7.1786172516705327E-2</v>
      </c>
      <c r="K59" s="47">
        <v>0.05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2">H60</f>
        <v>0.47397594912324764</v>
      </c>
      <c r="H60" s="55">
        <f t="shared" ref="H60:H65" si="13">H46</f>
        <v>0.47397594912324764</v>
      </c>
      <c r="I60" s="47">
        <f t="shared" ref="I60:I65" si="14">H60+((K60-H60)/3)</f>
        <v>0.44931729941549842</v>
      </c>
      <c r="J60" s="47">
        <f t="shared" ref="J60:J65" si="15">H60+((K60-H60)/3*2)</f>
        <v>0.42465864970774925</v>
      </c>
      <c r="K60" s="47">
        <v>0.4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2"/>
        <v>7.5347621054706812E-2</v>
      </c>
      <c r="H61" s="55">
        <f t="shared" si="13"/>
        <v>7.5347621054706812E-2</v>
      </c>
      <c r="I61" s="47">
        <f t="shared" si="14"/>
        <v>8.3565080703137881E-2</v>
      </c>
      <c r="J61" s="47">
        <f t="shared" si="15"/>
        <v>9.1782540351568936E-2</v>
      </c>
      <c r="K61" s="47">
        <v>0.1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2"/>
        <v>8.5578093947910449E-3</v>
      </c>
      <c r="H62" s="55">
        <f t="shared" si="13"/>
        <v>8.5578093947910449E-3</v>
      </c>
      <c r="I62" s="47">
        <f t="shared" si="14"/>
        <v>9.0385395965273639E-3</v>
      </c>
      <c r="J62" s="47">
        <f t="shared" si="15"/>
        <v>9.5192697982636812E-3</v>
      </c>
      <c r="K62" s="47">
        <v>0.01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2"/>
        <v>7.8229288904559831E-3</v>
      </c>
      <c r="H63" s="55">
        <f t="shared" si="13"/>
        <v>7.8229288904559831E-3</v>
      </c>
      <c r="I63" s="47">
        <f t="shared" si="14"/>
        <v>8.5486192603039888E-3</v>
      </c>
      <c r="J63" s="47">
        <f t="shared" si="15"/>
        <v>9.2743096301519945E-3</v>
      </c>
      <c r="K63" s="47">
        <v>0.01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2"/>
        <v>0.25511815548729244</v>
      </c>
      <c r="H64" s="55">
        <f t="shared" si="13"/>
        <v>0.25511815548729244</v>
      </c>
      <c r="I64" s="47">
        <f t="shared" si="14"/>
        <v>0.28007877032486161</v>
      </c>
      <c r="J64" s="47">
        <f t="shared" si="15"/>
        <v>0.30503938516243079</v>
      </c>
      <c r="K64" s="47">
        <f>1-K59-K60-K61-K62-K63-K65</f>
        <v>0.32999999999999996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2"/>
        <v>6.3819018499390159E-2</v>
      </c>
      <c r="H65" s="55">
        <f t="shared" si="13"/>
        <v>6.3819018499390159E-2</v>
      </c>
      <c r="I65" s="47">
        <f t="shared" si="14"/>
        <v>7.5879345666260103E-2</v>
      </c>
      <c r="J65" s="47">
        <f t="shared" si="15"/>
        <v>8.7939672833130061E-2</v>
      </c>
      <c r="K65" s="125">
        <v>0.1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6">SUM(G59:G65)</f>
        <v>1</v>
      </c>
      <c r="H66" s="164">
        <v>1</v>
      </c>
      <c r="I66" s="47">
        <f t="shared" ref="I66:J66" si="17">SUM(I59:I65)</f>
        <v>1</v>
      </c>
      <c r="J66" s="47">
        <f t="shared" si="17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-3.3748068642250814E-2</v>
      </c>
      <c r="J69" s="157">
        <f t="shared" ref="J69:K69" si="18">(I$97*(J59-I59)+I$98*(J60-I60)+I$99*(J61-I61)+I$100*(J62-I62)+I$101*(J63-I63)+I$102*(J64-I64)+I$103*(J65-I65))/(I$97*I59+I$98*I60+I$99*I61+I$100*I62+I$101*I63+I$102*I64+I$103*I65)</f>
        <v>-3.5684581145471544E-2</v>
      </c>
      <c r="K69" s="157">
        <f t="shared" si="18"/>
        <v>-3.7781253115517617E-2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32" t="s">
        <v>92</v>
      </c>
      <c r="G72" s="131" t="s">
        <v>91</v>
      </c>
      <c r="H72" s="131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bord'!K10</f>
        <v>0.56999999999999995</v>
      </c>
      <c r="G73" s="92">
        <f>'Tableau de bord'!K22</f>
        <v>0.50149999999999995</v>
      </c>
      <c r="H73" s="92">
        <f>'Tableau de bord'!K25</f>
        <v>0.28585499999999997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104.06152506157621</v>
      </c>
      <c r="H77" s="54">
        <f>'Init. énergie'!D57</f>
        <v>101.99892608460068</v>
      </c>
      <c r="I77" s="81">
        <f>G77*60%/(1+I$55)</f>
        <v>64.617635433039879</v>
      </c>
      <c r="J77" s="81">
        <f>G77*50%/(1+I$55)/(1+J$55)</f>
        <v>55.796833247716407</v>
      </c>
      <c r="K77" s="81">
        <f>G77*40%/(1+I$55)/(1+J$55)/(1+K$55)</f>
        <v>46.313592968323185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19">H78/0.998^10</f>
        <v>142.04756107302694</v>
      </c>
      <c r="H78" s="54">
        <f>'Init. énergie'!D58</f>
        <v>139.23204252303717</v>
      </c>
      <c r="I78" s="81">
        <f t="shared" ref="I78:I83" si="20">G78*60%/(1+I$55)</f>
        <v>88.205294993879576</v>
      </c>
      <c r="J78" s="81">
        <f t="shared" ref="J78:J83" si="21">G78*50%/(1+I$55)/(1+J$55)</f>
        <v>76.164596605196479</v>
      </c>
      <c r="K78" s="81">
        <f t="shared" ref="K78:K83" si="22">G78*40%/(1+I$55)/(1+J$55)/(1+K$55)</f>
        <v>63.219647432481629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19"/>
        <v>39.598988850670324</v>
      </c>
      <c r="H79" s="54">
        <f>'Init. énergie'!D59</f>
        <v>38.81409900935455</v>
      </c>
      <c r="I79" s="81">
        <f t="shared" si="20"/>
        <v>24.589232413762094</v>
      </c>
      <c r="J79" s="81">
        <f t="shared" si="21"/>
        <v>21.23261384427731</v>
      </c>
      <c r="K79" s="81">
        <f t="shared" si="22"/>
        <v>17.62391479946022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19"/>
        <v>43.560594914425344</v>
      </c>
      <c r="H80" s="54">
        <f>'Init. énergie'!D60</f>
        <v>42.697182251063232</v>
      </c>
      <c r="I80" s="81">
        <f t="shared" si="20"/>
        <v>27.049215738103783</v>
      </c>
      <c r="J80" s="81">
        <f t="shared" si="21"/>
        <v>23.356790602225864</v>
      </c>
      <c r="K80" s="81">
        <f t="shared" si="22"/>
        <v>19.387066075871193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19"/>
        <v>45.890069780114466</v>
      </c>
      <c r="H81" s="54">
        <f>'Init. énergie'!D61</f>
        <v>44.980484696426807</v>
      </c>
      <c r="I81" s="81">
        <f t="shared" si="20"/>
        <v>28.495717291223048</v>
      </c>
      <c r="J81" s="81">
        <f t="shared" si="21"/>
        <v>24.605833613643302</v>
      </c>
      <c r="K81" s="81">
        <f t="shared" si="22"/>
        <v>20.423821502006124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19"/>
        <v>57.756625497419172</v>
      </c>
      <c r="H82" s="54">
        <f>'Init. énergie'!D62</f>
        <v>56.611833927297141</v>
      </c>
      <c r="I82" s="81">
        <f t="shared" si="20"/>
        <v>35.864327070225606</v>
      </c>
      <c r="J82" s="81">
        <f t="shared" si="21"/>
        <v>30.968571716812491</v>
      </c>
      <c r="K82" s="81">
        <f t="shared" si="22"/>
        <v>25.705147439733583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19"/>
        <v>45.628761543246171</v>
      </c>
      <c r="H83" s="54">
        <f>'Init. énergie'!D63</f>
        <v>44.724355838793251</v>
      </c>
      <c r="I83" s="81">
        <f t="shared" si="20"/>
        <v>28.333456355919488</v>
      </c>
      <c r="J83" s="81">
        <f t="shared" si="21"/>
        <v>24.465722538871262</v>
      </c>
      <c r="K83" s="81">
        <f t="shared" si="22"/>
        <v>20.307523731870358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3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3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3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3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3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3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104.06152506157621</v>
      </c>
      <c r="H97" s="54">
        <f>H77</f>
        <v>101.99892608460068</v>
      </c>
      <c r="I97" s="81">
        <f>$H97*(1+$G87)^(I$96-$H$96)</f>
        <v>90.908747943305542</v>
      </c>
      <c r="J97" s="81">
        <f>$H97*(1+$G87)^(J$96-$H$96)</f>
        <v>81.024386921140149</v>
      </c>
      <c r="K97" s="81">
        <f>$H97*(1+$G87)^(K$96-$H$96)</f>
        <v>72.214736474434801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4">G78</f>
        <v>142.04756107302694</v>
      </c>
      <c r="H98" s="54">
        <f t="shared" si="24"/>
        <v>139.23204252303717</v>
      </c>
      <c r="I98" s="81">
        <f t="shared" ref="I98:K103" si="25">$H98*(1+$G88)^(I$96-$H$96)</f>
        <v>125.28751750148025</v>
      </c>
      <c r="J98" s="81">
        <f t="shared" si="25"/>
        <v>112.73958032387927</v>
      </c>
      <c r="K98" s="81">
        <f t="shared" si="25"/>
        <v>101.44835834467114</v>
      </c>
      <c r="L98" s="67"/>
      <c r="M98" s="79">
        <f t="shared" ref="M98:M103" si="26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4"/>
        <v>39.598988850670324</v>
      </c>
      <c r="H99" s="54">
        <f t="shared" si="24"/>
        <v>38.81409900935455</v>
      </c>
      <c r="I99" s="81">
        <f t="shared" si="25"/>
        <v>35.979240289904872</v>
      </c>
      <c r="J99" s="81">
        <f t="shared" si="25"/>
        <v>33.351430662521018</v>
      </c>
      <c r="K99" s="81">
        <f t="shared" si="25"/>
        <v>30.915547918032161</v>
      </c>
      <c r="L99" s="67"/>
      <c r="M99" s="79">
        <f t="shared" si="26"/>
        <v>-0.223718729901353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4"/>
        <v>43.560594914425344</v>
      </c>
      <c r="H100" s="54">
        <f t="shared" si="24"/>
        <v>42.697182251063232</v>
      </c>
      <c r="I100" s="81">
        <f t="shared" si="25"/>
        <v>39.578715444164359</v>
      </c>
      <c r="J100" s="81">
        <f t="shared" si="25"/>
        <v>36.688011564770797</v>
      </c>
      <c r="K100" s="81">
        <f t="shared" si="25"/>
        <v>34.008435530850889</v>
      </c>
      <c r="L100" s="67"/>
      <c r="M100" s="79">
        <f t="shared" si="26"/>
        <v>-0.22371872990135291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4"/>
        <v>45.890069780114466</v>
      </c>
      <c r="H101" s="54">
        <f t="shared" si="24"/>
        <v>44.980484696426807</v>
      </c>
      <c r="I101" s="81">
        <f t="shared" si="25"/>
        <v>41.695252718840351</v>
      </c>
      <c r="J101" s="81">
        <f>$H101*(1+$G91)^(J$96-$H$96)</f>
        <v>38.649963668045302</v>
      </c>
      <c r="K101" s="81">
        <f>$H101*(1+$G91)^(K$96-$H$96)</f>
        <v>35.82709287348262</v>
      </c>
      <c r="L101" s="67"/>
      <c r="M101" s="79">
        <f t="shared" si="26"/>
        <v>-0.22371872990135289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4"/>
        <v>57.756625497419172</v>
      </c>
      <c r="H102" s="54">
        <f t="shared" si="24"/>
        <v>56.611833927297141</v>
      </c>
      <c r="I102" s="81">
        <f t="shared" si="25"/>
        <v>48.901301276683732</v>
      </c>
      <c r="J102" s="81">
        <f t="shared" si="25"/>
        <v>42.240943291539139</v>
      </c>
      <c r="K102" s="81">
        <f t="shared" si="25"/>
        <v>36.487726166292909</v>
      </c>
      <c r="L102" s="67"/>
      <c r="M102" s="79">
        <f t="shared" si="26"/>
        <v>-0.37569705582123541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4"/>
        <v>45.628761543246171</v>
      </c>
      <c r="H103" s="54">
        <f t="shared" si="24"/>
        <v>44.724355838793251</v>
      </c>
      <c r="I103" s="81">
        <f t="shared" si="25"/>
        <v>38.632897886458863</v>
      </c>
      <c r="J103" s="81">
        <f t="shared" si="25"/>
        <v>33.371096600814191</v>
      </c>
      <c r="K103" s="81">
        <f t="shared" si="25"/>
        <v>28.825952731110263</v>
      </c>
      <c r="L103" s="67"/>
      <c r="M103" s="79">
        <f t="shared" si="26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255.58251813284119</v>
      </c>
      <c r="H107" s="54">
        <f>H$36*H45*$H$73*H77/1000</f>
        <v>250.51662812093053</v>
      </c>
      <c r="I107" s="127">
        <f>I$36*I45*$H$73*I77/1000</f>
        <v>126.1426183015418</v>
      </c>
      <c r="J107" s="127">
        <f>J$36*J45*$H$73*J77/1000</f>
        <v>84.805464717400341</v>
      </c>
      <c r="K107" s="127">
        <f>K$36*K45*$H$73*K77/1000</f>
        <v>49.09237513194941</v>
      </c>
      <c r="L107" s="46"/>
      <c r="M107" s="79">
        <f>(K107-G107)/H107</f>
        <v>-0.82425723413941976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7">G$36*G46*$H$73*G78/1000</f>
        <v>1433.4461359312495</v>
      </c>
      <c r="H108" s="54">
        <f t="shared" si="27"/>
        <v>1405.0338622136408</v>
      </c>
      <c r="I108" s="127">
        <f t="shared" si="27"/>
        <v>826.82017020977082</v>
      </c>
      <c r="J108" s="127">
        <f t="shared" si="27"/>
        <v>684.80450633509111</v>
      </c>
      <c r="K108" s="127">
        <f t="shared" si="27"/>
        <v>536.10224533220253</v>
      </c>
      <c r="L108" s="46"/>
      <c r="M108" s="79">
        <f t="shared" ref="M108:M114" si="28">(K108-G108)/H108</f>
        <v>-0.63866353312316282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7"/>
        <v>63.525037980306571</v>
      </c>
      <c r="H109" s="54">
        <f t="shared" si="27"/>
        <v>62.265910956433146</v>
      </c>
      <c r="I109" s="127">
        <f t="shared" si="27"/>
        <v>42.867985463257227</v>
      </c>
      <c r="J109" s="127">
        <f t="shared" si="27"/>
        <v>41.260741082544662</v>
      </c>
      <c r="K109" s="127">
        <f t="shared" si="27"/>
        <v>37.36267394414341</v>
      </c>
      <c r="L109" s="46"/>
      <c r="M109" s="79">
        <f t="shared" si="28"/>
        <v>-0.42017154546198987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7"/>
        <v>7.936841431308201</v>
      </c>
      <c r="H110" s="54">
        <f t="shared" si="27"/>
        <v>7.7795256413757903</v>
      </c>
      <c r="I110" s="127">
        <f t="shared" si="27"/>
        <v>5.1005405974696059</v>
      </c>
      <c r="J110" s="127">
        <f t="shared" si="27"/>
        <v>4.7074996017097632</v>
      </c>
      <c r="K110" s="127">
        <f t="shared" si="27"/>
        <v>4.110055210596709</v>
      </c>
      <c r="L110" s="46"/>
      <c r="M110" s="79">
        <f t="shared" si="28"/>
        <v>-0.49190482776463146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7"/>
        <v>7.6432733658237639</v>
      </c>
      <c r="H111" s="54">
        <f t="shared" si="27"/>
        <v>7.4917763757905727</v>
      </c>
      <c r="I111" s="127">
        <f t="shared" si="27"/>
        <v>5.0820488381522839</v>
      </c>
      <c r="J111" s="127">
        <f t="shared" si="27"/>
        <v>4.8316243667085992</v>
      </c>
      <c r="K111" s="127">
        <f t="shared" si="27"/>
        <v>4.3298472113370172</v>
      </c>
      <c r="L111" s="46"/>
      <c r="M111" s="79">
        <f t="shared" si="28"/>
        <v>-0.44227510116211871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7"/>
        <v>313.71441112349879</v>
      </c>
      <c r="H112" s="54">
        <f t="shared" si="27"/>
        <v>307.49629138075125</v>
      </c>
      <c r="I112" s="127">
        <f t="shared" si="27"/>
        <v>209.55891609471738</v>
      </c>
      <c r="J112" s="127">
        <f t="shared" si="27"/>
        <v>200.0094804382135</v>
      </c>
      <c r="K112" s="127">
        <f t="shared" si="27"/>
        <v>179.83308908590703</v>
      </c>
      <c r="L112" s="46"/>
      <c r="M112" s="79">
        <f t="shared" si="28"/>
        <v>-0.43539166419349051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7"/>
        <v>61.998344644388773</v>
      </c>
      <c r="H113" s="54">
        <f t="shared" si="27"/>
        <v>60.769478142941445</v>
      </c>
      <c r="I113" s="127">
        <f t="shared" si="27"/>
        <v>44.852473659391045</v>
      </c>
      <c r="J113" s="127">
        <f t="shared" si="27"/>
        <v>45.552936730551572</v>
      </c>
      <c r="K113" s="127">
        <f t="shared" si="27"/>
        <v>43.051921008496087</v>
      </c>
      <c r="L113" s="46"/>
      <c r="M113" s="79">
        <f t="shared" si="28"/>
        <v>-0.31177532233084299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2143.8465626094167</v>
      </c>
      <c r="H114" s="161">
        <f>SUM(H107:H113)</f>
        <v>2101.3534728318637</v>
      </c>
      <c r="I114" s="159">
        <f t="shared" ref="I114:J114" si="29">SUM(I107:I113)</f>
        <v>1260.4247531643002</v>
      </c>
      <c r="J114" s="159">
        <f t="shared" si="29"/>
        <v>1065.9722532722196</v>
      </c>
      <c r="K114" s="159">
        <f>SUM(K107:K113)</f>
        <v>853.8822069246321</v>
      </c>
      <c r="L114" s="21"/>
      <c r="M114" s="79">
        <f t="shared" si="28"/>
        <v>-0.61387309291966941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638.51595183564359</v>
      </c>
      <c r="H118" s="162">
        <f>H$36*H45*(1-$H$73)*H97/1000</f>
        <v>625.85995483522061</v>
      </c>
      <c r="I118" s="158">
        <f t="shared" ref="I118:K118" si="30">I$36*I45*(1-$H$73)*I97/1000</f>
        <v>443.36056591369851</v>
      </c>
      <c r="J118" s="158">
        <f t="shared" si="30"/>
        <v>307.65972502508225</v>
      </c>
      <c r="K118" s="158">
        <f t="shared" si="30"/>
        <v>191.2370374845006</v>
      </c>
      <c r="L118" s="46"/>
      <c r="M118" s="79">
        <f>(K118-G118)/H118</f>
        <v>-0.71466293840273698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1">G$36*G46*(1-$H$73)*G98/1000</f>
        <v>3581.1456533718924</v>
      </c>
      <c r="H119" s="162">
        <f t="shared" si="31"/>
        <v>3510.1639206260534</v>
      </c>
      <c r="I119" s="158">
        <f t="shared" si="31"/>
        <v>2934.0318015390553</v>
      </c>
      <c r="J119" s="158">
        <f t="shared" si="31"/>
        <v>2532.3893822783525</v>
      </c>
      <c r="K119" s="158">
        <f t="shared" si="31"/>
        <v>2149.2215527914123</v>
      </c>
      <c r="L119" s="46"/>
      <c r="M119" s="79">
        <f t="shared" ref="M119:M125" si="32">(K119-G119)/H119</f>
        <v>-0.40793653315344036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1"/>
        <v>158.70314756938322</v>
      </c>
      <c r="H120" s="162">
        <f t="shared" si="31"/>
        <v>155.5574993615013</v>
      </c>
      <c r="I120" s="158">
        <f t="shared" si="31"/>
        <v>156.70422237616711</v>
      </c>
      <c r="J120" s="158">
        <f t="shared" si="31"/>
        <v>161.91557928622316</v>
      </c>
      <c r="K120" s="158">
        <f t="shared" si="31"/>
        <v>163.73937189807808</v>
      </c>
      <c r="L120" s="46"/>
      <c r="M120" s="79">
        <f t="shared" si="32"/>
        <v>3.2375323268672089E-2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1"/>
        <v>19.828429182493213</v>
      </c>
      <c r="H121" s="162">
        <f t="shared" si="31"/>
        <v>19.435410747268072</v>
      </c>
      <c r="I121" s="158">
        <f t="shared" si="31"/>
        <v>18.645062029089672</v>
      </c>
      <c r="J121" s="158">
        <f t="shared" si="31"/>
        <v>18.473190374250375</v>
      </c>
      <c r="K121" s="158">
        <f t="shared" si="31"/>
        <v>18.012036816626647</v>
      </c>
      <c r="L121" s="46"/>
      <c r="M121" s="79">
        <f t="shared" si="32"/>
        <v>-9.3457884141804726E-2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1"/>
        <v>19.095014807633984</v>
      </c>
      <c r="H122" s="162">
        <f t="shared" si="31"/>
        <v>18.716533346937986</v>
      </c>
      <c r="I122" s="158">
        <f t="shared" si="31"/>
        <v>18.577465272842005</v>
      </c>
      <c r="J122" s="158">
        <f t="shared" si="31"/>
        <v>18.960281315936232</v>
      </c>
      <c r="K122" s="158">
        <f t="shared" si="31"/>
        <v>18.975260278717247</v>
      </c>
      <c r="L122" s="46"/>
      <c r="M122" s="79">
        <f t="shared" si="32"/>
        <v>-6.3983285097145579E-3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1"/>
        <v>783.74552878834061</v>
      </c>
      <c r="H123" s="162">
        <f t="shared" si="31"/>
        <v>768.21094263912357</v>
      </c>
      <c r="I123" s="158">
        <f t="shared" si="31"/>
        <v>713.84591697519545</v>
      </c>
      <c r="J123" s="158">
        <f t="shared" si="31"/>
        <v>681.55925655165629</v>
      </c>
      <c r="K123" s="158">
        <f t="shared" si="31"/>
        <v>637.73009474017158</v>
      </c>
      <c r="L123" s="46"/>
      <c r="M123" s="79">
        <f t="shared" si="32"/>
        <v>-0.19007205696204402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1"/>
        <v>154.88904457178299</v>
      </c>
      <c r="H124" s="162">
        <f t="shared" si="31"/>
        <v>151.81899553406771</v>
      </c>
      <c r="I124" s="158">
        <f t="shared" si="31"/>
        <v>152.78641340902078</v>
      </c>
      <c r="J124" s="158">
        <f t="shared" si="31"/>
        <v>155.22777032266899</v>
      </c>
      <c r="K124" s="158">
        <f t="shared" si="31"/>
        <v>152.67215729347217</v>
      </c>
      <c r="L124" s="46"/>
      <c r="M124" s="79">
        <f t="shared" si="32"/>
        <v>-1.4602173268979102E-2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5355.9227701271693</v>
      </c>
      <c r="H125" s="163">
        <f>SUM(H118:H124)</f>
        <v>5249.7632570901724</v>
      </c>
      <c r="I125" s="160">
        <f t="shared" ref="I125:K125" si="33">SUM(I118:I124)</f>
        <v>4437.951447515069</v>
      </c>
      <c r="J125" s="160">
        <f t="shared" si="33"/>
        <v>3876.1851851541696</v>
      </c>
      <c r="K125" s="160">
        <f t="shared" si="33"/>
        <v>3331.5875113029779</v>
      </c>
      <c r="L125" s="21"/>
      <c r="M125" s="79">
        <f t="shared" si="32"/>
        <v>-0.38560505677854806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876.3765829561512</v>
      </c>
      <c r="I129" s="158">
        <f t="shared" ref="I129:K129" si="34">I107+I118</f>
        <v>569.50318421524025</v>
      </c>
      <c r="J129" s="158">
        <f t="shared" si="34"/>
        <v>392.46518974248261</v>
      </c>
      <c r="K129" s="158">
        <f t="shared" si="34"/>
        <v>240.32941261645001</v>
      </c>
      <c r="L129" s="46"/>
      <c r="M129" s="79">
        <f>(K129-G129)/H129</f>
        <v>0.27423075569383931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5">H108+H119</f>
        <v>4915.1977828396939</v>
      </c>
      <c r="I130" s="158">
        <f t="shared" si="35"/>
        <v>3760.8519717488261</v>
      </c>
      <c r="J130" s="158">
        <f t="shared" si="35"/>
        <v>3217.1938886134435</v>
      </c>
      <c r="K130" s="158">
        <f t="shared" si="35"/>
        <v>2685.3237981236148</v>
      </c>
      <c r="L130" s="46"/>
      <c r="M130" s="79">
        <f t="shared" ref="M130:M136" si="36">(K130-G130)/H130</f>
        <v>0.54633077177460043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5"/>
        <v>217.82341031793445</v>
      </c>
      <c r="I131" s="158">
        <f t="shared" si="35"/>
        <v>199.57220783942432</v>
      </c>
      <c r="J131" s="158">
        <f t="shared" si="35"/>
        <v>203.17632036876782</v>
      </c>
      <c r="K131" s="158">
        <f t="shared" si="35"/>
        <v>201.10204584222149</v>
      </c>
      <c r="L131" s="46"/>
      <c r="M131" s="79">
        <f t="shared" si="36"/>
        <v>0.92323430961205455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5"/>
        <v>27.214936388643864</v>
      </c>
      <c r="I132" s="158">
        <f t="shared" si="35"/>
        <v>23.745602626559279</v>
      </c>
      <c r="J132" s="158">
        <f t="shared" si="35"/>
        <v>23.180689975960139</v>
      </c>
      <c r="K132" s="158">
        <f t="shared" si="35"/>
        <v>22.122092027223356</v>
      </c>
      <c r="L132" s="46"/>
      <c r="M132" s="79">
        <f t="shared" si="36"/>
        <v>0.81286583629327802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5"/>
        <v>26.208309722728558</v>
      </c>
      <c r="I133" s="158">
        <f t="shared" si="35"/>
        <v>23.659514110994287</v>
      </c>
      <c r="J133" s="158">
        <f t="shared" si="35"/>
        <v>23.791905682644831</v>
      </c>
      <c r="K133" s="158">
        <f t="shared" si="35"/>
        <v>23.305107490054265</v>
      </c>
      <c r="L133" s="46"/>
      <c r="M133" s="79">
        <f t="shared" si="36"/>
        <v>0.88922588814811832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5"/>
        <v>1075.7072340198747</v>
      </c>
      <c r="I134" s="158">
        <f t="shared" si="35"/>
        <v>923.4048330699128</v>
      </c>
      <c r="J134" s="158">
        <f t="shared" si="35"/>
        <v>881.56873698986976</v>
      </c>
      <c r="K134" s="158">
        <f t="shared" si="35"/>
        <v>817.56318382607856</v>
      </c>
      <c r="L134" s="46"/>
      <c r="M134" s="79">
        <f t="shared" si="36"/>
        <v>0.76002387821719652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5"/>
        <v>212.58847367700915</v>
      </c>
      <c r="I135" s="158">
        <f t="shared" si="35"/>
        <v>197.63888706841183</v>
      </c>
      <c r="J135" s="158">
        <f t="shared" si="35"/>
        <v>200.78070705322057</v>
      </c>
      <c r="K135" s="158">
        <f t="shared" si="35"/>
        <v>195.72407830196826</v>
      </c>
      <c r="L135" s="46"/>
      <c r="M135" s="79">
        <f t="shared" si="36"/>
        <v>0.92067116771032764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7351.116729922036</v>
      </c>
      <c r="I136" s="160">
        <f t="shared" ref="I136:K136" si="37">SUM(I129:I135)</f>
        <v>5698.3762006793695</v>
      </c>
      <c r="J136" s="160">
        <f t="shared" si="37"/>
        <v>4942.1574384263895</v>
      </c>
      <c r="K136" s="160">
        <f t="shared" si="37"/>
        <v>4185.4697182276104</v>
      </c>
      <c r="L136" s="21"/>
      <c r="M136" s="79">
        <f t="shared" si="36"/>
        <v>0.56936515525471743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énergie'!C57</f>
        <v>1.9344819899405983E-2</v>
      </c>
      <c r="I142" s="47">
        <f>H142</f>
        <v>1.9344819899405983E-2</v>
      </c>
      <c r="J142" s="47">
        <f>I142</f>
        <v>1.9344819899405983E-2</v>
      </c>
      <c r="K142" s="47">
        <f>J142</f>
        <v>1.9344819899405983E-2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énergie'!C58</f>
        <v>0.52399466367463399</v>
      </c>
      <c r="I143" s="47">
        <f t="shared" ref="I143:K143" si="38">H143</f>
        <v>0.52399466367463399</v>
      </c>
      <c r="J143" s="47">
        <f t="shared" si="38"/>
        <v>0.52399466367463399</v>
      </c>
      <c r="K143" s="47">
        <f t="shared" si="38"/>
        <v>0.52399466367463399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énergie'!C59</f>
        <v>6.7035227617333368E-2</v>
      </c>
      <c r="I144" s="47">
        <f t="shared" ref="I144:K144" si="39">H144</f>
        <v>6.7035227617333368E-2</v>
      </c>
      <c r="J144" s="47">
        <f t="shared" si="39"/>
        <v>6.7035227617333368E-2</v>
      </c>
      <c r="K144" s="47">
        <f t="shared" si="39"/>
        <v>6.7035227617333368E-2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énergie'!C60</f>
        <v>7.5158331919586794E-3</v>
      </c>
      <c r="I145" s="47">
        <f t="shared" ref="I145:K145" si="40">H145</f>
        <v>7.5158331919586794E-3</v>
      </c>
      <c r="J145" s="47">
        <f t="shared" si="40"/>
        <v>7.5158331919586794E-3</v>
      </c>
      <c r="K145" s="47">
        <f t="shared" si="40"/>
        <v>7.5158331919586794E-3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énergie'!C61</f>
        <v>6.8921199229294077E-3</v>
      </c>
      <c r="I146" s="47">
        <f t="shared" ref="I146:K146" si="41">H146</f>
        <v>6.8921199229294077E-3</v>
      </c>
      <c r="J146" s="47">
        <f t="shared" si="41"/>
        <v>6.8921199229294077E-3</v>
      </c>
      <c r="K146" s="47">
        <f t="shared" si="41"/>
        <v>6.8921199229294077E-3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énergie'!C62</f>
        <v>0.16762986130287999</v>
      </c>
      <c r="I147" s="47">
        <f t="shared" ref="I147:K147" si="42">H147</f>
        <v>0.16762986130287999</v>
      </c>
      <c r="J147" s="47">
        <f t="shared" si="42"/>
        <v>0.16762986130287999</v>
      </c>
      <c r="K147" s="47">
        <f t="shared" si="42"/>
        <v>0.16762986130287999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énergie'!C63</f>
        <v>0.20758747439085867</v>
      </c>
      <c r="I148" s="47">
        <f t="shared" ref="I148:K148" si="43">H148</f>
        <v>0.20758747439085867</v>
      </c>
      <c r="J148" s="47">
        <f t="shared" si="43"/>
        <v>0.20758747439085867</v>
      </c>
      <c r="K148" s="47">
        <f t="shared" si="43"/>
        <v>0.20758747439085867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4">SUM(I142:I148)</f>
        <v>1</v>
      </c>
      <c r="J149" s="15">
        <f t="shared" si="44"/>
        <v>1</v>
      </c>
      <c r="K149" s="15">
        <f t="shared" si="44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46.313592968323185</v>
      </c>
      <c r="J153" s="45">
        <f>K153</f>
        <v>46.313592968323185</v>
      </c>
      <c r="K153" s="45">
        <f t="shared" ref="K153:K159" si="45">K77</f>
        <v>46.313592968323185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6">J154</f>
        <v>63.219647432481629</v>
      </c>
      <c r="J154" s="45">
        <f t="shared" si="46"/>
        <v>63.219647432481629</v>
      </c>
      <c r="K154" s="45">
        <f t="shared" si="45"/>
        <v>63.219647432481629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6"/>
        <v>17.62391479946022</v>
      </c>
      <c r="J155" s="45">
        <f t="shared" si="46"/>
        <v>17.62391479946022</v>
      </c>
      <c r="K155" s="45">
        <f t="shared" si="45"/>
        <v>17.62391479946022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6"/>
        <v>19.387066075871193</v>
      </c>
      <c r="J156" s="45">
        <f t="shared" si="46"/>
        <v>19.387066075871193</v>
      </c>
      <c r="K156" s="45">
        <f t="shared" si="45"/>
        <v>19.387066075871193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6"/>
        <v>20.423821502006124</v>
      </c>
      <c r="J157" s="45">
        <f t="shared" si="46"/>
        <v>20.423821502006124</v>
      </c>
      <c r="K157" s="45">
        <f t="shared" si="45"/>
        <v>20.423821502006124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6"/>
        <v>25.705147439733583</v>
      </c>
      <c r="J158" s="45">
        <f t="shared" si="46"/>
        <v>25.705147439733583</v>
      </c>
      <c r="K158" s="45">
        <f t="shared" si="45"/>
        <v>25.705147439733583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6"/>
        <v>20.307523731870358</v>
      </c>
      <c r="J159" s="45">
        <f t="shared" si="46"/>
        <v>20.307523731870358</v>
      </c>
      <c r="K159" s="45">
        <f t="shared" si="45"/>
        <v>20.307523731870358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7">I$35*I142*I153/1000</f>
        <v>2.3349779856388722</v>
      </c>
      <c r="J163" s="10">
        <f t="shared" si="47"/>
        <v>2.1874103023643996</v>
      </c>
      <c r="K163" s="10">
        <f t="shared" si="47"/>
        <v>1.3792991497490703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8">H$35*H143*H154/1000</f>
        <v>0</v>
      </c>
      <c r="I164" s="10">
        <f t="shared" si="48"/>
        <v>86.335331076895145</v>
      </c>
      <c r="J164" s="10">
        <f t="shared" si="48"/>
        <v>80.879046319561098</v>
      </c>
      <c r="K164" s="10">
        <f t="shared" si="48"/>
        <v>50.999302554488082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8"/>
        <v>0</v>
      </c>
      <c r="I165" s="10">
        <f t="shared" si="48"/>
        <v>3.0790383492384708</v>
      </c>
      <c r="J165" s="10">
        <f t="shared" si="48"/>
        <v>2.8844469831935111</v>
      </c>
      <c r="K165" s="10">
        <f t="shared" si="48"/>
        <v>1.8188244185897142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8"/>
        <v>0</v>
      </c>
      <c r="I166" s="10">
        <f t="shared" si="48"/>
        <v>0.37975093189439635</v>
      </c>
      <c r="J166" s="10">
        <f t="shared" si="48"/>
        <v>0.35575114877625047</v>
      </c>
      <c r="K166" s="10">
        <f t="shared" si="48"/>
        <v>0.22432337293965707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8"/>
        <v>0</v>
      </c>
      <c r="I167" s="10">
        <f t="shared" si="48"/>
        <v>0.36685923563772815</v>
      </c>
      <c r="J167" s="10">
        <f t="shared" si="48"/>
        <v>0.34367419157141715</v>
      </c>
      <c r="K167" s="10">
        <f t="shared" si="48"/>
        <v>0.21670809528179064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8"/>
        <v>0</v>
      </c>
      <c r="I168" s="10">
        <f t="shared" si="48"/>
        <v>11.230035005014086</v>
      </c>
      <c r="J168" s="10">
        <f t="shared" si="48"/>
        <v>10.520310862442466</v>
      </c>
      <c r="K168" s="10">
        <f t="shared" si="48"/>
        <v>6.6337146771129527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8"/>
        <v>0</v>
      </c>
      <c r="I169" s="10">
        <f t="shared" si="48"/>
        <v>10.986711982738569</v>
      </c>
      <c r="J169" s="10">
        <f t="shared" si="48"/>
        <v>10.292365550323268</v>
      </c>
      <c r="K169" s="10">
        <f t="shared" si="48"/>
        <v>6.489980886129409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9">SUM(I163:I169)</f>
        <v>114.71270456705727</v>
      </c>
      <c r="J170" s="11">
        <f t="shared" si="49"/>
        <v>107.46300535823242</v>
      </c>
      <c r="K170" s="11">
        <f t="shared" si="49"/>
        <v>67.762153154290672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GB1589"/>
  <sheetViews>
    <sheetView showGridLines="0" zoomScale="130" zoomScaleNormal="130" workbookViewId="0">
      <selection activeCell="F22" sqref="F22:K22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25839.303197908266</v>
      </c>
      <c r="I7" s="10">
        <f t="shared" si="0"/>
        <v>26223.522047191575</v>
      </c>
      <c r="J7" s="10">
        <f t="shared" si="0"/>
        <v>26542.867885020201</v>
      </c>
      <c r="K7" s="10">
        <f t="shared" si="0"/>
        <v>26263.225793334874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1056.0407324289231</v>
      </c>
      <c r="J8" s="76">
        <f t="shared" si="0"/>
        <v>1001.1574110556077</v>
      </c>
      <c r="K8" s="76">
        <f t="shared" si="0"/>
        <v>690.11456501052521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25839.303197908266</v>
      </c>
      <c r="I9" s="96">
        <f t="shared" si="1"/>
        <v>25167.481314762652</v>
      </c>
      <c r="J9" s="96">
        <f t="shared" si="1"/>
        <v>25541.710473964595</v>
      </c>
      <c r="K9" s="96">
        <f t="shared" si="1"/>
        <v>25573.111228324349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648.92228698886663</v>
      </c>
      <c r="I13" s="86">
        <f t="shared" ref="I13:K13" si="2">I129+I163</f>
        <v>415.83573245349402</v>
      </c>
      <c r="J13" s="86">
        <f t="shared" si="2"/>
        <v>299.82923649682635</v>
      </c>
      <c r="K13" s="86">
        <f t="shared" si="2"/>
        <v>198.32570743933249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1312.2159698455907</v>
      </c>
      <c r="I14" s="86">
        <f t="shared" si="3"/>
        <v>969.45197167219362</v>
      </c>
      <c r="J14" s="86">
        <f t="shared" si="3"/>
        <v>830.19241080091047</v>
      </c>
      <c r="K14" s="86">
        <f t="shared" si="3"/>
        <v>689.64926751474297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188.15305580285894</v>
      </c>
      <c r="I15" s="86">
        <f t="shared" si="3"/>
        <v>154.32461172238501</v>
      </c>
      <c r="J15" s="86">
        <f t="shared" si="3"/>
        <v>141.07018183483734</v>
      </c>
      <c r="K15" s="86">
        <f t="shared" si="3"/>
        <v>124.18762026058812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51.163592458605265</v>
      </c>
      <c r="I16" s="86">
        <f t="shared" si="3"/>
        <v>43.566745445545791</v>
      </c>
      <c r="J16" s="86">
        <f t="shared" si="3"/>
        <v>42.144927081554528</v>
      </c>
      <c r="K16" s="86">
        <f t="shared" si="3"/>
        <v>39.455997410624306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26.787512001856264</v>
      </c>
      <c r="I17" s="86">
        <f t="shared" si="3"/>
        <v>19.83569995306139</v>
      </c>
      <c r="J17" s="86">
        <f t="shared" si="3"/>
        <v>16.446310486209995</v>
      </c>
      <c r="K17" s="86">
        <f t="shared" si="3"/>
        <v>12.981469098670733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357.89954101382017</v>
      </c>
      <c r="I18" s="86">
        <f t="shared" si="3"/>
        <v>322.03978745766608</v>
      </c>
      <c r="J18" s="86">
        <f t="shared" si="3"/>
        <v>324.2013153760762</v>
      </c>
      <c r="K18" s="86">
        <f t="shared" si="3"/>
        <v>311.09186737564426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80.433952361465742</v>
      </c>
      <c r="I19" s="86">
        <f t="shared" si="3"/>
        <v>81.475149739652252</v>
      </c>
      <c r="J19" s="86">
        <f t="shared" si="3"/>
        <v>81.402636493469657</v>
      </c>
      <c r="K19" s="86">
        <f t="shared" si="3"/>
        <v>75.692702406714702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2665.5759104730637</v>
      </c>
      <c r="I20" s="13">
        <f t="shared" ref="I20:K20" si="4">SUM(I13:I19)</f>
        <v>2006.5296984439983</v>
      </c>
      <c r="J20" s="13">
        <f t="shared" si="4"/>
        <v>1735.2870185698841</v>
      </c>
      <c r="K20" s="13">
        <f t="shared" si="4"/>
        <v>1451.3846315063176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-0.41559999999999986</v>
      </c>
      <c r="J23" s="193">
        <f t="shared" ref="J23:K23" si="5">J114/$G114-1</f>
        <v>-0.5057585284259476</v>
      </c>
      <c r="K23" s="193">
        <f t="shared" si="5"/>
        <v>-0.60412072984391396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-0.17704662436470719</v>
      </c>
      <c r="J24" s="193">
        <f t="shared" ref="J24:K24" si="6">J125/$G125-1</f>
        <v>-0.2823260168333116</v>
      </c>
      <c r="K24" s="193">
        <f t="shared" si="6"/>
        <v>-0.38463612458205365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25839.303197908266</v>
      </c>
      <c r="H34" s="127">
        <f>'Init. parc'!C11</f>
        <v>25839.303197908266</v>
      </c>
      <c r="I34" s="127">
        <f>'Init. parc'!D11</f>
        <v>26223.522047191575</v>
      </c>
      <c r="J34" s="127">
        <f>'Init. parc'!E11</f>
        <v>26542.867885020201</v>
      </c>
      <c r="K34" s="127">
        <f>'Init. parc'!F11</f>
        <v>26263.225793334874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parc'!N11</f>
        <v>1056.0407324289231</v>
      </c>
      <c r="J35" s="127">
        <f>'Init. parc'!O11</f>
        <v>1001.1574110556077</v>
      </c>
      <c r="K35" s="127">
        <f>'Init. parc'!P11</f>
        <v>690.11456501052521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25839.303197908266</v>
      </c>
      <c r="H36" s="127">
        <f>H34-H35</f>
        <v>25839.303197908266</v>
      </c>
      <c r="I36" s="127">
        <f>I34-I35</f>
        <v>25167.481314762652</v>
      </c>
      <c r="J36" s="127">
        <f>J34-J35</f>
        <v>25541.710473964595</v>
      </c>
      <c r="K36" s="127">
        <f>K34-K35</f>
        <v>25573.111228324349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0.19595605807562935</v>
      </c>
      <c r="H45" s="55">
        <f>'Init. énergie'!B66</f>
        <v>0.19595605807562935</v>
      </c>
      <c r="I45" s="47">
        <f>H45+((K45-H45)/3)</f>
        <v>0.16397070538375291</v>
      </c>
      <c r="J45" s="47">
        <f>H45+((K45-H45)/3*2)</f>
        <v>0.13198535269187645</v>
      </c>
      <c r="K45" s="47">
        <v>0.1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0.40960771079475461</v>
      </c>
      <c r="H46" s="55">
        <f>'Init. énergie'!B67</f>
        <v>0.40960771079475461</v>
      </c>
      <c r="I46" s="47">
        <f t="shared" ref="I46:I51" si="8">H46+((K46-H46)/3)</f>
        <v>0.38973847386316973</v>
      </c>
      <c r="J46" s="47">
        <f t="shared" ref="J46:J51" si="9">H46+((K46-H46)/3*2)</f>
        <v>0.36986923693158485</v>
      </c>
      <c r="K46" s="47">
        <v>0.35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6.1629340994289197E-2</v>
      </c>
      <c r="H47" s="55">
        <f>'Init. énergie'!B68</f>
        <v>6.1629340994289197E-2</v>
      </c>
      <c r="I47" s="47">
        <f t="shared" si="8"/>
        <v>6.1086227329526128E-2</v>
      </c>
      <c r="J47" s="47">
        <f t="shared" si="9"/>
        <v>6.0543113664763067E-2</v>
      </c>
      <c r="K47" s="47">
        <v>0.06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1.720027863130175E-2</v>
      </c>
      <c r="H48" s="55">
        <f>'Init. énergie'!B69</f>
        <v>1.720027863130175E-2</v>
      </c>
      <c r="I48" s="47">
        <f t="shared" si="8"/>
        <v>1.8133519087534501E-2</v>
      </c>
      <c r="J48" s="47">
        <f t="shared" si="9"/>
        <v>1.9066759543767249E-2</v>
      </c>
      <c r="K48" s="47">
        <v>0.02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1.3962097437388757E-2</v>
      </c>
      <c r="H49" s="55">
        <f>'Init. énergie'!B70</f>
        <v>1.3962097437388757E-2</v>
      </c>
      <c r="I49" s="47">
        <f t="shared" si="8"/>
        <v>1.2641398291592505E-2</v>
      </c>
      <c r="J49" s="47">
        <f t="shared" si="9"/>
        <v>1.1320699145796252E-2</v>
      </c>
      <c r="K49" s="47">
        <v>0.01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0.23589207259794331</v>
      </c>
      <c r="H50" s="55">
        <f>'Init. énergie'!B71</f>
        <v>0.23589207259794331</v>
      </c>
      <c r="I50" s="47">
        <f t="shared" si="8"/>
        <v>0.27726138173196219</v>
      </c>
      <c r="J50" s="47">
        <f t="shared" si="9"/>
        <v>0.31863069086598111</v>
      </c>
      <c r="K50" s="47">
        <f>1-K45-K46-K47-K48-K49-K51</f>
        <v>0.36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6.5752441468692954E-2</v>
      </c>
      <c r="H51" s="55">
        <f>'Init. énergie'!B72</f>
        <v>6.5752441468692954E-2</v>
      </c>
      <c r="I51" s="47">
        <f t="shared" si="8"/>
        <v>7.7168294312461971E-2</v>
      </c>
      <c r="J51" s="47">
        <f t="shared" si="9"/>
        <v>8.8584147156230988E-2</v>
      </c>
      <c r="K51" s="125">
        <v>0.1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0">SUM(G45:G51)</f>
        <v>1</v>
      </c>
      <c r="H52" s="164">
        <f t="shared" si="10"/>
        <v>1</v>
      </c>
      <c r="I52" s="170">
        <f t="shared" si="10"/>
        <v>0.99999999999999989</v>
      </c>
      <c r="J52" s="170">
        <f t="shared" si="10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1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-3.5361813997470522E-2</v>
      </c>
      <c r="J55" s="157">
        <f t="shared" si="11"/>
        <v>-3.665811131115413E-2</v>
      </c>
      <c r="K55" s="157">
        <f t="shared" si="11"/>
        <v>-3.8053064796183145E-2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0.19595605807562935</v>
      </c>
      <c r="H59" s="55">
        <f>H45</f>
        <v>0.19595605807562935</v>
      </c>
      <c r="I59" s="47">
        <f>H59+((K59-H59)/3)</f>
        <v>0.16397070538375291</v>
      </c>
      <c r="J59" s="47">
        <f>H59+((K59-H59)/3*2)</f>
        <v>0.13198535269187645</v>
      </c>
      <c r="K59" s="47">
        <v>0.1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2">H60</f>
        <v>0.40960771079475461</v>
      </c>
      <c r="H60" s="55">
        <f t="shared" ref="H60:H65" si="13">H46</f>
        <v>0.40960771079475461</v>
      </c>
      <c r="I60" s="47">
        <f t="shared" ref="I60:I65" si="14">H60+((K60-H60)/3)</f>
        <v>0.38973847386316973</v>
      </c>
      <c r="J60" s="47">
        <f t="shared" ref="J60:J65" si="15">H60+((K60-H60)/3*2)</f>
        <v>0.36986923693158485</v>
      </c>
      <c r="K60" s="47">
        <v>0.35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2"/>
        <v>6.1629340994289197E-2</v>
      </c>
      <c r="H61" s="55">
        <f t="shared" si="13"/>
        <v>6.1629340994289197E-2</v>
      </c>
      <c r="I61" s="47">
        <f t="shared" si="14"/>
        <v>6.1086227329526128E-2</v>
      </c>
      <c r="J61" s="47">
        <f t="shared" si="15"/>
        <v>6.0543113664763067E-2</v>
      </c>
      <c r="K61" s="47">
        <v>0.06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2"/>
        <v>1.720027863130175E-2</v>
      </c>
      <c r="H62" s="55">
        <f t="shared" si="13"/>
        <v>1.720027863130175E-2</v>
      </c>
      <c r="I62" s="47">
        <f t="shared" si="14"/>
        <v>1.8133519087534501E-2</v>
      </c>
      <c r="J62" s="47">
        <f t="shared" si="15"/>
        <v>1.9066759543767249E-2</v>
      </c>
      <c r="K62" s="47">
        <v>0.02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2"/>
        <v>1.3962097437388757E-2</v>
      </c>
      <c r="H63" s="55">
        <f t="shared" si="13"/>
        <v>1.3962097437388757E-2</v>
      </c>
      <c r="I63" s="47">
        <f t="shared" si="14"/>
        <v>1.2641398291592505E-2</v>
      </c>
      <c r="J63" s="47">
        <f t="shared" si="15"/>
        <v>1.1320699145796252E-2</v>
      </c>
      <c r="K63" s="47">
        <v>0.01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2"/>
        <v>0.23589207259794331</v>
      </c>
      <c r="H64" s="55">
        <f t="shared" si="13"/>
        <v>0.23589207259794331</v>
      </c>
      <c r="I64" s="47">
        <f t="shared" si="14"/>
        <v>0.27726138173196219</v>
      </c>
      <c r="J64" s="47">
        <f t="shared" si="15"/>
        <v>0.31863069086598111</v>
      </c>
      <c r="K64" s="47">
        <f>1-K59-K60-K61-K62-K63-K65</f>
        <v>0.36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2"/>
        <v>6.5752441468692954E-2</v>
      </c>
      <c r="H65" s="55">
        <f t="shared" si="13"/>
        <v>6.5752441468692954E-2</v>
      </c>
      <c r="I65" s="47">
        <f t="shared" si="14"/>
        <v>7.7168294312461971E-2</v>
      </c>
      <c r="J65" s="47">
        <f t="shared" si="15"/>
        <v>8.8584147156230988E-2</v>
      </c>
      <c r="K65" s="125">
        <v>0.1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6">SUM(G59:G65)</f>
        <v>1</v>
      </c>
      <c r="H66" s="164">
        <v>1</v>
      </c>
      <c r="I66" s="47">
        <f t="shared" ref="I66:J66" si="17">SUM(I59:I65)</f>
        <v>0.99999999999999989</v>
      </c>
      <c r="J66" s="47">
        <f t="shared" si="17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-3.5361813997470522E-2</v>
      </c>
      <c r="J69" s="157">
        <f t="shared" ref="J69:K69" si="18">(I$97*(J59-I59)+I$98*(J60-I60)+I$99*(J61-I61)+I$100*(J62-I62)+I$101*(J63-I63)+I$102*(J64-I64)+I$103*(J65-I65))/(I$97*I59+I$98*I60+I$99*I61+I$100*I62+I$101*I63+I$102*I64+I$103*I65)</f>
        <v>-3.7739259701945048E-2</v>
      </c>
      <c r="K69" s="157">
        <f t="shared" si="18"/>
        <v>-4.0338377725936833E-2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32" t="s">
        <v>92</v>
      </c>
      <c r="G72" s="131" t="s">
        <v>91</v>
      </c>
      <c r="H72" s="131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bord'!L10</f>
        <v>0.78</v>
      </c>
      <c r="G73" s="92">
        <f>'Tableau de bord'!L22</f>
        <v>0.52500000000000002</v>
      </c>
      <c r="H73" s="92">
        <f>'Tableau de bord'!L25</f>
        <v>0.40950000000000003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130.75183266377164</v>
      </c>
      <c r="H77" s="54">
        <f>'Init. énergie'!D66</f>
        <v>128.16020625688986</v>
      </c>
      <c r="I77" s="81">
        <f>G77*60%/(1+I$55)</f>
        <v>81.326968739818554</v>
      </c>
      <c r="J77" s="81">
        <f>G77*50%/(1+I$55)/(1+J$55)</f>
        <v>70.351424292460024</v>
      </c>
      <c r="K77" s="81">
        <f>G77*40%/(1+I$55)/(1+J$55)/(1+K$55)</f>
        <v>58.507530274570918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19">H78/0.998^10</f>
        <v>126.48848312749554</v>
      </c>
      <c r="H78" s="54">
        <f>'Init. énergie'!D67</f>
        <v>123.98136038694778</v>
      </c>
      <c r="I78" s="81">
        <f t="shared" ref="I78:I83" si="20">G78*60%/(1+I$55)</f>
        <v>78.675187212937388</v>
      </c>
      <c r="J78" s="81">
        <f t="shared" ref="J78:J83" si="21">G78*50%/(1+I$55)/(1+J$55)</f>
        <v>68.057516008169273</v>
      </c>
      <c r="K78" s="81">
        <f t="shared" ref="K78:K83" si="22">G78*40%/(1+I$55)/(1+J$55)/(1+K$55)</f>
        <v>56.599809006095995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19"/>
        <v>120.54176367559583</v>
      </c>
      <c r="H79" s="54">
        <f>'Init. énergie'!D68</f>
        <v>118.15251060350229</v>
      </c>
      <c r="I79" s="81">
        <f t="shared" si="20"/>
        <v>74.976358239635189</v>
      </c>
      <c r="J79" s="81">
        <f t="shared" si="21"/>
        <v>64.857865381591566</v>
      </c>
      <c r="K79" s="81">
        <f t="shared" si="22"/>
        <v>53.938830102181903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19"/>
        <v>117.44629958319703</v>
      </c>
      <c r="H80" s="54">
        <f>'Init. énergie'!D69</f>
        <v>115.11840157068453</v>
      </c>
      <c r="I80" s="81">
        <f t="shared" si="20"/>
        <v>73.050995463840621</v>
      </c>
      <c r="J80" s="81">
        <f t="shared" si="21"/>
        <v>63.192341439709857</v>
      </c>
      <c r="K80" s="81">
        <f t="shared" si="22"/>
        <v>52.553702602167512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19"/>
        <v>75.752244152227661</v>
      </c>
      <c r="H81" s="54">
        <f>'Init. énergie'!D70</f>
        <v>74.250762204893817</v>
      </c>
      <c r="I81" s="81">
        <f t="shared" si="20"/>
        <v>47.117507010257846</v>
      </c>
      <c r="J81" s="81">
        <f t="shared" si="21"/>
        <v>40.75872713129484</v>
      </c>
      <c r="K81" s="81">
        <f t="shared" si="22"/>
        <v>33.896861159110735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19"/>
        <v>59.904794734499362</v>
      </c>
      <c r="H82" s="54">
        <f>'Init. énergie'!D71</f>
        <v>58.717424395056483</v>
      </c>
      <c r="I82" s="81">
        <f t="shared" si="20"/>
        <v>37.26047482076909</v>
      </c>
      <c r="J82" s="81">
        <f t="shared" si="21"/>
        <v>32.231958402883642</v>
      </c>
      <c r="K82" s="81">
        <f t="shared" si="22"/>
        <v>26.805602033383973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19"/>
        <v>48.299353249456274</v>
      </c>
      <c r="H83" s="54">
        <f>'Init. énergie'!D72</f>
        <v>47.342013862569921</v>
      </c>
      <c r="I83" s="81">
        <f t="shared" si="20"/>
        <v>30.041949790278956</v>
      </c>
      <c r="J83" s="81">
        <f t="shared" si="21"/>
        <v>25.987615043543435</v>
      </c>
      <c r="K83" s="81">
        <f t="shared" si="22"/>
        <v>21.612514447514464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3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3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3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3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3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3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130.75183266377164</v>
      </c>
      <c r="H97" s="54">
        <f>H77</f>
        <v>128.16020625688986</v>
      </c>
      <c r="I97" s="81">
        <f>$H97*(1+$G87)^(I$96-$H$96)</f>
        <v>114.22555446619204</v>
      </c>
      <c r="J97" s="81">
        <f>$H97*(1+$G87)^(J$96-$H$96)</f>
        <v>101.80599481055825</v>
      </c>
      <c r="K97" s="81">
        <f>$H97*(1+$G87)^(K$96-$H$96)</f>
        <v>90.736793774417947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4">G78</f>
        <v>126.48848312749554</v>
      </c>
      <c r="H98" s="54">
        <f t="shared" si="24"/>
        <v>123.98136038694778</v>
      </c>
      <c r="I98" s="81">
        <f t="shared" ref="I98:K103" si="25">$H98*(1+$G88)^(I$96-$H$96)</f>
        <v>111.56423893420171</v>
      </c>
      <c r="J98" s="81">
        <f t="shared" si="25"/>
        <v>100.39073107539456</v>
      </c>
      <c r="K98" s="81">
        <f t="shared" si="25"/>
        <v>90.336285015094873</v>
      </c>
      <c r="L98" s="67"/>
      <c r="M98" s="79">
        <f t="shared" ref="M98:M103" si="26">(K98-G98)/H98</f>
        <v>-0.29159381700256465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4"/>
        <v>120.54176367559583</v>
      </c>
      <c r="H99" s="54">
        <f t="shared" si="24"/>
        <v>118.15251060350229</v>
      </c>
      <c r="I99" s="81">
        <f t="shared" si="25"/>
        <v>109.52302586836819</v>
      </c>
      <c r="J99" s="81">
        <f t="shared" si="25"/>
        <v>101.52381133581838</v>
      </c>
      <c r="K99" s="81">
        <f t="shared" si="25"/>
        <v>94.10883406872415</v>
      </c>
      <c r="L99" s="67"/>
      <c r="M99" s="79">
        <f t="shared" si="26"/>
        <v>-0.22371872990135305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4"/>
        <v>117.44629958319703</v>
      </c>
      <c r="H100" s="54">
        <f t="shared" si="24"/>
        <v>115.11840157068453</v>
      </c>
      <c r="I100" s="81">
        <f t="shared" si="25"/>
        <v>106.71051853871946</v>
      </c>
      <c r="J100" s="81">
        <f t="shared" si="25"/>
        <v>98.916720623596447</v>
      </c>
      <c r="K100" s="81">
        <f t="shared" si="25"/>
        <v>91.692156995529572</v>
      </c>
      <c r="L100" s="67"/>
      <c r="M100" s="79">
        <f t="shared" si="26"/>
        <v>-0.22371872990135297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4"/>
        <v>75.752244152227661</v>
      </c>
      <c r="H101" s="54">
        <f t="shared" si="24"/>
        <v>74.250762204893817</v>
      </c>
      <c r="I101" s="81">
        <f t="shared" si="25"/>
        <v>68.827721968623038</v>
      </c>
      <c r="J101" s="81">
        <f>$H101*(1+$G91)^(J$96-$H$96)</f>
        <v>63.800763395770829</v>
      </c>
      <c r="K101" s="81">
        <f>$H101*(1+$G91)^(K$96-$H$96)</f>
        <v>59.14095793754143</v>
      </c>
      <c r="L101" s="67"/>
      <c r="M101" s="79">
        <f t="shared" si="26"/>
        <v>-0.22371872990135303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4"/>
        <v>59.904794734499362</v>
      </c>
      <c r="H102" s="54">
        <f t="shared" si="24"/>
        <v>58.717424395056483</v>
      </c>
      <c r="I102" s="81">
        <f t="shared" si="25"/>
        <v>50.720110290386515</v>
      </c>
      <c r="J102" s="81">
        <f t="shared" si="25"/>
        <v>43.812030489633628</v>
      </c>
      <c r="K102" s="81">
        <f t="shared" si="25"/>
        <v>37.844831263870653</v>
      </c>
      <c r="L102" s="67"/>
      <c r="M102" s="79">
        <f t="shared" si="26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4"/>
        <v>48.299353249456274</v>
      </c>
      <c r="H103" s="54">
        <f t="shared" si="24"/>
        <v>47.342013862569921</v>
      </c>
      <c r="I103" s="81">
        <f t="shared" si="25"/>
        <v>40.894030847182634</v>
      </c>
      <c r="J103" s="81">
        <f t="shared" si="25"/>
        <v>35.324263217550076</v>
      </c>
      <c r="K103" s="81">
        <f t="shared" si="25"/>
        <v>30.513098024640637</v>
      </c>
      <c r="L103" s="67"/>
      <c r="M103" s="79">
        <f t="shared" si="26"/>
        <v>-0.37569705582123553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271.10728220958794</v>
      </c>
      <c r="H107" s="54">
        <f>H$36*H45*$H$73*H77/1000</f>
        <v>265.73367652194094</v>
      </c>
      <c r="I107" s="127">
        <f>I$36*I45*$H$73*I77/1000</f>
        <v>137.43410268648884</v>
      </c>
      <c r="J107" s="127">
        <f>J$36*J45*$H$73*J77/1000</f>
        <v>97.118622835602082</v>
      </c>
      <c r="K107" s="127">
        <f>K$36*K45*$H$73*K77/1000</f>
        <v>61.270191776682111</v>
      </c>
      <c r="L107" s="46"/>
      <c r="M107" s="79">
        <f>(K107-G107)/H107</f>
        <v>-0.78965185436547458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7">G$36*G46*$H$73*G78/1000</f>
        <v>548.2186579037317</v>
      </c>
      <c r="H108" s="54">
        <f t="shared" si="27"/>
        <v>537.35243965176949</v>
      </c>
      <c r="I108" s="127">
        <f t="shared" si="27"/>
        <v>316.01283801212418</v>
      </c>
      <c r="J108" s="127">
        <f t="shared" si="27"/>
        <v>263.28625618746054</v>
      </c>
      <c r="K108" s="127">
        <f t="shared" si="27"/>
        <v>207.45336499736223</v>
      </c>
      <c r="L108" s="46"/>
      <c r="M108" s="79">
        <f t="shared" ref="M108:M114" si="28">(K108-G108)/H108</f>
        <v>-0.63415603570573154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7"/>
        <v>78.606737079161505</v>
      </c>
      <c r="H109" s="54">
        <f t="shared" si="27"/>
        <v>77.048676351270743</v>
      </c>
      <c r="I109" s="127">
        <f t="shared" si="27"/>
        <v>47.202098516537824</v>
      </c>
      <c r="J109" s="127">
        <f t="shared" si="27"/>
        <v>41.070622668907667</v>
      </c>
      <c r="K109" s="127">
        <f t="shared" si="27"/>
        <v>33.891457551476314</v>
      </c>
      <c r="L109" s="46"/>
      <c r="M109" s="79">
        <f t="shared" si="28"/>
        <v>-0.58035104099420021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7"/>
        <v>21.375167377737821</v>
      </c>
      <c r="H110" s="54">
        <f t="shared" si="27"/>
        <v>20.951491111798855</v>
      </c>
      <c r="I110" s="127">
        <f t="shared" si="27"/>
        <v>13.652176462397019</v>
      </c>
      <c r="J110" s="127">
        <f t="shared" si="27"/>
        <v>12.602166718851485</v>
      </c>
      <c r="K110" s="127">
        <f t="shared" si="27"/>
        <v>11.007046176444115</v>
      </c>
      <c r="L110" s="46"/>
      <c r="M110" s="79">
        <f t="shared" si="28"/>
        <v>-0.49486316491597521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7"/>
        <v>11.191308607504439</v>
      </c>
      <c r="H111" s="54">
        <f t="shared" si="27"/>
        <v>10.96948616476014</v>
      </c>
      <c r="I111" s="127">
        <f t="shared" si="27"/>
        <v>6.1386246588687525</v>
      </c>
      <c r="J111" s="127">
        <f t="shared" si="27"/>
        <v>4.8261158794231118</v>
      </c>
      <c r="K111" s="127">
        <f t="shared" si="27"/>
        <v>3.549743381919761</v>
      </c>
      <c r="L111" s="46"/>
      <c r="M111" s="79">
        <f t="shared" si="28"/>
        <v>-0.6966201616747989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7"/>
        <v>149.52356208715088</v>
      </c>
      <c r="H112" s="54">
        <f t="shared" si="27"/>
        <v>146.55986204515935</v>
      </c>
      <c r="I112" s="127">
        <f t="shared" si="27"/>
        <v>106.47102353807699</v>
      </c>
      <c r="J112" s="127">
        <f t="shared" si="27"/>
        <v>107.41827722711847</v>
      </c>
      <c r="K112" s="127">
        <f t="shared" si="27"/>
        <v>101.05679953404669</v>
      </c>
      <c r="L112" s="46"/>
      <c r="M112" s="79">
        <f t="shared" si="28"/>
        <v>-0.33069601647257402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7"/>
        <v>33.603762205915061</v>
      </c>
      <c r="H113" s="54">
        <f t="shared" si="27"/>
        <v>32.937703492020219</v>
      </c>
      <c r="I113" s="127">
        <f t="shared" si="27"/>
        <v>23.892449559435672</v>
      </c>
      <c r="J113" s="127">
        <f t="shared" si="27"/>
        <v>24.078327491627778</v>
      </c>
      <c r="K113" s="127">
        <f t="shared" si="27"/>
        <v>22.633033709697727</v>
      </c>
      <c r="L113" s="46"/>
      <c r="M113" s="79">
        <f t="shared" si="28"/>
        <v>-0.33307508821540033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1113.6264774707893</v>
      </c>
      <c r="H114" s="161">
        <f>SUM(H107:H113)</f>
        <v>1091.55333533872</v>
      </c>
      <c r="I114" s="159">
        <f t="shared" ref="I114:J114" si="29">SUM(I107:I113)</f>
        <v>650.80331343392936</v>
      </c>
      <c r="J114" s="159">
        <f t="shared" si="29"/>
        <v>550.40038900899117</v>
      </c>
      <c r="K114" s="159">
        <f>SUM(K107:K113)</f>
        <v>440.86163712762897</v>
      </c>
      <c r="L114" s="21"/>
      <c r="M114" s="79">
        <f t="shared" si="28"/>
        <v>-0.61633712120388018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390.93736299087095</v>
      </c>
      <c r="H118" s="162">
        <f>H$36*H45*(1-$H$73)*H97/1000</f>
        <v>383.1886104669257</v>
      </c>
      <c r="I118" s="158">
        <f t="shared" ref="I118:K118" si="30">I$36*I45*(1-$H$73)*I97/1000</f>
        <v>278.34869954766867</v>
      </c>
      <c r="J118" s="158">
        <f t="shared" si="30"/>
        <v>202.6604342697195</v>
      </c>
      <c r="K118" s="158">
        <f t="shared" si="30"/>
        <v>137.02092616797313</v>
      </c>
      <c r="L118" s="46"/>
      <c r="M118" s="79">
        <f>(K118-G118)/H118</f>
        <v>-0.66264087680866546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1">G$36*G46*(1-$H$73)*G98/1000</f>
        <v>790.53264344848253</v>
      </c>
      <c r="H119" s="162">
        <f t="shared" si="31"/>
        <v>774.86353019382125</v>
      </c>
      <c r="I119" s="158">
        <f t="shared" si="31"/>
        <v>646.18659456039711</v>
      </c>
      <c r="J119" s="158">
        <f t="shared" si="31"/>
        <v>560.03053604530328</v>
      </c>
      <c r="K119" s="158">
        <f t="shared" si="31"/>
        <v>477.45642352542916</v>
      </c>
      <c r="L119" s="46"/>
      <c r="M119" s="79">
        <f t="shared" ref="M119:M125" si="32">(K119-G119)/H119</f>
        <v>-0.40404046354426015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1"/>
        <v>113.3511068259948</v>
      </c>
      <c r="H120" s="162">
        <f t="shared" si="31"/>
        <v>111.10437945158822</v>
      </c>
      <c r="I120" s="158">
        <f t="shared" si="31"/>
        <v>99.427929265889091</v>
      </c>
      <c r="J120" s="158">
        <f t="shared" si="31"/>
        <v>92.704869198090762</v>
      </c>
      <c r="K120" s="158">
        <f t="shared" si="31"/>
        <v>85.26781078517827</v>
      </c>
      <c r="L120" s="46"/>
      <c r="M120" s="79">
        <f t="shared" si="32"/>
        <v>-0.25276497811729681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1"/>
        <v>30.823043556908871</v>
      </c>
      <c r="H121" s="162">
        <f t="shared" si="31"/>
        <v>30.212101346806406</v>
      </c>
      <c r="I121" s="158">
        <f t="shared" si="31"/>
        <v>28.757357793172318</v>
      </c>
      <c r="J121" s="158">
        <f t="shared" si="31"/>
        <v>28.445690407516082</v>
      </c>
      <c r="K121" s="158">
        <f t="shared" si="31"/>
        <v>27.692722546713664</v>
      </c>
      <c r="L121" s="46"/>
      <c r="M121" s="79">
        <f t="shared" si="32"/>
        <v>-0.10361149574675645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1"/>
        <v>16.137894341224349</v>
      </c>
      <c r="H122" s="162">
        <f t="shared" si="31"/>
        <v>15.818025837096123</v>
      </c>
      <c r="I122" s="158">
        <f t="shared" si="31"/>
        <v>12.930584816223821</v>
      </c>
      <c r="J122" s="158">
        <f t="shared" si="31"/>
        <v>10.893539280948223</v>
      </c>
      <c r="K122" s="158">
        <f t="shared" si="31"/>
        <v>8.930830034847185</v>
      </c>
      <c r="L122" s="46"/>
      <c r="M122" s="79">
        <f t="shared" si="32"/>
        <v>-0.4556235007200013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1"/>
        <v>215.61334166657531</v>
      </c>
      <c r="H123" s="162">
        <f t="shared" si="31"/>
        <v>211.33967896866082</v>
      </c>
      <c r="I123" s="158">
        <f t="shared" si="31"/>
        <v>208.99179171505224</v>
      </c>
      <c r="J123" s="158">
        <f t="shared" si="31"/>
        <v>210.54787669857117</v>
      </c>
      <c r="K123" s="158">
        <f t="shared" si="31"/>
        <v>205.73706666357407</v>
      </c>
      <c r="L123" s="46"/>
      <c r="M123" s="79">
        <f t="shared" si="32"/>
        <v>-4.6731759275861186E-2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1"/>
        <v>48.456707161398889</v>
      </c>
      <c r="H124" s="162">
        <f t="shared" si="31"/>
        <v>47.496248869445516</v>
      </c>
      <c r="I124" s="158">
        <f t="shared" si="31"/>
        <v>46.898448760589027</v>
      </c>
      <c r="J124" s="158">
        <f t="shared" si="31"/>
        <v>47.195327077310424</v>
      </c>
      <c r="K124" s="158">
        <f t="shared" si="31"/>
        <v>46.07759187507429</v>
      </c>
      <c r="L124" s="46"/>
      <c r="M124" s="79">
        <f t="shared" si="32"/>
        <v>-5.0090593319572455E-2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1605.8520999914558</v>
      </c>
      <c r="H125" s="163">
        <f>SUM(H118:H124)</f>
        <v>1574.0225751343442</v>
      </c>
      <c r="I125" s="160">
        <f t="shared" ref="I125:K125" si="33">SUM(I118:I124)</f>
        <v>1321.5414064589922</v>
      </c>
      <c r="J125" s="160">
        <f t="shared" si="33"/>
        <v>1152.4782729774593</v>
      </c>
      <c r="K125" s="160">
        <f t="shared" si="33"/>
        <v>988.18337159878979</v>
      </c>
      <c r="L125" s="21"/>
      <c r="M125" s="79">
        <f t="shared" si="32"/>
        <v>-0.39241414840568439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648.92228698886663</v>
      </c>
      <c r="I129" s="158">
        <f t="shared" ref="I129:K129" si="34">I107+I118</f>
        <v>415.78280223415754</v>
      </c>
      <c r="J129" s="158">
        <f t="shared" si="34"/>
        <v>299.77905710532161</v>
      </c>
      <c r="K129" s="158">
        <f t="shared" si="34"/>
        <v>198.29111794465524</v>
      </c>
      <c r="L129" s="46"/>
      <c r="M129" s="79">
        <f>(K129-G129)/H129</f>
        <v>0.30556989938620688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5">H108+H119</f>
        <v>1312.2159698455907</v>
      </c>
      <c r="I130" s="158">
        <f t="shared" si="35"/>
        <v>962.19943257252135</v>
      </c>
      <c r="J130" s="158">
        <f t="shared" si="35"/>
        <v>823.31679223276387</v>
      </c>
      <c r="K130" s="158">
        <f t="shared" si="35"/>
        <v>684.90978852279136</v>
      </c>
      <c r="L130" s="46"/>
      <c r="M130" s="79">
        <f t="shared" ref="M130:M136" si="36">(K130-G130)/H130</f>
        <v>0.52194898116000299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5"/>
        <v>188.15305580285894</v>
      </c>
      <c r="I131" s="158">
        <f t="shared" si="35"/>
        <v>146.63002778242691</v>
      </c>
      <c r="J131" s="158">
        <f t="shared" si="35"/>
        <v>133.77549186699844</v>
      </c>
      <c r="K131" s="158">
        <f t="shared" si="35"/>
        <v>119.15926833665458</v>
      </c>
      <c r="L131" s="46"/>
      <c r="M131" s="79">
        <f t="shared" si="36"/>
        <v>0.63331030063899696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5"/>
        <v>51.163592458605265</v>
      </c>
      <c r="I132" s="158">
        <f t="shared" si="35"/>
        <v>42.409534255569341</v>
      </c>
      <c r="J132" s="158">
        <f t="shared" si="35"/>
        <v>41.047857126367568</v>
      </c>
      <c r="K132" s="158">
        <f t="shared" si="35"/>
        <v>38.699768723157781</v>
      </c>
      <c r="L132" s="46"/>
      <c r="M132" s="79">
        <f t="shared" si="36"/>
        <v>0.75639271723283419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5"/>
        <v>26.787512001856264</v>
      </c>
      <c r="I133" s="158">
        <f t="shared" si="35"/>
        <v>19.069209475092574</v>
      </c>
      <c r="J133" s="158">
        <f t="shared" si="35"/>
        <v>15.719655160371335</v>
      </c>
      <c r="K133" s="158">
        <f t="shared" si="35"/>
        <v>12.480573416766946</v>
      </c>
      <c r="L133" s="46"/>
      <c r="M133" s="79">
        <f t="shared" si="36"/>
        <v>0.46591013812339471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5"/>
        <v>357.89954101382017</v>
      </c>
      <c r="I134" s="158">
        <f t="shared" si="35"/>
        <v>315.46281525312924</v>
      </c>
      <c r="J134" s="158">
        <f t="shared" si="35"/>
        <v>317.96615392568964</v>
      </c>
      <c r="K134" s="158">
        <f t="shared" si="35"/>
        <v>306.79386619762079</v>
      </c>
      <c r="L134" s="46"/>
      <c r="M134" s="79">
        <f t="shared" si="36"/>
        <v>0.8572066489064708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5"/>
        <v>80.433952361465742</v>
      </c>
      <c r="I135" s="158">
        <f t="shared" si="35"/>
        <v>70.790898320024695</v>
      </c>
      <c r="J135" s="158">
        <f t="shared" si="35"/>
        <v>71.273654568938198</v>
      </c>
      <c r="K135" s="158">
        <f t="shared" si="35"/>
        <v>68.710625584772018</v>
      </c>
      <c r="L135" s="46"/>
      <c r="M135" s="79">
        <f t="shared" si="36"/>
        <v>0.85424902752497178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2665.5759104730637</v>
      </c>
      <c r="I136" s="160">
        <f t="shared" ref="I136:K136" si="37">SUM(I129:I135)</f>
        <v>1972.3447198929216</v>
      </c>
      <c r="J136" s="160">
        <f t="shared" si="37"/>
        <v>1702.8786619864504</v>
      </c>
      <c r="K136" s="160">
        <f t="shared" si="37"/>
        <v>1429.0450087264189</v>
      </c>
      <c r="L136" s="21"/>
      <c r="M136" s="79">
        <f t="shared" si="36"/>
        <v>0.53611116573784023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énergie'!C66</f>
        <v>8.566654622007622E-4</v>
      </c>
      <c r="I142" s="47">
        <f>H142</f>
        <v>8.566654622007622E-4</v>
      </c>
      <c r="J142" s="47">
        <f>I142</f>
        <v>8.566654622007622E-4</v>
      </c>
      <c r="K142" s="47">
        <f>J142</f>
        <v>8.566654622007622E-4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énergie'!C67</f>
        <v>0.12133733261175747</v>
      </c>
      <c r="I143" s="47">
        <f t="shared" ref="I143:K143" si="38">H143</f>
        <v>0.12133733261175747</v>
      </c>
      <c r="J143" s="47">
        <f t="shared" si="38"/>
        <v>0.12133733261175747</v>
      </c>
      <c r="K143" s="47">
        <f t="shared" si="38"/>
        <v>0.12133733261175747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énergie'!C68</f>
        <v>0.13508370055286556</v>
      </c>
      <c r="I144" s="47">
        <f t="shared" ref="I144:K144" si="39">H144</f>
        <v>0.13508370055286556</v>
      </c>
      <c r="J144" s="47">
        <f t="shared" si="39"/>
        <v>0.13508370055286556</v>
      </c>
      <c r="K144" s="47">
        <f t="shared" si="39"/>
        <v>0.13508370055286556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énergie'!C69</f>
        <v>2.0851083900283521E-2</v>
      </c>
      <c r="I145" s="47">
        <f t="shared" ref="I145:K145" si="40">H145</f>
        <v>2.0851083900283521E-2</v>
      </c>
      <c r="J145" s="47">
        <f t="shared" si="40"/>
        <v>2.0851083900283521E-2</v>
      </c>
      <c r="K145" s="47">
        <f t="shared" si="40"/>
        <v>2.0851083900283521E-2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énergie'!C70</f>
        <v>2.1412462228474215E-2</v>
      </c>
      <c r="I146" s="47">
        <f t="shared" ref="I146:K146" si="41">H146</f>
        <v>2.1412462228474215E-2</v>
      </c>
      <c r="J146" s="47">
        <f t="shared" si="41"/>
        <v>2.1412462228474215E-2</v>
      </c>
      <c r="K146" s="47">
        <f t="shared" si="41"/>
        <v>2.1412462228474215E-2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énergie'!C71</f>
        <v>0.23233774569965782</v>
      </c>
      <c r="I147" s="47">
        <f t="shared" ref="I147:K147" si="42">H147</f>
        <v>0.23233774569965782</v>
      </c>
      <c r="J147" s="47">
        <f t="shared" si="42"/>
        <v>0.23233774569965782</v>
      </c>
      <c r="K147" s="47">
        <f t="shared" si="42"/>
        <v>0.23233774569965782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énergie'!C72</f>
        <v>0.46812100954476071</v>
      </c>
      <c r="I148" s="47">
        <f t="shared" ref="I148:K148" si="43">H148</f>
        <v>0.46812100954476071</v>
      </c>
      <c r="J148" s="47">
        <f t="shared" si="43"/>
        <v>0.46812100954476071</v>
      </c>
      <c r="K148" s="47">
        <f t="shared" si="43"/>
        <v>0.46812100954476071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4">SUM(I142:I148)</f>
        <v>1</v>
      </c>
      <c r="J149" s="15">
        <f t="shared" si="44"/>
        <v>1</v>
      </c>
      <c r="K149" s="15">
        <f t="shared" si="44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58.507530274570918</v>
      </c>
      <c r="J153" s="45">
        <f>K153</f>
        <v>58.507530274570918</v>
      </c>
      <c r="K153" s="45">
        <f t="shared" ref="K153:K159" si="45">K77</f>
        <v>58.507530274570918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6">J154</f>
        <v>56.599809006095995</v>
      </c>
      <c r="J154" s="45">
        <f t="shared" si="46"/>
        <v>56.599809006095995</v>
      </c>
      <c r="K154" s="45">
        <f t="shared" si="45"/>
        <v>56.599809006095995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6"/>
        <v>53.938830102181903</v>
      </c>
      <c r="J155" s="45">
        <f t="shared" si="46"/>
        <v>53.938830102181903</v>
      </c>
      <c r="K155" s="45">
        <f t="shared" si="45"/>
        <v>53.938830102181903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6"/>
        <v>52.553702602167512</v>
      </c>
      <c r="J156" s="45">
        <f t="shared" si="46"/>
        <v>52.553702602167512</v>
      </c>
      <c r="K156" s="45">
        <f t="shared" si="45"/>
        <v>52.553702602167512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6"/>
        <v>33.896861159110735</v>
      </c>
      <c r="J157" s="45">
        <f t="shared" si="46"/>
        <v>33.896861159110735</v>
      </c>
      <c r="K157" s="45">
        <f t="shared" si="45"/>
        <v>33.896861159110735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6"/>
        <v>26.805602033383973</v>
      </c>
      <c r="J158" s="45">
        <f t="shared" si="46"/>
        <v>26.805602033383973</v>
      </c>
      <c r="K158" s="45">
        <f t="shared" si="45"/>
        <v>26.805602033383973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6"/>
        <v>21.612514447514464</v>
      </c>
      <c r="J159" s="45">
        <f t="shared" si="46"/>
        <v>21.612514447514464</v>
      </c>
      <c r="K159" s="45">
        <f t="shared" si="45"/>
        <v>21.612514447514464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7">I$35*I142*I153/1000</f>
        <v>5.2930219336491564E-2</v>
      </c>
      <c r="J163" s="10">
        <f t="shared" si="47"/>
        <v>5.0179391504762763E-2</v>
      </c>
      <c r="K163" s="10">
        <f t="shared" si="47"/>
        <v>3.4589494677254862E-2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8">H$35*H143*H154/1000</f>
        <v>0</v>
      </c>
      <c r="I164" s="10">
        <f t="shared" si="48"/>
        <v>7.2525390996722328</v>
      </c>
      <c r="J164" s="10">
        <f t="shared" si="48"/>
        <v>6.8756185681465825</v>
      </c>
      <c r="K164" s="10">
        <f t="shared" si="48"/>
        <v>4.7394789919516631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8"/>
        <v>0</v>
      </c>
      <c r="I165" s="10">
        <f t="shared" si="48"/>
        <v>7.6945839399581031</v>
      </c>
      <c r="J165" s="10">
        <f t="shared" si="48"/>
        <v>7.2946899678389023</v>
      </c>
      <c r="K165" s="10">
        <f t="shared" si="48"/>
        <v>5.0283519239335392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8"/>
        <v>0</v>
      </c>
      <c r="I166" s="10">
        <f t="shared" si="48"/>
        <v>1.157211189976451</v>
      </c>
      <c r="J166" s="10">
        <f t="shared" si="48"/>
        <v>1.0970699551869596</v>
      </c>
      <c r="K166" s="10">
        <f t="shared" si="48"/>
        <v>0.7562286874665235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8"/>
        <v>0</v>
      </c>
      <c r="I167" s="10">
        <f t="shared" si="48"/>
        <v>0.76649047796881575</v>
      </c>
      <c r="J167" s="10">
        <f t="shared" si="48"/>
        <v>0.72665532583865866</v>
      </c>
      <c r="K167" s="10">
        <f t="shared" si="48"/>
        <v>0.50089568190378586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8"/>
        <v>0</v>
      </c>
      <c r="I168" s="10">
        <f t="shared" si="48"/>
        <v>6.5769722045368368</v>
      </c>
      <c r="J168" s="10">
        <f t="shared" si="48"/>
        <v>6.2351614503865438</v>
      </c>
      <c r="K168" s="10">
        <f t="shared" si="48"/>
        <v>4.2980011780234459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8"/>
        <v>0</v>
      </c>
      <c r="I169" s="10">
        <f t="shared" si="48"/>
        <v>10.684251419627559</v>
      </c>
      <c r="J169" s="10">
        <f t="shared" si="48"/>
        <v>10.128981924531461</v>
      </c>
      <c r="K169" s="10">
        <f t="shared" si="48"/>
        <v>6.9820768219426839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9">SUM(I163:I169)</f>
        <v>34.18497855107649</v>
      </c>
      <c r="J170" s="11">
        <f t="shared" si="49"/>
        <v>32.408356583433871</v>
      </c>
      <c r="K170" s="11">
        <f t="shared" si="49"/>
        <v>22.339622779898896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21"/>
  <sheetViews>
    <sheetView topLeftCell="A11" zoomScale="130" zoomScaleNormal="130" workbookViewId="0">
      <selection activeCell="G27" sqref="G27"/>
    </sheetView>
  </sheetViews>
  <sheetFormatPr baseColWidth="10" defaultRowHeight="14.5"/>
  <cols>
    <col min="3" max="3" width="16.08984375" bestFit="1" customWidth="1"/>
    <col min="4" max="9" width="11.7265625" bestFit="1" customWidth="1"/>
  </cols>
  <sheetData>
    <row r="1" spans="1:13" ht="18.5">
      <c r="A1" s="301" t="s">
        <v>129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</row>
    <row r="3" spans="1:13">
      <c r="C3" s="306" t="s">
        <v>67</v>
      </c>
      <c r="D3" s="307"/>
      <c r="E3" s="307"/>
      <c r="F3" s="307"/>
      <c r="G3" s="307"/>
      <c r="H3" s="308"/>
    </row>
    <row r="4" spans="1:13">
      <c r="D4" s="9"/>
      <c r="E4" s="9">
        <v>2020</v>
      </c>
      <c r="F4" s="9">
        <v>2030</v>
      </c>
      <c r="G4" s="9">
        <v>2040</v>
      </c>
      <c r="H4" s="9">
        <v>2050</v>
      </c>
    </row>
    <row r="5" spans="1:13">
      <c r="C5" s="8" t="s">
        <v>186</v>
      </c>
      <c r="D5" s="238"/>
      <c r="E5" s="241">
        <f>SUM(E6:E10)</f>
        <v>149.17607514302438</v>
      </c>
      <c r="F5" s="241">
        <f t="shared" ref="F5:H5" si="0">SUM(F6:F10)</f>
        <v>153.5412440791699</v>
      </c>
      <c r="G5" s="241">
        <f t="shared" si="0"/>
        <v>145.65672853316195</v>
      </c>
      <c r="H5" s="241">
        <f t="shared" si="0"/>
        <v>172.85782316500917</v>
      </c>
    </row>
    <row r="6" spans="1:13">
      <c r="C6" s="126" t="s">
        <v>187</v>
      </c>
      <c r="D6" s="86"/>
      <c r="E6" s="238">
        <f>D33+D60+C72+F97+C121</f>
        <v>126.03832371689441</v>
      </c>
      <c r="F6" s="238">
        <f>D35+D62+E75+G97+E121</f>
        <v>132.97700147980089</v>
      </c>
      <c r="G6" s="238">
        <f>D37+D64+G75+G121</f>
        <v>127.62735484734952</v>
      </c>
      <c r="H6" s="238">
        <f>D39+D66+I75+I97+I121</f>
        <v>156.4158107845945</v>
      </c>
    </row>
    <row r="7" spans="1:13">
      <c r="C7" s="126" t="s">
        <v>83</v>
      </c>
      <c r="D7" s="86"/>
      <c r="E7" s="238">
        <f>E33+E60</f>
        <v>16.62266729971476</v>
      </c>
      <c r="F7" s="238">
        <f>E35+E62</f>
        <v>16.091054633133165</v>
      </c>
      <c r="G7" s="238">
        <f>E37+E64</f>
        <v>14.677776172421357</v>
      </c>
      <c r="H7" s="238">
        <f>E39+E66</f>
        <v>13.098832361822147</v>
      </c>
    </row>
    <row r="8" spans="1:13">
      <c r="C8" s="126" t="s">
        <v>188</v>
      </c>
      <c r="D8" s="86"/>
      <c r="E8" s="238">
        <f>G33+G60</f>
        <v>4.8057385594458628</v>
      </c>
      <c r="F8" s="238">
        <f>G35+G62</f>
        <v>2.3426503007889901</v>
      </c>
      <c r="G8" s="238">
        <f>G37+G64</f>
        <v>1.8026402538429354</v>
      </c>
      <c r="H8" s="238">
        <f>G39+G66</f>
        <v>1.2678746156610419</v>
      </c>
    </row>
    <row r="9" spans="1:13">
      <c r="C9" s="126" t="s">
        <v>142</v>
      </c>
      <c r="D9" s="10"/>
      <c r="E9" s="239">
        <f>H33+H60</f>
        <v>0.20736389151432583</v>
      </c>
      <c r="F9" s="238">
        <f>H35+H62</f>
        <v>0.25761658554142858</v>
      </c>
      <c r="G9" s="238">
        <f>H37+H64</f>
        <v>0.28108264388711379</v>
      </c>
      <c r="H9" s="238">
        <f>H39+H66</f>
        <v>0.29820946871653486</v>
      </c>
    </row>
    <row r="10" spans="1:13">
      <c r="C10" s="126" t="s">
        <v>189</v>
      </c>
      <c r="D10" s="10"/>
      <c r="E10" s="239">
        <f>I33</f>
        <v>1.5019816754550248</v>
      </c>
      <c r="F10" s="238">
        <f>I35</f>
        <v>1.8729210799054263</v>
      </c>
      <c r="G10" s="238">
        <f>G39+G66</f>
        <v>1.2678746156610419</v>
      </c>
      <c r="H10" s="238">
        <f>I39</f>
        <v>1.7770959342149788</v>
      </c>
    </row>
    <row r="12" spans="1:13">
      <c r="C12" s="306" t="s">
        <v>107</v>
      </c>
      <c r="D12" s="307"/>
      <c r="E12" s="307"/>
      <c r="F12" s="307"/>
      <c r="G12" s="307"/>
      <c r="H12" s="308"/>
    </row>
    <row r="13" spans="1:13">
      <c r="C13" s="8" t="s">
        <v>190</v>
      </c>
      <c r="D13" s="240"/>
      <c r="E13" s="240">
        <f>E5/$E5-1</f>
        <v>0</v>
      </c>
      <c r="F13" s="240">
        <f t="shared" ref="F13:H13" si="1">F5/$E5-1</f>
        <v>2.9261856715028678E-2</v>
      </c>
      <c r="G13" s="240">
        <f t="shared" si="1"/>
        <v>-2.3591897068536039E-2</v>
      </c>
      <c r="H13" s="240">
        <f t="shared" si="1"/>
        <v>0.15875030898406206</v>
      </c>
    </row>
    <row r="15" spans="1:13" ht="15" thickBot="1"/>
    <row r="16" spans="1:13">
      <c r="B16" s="312" t="s">
        <v>130</v>
      </c>
      <c r="C16" s="313"/>
      <c r="D16" s="313"/>
      <c r="E16" s="313"/>
      <c r="F16" s="313"/>
      <c r="G16" s="313"/>
      <c r="H16" s="313"/>
      <c r="I16" s="313"/>
      <c r="J16" s="313"/>
      <c r="K16" s="313"/>
      <c r="L16" s="314"/>
    </row>
    <row r="18" spans="2:10">
      <c r="C18" s="204">
        <v>2020</v>
      </c>
      <c r="D18" s="204">
        <f t="shared" ref="D18:I18" si="2">C18+5</f>
        <v>2025</v>
      </c>
      <c r="E18" s="204">
        <f t="shared" si="2"/>
        <v>2030</v>
      </c>
      <c r="F18" s="204">
        <f t="shared" si="2"/>
        <v>2035</v>
      </c>
      <c r="G18" s="204">
        <f t="shared" si="2"/>
        <v>2040</v>
      </c>
      <c r="H18" s="204">
        <f>G18+5</f>
        <v>2045</v>
      </c>
      <c r="I18" s="204">
        <f t="shared" si="2"/>
        <v>2050</v>
      </c>
    </row>
    <row r="19" spans="2:10">
      <c r="B19" s="204" t="s">
        <v>135</v>
      </c>
      <c r="C19" s="204">
        <v>23</v>
      </c>
      <c r="D19" s="205">
        <v>23</v>
      </c>
      <c r="E19" s="205">
        <v>23</v>
      </c>
      <c r="F19" s="205">
        <v>22.682296583231299</v>
      </c>
      <c r="G19" s="205">
        <v>22.364593166462701</v>
      </c>
      <c r="H19" s="205">
        <v>22.046889749694</v>
      </c>
      <c r="I19" s="205">
        <v>21.729186332925401</v>
      </c>
    </row>
    <row r="20" spans="2:10" ht="15.5">
      <c r="B20" s="206" t="s">
        <v>136</v>
      </c>
      <c r="C20" s="207">
        <f>'Init. parc'!C$12/1000</f>
        <v>1004.6700170267724</v>
      </c>
      <c r="D20" s="207">
        <f>(C20+E20)/2</f>
        <v>1011.2809541398608</v>
      </c>
      <c r="E20" s="207">
        <f>'Init. parc'!D$12/1000</f>
        <v>1017.8918912529491</v>
      </c>
      <c r="F20" s="207">
        <f>(E20+G20)/2</f>
        <v>1024.4161723651987</v>
      </c>
      <c r="G20" s="207">
        <f>'Init. parc'!E$12/1000</f>
        <v>1030.940453477448</v>
      </c>
      <c r="H20" s="207">
        <f>(G20+I20)/2</f>
        <v>1026.6191219927464</v>
      </c>
      <c r="I20" s="207">
        <f>'Init. parc'!F$12/1000</f>
        <v>1022.2977905080445</v>
      </c>
      <c r="J20" s="208"/>
    </row>
    <row r="22" spans="2:10">
      <c r="B22" s="209" t="s">
        <v>137</v>
      </c>
      <c r="C22" s="210">
        <f t="shared" ref="C22:I22" si="3">C20*C19/1000</f>
        <v>23.107410391615765</v>
      </c>
      <c r="D22" s="210">
        <f t="shared" si="3"/>
        <v>23.259461945216795</v>
      </c>
      <c r="E22" s="210">
        <f t="shared" si="3"/>
        <v>23.411513498817829</v>
      </c>
      <c r="F22" s="210">
        <f t="shared" si="3"/>
        <v>23.236111446246031</v>
      </c>
      <c r="G22" s="210">
        <f t="shared" si="3"/>
        <v>23.056563820871691</v>
      </c>
      <c r="H22" s="210">
        <f t="shared" si="3"/>
        <v>22.633758597501735</v>
      </c>
      <c r="I22" s="210">
        <f t="shared" si="3"/>
        <v>22.213699177687236</v>
      </c>
    </row>
    <row r="24" spans="2:10">
      <c r="B24" s="204"/>
      <c r="C24" s="211" t="s">
        <v>18</v>
      </c>
      <c r="D24" s="204" t="s">
        <v>138</v>
      </c>
      <c r="E24" s="204" t="s">
        <v>139</v>
      </c>
      <c r="F24" s="204" t="s">
        <v>140</v>
      </c>
      <c r="G24" s="204" t="s">
        <v>141</v>
      </c>
      <c r="H24" s="204" t="s">
        <v>142</v>
      </c>
      <c r="I24" s="204" t="s">
        <v>143</v>
      </c>
      <c r="J24" s="204"/>
    </row>
    <row r="25" spans="2:10">
      <c r="B25" s="318" t="s">
        <v>144</v>
      </c>
      <c r="C25" s="212">
        <v>2020</v>
      </c>
      <c r="D25" s="213">
        <v>0.30499999999999999</v>
      </c>
      <c r="E25" s="213">
        <v>0.47599999999999998</v>
      </c>
      <c r="F25" s="213"/>
      <c r="G25" s="213">
        <v>0.14799999999999999</v>
      </c>
      <c r="H25" s="213">
        <v>6.0000000000000001E-3</v>
      </c>
      <c r="I25" s="213">
        <v>6.5000000000000002E-2</v>
      </c>
      <c r="J25" s="213"/>
    </row>
    <row r="26" spans="2:10">
      <c r="B26" s="318"/>
      <c r="C26" s="204">
        <f t="shared" ref="C26:C31" si="4">C25+5</f>
        <v>2025</v>
      </c>
      <c r="D26" s="213">
        <f>(D25+D27)/2</f>
        <v>0.36249999999999999</v>
      </c>
      <c r="E26" s="213">
        <f>(E25+E27)/2</f>
        <v>0.45899999999999996</v>
      </c>
      <c r="F26" s="213"/>
      <c r="G26" s="213">
        <f>(G25+G27)/2</f>
        <v>9.9000000000000005E-2</v>
      </c>
      <c r="H26" s="213">
        <f>(H25+H27)/2</f>
        <v>7.0000000000000001E-3</v>
      </c>
      <c r="I26" s="213">
        <f>(I25+I27)/2</f>
        <v>7.2500000000000009E-2</v>
      </c>
      <c r="J26" s="213"/>
    </row>
    <row r="27" spans="2:10">
      <c r="B27" s="318"/>
      <c r="C27" s="204">
        <f t="shared" si="4"/>
        <v>2030</v>
      </c>
      <c r="D27" s="213">
        <v>0.42</v>
      </c>
      <c r="E27" s="213">
        <v>0.442</v>
      </c>
      <c r="F27" s="213"/>
      <c r="G27" s="213">
        <v>0.05</v>
      </c>
      <c r="H27" s="213">
        <v>8.0000000000000002E-3</v>
      </c>
      <c r="I27" s="213">
        <v>0.08</v>
      </c>
      <c r="J27" s="213"/>
    </row>
    <row r="28" spans="2:10">
      <c r="B28" s="318"/>
      <c r="C28" s="204">
        <f t="shared" si="4"/>
        <v>2035</v>
      </c>
      <c r="D28" s="213">
        <f>(D27+D29)/2</f>
        <v>0.46499999999999997</v>
      </c>
      <c r="E28" s="213">
        <f>(E27+E29)/2</f>
        <v>0.40900000000000003</v>
      </c>
      <c r="F28" s="213"/>
      <c r="G28" s="213">
        <f>(G27+G29)/2</f>
        <v>3.7500000000000006E-2</v>
      </c>
      <c r="H28" s="213">
        <f>(H27+H29)/2</f>
        <v>8.5000000000000006E-3</v>
      </c>
      <c r="I28" s="213">
        <f>(I27+I29)/2</f>
        <v>0.08</v>
      </c>
      <c r="J28" s="213"/>
    </row>
    <row r="29" spans="2:10">
      <c r="B29" s="318"/>
      <c r="C29" s="204">
        <f t="shared" si="4"/>
        <v>2040</v>
      </c>
      <c r="D29" s="213">
        <f>(D27+D31)/2</f>
        <v>0.51</v>
      </c>
      <c r="E29" s="213">
        <f>(E27+E31)/2</f>
        <v>0.376</v>
      </c>
      <c r="F29" s="213"/>
      <c r="G29" s="213">
        <f>(G27+G31)/2</f>
        <v>2.5000000000000001E-2</v>
      </c>
      <c r="H29" s="213">
        <f>(H27+H31)/2</f>
        <v>9.0000000000000011E-3</v>
      </c>
      <c r="I29" s="213">
        <f>(I27+I31)/2</f>
        <v>0.08</v>
      </c>
      <c r="J29" s="213"/>
    </row>
    <row r="30" spans="2:10">
      <c r="B30" s="318"/>
      <c r="C30" s="204">
        <f t="shared" si="4"/>
        <v>2045</v>
      </c>
      <c r="D30" s="213">
        <f>(D29+D31)/2</f>
        <v>0.55499999999999994</v>
      </c>
      <c r="E30" s="213">
        <f>(E29+E31)/2</f>
        <v>0.34299999999999997</v>
      </c>
      <c r="F30" s="213"/>
      <c r="G30" s="213">
        <f>(G29+G31)/2</f>
        <v>1.2500000000000001E-2</v>
      </c>
      <c r="H30" s="213">
        <f>(H29+H31)/2</f>
        <v>9.5000000000000015E-3</v>
      </c>
      <c r="I30" s="213">
        <f>(I29+I31)/2</f>
        <v>0.08</v>
      </c>
      <c r="J30" s="213"/>
    </row>
    <row r="31" spans="2:10">
      <c r="B31" s="318"/>
      <c r="C31" s="204">
        <f t="shared" si="4"/>
        <v>2050</v>
      </c>
      <c r="D31" s="213">
        <v>0.6</v>
      </c>
      <c r="E31" s="213">
        <v>0.31</v>
      </c>
      <c r="F31" s="213"/>
      <c r="G31" s="213">
        <v>0</v>
      </c>
      <c r="H31" s="213">
        <v>0.01</v>
      </c>
      <c r="I31" s="213">
        <v>0.08</v>
      </c>
      <c r="J31" s="213"/>
    </row>
    <row r="32" spans="2:10">
      <c r="D32" s="214"/>
      <c r="E32" s="214"/>
      <c r="F32" s="214"/>
      <c r="G32" s="214"/>
      <c r="H32" s="214"/>
      <c r="I32" s="214"/>
      <c r="J32" s="214"/>
    </row>
    <row r="33" spans="2:12">
      <c r="B33" s="318" t="s">
        <v>145</v>
      </c>
      <c r="C33" s="212">
        <v>2020</v>
      </c>
      <c r="D33" s="214">
        <f>$C22*D25</f>
        <v>7.0477601694428085</v>
      </c>
      <c r="E33" s="214">
        <f t="shared" ref="E33:I33" si="5">$C22*E25</f>
        <v>10.999127346409104</v>
      </c>
      <c r="F33" s="214">
        <f t="shared" si="5"/>
        <v>0</v>
      </c>
      <c r="G33" s="214">
        <f t="shared" si="5"/>
        <v>3.419896737959133</v>
      </c>
      <c r="H33" s="214">
        <f t="shared" si="5"/>
        <v>0.1386444623496946</v>
      </c>
      <c r="I33" s="214">
        <f t="shared" si="5"/>
        <v>1.5019816754550248</v>
      </c>
      <c r="J33" s="214"/>
    </row>
    <row r="34" spans="2:12">
      <c r="B34" s="318"/>
      <c r="C34" s="204">
        <f t="shared" ref="C34:C39" si="6">C33+5</f>
        <v>2025</v>
      </c>
      <c r="D34" s="214">
        <f>$D22*D26</f>
        <v>8.4315549551410882</v>
      </c>
      <c r="E34" s="214">
        <f t="shared" ref="E34:I34" si="7">$D22*E26</f>
        <v>10.676093032854508</v>
      </c>
      <c r="F34" s="214">
        <f t="shared" si="7"/>
        <v>0</v>
      </c>
      <c r="G34" s="214">
        <f t="shared" si="7"/>
        <v>2.3026867325764631</v>
      </c>
      <c r="H34" s="214">
        <f t="shared" si="7"/>
        <v>0.16281623361651756</v>
      </c>
      <c r="I34" s="214">
        <f t="shared" si="7"/>
        <v>1.6863109910282179</v>
      </c>
      <c r="J34" s="214"/>
    </row>
    <row r="35" spans="2:12">
      <c r="B35" s="318"/>
      <c r="C35" s="204">
        <f t="shared" si="6"/>
        <v>2030</v>
      </c>
      <c r="D35" s="214">
        <f>$E22*D27</f>
        <v>9.8328356695034884</v>
      </c>
      <c r="E35" s="214">
        <f t="shared" ref="E35:I35" si="8">$E22*E27</f>
        <v>10.34788896647748</v>
      </c>
      <c r="F35" s="214">
        <f t="shared" si="8"/>
        <v>0</v>
      </c>
      <c r="G35" s="214">
        <f t="shared" si="8"/>
        <v>1.1705756749408915</v>
      </c>
      <c r="H35" s="214">
        <f t="shared" si="8"/>
        <v>0.18729210799054263</v>
      </c>
      <c r="I35" s="214">
        <f t="shared" si="8"/>
        <v>1.8729210799054263</v>
      </c>
      <c r="J35" s="214"/>
    </row>
    <row r="36" spans="2:12">
      <c r="B36" s="318"/>
      <c r="C36" s="204">
        <f t="shared" si="6"/>
        <v>2035</v>
      </c>
      <c r="D36" s="214">
        <f>$F22*D28</f>
        <v>10.804791822504404</v>
      </c>
      <c r="E36" s="214">
        <f t="shared" ref="E36:I36" si="9">$F22*E28</f>
        <v>9.5035695815146273</v>
      </c>
      <c r="F36" s="214">
        <f t="shared" si="9"/>
        <v>0</v>
      </c>
      <c r="G36" s="214">
        <f t="shared" si="9"/>
        <v>0.87135417923422631</v>
      </c>
      <c r="H36" s="214">
        <f t="shared" si="9"/>
        <v>0.19750694729309129</v>
      </c>
      <c r="I36" s="214">
        <f t="shared" si="9"/>
        <v>1.8588889156996826</v>
      </c>
      <c r="J36" s="214"/>
    </row>
    <row r="37" spans="2:12">
      <c r="B37" s="318"/>
      <c r="C37" s="204">
        <f t="shared" si="6"/>
        <v>2040</v>
      </c>
      <c r="D37" s="214">
        <f>$G22*D29</f>
        <v>11.758847548644562</v>
      </c>
      <c r="E37" s="214">
        <f t="shared" ref="E37:I37" si="10">$G22*E29</f>
        <v>8.6692679966477559</v>
      </c>
      <c r="F37" s="214">
        <f t="shared" si="10"/>
        <v>0</v>
      </c>
      <c r="G37" s="214">
        <f t="shared" si="10"/>
        <v>0.57641409552179235</v>
      </c>
      <c r="H37" s="214">
        <f t="shared" si="10"/>
        <v>0.20750907438784524</v>
      </c>
      <c r="I37" s="214">
        <f t="shared" si="10"/>
        <v>1.8445251056697354</v>
      </c>
      <c r="J37" s="214"/>
    </row>
    <row r="38" spans="2:12">
      <c r="B38" s="318"/>
      <c r="C38" s="204">
        <f t="shared" si="6"/>
        <v>2045</v>
      </c>
      <c r="D38" s="214">
        <f>$H22*D30</f>
        <v>12.561736021613461</v>
      </c>
      <c r="E38" s="214">
        <f t="shared" ref="E38:I38" si="11">$H22*E30</f>
        <v>7.7633791989430945</v>
      </c>
      <c r="F38" s="214">
        <f t="shared" si="11"/>
        <v>0</v>
      </c>
      <c r="G38" s="214">
        <f t="shared" si="11"/>
        <v>0.2829219824687717</v>
      </c>
      <c r="H38" s="214">
        <f t="shared" si="11"/>
        <v>0.21502070667626652</v>
      </c>
      <c r="I38" s="214">
        <f t="shared" si="11"/>
        <v>1.8107006878001388</v>
      </c>
      <c r="J38" s="214"/>
    </row>
    <row r="39" spans="2:12">
      <c r="B39" s="318"/>
      <c r="C39" s="204">
        <f t="shared" si="6"/>
        <v>2050</v>
      </c>
      <c r="D39" s="214">
        <f>$I22*D31</f>
        <v>13.32821950661234</v>
      </c>
      <c r="E39" s="214">
        <f t="shared" ref="E39:I39" si="12">$I22*E31</f>
        <v>6.8862467450830431</v>
      </c>
      <c r="F39" s="214">
        <f t="shared" si="12"/>
        <v>0</v>
      </c>
      <c r="G39" s="214">
        <f t="shared" si="12"/>
        <v>0</v>
      </c>
      <c r="H39" s="214">
        <f t="shared" si="12"/>
        <v>0.22213699177687235</v>
      </c>
      <c r="I39" s="214">
        <f t="shared" si="12"/>
        <v>1.7770959342149788</v>
      </c>
      <c r="J39" s="214"/>
    </row>
    <row r="41" spans="2:12" ht="15" thickBot="1"/>
    <row r="42" spans="2:12">
      <c r="B42" s="312" t="s">
        <v>131</v>
      </c>
      <c r="C42" s="313"/>
      <c r="D42" s="313"/>
      <c r="E42" s="313"/>
      <c r="F42" s="313"/>
      <c r="G42" s="313"/>
      <c r="H42" s="313"/>
      <c r="I42" s="313"/>
      <c r="J42" s="313"/>
      <c r="K42" s="313"/>
      <c r="L42" s="314"/>
    </row>
    <row r="44" spans="2:12">
      <c r="C44" s="204">
        <v>2020</v>
      </c>
      <c r="D44" s="204">
        <f t="shared" ref="D44:I44" si="13">C44+5</f>
        <v>2025</v>
      </c>
      <c r="E44" s="204">
        <f t="shared" si="13"/>
        <v>2030</v>
      </c>
      <c r="F44" s="204">
        <f t="shared" si="13"/>
        <v>2035</v>
      </c>
      <c r="G44" s="204">
        <f t="shared" si="13"/>
        <v>2040</v>
      </c>
      <c r="H44" s="204">
        <f t="shared" si="13"/>
        <v>2045</v>
      </c>
      <c r="I44" s="204">
        <f t="shared" si="13"/>
        <v>2050</v>
      </c>
    </row>
    <row r="45" spans="2:12">
      <c r="B45" s="204" t="s">
        <v>148</v>
      </c>
      <c r="C45" s="204">
        <v>11.4</v>
      </c>
      <c r="D45" s="205">
        <v>11.59</v>
      </c>
      <c r="E45" s="205">
        <v>11.78</v>
      </c>
      <c r="F45" s="205">
        <v>11.97</v>
      </c>
      <c r="G45" s="205">
        <v>12.16</v>
      </c>
      <c r="H45" s="205">
        <v>12.35</v>
      </c>
      <c r="I45" s="205">
        <v>12.54</v>
      </c>
    </row>
    <row r="46" spans="2:12" ht="15.5">
      <c r="B46" s="206" t="s">
        <v>136</v>
      </c>
      <c r="C46" s="207">
        <f>C20</f>
        <v>1004.6700170267724</v>
      </c>
      <c r="D46" s="207">
        <f t="shared" ref="D46:I46" si="14">D20</f>
        <v>1011.2809541398608</v>
      </c>
      <c r="E46" s="207">
        <f t="shared" si="14"/>
        <v>1017.8918912529491</v>
      </c>
      <c r="F46" s="207">
        <f t="shared" si="14"/>
        <v>1024.4161723651987</v>
      </c>
      <c r="G46" s="207">
        <f t="shared" si="14"/>
        <v>1030.940453477448</v>
      </c>
      <c r="H46" s="207">
        <f t="shared" si="14"/>
        <v>1026.6191219927464</v>
      </c>
      <c r="I46" s="207">
        <f t="shared" si="14"/>
        <v>1022.2977905080445</v>
      </c>
    </row>
    <row r="48" spans="2:12">
      <c r="B48" s="209" t="s">
        <v>137</v>
      </c>
      <c r="C48" s="210">
        <f t="shared" ref="C48:I48" si="15">C46*C45/1000</f>
        <v>11.453238194105205</v>
      </c>
      <c r="D48" s="210">
        <f t="shared" si="15"/>
        <v>11.720746258480988</v>
      </c>
      <c r="E48" s="210">
        <f t="shared" si="15"/>
        <v>11.99076647895974</v>
      </c>
      <c r="F48" s="210">
        <f t="shared" si="15"/>
        <v>12.26226158321143</v>
      </c>
      <c r="G48" s="210">
        <f t="shared" si="15"/>
        <v>12.536235914285768</v>
      </c>
      <c r="H48" s="210">
        <f t="shared" si="15"/>
        <v>12.678746156610417</v>
      </c>
      <c r="I48" s="210">
        <f t="shared" si="15"/>
        <v>12.819614292970877</v>
      </c>
    </row>
    <row r="51" spans="2:9">
      <c r="B51" s="204"/>
      <c r="C51" s="211" t="s">
        <v>18</v>
      </c>
      <c r="D51" s="204" t="s">
        <v>138</v>
      </c>
      <c r="E51" s="204" t="s">
        <v>83</v>
      </c>
      <c r="F51" s="204" t="s">
        <v>140</v>
      </c>
      <c r="G51" s="204" t="s">
        <v>141</v>
      </c>
      <c r="H51" s="204" t="s">
        <v>142</v>
      </c>
      <c r="I51" s="204"/>
    </row>
    <row r="52" spans="2:9">
      <c r="B52" s="318" t="s">
        <v>147</v>
      </c>
      <c r="C52" s="212">
        <v>2020</v>
      </c>
      <c r="D52" s="213">
        <v>0.38200000000000001</v>
      </c>
      <c r="E52" s="213">
        <v>0.49099999999999999</v>
      </c>
      <c r="F52" s="213"/>
      <c r="G52" s="213">
        <v>0.121</v>
      </c>
      <c r="H52" s="213">
        <v>6.0000000000000001E-3</v>
      </c>
      <c r="I52" s="213"/>
    </row>
    <row r="53" spans="2:9">
      <c r="B53" s="318"/>
      <c r="C53" s="204">
        <f t="shared" ref="C53:C58" si="16">C52+5</f>
        <v>2025</v>
      </c>
      <c r="D53" s="213">
        <v>0.39300000000000002</v>
      </c>
      <c r="E53" s="213">
        <v>0.49049999999999999</v>
      </c>
      <c r="F53" s="213"/>
      <c r="G53" s="213">
        <v>0.1105</v>
      </c>
      <c r="H53" s="213">
        <v>6.0000000000000001E-3</v>
      </c>
      <c r="I53" s="213"/>
    </row>
    <row r="54" spans="2:9">
      <c r="B54" s="318"/>
      <c r="C54" s="204">
        <f t="shared" si="16"/>
        <v>2030</v>
      </c>
      <c r="D54" s="213">
        <v>0.40400000000000003</v>
      </c>
      <c r="E54" s="213">
        <v>0.49</v>
      </c>
      <c r="F54" s="213"/>
      <c r="G54" s="213">
        <v>0.1</v>
      </c>
      <c r="H54" s="213">
        <v>6.0000000000000001E-3</v>
      </c>
      <c r="I54" s="213"/>
    </row>
    <row r="55" spans="2:9">
      <c r="B55" s="318"/>
      <c r="C55" s="204">
        <f t="shared" si="16"/>
        <v>2035</v>
      </c>
      <c r="D55" s="213">
        <v>0.40400000000000003</v>
      </c>
      <c r="E55" s="213">
        <v>0.49</v>
      </c>
      <c r="F55" s="213"/>
      <c r="G55" s="213">
        <v>0.1</v>
      </c>
      <c r="H55" s="213">
        <v>6.0000000000000001E-3</v>
      </c>
      <c r="I55" s="213"/>
    </row>
    <row r="56" spans="2:9">
      <c r="B56" s="318"/>
      <c r="C56" s="204">
        <f t="shared" si="16"/>
        <v>2040</v>
      </c>
      <c r="D56" s="213">
        <v>0.40400000000000003</v>
      </c>
      <c r="E56" s="213">
        <v>0.49</v>
      </c>
      <c r="F56" s="213"/>
      <c r="G56" s="213">
        <v>0.1</v>
      </c>
      <c r="H56" s="213">
        <v>6.0000000000000001E-3</v>
      </c>
      <c r="I56" s="213"/>
    </row>
    <row r="57" spans="2:9">
      <c r="B57" s="318"/>
      <c r="C57" s="204">
        <f t="shared" si="16"/>
        <v>2045</v>
      </c>
      <c r="D57" s="213">
        <v>0.40400000000000003</v>
      </c>
      <c r="E57" s="213">
        <v>0.49</v>
      </c>
      <c r="F57" s="213"/>
      <c r="G57" s="213">
        <v>0.1</v>
      </c>
      <c r="H57" s="213">
        <v>6.0000000000000001E-3</v>
      </c>
      <c r="I57" s="213"/>
    </row>
    <row r="58" spans="2:9">
      <c r="B58" s="318"/>
      <c r="C58" s="204">
        <f t="shared" si="16"/>
        <v>2050</v>
      </c>
      <c r="D58" s="213">
        <v>0.40400000000000003</v>
      </c>
      <c r="E58" s="213">
        <v>0.49</v>
      </c>
      <c r="F58" s="213"/>
      <c r="G58" s="213">
        <v>0.1</v>
      </c>
      <c r="H58" s="213">
        <v>6.0000000000000001E-3</v>
      </c>
      <c r="I58" s="213"/>
    </row>
    <row r="60" spans="2:9">
      <c r="B60" s="318" t="s">
        <v>146</v>
      </c>
      <c r="C60" s="212">
        <v>2020</v>
      </c>
      <c r="D60" s="214">
        <f>$C48*D52</f>
        <v>4.3751369901481887</v>
      </c>
      <c r="E60" s="214">
        <f t="shared" ref="E60:G60" si="17">$C48*E52</f>
        <v>5.6235399533056558</v>
      </c>
      <c r="F60" s="214">
        <f t="shared" si="17"/>
        <v>0</v>
      </c>
      <c r="G60" s="214">
        <f t="shared" si="17"/>
        <v>1.3858418214867299</v>
      </c>
      <c r="H60" s="214">
        <f>$C48*H52</f>
        <v>6.8719429164631238E-2</v>
      </c>
      <c r="I60" s="214"/>
    </row>
    <row r="61" spans="2:9">
      <c r="B61" s="318"/>
      <c r="C61" s="204">
        <f t="shared" ref="C61:C66" si="18">C60+5</f>
        <v>2025</v>
      </c>
      <c r="D61" s="214">
        <f>$C48*D53</f>
        <v>4.5011226102833461</v>
      </c>
      <c r="E61" s="214">
        <f>$C48*E53</f>
        <v>5.617813334208603</v>
      </c>
      <c r="F61" s="214">
        <f>$C48*F53</f>
        <v>0</v>
      </c>
      <c r="G61" s="214">
        <f>$C48*G53</f>
        <v>1.2655828204486252</v>
      </c>
      <c r="H61" s="214">
        <f>$C48*H53</f>
        <v>6.8719429164631238E-2</v>
      </c>
      <c r="I61" s="214"/>
    </row>
    <row r="62" spans="2:9">
      <c r="B62" s="318"/>
      <c r="C62" s="204">
        <f t="shared" si="18"/>
        <v>2030</v>
      </c>
      <c r="D62" s="214">
        <f>$D48*D54</f>
        <v>4.7351814884263197</v>
      </c>
      <c r="E62" s="214">
        <f>$D48*E54</f>
        <v>5.7431656666556838</v>
      </c>
      <c r="F62" s="214">
        <f>$D48*F54</f>
        <v>0</v>
      </c>
      <c r="G62" s="214">
        <f>$D48*G54</f>
        <v>1.1720746258480987</v>
      </c>
      <c r="H62" s="214">
        <f>$D48*H54</f>
        <v>7.032447755088593E-2</v>
      </c>
      <c r="I62" s="214"/>
    </row>
    <row r="63" spans="2:9">
      <c r="B63" s="318"/>
      <c r="C63" s="204">
        <f t="shared" si="18"/>
        <v>2035</v>
      </c>
      <c r="D63" s="214">
        <f>$E48*D55</f>
        <v>4.8442696574997353</v>
      </c>
      <c r="E63" s="214">
        <f>$E48*E55</f>
        <v>5.8754755746902729</v>
      </c>
      <c r="F63" s="214">
        <f>$E48*F55</f>
        <v>0</v>
      </c>
      <c r="G63" s="214">
        <f>$E48*G55</f>
        <v>1.199076647895974</v>
      </c>
      <c r="H63" s="214">
        <f>$E48*H55</f>
        <v>7.1944598873758439E-2</v>
      </c>
      <c r="I63" s="214"/>
    </row>
    <row r="64" spans="2:9">
      <c r="B64" s="318"/>
      <c r="C64" s="204">
        <f t="shared" si="18"/>
        <v>2040</v>
      </c>
      <c r="D64" s="214">
        <f>$F48*D56</f>
        <v>4.9539536796174177</v>
      </c>
      <c r="E64" s="214">
        <f>$F48*E56</f>
        <v>6.008508175773601</v>
      </c>
      <c r="F64" s="214">
        <f>$F48*F56</f>
        <v>0</v>
      </c>
      <c r="G64" s="214">
        <f>$F48*G56</f>
        <v>1.2262261583211431</v>
      </c>
      <c r="H64" s="214">
        <f>$F48*H56</f>
        <v>7.3573569499268576E-2</v>
      </c>
      <c r="I64" s="214"/>
    </row>
    <row r="65" spans="2:12">
      <c r="B65" s="318"/>
      <c r="C65" s="204">
        <f t="shared" si="18"/>
        <v>2045</v>
      </c>
      <c r="D65" s="214">
        <f>$G48*D57</f>
        <v>5.0646393093714508</v>
      </c>
      <c r="E65" s="214">
        <f>$G48*E57</f>
        <v>6.1427555980000266</v>
      </c>
      <c r="F65" s="214">
        <f>$G48*F57</f>
        <v>0</v>
      </c>
      <c r="G65" s="214">
        <f>$G48*G57</f>
        <v>1.2536235914285769</v>
      </c>
      <c r="H65" s="214">
        <f>$G48*H57</f>
        <v>7.5217415485714617E-2</v>
      </c>
      <c r="I65" s="214"/>
    </row>
    <row r="66" spans="2:12">
      <c r="B66" s="318"/>
      <c r="C66" s="204">
        <f t="shared" si="18"/>
        <v>2050</v>
      </c>
      <c r="D66" s="214">
        <f>$H48*D58</f>
        <v>5.1222134472706093</v>
      </c>
      <c r="E66" s="214">
        <f>$H48*E58</f>
        <v>6.212585616739104</v>
      </c>
      <c r="F66" s="214">
        <f>$H48*F58</f>
        <v>0</v>
      </c>
      <c r="G66" s="214">
        <f>$H48*G58</f>
        <v>1.2678746156610419</v>
      </c>
      <c r="H66" s="214">
        <f>$H48*H58</f>
        <v>7.6072476939662501E-2</v>
      </c>
      <c r="I66" s="214"/>
    </row>
    <row r="68" spans="2:12" ht="15" thickBot="1"/>
    <row r="69" spans="2:12">
      <c r="B69" s="312" t="s">
        <v>132</v>
      </c>
      <c r="C69" s="313"/>
      <c r="D69" s="313"/>
      <c r="E69" s="313"/>
      <c r="F69" s="313"/>
      <c r="G69" s="313"/>
      <c r="H69" s="313"/>
      <c r="I69" s="313"/>
      <c r="J69" s="313"/>
      <c r="K69" s="313"/>
      <c r="L69" s="314"/>
    </row>
    <row r="71" spans="2:12">
      <c r="C71" s="93">
        <v>2020</v>
      </c>
      <c r="D71" s="93">
        <f t="shared" ref="D71:I71" si="19">C71+5</f>
        <v>2025</v>
      </c>
      <c r="E71" s="93">
        <f t="shared" si="19"/>
        <v>2030</v>
      </c>
      <c r="F71" s="93">
        <f t="shared" si="19"/>
        <v>2035</v>
      </c>
      <c r="G71" s="93">
        <f t="shared" si="19"/>
        <v>2040</v>
      </c>
      <c r="H71" s="93">
        <f>G71+5</f>
        <v>2045</v>
      </c>
      <c r="I71" s="93">
        <f t="shared" si="19"/>
        <v>2050</v>
      </c>
    </row>
    <row r="72" spans="2:12">
      <c r="B72" s="204" t="s">
        <v>149</v>
      </c>
      <c r="C72" s="93">
        <v>71.7</v>
      </c>
      <c r="D72" s="215">
        <v>71.102500000000006</v>
      </c>
      <c r="E72" s="215">
        <v>70.504999999999995</v>
      </c>
      <c r="F72" s="215">
        <v>69.907499999999999</v>
      </c>
      <c r="G72" s="215">
        <v>69.31</v>
      </c>
      <c r="H72" s="215">
        <v>68.712500000000006</v>
      </c>
      <c r="I72" s="215">
        <v>68.114999999999995</v>
      </c>
    </row>
    <row r="73" spans="2:12" ht="15.5">
      <c r="B73" s="206" t="s">
        <v>136</v>
      </c>
      <c r="C73" s="207">
        <f>C20</f>
        <v>1004.6700170267724</v>
      </c>
      <c r="D73" s="207">
        <f t="shared" ref="D73:I73" si="20">D20</f>
        <v>1011.2809541398608</v>
      </c>
      <c r="E73" s="207">
        <f t="shared" si="20"/>
        <v>1017.8918912529491</v>
      </c>
      <c r="F73" s="207">
        <f t="shared" si="20"/>
        <v>1024.4161723651987</v>
      </c>
      <c r="G73" s="207">
        <f t="shared" si="20"/>
        <v>1030.940453477448</v>
      </c>
      <c r="H73" s="207">
        <f t="shared" si="20"/>
        <v>1026.6191219927464</v>
      </c>
      <c r="I73" s="207">
        <f t="shared" si="20"/>
        <v>1022.2977905080445</v>
      </c>
    </row>
    <row r="75" spans="2:12">
      <c r="B75" s="209" t="s">
        <v>137</v>
      </c>
      <c r="C75" s="210">
        <f t="shared" ref="C75:I75" si="21">C73*C72/1000</f>
        <v>72.034840220819575</v>
      </c>
      <c r="D75" s="210">
        <f t="shared" si="21"/>
        <v>71.904604041729456</v>
      </c>
      <c r="E75" s="210">
        <f t="shared" si="21"/>
        <v>71.766467792789172</v>
      </c>
      <c r="F75" s="210">
        <f t="shared" si="21"/>
        <v>71.614373569620128</v>
      </c>
      <c r="G75" s="210">
        <f t="shared" si="21"/>
        <v>71.454482830521926</v>
      </c>
      <c r="H75" s="210">
        <f t="shared" si="21"/>
        <v>70.541566419926582</v>
      </c>
      <c r="I75" s="210">
        <f t="shared" si="21"/>
        <v>69.633814000455445</v>
      </c>
    </row>
    <row r="76" spans="2:12">
      <c r="C76" s="251"/>
      <c r="D76" s="251"/>
      <c r="E76" s="251"/>
      <c r="F76" s="251"/>
      <c r="G76" s="251"/>
      <c r="H76" s="251"/>
      <c r="I76" s="251"/>
    </row>
    <row r="78" spans="2:12" ht="15" thickBot="1"/>
    <row r="79" spans="2:12">
      <c r="B79" s="312" t="s">
        <v>133</v>
      </c>
      <c r="C79" s="313"/>
      <c r="D79" s="313"/>
      <c r="E79" s="313"/>
      <c r="F79" s="313"/>
      <c r="G79" s="313"/>
      <c r="H79" s="313"/>
      <c r="I79" s="313"/>
      <c r="J79" s="313"/>
      <c r="K79" s="313"/>
      <c r="L79" s="314"/>
    </row>
    <row r="81" spans="2:9">
      <c r="B81" t="s">
        <v>150</v>
      </c>
    </row>
    <row r="82" spans="2:9" ht="15" thickBot="1"/>
    <row r="83" spans="2:9">
      <c r="B83" s="216" t="s">
        <v>151</v>
      </c>
      <c r="C83" s="217"/>
      <c r="D83" s="218">
        <v>2006</v>
      </c>
      <c r="E83" s="218">
        <v>2015</v>
      </c>
      <c r="F83" s="218">
        <v>2020</v>
      </c>
      <c r="G83" s="218">
        <v>2030</v>
      </c>
      <c r="H83" s="218">
        <v>2040</v>
      </c>
      <c r="I83" s="219">
        <v>2050</v>
      </c>
    </row>
    <row r="84" spans="2:9">
      <c r="B84" s="220" t="s">
        <v>152</v>
      </c>
      <c r="C84" s="221"/>
      <c r="D84" s="222"/>
      <c r="E84" s="222"/>
      <c r="F84" s="222">
        <v>3.19248740869187</v>
      </c>
      <c r="G84" s="222">
        <v>3.7012509422540707</v>
      </c>
      <c r="H84" s="222">
        <v>4.5388456863932838</v>
      </c>
      <c r="I84" s="223">
        <v>5.8188178236632151</v>
      </c>
    </row>
    <row r="85" spans="2:9">
      <c r="B85" s="224" t="s">
        <v>153</v>
      </c>
      <c r="C85" s="225"/>
      <c r="D85" s="226"/>
      <c r="E85" s="226"/>
      <c r="F85" s="226">
        <v>0.90642131916452451</v>
      </c>
      <c r="G85" s="226">
        <v>1.1219830606989232</v>
      </c>
      <c r="H85" s="226">
        <v>1.5907874520846512</v>
      </c>
      <c r="I85" s="227">
        <v>2.2588052085248229</v>
      </c>
    </row>
    <row r="86" spans="2:9">
      <c r="B86" s="220" t="s">
        <v>154</v>
      </c>
      <c r="C86" s="221"/>
      <c r="D86" s="222"/>
      <c r="E86" s="222"/>
      <c r="F86" s="222">
        <v>1.3712899722102905</v>
      </c>
      <c r="G86" s="222">
        <v>1.6506573519178986</v>
      </c>
      <c r="H86" s="222">
        <v>2.2783613217068468</v>
      </c>
      <c r="I86" s="223">
        <v>3.1627998799152346</v>
      </c>
    </row>
    <row r="87" spans="2:9">
      <c r="B87" s="224" t="s">
        <v>155</v>
      </c>
      <c r="C87" s="225"/>
      <c r="D87" s="226"/>
      <c r="E87" s="226"/>
      <c r="F87" s="226">
        <v>0.1714143473755961</v>
      </c>
      <c r="G87" s="226">
        <v>0.21185355381548712</v>
      </c>
      <c r="H87" s="226">
        <v>0.30168489051731517</v>
      </c>
      <c r="I87" s="227">
        <v>0.46800067361955783</v>
      </c>
    </row>
    <row r="88" spans="2:9">
      <c r="B88" s="220" t="s">
        <v>156</v>
      </c>
      <c r="C88" s="221"/>
      <c r="D88" s="222"/>
      <c r="E88" s="222"/>
      <c r="F88" s="222">
        <v>0.97008721791894292</v>
      </c>
      <c r="G88" s="222">
        <v>1.1682611182638962</v>
      </c>
      <c r="H88" s="222">
        <v>1.528401735355162</v>
      </c>
      <c r="I88" s="223">
        <v>2.1431920214697655</v>
      </c>
    </row>
    <row r="89" spans="2:9">
      <c r="B89" s="224" t="s">
        <v>157</v>
      </c>
      <c r="C89" s="225"/>
      <c r="D89" s="226"/>
      <c r="E89" s="226"/>
      <c r="F89" s="226">
        <v>1.1908877510776446</v>
      </c>
      <c r="G89" s="226">
        <v>1.421496199448296</v>
      </c>
      <c r="H89" s="226">
        <v>1.9580654465611853</v>
      </c>
      <c r="I89" s="227">
        <v>2.7110076629395188</v>
      </c>
    </row>
    <row r="90" spans="2:9">
      <c r="B90" s="220" t="s">
        <v>158</v>
      </c>
      <c r="C90" s="221"/>
      <c r="D90" s="222"/>
      <c r="E90" s="222"/>
      <c r="F90" s="222">
        <v>0.36110142911649884</v>
      </c>
      <c r="G90" s="222">
        <v>0.42632579143685012</v>
      </c>
      <c r="H90" s="222">
        <v>0.55321079790990946</v>
      </c>
      <c r="I90" s="223">
        <v>0.69518946018569572</v>
      </c>
    </row>
    <row r="91" spans="2:9">
      <c r="B91" s="224" t="s">
        <v>159</v>
      </c>
      <c r="C91" s="225"/>
      <c r="D91" s="226"/>
      <c r="E91" s="226"/>
      <c r="F91" s="226">
        <v>2.2967304223455329</v>
      </c>
      <c r="G91" s="226">
        <v>2.742164537990984</v>
      </c>
      <c r="H91" s="226">
        <v>3.5601918964213954</v>
      </c>
      <c r="I91" s="227">
        <v>4.2111390160982527</v>
      </c>
    </row>
    <row r="92" spans="2:9">
      <c r="B92" s="220" t="s">
        <v>160</v>
      </c>
      <c r="C92" s="221"/>
      <c r="D92" s="222"/>
      <c r="E92" s="222"/>
      <c r="F92" s="222">
        <v>0.21097527959120022</v>
      </c>
      <c r="G92" s="222">
        <v>0.19671906571240474</v>
      </c>
      <c r="H92" s="222">
        <v>0.22652737869154296</v>
      </c>
      <c r="I92" s="223">
        <v>0.26108457378643696</v>
      </c>
    </row>
    <row r="93" spans="2:9">
      <c r="B93" s="224" t="s">
        <v>161</v>
      </c>
      <c r="C93" s="225"/>
      <c r="D93" s="226"/>
      <c r="E93" s="226"/>
      <c r="F93" s="226">
        <v>0.20162401689799292</v>
      </c>
      <c r="G93" s="226">
        <v>0.18834164357518612</v>
      </c>
      <c r="H93" s="226">
        <v>0.21727417487237202</v>
      </c>
      <c r="I93" s="227">
        <v>0.25086281562425317</v>
      </c>
    </row>
    <row r="94" spans="2:9">
      <c r="B94" s="220" t="s">
        <v>162</v>
      </c>
      <c r="C94" s="221"/>
      <c r="D94" s="222"/>
      <c r="E94" s="222"/>
      <c r="F94" s="222">
        <v>0.1477063433194972</v>
      </c>
      <c r="G94" s="222">
        <v>0.13672587792240248</v>
      </c>
      <c r="H94" s="222">
        <v>0.15620801865485309</v>
      </c>
      <c r="I94" s="223">
        <v>0.17866323008920473</v>
      </c>
    </row>
    <row r="95" spans="2:9">
      <c r="B95" s="224" t="s">
        <v>163</v>
      </c>
      <c r="C95" s="225"/>
      <c r="D95" s="226"/>
      <c r="E95" s="226"/>
      <c r="F95" s="226">
        <v>3.2094865616157889E-2</v>
      </c>
      <c r="G95" s="226">
        <v>3.0006335467055393E-2</v>
      </c>
      <c r="H95" s="226">
        <v>3.4654506909697014E-2</v>
      </c>
      <c r="I95" s="227">
        <v>4.0115681500898261E-2</v>
      </c>
    </row>
    <row r="96" spans="2:9" ht="15" thickBot="1">
      <c r="B96" s="228" t="s">
        <v>164</v>
      </c>
      <c r="C96" s="229"/>
      <c r="D96" s="230"/>
      <c r="E96" s="230"/>
      <c r="F96" s="222">
        <v>0.44960618397765512</v>
      </c>
      <c r="G96" s="222">
        <v>0.41985305068738149</v>
      </c>
      <c r="H96" s="222">
        <v>0.48444694798897947</v>
      </c>
      <c r="I96" s="223">
        <v>0.55986841019279876</v>
      </c>
    </row>
    <row r="97" spans="2:12" ht="15" thickBot="1">
      <c r="B97" s="319" t="s">
        <v>165</v>
      </c>
      <c r="C97" s="319"/>
      <c r="D97" s="231"/>
      <c r="E97" s="231"/>
      <c r="F97" s="231">
        <v>11.502426557303403</v>
      </c>
      <c r="G97" s="231">
        <v>13.415638529190833</v>
      </c>
      <c r="H97" s="231">
        <v>17.428660254067189</v>
      </c>
      <c r="I97" s="231">
        <v>22.759546457609648</v>
      </c>
    </row>
    <row r="101" spans="2:12">
      <c r="B101" t="s">
        <v>166</v>
      </c>
      <c r="D101">
        <v>2020</v>
      </c>
      <c r="E101">
        <v>2030</v>
      </c>
      <c r="F101">
        <v>2040</v>
      </c>
      <c r="G101">
        <v>2050</v>
      </c>
    </row>
    <row r="102" spans="2:12">
      <c r="B102" t="s">
        <v>167</v>
      </c>
      <c r="D102" s="232">
        <f>SUM(F84:F91)</f>
        <v>10.460419867900901</v>
      </c>
      <c r="E102" s="232">
        <f>SUM(G84:G91)</f>
        <v>12.443992555826405</v>
      </c>
      <c r="F102" s="232">
        <f>SUM(H84:H91)</f>
        <v>16.309549226949748</v>
      </c>
      <c r="G102" s="232">
        <f>SUM(I84:I91)</f>
        <v>21.46895174641606</v>
      </c>
    </row>
    <row r="103" spans="2:12">
      <c r="B103" t="s">
        <v>168</v>
      </c>
      <c r="D103" s="232">
        <f>SUM(F92:F96)</f>
        <v>1.0420066894025033</v>
      </c>
      <c r="E103" s="232">
        <f>SUM(G92:G96)</f>
        <v>0.97164597336443026</v>
      </c>
      <c r="F103" s="232">
        <f>SUM(H92:H96)</f>
        <v>1.1191110271174445</v>
      </c>
      <c r="G103" s="232">
        <f>SUM(I92:I96)</f>
        <v>1.2905947111935918</v>
      </c>
    </row>
    <row r="107" spans="2:12" ht="15" thickBot="1"/>
    <row r="108" spans="2:12">
      <c r="B108" s="312" t="s">
        <v>134</v>
      </c>
      <c r="C108" s="313"/>
      <c r="D108" s="313"/>
      <c r="E108" s="313"/>
      <c r="F108" s="313"/>
      <c r="G108" s="313"/>
      <c r="H108" s="313"/>
      <c r="I108" s="313"/>
      <c r="J108" s="313"/>
      <c r="K108" s="313"/>
      <c r="L108" s="314"/>
    </row>
    <row r="111" spans="2:12">
      <c r="B111" s="233" t="s">
        <v>169</v>
      </c>
    </row>
    <row r="112" spans="2:12">
      <c r="B112" t="s">
        <v>170</v>
      </c>
      <c r="C112" s="212">
        <v>2020</v>
      </c>
      <c r="D112" s="212">
        <f t="shared" ref="D112:I112" si="22">C112+5</f>
        <v>2025</v>
      </c>
      <c r="E112" s="212">
        <f t="shared" si="22"/>
        <v>2030</v>
      </c>
      <c r="F112" s="212">
        <f t="shared" si="22"/>
        <v>2035</v>
      </c>
      <c r="G112" s="212">
        <f t="shared" si="22"/>
        <v>2040</v>
      </c>
      <c r="H112" s="212">
        <f>G112+5</f>
        <v>2045</v>
      </c>
      <c r="I112" s="212">
        <f t="shared" si="22"/>
        <v>2050</v>
      </c>
    </row>
    <row r="113" spans="2:10">
      <c r="B113" s="212" t="s">
        <v>171</v>
      </c>
      <c r="C113" s="234">
        <v>6.5</v>
      </c>
      <c r="D113" s="234">
        <v>6</v>
      </c>
      <c r="E113" s="234">
        <v>5.5</v>
      </c>
      <c r="F113" s="234">
        <f>(E113+G113)/2</f>
        <v>5.2</v>
      </c>
      <c r="G113" s="234">
        <f>(E113+I113)/2</f>
        <v>4.9000000000000004</v>
      </c>
      <c r="H113" s="234">
        <f>(G113+I113)/2</f>
        <v>4.5999999999999996</v>
      </c>
      <c r="I113" s="234">
        <v>4.3</v>
      </c>
      <c r="J113" t="s">
        <v>172</v>
      </c>
    </row>
    <row r="114" spans="2:10">
      <c r="B114" s="212" t="s">
        <v>173</v>
      </c>
      <c r="C114" s="234">
        <v>7.7</v>
      </c>
      <c r="D114" s="234">
        <f>(C114+E114)/2</f>
        <v>8.8979999999999997</v>
      </c>
      <c r="E114" s="234">
        <v>10.096</v>
      </c>
      <c r="F114" s="234">
        <f>(E114+G114)/2</f>
        <v>13.347</v>
      </c>
      <c r="G114" s="234">
        <f>(E114+I114)/2</f>
        <v>16.597999999999999</v>
      </c>
      <c r="H114" s="234">
        <f>(G114+I114)/2</f>
        <v>19.849</v>
      </c>
      <c r="I114" s="234">
        <f>C114*3</f>
        <v>23.1</v>
      </c>
      <c r="J114" t="s">
        <v>174</v>
      </c>
    </row>
    <row r="115" spans="2:10">
      <c r="B115" s="212" t="s">
        <v>175</v>
      </c>
      <c r="C115" s="234">
        <v>1.27</v>
      </c>
      <c r="D115" s="234">
        <f>(C115+E115)/2</f>
        <v>1.3017500000000002</v>
      </c>
      <c r="E115" s="234">
        <f>C115*1.05</f>
        <v>1.3335000000000001</v>
      </c>
      <c r="F115" s="234">
        <f>(E115+G115)/2</f>
        <v>1.3652500000000001</v>
      </c>
      <c r="G115" s="234">
        <f>C115*1.1</f>
        <v>1.3970000000000002</v>
      </c>
      <c r="H115" s="234">
        <f>(G115+I115)/2</f>
        <v>1.4033500000000001</v>
      </c>
      <c r="I115" s="234">
        <f>C115*1.11</f>
        <v>1.4097000000000002</v>
      </c>
      <c r="J115" s="235" t="s">
        <v>176</v>
      </c>
    </row>
    <row r="116" spans="2:10">
      <c r="B116" s="212" t="s">
        <v>177</v>
      </c>
      <c r="C116" s="234">
        <v>1.3640000000000001</v>
      </c>
      <c r="D116" s="234">
        <v>1.3783241646930562</v>
      </c>
      <c r="E116" s="234">
        <v>1.3905453076033989</v>
      </c>
      <c r="F116" s="234">
        <v>1.3985924909797756</v>
      </c>
      <c r="G116" s="234">
        <v>1.402494701126376</v>
      </c>
      <c r="H116" s="234">
        <v>1.404315717055008</v>
      </c>
      <c r="I116" s="234">
        <v>1.4020086574724688</v>
      </c>
      <c r="J116" t="s">
        <v>178</v>
      </c>
    </row>
    <row r="117" spans="2:10">
      <c r="B117" s="212" t="s">
        <v>179</v>
      </c>
      <c r="C117" s="234">
        <v>6.2960000000000003</v>
      </c>
      <c r="D117" s="234">
        <v>6.4</v>
      </c>
      <c r="E117" s="234">
        <v>6.5</v>
      </c>
      <c r="F117" s="234">
        <v>6.6</v>
      </c>
      <c r="G117" s="234">
        <v>6.7</v>
      </c>
      <c r="H117" s="234">
        <v>6.8</v>
      </c>
      <c r="I117" s="234">
        <v>6.9</v>
      </c>
      <c r="J117" t="s">
        <v>180</v>
      </c>
    </row>
    <row r="118" spans="2:10">
      <c r="B118" s="212" t="s">
        <v>181</v>
      </c>
      <c r="C118" s="234">
        <v>6.3630000000000004</v>
      </c>
      <c r="D118" s="234">
        <v>6.4298215981978863</v>
      </c>
      <c r="E118" s="234">
        <v>6.4868326922877024</v>
      </c>
      <c r="F118" s="234">
        <v>6.5243724487568269</v>
      </c>
      <c r="G118" s="234">
        <v>6.5425760874392447</v>
      </c>
      <c r="H118" s="234">
        <v>6.5510710466429742</v>
      </c>
      <c r="I118" s="234">
        <v>6.5403087151739872</v>
      </c>
      <c r="J118" t="s">
        <v>178</v>
      </c>
    </row>
    <row r="119" spans="2:10">
      <c r="B119" s="212" t="s">
        <v>182</v>
      </c>
      <c r="C119" s="234">
        <v>1.92</v>
      </c>
      <c r="D119" s="234">
        <v>1.92</v>
      </c>
      <c r="E119" s="234">
        <v>1.92</v>
      </c>
      <c r="F119" s="234">
        <v>1.92</v>
      </c>
      <c r="G119" s="234">
        <v>1.92</v>
      </c>
      <c r="H119" s="234">
        <v>1.92</v>
      </c>
      <c r="I119" s="234">
        <v>1.92</v>
      </c>
      <c r="J119" t="s">
        <v>183</v>
      </c>
    </row>
    <row r="120" spans="2:10">
      <c r="B120" t="s">
        <v>184</v>
      </c>
      <c r="C120" s="236"/>
    </row>
    <row r="121" spans="2:10">
      <c r="B121" s="233" t="s">
        <v>17</v>
      </c>
      <c r="C121" s="237">
        <f>SUM(C113:C120)</f>
        <v>31.412999999999997</v>
      </c>
      <c r="D121" s="237">
        <f t="shared" ref="D121:I121" si="23">SUM(D113:D120)</f>
        <v>32.32789576289094</v>
      </c>
      <c r="E121" s="237">
        <f t="shared" si="23"/>
        <v>33.226877999891101</v>
      </c>
      <c r="F121" s="237">
        <f t="shared" si="23"/>
        <v>36.355214939736605</v>
      </c>
      <c r="G121" s="237">
        <f t="shared" si="23"/>
        <v>39.460070788565616</v>
      </c>
      <c r="H121" s="237">
        <f t="shared" si="23"/>
        <v>42.52773676369798</v>
      </c>
      <c r="I121" s="237">
        <f t="shared" si="23"/>
        <v>45.572017372646457</v>
      </c>
    </row>
  </sheetData>
  <mergeCells count="13">
    <mergeCell ref="B108:L108"/>
    <mergeCell ref="B69:L69"/>
    <mergeCell ref="B79:L79"/>
    <mergeCell ref="A1:M1"/>
    <mergeCell ref="B16:L16"/>
    <mergeCell ref="B25:B31"/>
    <mergeCell ref="B33:B39"/>
    <mergeCell ref="B52:B58"/>
    <mergeCell ref="B60:B66"/>
    <mergeCell ref="B97:C97"/>
    <mergeCell ref="C3:H3"/>
    <mergeCell ref="B42:L42"/>
    <mergeCell ref="C12:H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B1589"/>
  <sheetViews>
    <sheetView showGridLines="0" topLeftCell="A24" zoomScale="115" zoomScaleNormal="115" workbookViewId="0">
      <selection activeCell="I46" sqref="I46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239113.67300849396</v>
      </c>
      <c r="I7" s="10">
        <f t="shared" si="0"/>
        <v>236512.58811040022</v>
      </c>
      <c r="J7" s="10">
        <f t="shared" si="0"/>
        <v>229021.26149924967</v>
      </c>
      <c r="K7" s="10">
        <f t="shared" si="0"/>
        <v>216659.89739814011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5164.8553369834699</v>
      </c>
      <c r="J8" s="76">
        <f t="shared" si="0"/>
        <v>5108.6719031846442</v>
      </c>
      <c r="K8" s="76">
        <f t="shared" si="0"/>
        <v>4946.8592483837929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239113.67300849396</v>
      </c>
      <c r="I9" s="96">
        <f t="shared" si="1"/>
        <v>231347.73277341673</v>
      </c>
      <c r="J9" s="96">
        <f t="shared" si="1"/>
        <v>223912.58959606502</v>
      </c>
      <c r="K9" s="96">
        <f t="shared" si="1"/>
        <v>211713.03814975632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2726.6120560153463</v>
      </c>
      <c r="I13" s="86">
        <f t="shared" ref="I13:K13" si="2">I129+I163</f>
        <v>0</v>
      </c>
      <c r="J13" s="86">
        <f t="shared" si="2"/>
        <v>0</v>
      </c>
      <c r="K13" s="86">
        <f t="shared" si="2"/>
        <v>0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12612.742080216067</v>
      </c>
      <c r="I14" s="86">
        <f t="shared" si="3"/>
        <v>5166.5770263796967</v>
      </c>
      <c r="J14" s="86">
        <f t="shared" si="3"/>
        <v>3546.030836832103</v>
      </c>
      <c r="K14" s="86">
        <f>K130+K164</f>
        <v>2104.1911481412662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2182.2882773806514</v>
      </c>
      <c r="I15" s="86">
        <f>I131+I165</f>
        <v>5762.6632571292403</v>
      </c>
      <c r="J15" s="86">
        <f t="shared" si="3"/>
        <v>5000.8739106244875</v>
      </c>
      <c r="K15" s="86">
        <f t="shared" si="3"/>
        <v>4676.2622598124617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307.62788714260148</v>
      </c>
      <c r="I16" s="86">
        <f t="shared" si="3"/>
        <v>149.27400319447321</v>
      </c>
      <c r="J16" s="86">
        <f t="shared" si="3"/>
        <v>67.604223695704007</v>
      </c>
      <c r="K16" s="86">
        <f t="shared" si="3"/>
        <v>5.0800130096935447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211.60220438310148</v>
      </c>
      <c r="I17" s="86">
        <f t="shared" si="3"/>
        <v>242.45693026692524</v>
      </c>
      <c r="J17" s="86">
        <f t="shared" si="3"/>
        <v>210.50575147997154</v>
      </c>
      <c r="K17" s="86">
        <f t="shared" si="3"/>
        <v>172.08630188143769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4852.5796236647593</v>
      </c>
      <c r="I18" s="86">
        <f t="shared" si="3"/>
        <v>1919.7510233583523</v>
      </c>
      <c r="J18" s="86">
        <f t="shared" si="3"/>
        <v>520.38837018846414</v>
      </c>
      <c r="K18" s="86">
        <f t="shared" si="3"/>
        <v>288.81212712475218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962.9956913685495</v>
      </c>
      <c r="I19" s="86">
        <f t="shared" si="3"/>
        <v>2318.2985490342458</v>
      </c>
      <c r="J19" s="86">
        <f t="shared" si="3"/>
        <v>3312.4376618533661</v>
      </c>
      <c r="K19" s="86">
        <f t="shared" si="3"/>
        <v>2721.6626278237345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23856.447820171074</v>
      </c>
      <c r="I20" s="13">
        <f t="shared" ref="I20:K20" si="4">SUM(I13:I19)</f>
        <v>15559.020789362936</v>
      </c>
      <c r="J20" s="13">
        <f t="shared" si="4"/>
        <v>12657.840754674096</v>
      </c>
      <c r="K20" s="13">
        <f t="shared" si="4"/>
        <v>9968.0944777933455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-0.41948681596673398</v>
      </c>
      <c r="J23" s="193">
        <f t="shared" ref="J23:K23" si="5">J114/$G114-1</f>
        <v>-0.53178631155042511</v>
      </c>
      <c r="K23" s="193">
        <f t="shared" si="5"/>
        <v>-0.64583700214878847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-0.20795205175717379</v>
      </c>
      <c r="J24" s="193">
        <f t="shared" ref="J24:K24" si="6">J125/$G125-1</f>
        <v>-0.34703808542403081</v>
      </c>
      <c r="K24" s="193">
        <f t="shared" si="6"/>
        <v>-0.4460459000546656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239113.67300849396</v>
      </c>
      <c r="H34" s="127">
        <f>'Init. parc'!C4</f>
        <v>239113.67300849396</v>
      </c>
      <c r="I34" s="127">
        <f>'Init. parc'!D4</f>
        <v>236512.58811040022</v>
      </c>
      <c r="J34" s="127">
        <f>'Init. parc'!E4</f>
        <v>229021.26149924967</v>
      </c>
      <c r="K34" s="127">
        <f>'Init. parc'!F4</f>
        <v>216659.89739814011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parc'!N4</f>
        <v>5164.8553369834699</v>
      </c>
      <c r="J35" s="127">
        <f>'Init. parc'!O4</f>
        <v>5108.6719031846442</v>
      </c>
      <c r="K35" s="127">
        <f>'Init. parc'!P4</f>
        <v>4946.8592483837929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239113.67300849396</v>
      </c>
      <c r="H36" s="127">
        <f>H34-H35</f>
        <v>239113.67300849396</v>
      </c>
      <c r="I36" s="127">
        <f>I34-I35</f>
        <v>231347.73277341673</v>
      </c>
      <c r="J36" s="127">
        <f>J34-J35</f>
        <v>223912.58959606502</v>
      </c>
      <c r="K36" s="127">
        <f>K34-K35</f>
        <v>211713.03814975632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8.9924733284390393E-2</v>
      </c>
      <c r="H45" s="55">
        <f>'Init. énergie'!B3</f>
        <v>8.9924733284390393E-2</v>
      </c>
      <c r="I45" s="47">
        <v>0</v>
      </c>
      <c r="J45" s="47">
        <v>0</v>
      </c>
      <c r="K45" s="47">
        <v>0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0.42450974789018903</v>
      </c>
      <c r="H46" s="55">
        <f>'Init. énergie'!B4</f>
        <v>0.42450974789018903</v>
      </c>
      <c r="I46" s="47">
        <v>0.25</v>
      </c>
      <c r="J46" s="47">
        <v>0.2</v>
      </c>
      <c r="K46" s="47">
        <v>0.15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8.0340172710777702E-2</v>
      </c>
      <c r="H47" s="55">
        <f>'Init. énergie'!B5</f>
        <v>8.0340172710777702E-2</v>
      </c>
      <c r="I47" s="47">
        <v>0.3</v>
      </c>
      <c r="J47" s="47">
        <v>0.3</v>
      </c>
      <c r="K47" s="47">
        <v>0.35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1.3267227564659348E-2</v>
      </c>
      <c r="H48" s="55">
        <f>'Init. énergie'!B6</f>
        <v>1.3267227564659348E-2</v>
      </c>
      <c r="I48" s="47">
        <f t="shared" ref="I48" si="8">H48+((K48-H48)/3)</f>
        <v>8.8448183764395644E-3</v>
      </c>
      <c r="J48" s="47">
        <f t="shared" ref="J48" si="9">H48+((K48-H48)/3*2)</f>
        <v>4.4224091882197822E-3</v>
      </c>
      <c r="K48" s="47">
        <v>0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1.2451501862338604E-2</v>
      </c>
      <c r="H49" s="55">
        <f>'Init. énergie'!B7</f>
        <v>1.2451501862338604E-2</v>
      </c>
      <c r="I49" s="47">
        <v>0.02</v>
      </c>
      <c r="J49" s="47">
        <v>0.02</v>
      </c>
      <c r="K49" s="47">
        <v>0.02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0.30626447562213699</v>
      </c>
      <c r="H50" s="55">
        <f>'Init. énergie'!B8</f>
        <v>0.30626447562213699</v>
      </c>
      <c r="I50" s="47">
        <f t="shared" ref="I50:J50" si="10">1-I45-I46-I47-I48-I49-I51</f>
        <v>0.17115518162356042</v>
      </c>
      <c r="J50" s="47">
        <f t="shared" si="10"/>
        <v>5.5577590811780209E-2</v>
      </c>
      <c r="K50" s="47">
        <f>1-K45-K46-K47-K48-K49-K51</f>
        <v>3.999999999999998E-2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7.3242141065507804E-2</v>
      </c>
      <c r="H51" s="55">
        <f>'Init. énergie'!B9</f>
        <v>7.3242141065507804E-2</v>
      </c>
      <c r="I51" s="47">
        <v>0.25</v>
      </c>
      <c r="J51" s="47">
        <v>0.42</v>
      </c>
      <c r="K51" s="125">
        <v>0.44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1">SUM(G45:G51)</f>
        <v>0.99999999999999978</v>
      </c>
      <c r="H52" s="164">
        <f t="shared" si="11"/>
        <v>0.99999999999999978</v>
      </c>
      <c r="I52" s="170">
        <f t="shared" si="11"/>
        <v>1</v>
      </c>
      <c r="J52" s="170">
        <f t="shared" si="11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2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-7.2761941661835472E-2</v>
      </c>
      <c r="J55" s="157">
        <f t="shared" si="12"/>
        <v>-5.3533265670263133E-2</v>
      </c>
      <c r="K55" s="157">
        <f t="shared" si="12"/>
        <v>-1.0212288327408909E-2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8.9924733284390393E-2</v>
      </c>
      <c r="H59" s="55">
        <f>H45</f>
        <v>8.9924733284390393E-2</v>
      </c>
      <c r="I59" s="47">
        <v>0</v>
      </c>
      <c r="J59" s="47">
        <v>0</v>
      </c>
      <c r="K59" s="47">
        <v>0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3">H60</f>
        <v>0.42450974789018903</v>
      </c>
      <c r="H60" s="55">
        <f t="shared" ref="H60:H65" si="14">H46</f>
        <v>0.42450974789018903</v>
      </c>
      <c r="I60" s="47">
        <f t="shared" ref="I60:I62" si="15">H60+((K60-H60)/3)</f>
        <v>0.34967316526012604</v>
      </c>
      <c r="J60" s="47">
        <f t="shared" ref="J60:J63" si="16">H60+((K60-H60)/3*2)</f>
        <v>0.27483658263006305</v>
      </c>
      <c r="K60" s="47">
        <v>0.2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3"/>
        <v>8.0340172710777702E-2</v>
      </c>
      <c r="H61" s="55">
        <f t="shared" si="14"/>
        <v>8.0340172710777702E-2</v>
      </c>
      <c r="I61" s="47">
        <v>0.2</v>
      </c>
      <c r="J61" s="47">
        <f t="shared" si="16"/>
        <v>0.18011339090359257</v>
      </c>
      <c r="K61" s="47">
        <v>0.23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3"/>
        <v>1.3267227564659348E-2</v>
      </c>
      <c r="H62" s="55">
        <f t="shared" si="14"/>
        <v>1.3267227564659348E-2</v>
      </c>
      <c r="I62" s="47">
        <f t="shared" si="15"/>
        <v>8.8448183764395644E-3</v>
      </c>
      <c r="J62" s="47">
        <f t="shared" si="16"/>
        <v>4.4224091882197822E-3</v>
      </c>
      <c r="K62" s="47">
        <v>0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3"/>
        <v>1.2451501862338604E-2</v>
      </c>
      <c r="H63" s="55">
        <f t="shared" si="14"/>
        <v>1.2451501862338604E-2</v>
      </c>
      <c r="I63" s="47">
        <v>0.02</v>
      </c>
      <c r="J63" s="47">
        <f t="shared" si="16"/>
        <v>1.7483833954112869E-2</v>
      </c>
      <c r="K63" s="47">
        <v>0.02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3"/>
        <v>0.30626447562213699</v>
      </c>
      <c r="H64" s="55">
        <f t="shared" si="14"/>
        <v>0.30626447562213699</v>
      </c>
      <c r="I64" s="47">
        <f t="shared" ref="I64" si="17">1-I59-I60-I61-I62-I63-I65</f>
        <v>0.17148201636343435</v>
      </c>
      <c r="J64" s="47">
        <f t="shared" ref="J64" si="18">1-J59-J60-J61-J62-J63-J65</f>
        <v>0.1031437833240117</v>
      </c>
      <c r="K64" s="47">
        <f>1-K59-K60-K61-K62-K63-K65</f>
        <v>0.11000000000000004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3"/>
        <v>7.3242141065507804E-2</v>
      </c>
      <c r="H65" s="55">
        <f t="shared" si="14"/>
        <v>7.3242141065507804E-2</v>
      </c>
      <c r="I65" s="47">
        <v>0.25</v>
      </c>
      <c r="J65" s="47">
        <v>0.42</v>
      </c>
      <c r="K65" s="125">
        <v>0.44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9">SUM(G59:G65)</f>
        <v>0.99999999999999978</v>
      </c>
      <c r="H66" s="164">
        <v>1</v>
      </c>
      <c r="I66" s="47">
        <f t="shared" ref="I66:J66" si="20">SUM(I59:I65)</f>
        <v>1</v>
      </c>
      <c r="J66" s="47">
        <f t="shared" si="20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-6.2270481553077253E-2</v>
      </c>
      <c r="J69" s="157">
        <f t="shared" ref="J69:K69" si="21">(I$97*(J59-I59)+I$98*(J60-I60)+I$99*(J61-I61)+I$100*(J62-I62)+I$101*(J63-I63)+I$102*(J64-I64)+I$103*(J65-I65))/(I$97*I59+I$98*I60+I$99*I61+I$100*I62+I$101*I63+I$102*I64+I$103*I65)</f>
        <v>-8.1728233585491181E-2</v>
      </c>
      <c r="K69" s="157">
        <f t="shared" si="21"/>
        <v>-2.4859355818556236E-2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98" t="s">
        <v>92</v>
      </c>
      <c r="G72" s="199" t="s">
        <v>91</v>
      </c>
      <c r="H72" s="199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bord'!E10</f>
        <v>0.65</v>
      </c>
      <c r="G73" s="92">
        <f>'Tableau de bord'!E23</f>
        <v>0.91500000000000004</v>
      </c>
      <c r="H73" s="92">
        <f>'Tableau de bord'!E26</f>
        <v>0.75487499999999996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129.37023550396006</v>
      </c>
      <c r="H77" s="54">
        <f>'Init. énergie'!D3</f>
        <v>126.80599367448798</v>
      </c>
      <c r="I77" s="81">
        <f>G77*60%/(1+I$55)</f>
        <v>83.713282262695017</v>
      </c>
      <c r="J77" s="81">
        <f>G77*50%/(1+I$55)/(1+J$55)</f>
        <v>73.706836196043199</v>
      </c>
      <c r="K77" s="81">
        <f>G77*40%/(1+I$55)/(1+J$55)/(1+K$55)</f>
        <v>59.573854334069139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22">H78/0.998^10</f>
        <v>126.76869630804003</v>
      </c>
      <c r="H78" s="54">
        <f>'Init. énergie'!D4</f>
        <v>124.25601947418849</v>
      </c>
      <c r="I78" s="81">
        <f t="shared" ref="I78:I83" si="23">G78*60%/(1+I$55)</f>
        <v>82.029870431703557</v>
      </c>
      <c r="J78" s="81">
        <f t="shared" ref="J78:J83" si="24">G78*50%/(1+I$55)/(1+J$55)</f>
        <v>72.224646551537262</v>
      </c>
      <c r="K78" s="81">
        <f t="shared" ref="K78:K83" si="25">G78*40%/(1+I$55)/(1+J$55)/(1+K$55)</f>
        <v>58.375868441113361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22"/>
        <v>115.89629036841112</v>
      </c>
      <c r="H79" s="54">
        <f>'Init. énergie'!D5</f>
        <v>113.59911502134896</v>
      </c>
      <c r="I79" s="81">
        <f t="shared" si="23"/>
        <v>74.994521197366737</v>
      </c>
      <c r="J79" s="81">
        <f t="shared" si="24"/>
        <v>66.03024920405322</v>
      </c>
      <c r="K79" s="81">
        <f t="shared" si="25"/>
        <v>53.369221238337758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22"/>
        <v>98.931752132371443</v>
      </c>
      <c r="H80" s="54">
        <f>'Init. énergie'!D6</f>
        <v>96.970830162240034</v>
      </c>
      <c r="I80" s="81">
        <f t="shared" si="23"/>
        <v>64.017056618457488</v>
      </c>
      <c r="J80" s="81">
        <f t="shared" si="24"/>
        <v>56.364946856613244</v>
      </c>
      <c r="K80" s="81">
        <f t="shared" si="25"/>
        <v>45.557200754788148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22"/>
        <v>72.508450813816523</v>
      </c>
      <c r="H81" s="54">
        <f>'Init. énergie'!D7</f>
        <v>71.071263953618569</v>
      </c>
      <c r="I81" s="81">
        <f t="shared" si="23"/>
        <v>46.918987089746452</v>
      </c>
      <c r="J81" s="81">
        <f t="shared" si="24"/>
        <v>41.310649904469237</v>
      </c>
      <c r="K81" s="81">
        <f t="shared" si="25"/>
        <v>33.389503156922814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22"/>
        <v>67.603039372331537</v>
      </c>
      <c r="H82" s="54">
        <f>'Init. énergie'!D8</f>
        <v>66.263082459656104</v>
      </c>
      <c r="I82" s="81">
        <f t="shared" si="23"/>
        <v>43.744778655974869</v>
      </c>
      <c r="J82" s="81">
        <f t="shared" si="24"/>
        <v>38.515862091157551</v>
      </c>
      <c r="K82" s="81">
        <f t="shared" si="25"/>
        <v>31.130604380667918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22"/>
        <v>56.098789358023637</v>
      </c>
      <c r="H83" s="54">
        <f>'Init. énergie'!D9</f>
        <v>54.986857686150131</v>
      </c>
      <c r="I83" s="81">
        <f t="shared" si="23"/>
        <v>36.300573851702943</v>
      </c>
      <c r="J83" s="81">
        <f t="shared" si="24"/>
        <v>31.961480644298668</v>
      </c>
      <c r="K83" s="81">
        <f t="shared" si="25"/>
        <v>25.832998544941411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6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6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6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6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6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6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129.37023550396006</v>
      </c>
      <c r="H97" s="54">
        <f>H77</f>
        <v>126.80599367448798</v>
      </c>
      <c r="I97" s="81">
        <f>$H97*(1+$G87)^(I$96-$H$96)</f>
        <v>113.01858322599372</v>
      </c>
      <c r="J97" s="81">
        <f>$H97*(1+$G87)^(J$96-$H$96)</f>
        <v>100.73025559974539</v>
      </c>
      <c r="K97" s="81">
        <f>$H97*(1+$G87)^(K$96-$H$96)</f>
        <v>89.778017946843022</v>
      </c>
      <c r="L97" s="67"/>
      <c r="M97" s="79">
        <f>(K97-G97)/H97</f>
        <v>-0.31222670482556669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7">G78</f>
        <v>126.76869630804003</v>
      </c>
      <c r="H98" s="54">
        <f t="shared" si="27"/>
        <v>124.25601947418849</v>
      </c>
      <c r="I98" s="81">
        <f t="shared" ref="I98:K103" si="28">$H98*(1+$G88)^(I$96-$H$96)</f>
        <v>111.81139005384371</v>
      </c>
      <c r="J98" s="81">
        <f t="shared" si="28"/>
        <v>100.61312923652569</v>
      </c>
      <c r="K98" s="81">
        <f t="shared" si="28"/>
        <v>90.536409304016402</v>
      </c>
      <c r="L98" s="67"/>
      <c r="M98" s="79">
        <f t="shared" ref="M98:M103" si="29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7"/>
        <v>115.89629036841112</v>
      </c>
      <c r="H99" s="54">
        <f t="shared" si="27"/>
        <v>113.59911502134896</v>
      </c>
      <c r="I99" s="81">
        <f t="shared" si="28"/>
        <v>105.30219586157602</v>
      </c>
      <c r="J99" s="81">
        <f t="shared" si="28"/>
        <v>97.611257369265758</v>
      </c>
      <c r="K99" s="81">
        <f t="shared" si="28"/>
        <v>90.482040637917223</v>
      </c>
      <c r="L99" s="67"/>
      <c r="M99" s="79">
        <f t="shared" si="29"/>
        <v>-0.22371872990135291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7"/>
        <v>98.931752132371443</v>
      </c>
      <c r="H100" s="54">
        <f t="shared" si="27"/>
        <v>96.970830162240034</v>
      </c>
      <c r="I100" s="81">
        <f t="shared" si="28"/>
        <v>89.888388203418657</v>
      </c>
      <c r="J100" s="81">
        <f t="shared" si="28"/>
        <v>83.323225348180799</v>
      </c>
      <c r="K100" s="81">
        <f t="shared" si="28"/>
        <v>77.237561170995292</v>
      </c>
      <c r="L100" s="67"/>
      <c r="M100" s="79">
        <f t="shared" si="29"/>
        <v>-0.22371872990135297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7"/>
        <v>72.508450813816523</v>
      </c>
      <c r="H101" s="54">
        <f t="shared" si="27"/>
        <v>71.071263953618569</v>
      </c>
      <c r="I101" s="81">
        <f t="shared" si="28"/>
        <v>65.880444188031134</v>
      </c>
      <c r="J101" s="81">
        <f>$H101*(1+$G91)^(J$96-$H$96)</f>
        <v>61.068745439010925</v>
      </c>
      <c r="K101" s="81">
        <f>$H101*(1+$G91)^(K$96-$H$96)</f>
        <v>56.608477909629173</v>
      </c>
      <c r="L101" s="67"/>
      <c r="M101" s="79">
        <f t="shared" si="29"/>
        <v>-0.22371872990135289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7"/>
        <v>67.603039372331537</v>
      </c>
      <c r="H102" s="54">
        <f t="shared" si="27"/>
        <v>66.263082459656104</v>
      </c>
      <c r="I102" s="81">
        <f t="shared" si="28"/>
        <v>57.238049610665335</v>
      </c>
      <c r="J102" s="81">
        <f t="shared" si="28"/>
        <v>49.442226374356757</v>
      </c>
      <c r="K102" s="81">
        <f t="shared" si="28"/>
        <v>42.70819438259899</v>
      </c>
      <c r="L102" s="67"/>
      <c r="M102" s="79">
        <f t="shared" si="29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7"/>
        <v>56.098789358023637</v>
      </c>
      <c r="H103" s="54">
        <f t="shared" si="27"/>
        <v>54.986857686150131</v>
      </c>
      <c r="I103" s="81">
        <f t="shared" si="28"/>
        <v>47.497646824545114</v>
      </c>
      <c r="J103" s="81">
        <f t="shared" si="28"/>
        <v>41.02846659734584</v>
      </c>
      <c r="K103" s="81">
        <f t="shared" si="28"/>
        <v>35.44038881647576</v>
      </c>
      <c r="L103" s="67"/>
      <c r="M103" s="79">
        <f t="shared" si="29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2099.8727627821108</v>
      </c>
      <c r="H107" s="54">
        <f>H$36*H45*$H$73*H77/1000</f>
        <v>2058.2512757845843</v>
      </c>
      <c r="I107" s="127">
        <f>I$36*I45*$H$73*I77/1000</f>
        <v>0</v>
      </c>
      <c r="J107" s="127">
        <f>J$36*J45*$H$73*J77/1000</f>
        <v>0</v>
      </c>
      <c r="K107" s="127">
        <f>K$36*K45*$H$73*K77/1000</f>
        <v>0</v>
      </c>
      <c r="L107" s="46"/>
      <c r="M107" s="79">
        <f>(K107-G107)/H107</f>
        <v>-1.0202217715043858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30">G$36*G46*$H$73*G78/1000</f>
        <v>9713.5760475389143</v>
      </c>
      <c r="H108" s="54">
        <f t="shared" si="30"/>
        <v>9521.0436778031035</v>
      </c>
      <c r="I108" s="127">
        <f t="shared" si="30"/>
        <v>3581.3958381765415</v>
      </c>
      <c r="J108" s="127">
        <f t="shared" si="30"/>
        <v>2441.5688537532474</v>
      </c>
      <c r="K108" s="127">
        <f>K$36*K46*$H$73*K78/1000</f>
        <v>1399.4173713716471</v>
      </c>
      <c r="L108" s="46"/>
      <c r="M108" s="79">
        <f t="shared" ref="M108:M114" si="31">(K108-G108)/H108</f>
        <v>-0.8732402620471631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30"/>
        <v>1680.6672970217842</v>
      </c>
      <c r="H109" s="54">
        <f t="shared" si="30"/>
        <v>1647.3548633877192</v>
      </c>
      <c r="I109" s="127">
        <f t="shared" si="30"/>
        <v>3929.0819018310199</v>
      </c>
      <c r="J109" s="127">
        <f t="shared" si="30"/>
        <v>3348.2489889474591</v>
      </c>
      <c r="K109" s="127">
        <f t="shared" si="30"/>
        <v>2985.2558431167527</v>
      </c>
      <c r="L109" s="46"/>
      <c r="M109" s="79">
        <f t="shared" si="31"/>
        <v>0.79192927710313399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30"/>
        <v>236.91651324500785</v>
      </c>
      <c r="H110" s="54">
        <f t="shared" si="30"/>
        <v>232.22060130677127</v>
      </c>
      <c r="I110" s="127">
        <f t="shared" si="30"/>
        <v>98.883746352698026</v>
      </c>
      <c r="J110" s="127">
        <f t="shared" si="30"/>
        <v>42.132922145815499</v>
      </c>
      <c r="K110" s="127">
        <f t="shared" si="30"/>
        <v>0</v>
      </c>
      <c r="L110" s="46"/>
      <c r="M110" s="79">
        <f t="shared" si="31"/>
        <v>-1.0202217715043858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30"/>
        <v>162.96330258954421</v>
      </c>
      <c r="H111" s="54">
        <f t="shared" si="30"/>
        <v>159.73321403369371</v>
      </c>
      <c r="I111" s="127">
        <f t="shared" si="30"/>
        <v>163.87734293407647</v>
      </c>
      <c r="J111" s="127">
        <f t="shared" si="30"/>
        <v>139.65149149339774</v>
      </c>
      <c r="K111" s="127">
        <f t="shared" si="30"/>
        <v>106.72412416762225</v>
      </c>
      <c r="L111" s="46"/>
      <c r="M111" s="79">
        <f t="shared" si="31"/>
        <v>-0.35208193087543466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30"/>
        <v>3737.1652334936134</v>
      </c>
      <c r="H112" s="54">
        <f t="shared" si="30"/>
        <v>3663.091043413935</v>
      </c>
      <c r="I112" s="127">
        <f t="shared" si="30"/>
        <v>1307.5447624695992</v>
      </c>
      <c r="J112" s="127">
        <f t="shared" si="30"/>
        <v>361.82027159002797</v>
      </c>
      <c r="K112" s="127">
        <f t="shared" si="30"/>
        <v>199.00784217848897</v>
      </c>
      <c r="L112" s="46"/>
      <c r="M112" s="79">
        <f t="shared" si="31"/>
        <v>-0.96589392657235884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30"/>
        <v>741.64141485405491</v>
      </c>
      <c r="H113" s="54">
        <f t="shared" si="30"/>
        <v>726.94137252183373</v>
      </c>
      <c r="I113" s="127">
        <f t="shared" si="30"/>
        <v>1584.8705286466363</v>
      </c>
      <c r="J113" s="127">
        <f t="shared" si="30"/>
        <v>2268.9751312396202</v>
      </c>
      <c r="K113" s="127">
        <f t="shared" si="30"/>
        <v>1816.5616568252408</v>
      </c>
      <c r="L113" s="46"/>
      <c r="M113" s="79">
        <f t="shared" si="31"/>
        <v>1.4786890423393817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18372.802571525026</v>
      </c>
      <c r="H114" s="161">
        <f>SUM(H107:H113)</f>
        <v>18008.636048251639</v>
      </c>
      <c r="I114" s="159">
        <f t="shared" ref="I114:J114" si="32">SUM(I107:I113)</f>
        <v>10665.654120410571</v>
      </c>
      <c r="J114" s="159">
        <f t="shared" si="32"/>
        <v>8602.3976591695682</v>
      </c>
      <c r="K114" s="159">
        <f>SUM(K107:K113)</f>
        <v>6506.9668376597519</v>
      </c>
      <c r="L114" s="21"/>
      <c r="M114" s="79">
        <f t="shared" si="31"/>
        <v>-0.6588969704353187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681.87621921108132</v>
      </c>
      <c r="H118" s="162">
        <f>H$36*H45*(1-$H$73)*H97/1000</f>
        <v>668.36078023076186</v>
      </c>
      <c r="I118" s="158">
        <f t="shared" ref="I118:K118" si="33">I$36*I45*(1-$H$73)*I97/1000</f>
        <v>0</v>
      </c>
      <c r="J118" s="158">
        <f t="shared" si="33"/>
        <v>0</v>
      </c>
      <c r="K118" s="158">
        <f t="shared" si="33"/>
        <v>0</v>
      </c>
      <c r="L118" s="46"/>
      <c r="M118" s="79">
        <f>(K118-G118)/H118</f>
        <v>-1.0202217715043858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4">G$36*G46*(1-$H$73)*G98/1000</f>
        <v>3154.2180210670335</v>
      </c>
      <c r="H119" s="162">
        <f t="shared" si="34"/>
        <v>3091.6984024129642</v>
      </c>
      <c r="I119" s="158">
        <f t="shared" si="34"/>
        <v>1585.1811882031554</v>
      </c>
      <c r="J119" s="158">
        <f t="shared" si="34"/>
        <v>1104.4619830788556</v>
      </c>
      <c r="K119" s="158">
        <f t="shared" si="34"/>
        <v>704.77377676961919</v>
      </c>
      <c r="L119" s="46"/>
      <c r="M119" s="79">
        <f t="shared" ref="M119:M125" si="35">(K119-G119)/H119</f>
        <v>-0.79226493838652157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4"/>
        <v>545.75071526075828</v>
      </c>
      <c r="H120" s="162">
        <f t="shared" si="34"/>
        <v>534.93341399293229</v>
      </c>
      <c r="I120" s="158">
        <f t="shared" si="34"/>
        <v>1791.4782371549584</v>
      </c>
      <c r="J120" s="158">
        <f t="shared" si="34"/>
        <v>1607.2642363320238</v>
      </c>
      <c r="K120" s="158">
        <f t="shared" si="34"/>
        <v>1643.4846120765651</v>
      </c>
      <c r="L120" s="46"/>
      <c r="M120" s="79">
        <f t="shared" si="35"/>
        <v>2.0520944627891771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4"/>
        <v>76.932154739768265</v>
      </c>
      <c r="H121" s="162">
        <f t="shared" si="34"/>
        <v>75.407285835830208</v>
      </c>
      <c r="I121" s="158">
        <f t="shared" si="34"/>
        <v>45.086379980181988</v>
      </c>
      <c r="J121" s="158">
        <f t="shared" si="34"/>
        <v>20.225120401938366</v>
      </c>
      <c r="K121" s="158">
        <f t="shared" si="34"/>
        <v>0</v>
      </c>
      <c r="L121" s="46"/>
      <c r="M121" s="79">
        <f t="shared" si="35"/>
        <v>-1.0202217715043858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4"/>
        <v>52.917873220416666</v>
      </c>
      <c r="H122" s="162">
        <f t="shared" si="34"/>
        <v>51.86899034940776</v>
      </c>
      <c r="I122" s="158">
        <f t="shared" si="34"/>
        <v>74.720431073824983</v>
      </c>
      <c r="J122" s="158">
        <f t="shared" si="34"/>
        <v>67.037083732032514</v>
      </c>
      <c r="K122" s="158">
        <f t="shared" si="34"/>
        <v>58.755250814184912</v>
      </c>
      <c r="L122" s="46"/>
      <c r="M122" s="79">
        <f t="shared" si="35"/>
        <v>0.11254079854737131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4"/>
        <v>1213.5421465277327</v>
      </c>
      <c r="H123" s="162">
        <f t="shared" si="34"/>
        <v>1189.4885802508243</v>
      </c>
      <c r="I123" s="158">
        <f t="shared" si="34"/>
        <v>555.55585992492263</v>
      </c>
      <c r="J123" s="158">
        <f t="shared" si="34"/>
        <v>150.82170812101444</v>
      </c>
      <c r="K123" s="158">
        <f t="shared" si="34"/>
        <v>88.655648956910937</v>
      </c>
      <c r="L123" s="46"/>
      <c r="M123" s="79">
        <f t="shared" si="35"/>
        <v>-0.94568919470720769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4"/>
        <v>240.82775534505745</v>
      </c>
      <c r="H124" s="162">
        <f t="shared" si="34"/>
        <v>236.05431884671577</v>
      </c>
      <c r="I124" s="158">
        <f t="shared" si="34"/>
        <v>673.38735520530224</v>
      </c>
      <c r="J124" s="158">
        <f t="shared" si="34"/>
        <v>945.80301837099739</v>
      </c>
      <c r="K124" s="158">
        <f t="shared" si="34"/>
        <v>809.25681517434691</v>
      </c>
      <c r="L124" s="46"/>
      <c r="M124" s="79">
        <f t="shared" si="35"/>
        <v>2.4080434647688209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5966.0648853718485</v>
      </c>
      <c r="H125" s="163">
        <f>SUM(H118:H124)</f>
        <v>5847.8117719194361</v>
      </c>
      <c r="I125" s="160">
        <f t="shared" ref="I125:K125" si="36">SUM(I118:I124)</f>
        <v>4725.4094515423449</v>
      </c>
      <c r="J125" s="160">
        <f t="shared" si="36"/>
        <v>3895.6131500368624</v>
      </c>
      <c r="K125" s="160">
        <f t="shared" si="36"/>
        <v>3304.9261037916267</v>
      </c>
      <c r="L125" s="21"/>
      <c r="M125" s="79">
        <f t="shared" si="35"/>
        <v>-0.45506573832603919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2726.6120560153463</v>
      </c>
      <c r="I129" s="158">
        <f t="shared" ref="I129:K129" si="37">I107+I118</f>
        <v>0</v>
      </c>
      <c r="J129" s="158">
        <f t="shared" si="37"/>
        <v>0</v>
      </c>
      <c r="K129" s="158">
        <f t="shared" si="37"/>
        <v>0</v>
      </c>
      <c r="L129" s="46"/>
      <c r="M129" s="79">
        <f>(K129-G129)/H129</f>
        <v>0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8">H108+H119</f>
        <v>12612.742080216067</v>
      </c>
      <c r="I130" s="158">
        <f t="shared" si="38"/>
        <v>5166.5770263796967</v>
      </c>
      <c r="J130" s="158">
        <f t="shared" si="38"/>
        <v>3546.030836832103</v>
      </c>
      <c r="K130" s="158">
        <f>K108+K119</f>
        <v>2104.1911481412662</v>
      </c>
      <c r="L130" s="46"/>
      <c r="M130" s="79">
        <f t="shared" ref="M130:M136" si="39">(K130-G130)/H130</f>
        <v>0.16683058566953743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8"/>
        <v>2182.2882773806514</v>
      </c>
      <c r="I131" s="158">
        <f t="shared" si="38"/>
        <v>5720.5601389859785</v>
      </c>
      <c r="J131" s="158">
        <f t="shared" si="38"/>
        <v>4955.5132252794829</v>
      </c>
      <c r="K131" s="158">
        <f t="shared" si="38"/>
        <v>4628.7404551933178</v>
      </c>
      <c r="L131" s="46"/>
      <c r="M131" s="79">
        <f t="shared" si="39"/>
        <v>2.1210490397488111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8"/>
        <v>307.62788714260148</v>
      </c>
      <c r="I132" s="158">
        <f t="shared" si="38"/>
        <v>143.97012633288</v>
      </c>
      <c r="J132" s="158">
        <f t="shared" si="38"/>
        <v>62.358042547753868</v>
      </c>
      <c r="K132" s="158">
        <f t="shared" si="38"/>
        <v>0</v>
      </c>
      <c r="L132" s="46"/>
      <c r="M132" s="79">
        <f t="shared" si="39"/>
        <v>0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8"/>
        <v>211.60220438310148</v>
      </c>
      <c r="I133" s="158">
        <f t="shared" si="38"/>
        <v>238.59777400790145</v>
      </c>
      <c r="J133" s="158">
        <f t="shared" si="38"/>
        <v>206.68857522543027</v>
      </c>
      <c r="K133" s="158">
        <f t="shared" si="38"/>
        <v>165.47937498180715</v>
      </c>
      <c r="L133" s="46"/>
      <c r="M133" s="79">
        <f t="shared" si="39"/>
        <v>0.78203048717871637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8"/>
        <v>4852.5796236647593</v>
      </c>
      <c r="I134" s="158">
        <f t="shared" si="38"/>
        <v>1863.1006223945219</v>
      </c>
      <c r="J134" s="158">
        <f t="shared" si="38"/>
        <v>512.64197971104238</v>
      </c>
      <c r="K134" s="158">
        <f t="shared" si="38"/>
        <v>287.66349113539991</v>
      </c>
      <c r="L134" s="46"/>
      <c r="M134" s="79">
        <f t="shared" si="39"/>
        <v>5.9280529830472113E-2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8"/>
        <v>962.9956913685495</v>
      </c>
      <c r="I135" s="158">
        <f t="shared" si="38"/>
        <v>2258.2578838519385</v>
      </c>
      <c r="J135" s="158">
        <f t="shared" si="38"/>
        <v>3214.7781496106177</v>
      </c>
      <c r="K135" s="158">
        <f t="shared" si="38"/>
        <v>2625.8184719995879</v>
      </c>
      <c r="L135" s="46"/>
      <c r="M135" s="79">
        <f t="shared" si="39"/>
        <v>2.7267188166417839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23856.447820171074</v>
      </c>
      <c r="I136" s="160">
        <f t="shared" ref="I136:K136" si="40">SUM(I129:I135)</f>
        <v>15391.063571952918</v>
      </c>
      <c r="J136" s="160">
        <f t="shared" si="40"/>
        <v>12498.010809206431</v>
      </c>
      <c r="K136" s="160">
        <f t="shared" si="40"/>
        <v>9811.8929414513786</v>
      </c>
      <c r="L136" s="21"/>
      <c r="M136" s="79">
        <f t="shared" si="39"/>
        <v>0.41128893183985421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énergie'!C3</f>
        <v>2.5832473286687414E-3</v>
      </c>
      <c r="I142" s="47">
        <v>0</v>
      </c>
      <c r="J142" s="47">
        <v>0</v>
      </c>
      <c r="K142" s="47">
        <v>0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énergie'!C4</f>
        <v>0.18262447255667691</v>
      </c>
      <c r="I143" s="47">
        <v>0</v>
      </c>
      <c r="J143" s="47">
        <v>0</v>
      </c>
      <c r="K143" s="47">
        <v>0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énergie'!C5</f>
        <v>0.13911656645249823</v>
      </c>
      <c r="I144" s="47">
        <f>H144+((K144-H144)/3)</f>
        <v>0.15274437763499882</v>
      </c>
      <c r="J144" s="47">
        <f>H144+((K144-H144)/3*2)</f>
        <v>0.16637218881749941</v>
      </c>
      <c r="K144" s="47">
        <v>0.18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énergie'!C6</f>
        <v>2.2541262662018457E-2</v>
      </c>
      <c r="I145" s="47">
        <f t="shared" ref="I145:J146" si="41">H145</f>
        <v>2.2541262662018457E-2</v>
      </c>
      <c r="J145" s="47">
        <f t="shared" si="41"/>
        <v>2.2541262662018457E-2</v>
      </c>
      <c r="K145" s="47">
        <f>J145</f>
        <v>2.2541262662018457E-2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énergie'!C7</f>
        <v>2.2378153328661055E-2</v>
      </c>
      <c r="I146" s="47">
        <f t="shared" si="41"/>
        <v>2.2378153328661055E-2</v>
      </c>
      <c r="J146" s="47">
        <f t="shared" si="41"/>
        <v>2.2378153328661055E-2</v>
      </c>
      <c r="K146" s="47">
        <v>0.04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énergie'!C8</f>
        <v>0.17192765066376023</v>
      </c>
      <c r="I147" s="47">
        <f>1-I142-I143-I144-I145-I146-I148</f>
        <v>0.35233620637432156</v>
      </c>
      <c r="J147" s="47">
        <f t="shared" ref="J147:K147" si="42">1-J142-J143-J144-J145-J146-J148</f>
        <v>4.8708395191821019E-2</v>
      </c>
      <c r="K147" s="47">
        <f t="shared" si="42"/>
        <v>7.4587373379815247E-3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énergie'!C9</f>
        <v>0.45882864700771653</v>
      </c>
      <c r="I148" s="47">
        <v>0.45</v>
      </c>
      <c r="J148" s="47">
        <v>0.74</v>
      </c>
      <c r="K148" s="47">
        <v>0.75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3">SUM(I142:I148)</f>
        <v>0.99999999999999978</v>
      </c>
      <c r="J149" s="15">
        <f t="shared" si="43"/>
        <v>0.99999999999999989</v>
      </c>
      <c r="K149" s="15">
        <f t="shared" si="43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59.573854334069139</v>
      </c>
      <c r="J153" s="45">
        <f>K153</f>
        <v>59.573854334069139</v>
      </c>
      <c r="K153" s="45">
        <f t="shared" ref="K153:K159" si="44">K77</f>
        <v>59.573854334069139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5">J154</f>
        <v>58.375868441113361</v>
      </c>
      <c r="J154" s="45">
        <f t="shared" si="45"/>
        <v>58.375868441113361</v>
      </c>
      <c r="K154" s="45">
        <f t="shared" si="44"/>
        <v>58.375868441113361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5"/>
        <v>53.369221238337758</v>
      </c>
      <c r="J155" s="45">
        <f t="shared" si="45"/>
        <v>53.369221238337758</v>
      </c>
      <c r="K155" s="45">
        <f t="shared" si="44"/>
        <v>53.369221238337758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5"/>
        <v>45.557200754788148</v>
      </c>
      <c r="J156" s="45">
        <f t="shared" si="45"/>
        <v>45.557200754788148</v>
      </c>
      <c r="K156" s="45">
        <f t="shared" si="44"/>
        <v>45.557200754788148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5"/>
        <v>33.389503156922814</v>
      </c>
      <c r="J157" s="45">
        <f t="shared" si="45"/>
        <v>33.389503156922814</v>
      </c>
      <c r="K157" s="45">
        <f t="shared" si="44"/>
        <v>33.389503156922814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5"/>
        <v>31.130604380667918</v>
      </c>
      <c r="J158" s="45">
        <f t="shared" si="45"/>
        <v>31.130604380667918</v>
      </c>
      <c r="K158" s="45">
        <f t="shared" si="44"/>
        <v>31.130604380667918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5"/>
        <v>25.832998544941411</v>
      </c>
      <c r="J159" s="45">
        <f t="shared" si="45"/>
        <v>25.832998544941411</v>
      </c>
      <c r="K159" s="45">
        <f t="shared" si="44"/>
        <v>25.832998544941411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6">I$35*I142*I153/1000</f>
        <v>0</v>
      </c>
      <c r="J163" s="10">
        <f t="shared" si="46"/>
        <v>0</v>
      </c>
      <c r="K163" s="10">
        <f t="shared" si="46"/>
        <v>0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7">H$35*H143*H154/1000</f>
        <v>0</v>
      </c>
      <c r="I164" s="10">
        <f t="shared" si="47"/>
        <v>0</v>
      </c>
      <c r="J164" s="10">
        <f t="shared" si="47"/>
        <v>0</v>
      </c>
      <c r="K164" s="10">
        <f t="shared" si="47"/>
        <v>0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7"/>
        <v>0</v>
      </c>
      <c r="I165" s="10">
        <f t="shared" si="47"/>
        <v>42.103118143261362</v>
      </c>
      <c r="J165" s="10">
        <f t="shared" si="47"/>
        <v>45.360685345004448</v>
      </c>
      <c r="K165" s="10">
        <f t="shared" si="47"/>
        <v>47.521804619144135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7"/>
        <v>0</v>
      </c>
      <c r="I166" s="10">
        <f t="shared" si="47"/>
        <v>5.3038768615932073</v>
      </c>
      <c r="J166" s="10">
        <f t="shared" si="47"/>
        <v>5.2461811479501437</v>
      </c>
      <c r="K166" s="10">
        <f t="shared" si="47"/>
        <v>5.0800130096935447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7"/>
        <v>0</v>
      </c>
      <c r="I167" s="10">
        <f t="shared" si="47"/>
        <v>3.8591562590238015</v>
      </c>
      <c r="J167" s="10">
        <f t="shared" si="47"/>
        <v>3.8171762545412706</v>
      </c>
      <c r="K167" s="10">
        <f t="shared" si="47"/>
        <v>6.6069268996305395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7"/>
        <v>0</v>
      </c>
      <c r="I168" s="10">
        <f t="shared" si="47"/>
        <v>56.650400963830336</v>
      </c>
      <c r="J168" s="10">
        <f t="shared" si="47"/>
        <v>7.7463904774217101</v>
      </c>
      <c r="K168" s="10">
        <f t="shared" si="47"/>
        <v>1.1486359893522493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7"/>
        <v>0</v>
      </c>
      <c r="I169" s="10">
        <f t="shared" si="47"/>
        <v>60.040665182307094</v>
      </c>
      <c r="J169" s="10">
        <f t="shared" si="47"/>
        <v>97.659512242748477</v>
      </c>
      <c r="K169" s="10">
        <f t="shared" si="47"/>
        <v>95.84415582414637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8">SUM(I163:I169)</f>
        <v>167.9572174100158</v>
      </c>
      <c r="J170" s="11">
        <f t="shared" si="48"/>
        <v>159.82994546766605</v>
      </c>
      <c r="K170" s="11">
        <f t="shared" si="48"/>
        <v>156.20153634196683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B1589"/>
  <sheetViews>
    <sheetView showGridLines="0" topLeftCell="A25" zoomScale="115" zoomScaleNormal="115" workbookViewId="0">
      <selection activeCell="I48" sqref="I48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67389.90174661066</v>
      </c>
      <c r="I7" s="10">
        <f t="shared" si="0"/>
        <v>68391.959360319597</v>
      </c>
      <c r="J7" s="10">
        <f t="shared" si="0"/>
        <v>69224.825652015963</v>
      </c>
      <c r="K7" s="10">
        <f t="shared" si="0"/>
        <v>68495.508265298835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2942.8867840113244</v>
      </c>
      <c r="J8" s="76">
        <f t="shared" si="0"/>
        <v>2802.5547212735701</v>
      </c>
      <c r="K8" s="76">
        <f t="shared" si="0"/>
        <v>1993.67497877806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67389.90174661066</v>
      </c>
      <c r="I9" s="96">
        <f t="shared" si="1"/>
        <v>65449.072576308274</v>
      </c>
      <c r="J9" s="96">
        <f t="shared" si="1"/>
        <v>66422.270930742394</v>
      </c>
      <c r="K9" s="96">
        <f t="shared" si="1"/>
        <v>66501.833286520778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684.76544972812997</v>
      </c>
      <c r="I13" s="86">
        <f t="shared" ref="I13:K13" si="2">I129+I163</f>
        <v>166.82044030811954</v>
      </c>
      <c r="J13" s="86">
        <f t="shared" si="2"/>
        <v>0</v>
      </c>
      <c r="K13" s="86">
        <f t="shared" si="2"/>
        <v>0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3344.9889661355855</v>
      </c>
      <c r="I14" s="86">
        <f t="shared" si="3"/>
        <v>1865.3890617198003</v>
      </c>
      <c r="J14" s="86">
        <f t="shared" si="3"/>
        <v>1409.4449115228704</v>
      </c>
      <c r="K14" s="86">
        <f t="shared" si="3"/>
        <v>956.97174442006758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644.05562556936832</v>
      </c>
      <c r="I15" s="86">
        <f t="shared" si="3"/>
        <v>1330.5873134868173</v>
      </c>
      <c r="J15" s="86">
        <f t="shared" si="3"/>
        <v>1332.3626424128772</v>
      </c>
      <c r="K15" s="86">
        <f t="shared" si="3"/>
        <v>1329.1367555725415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110.94916911207362</v>
      </c>
      <c r="I16" s="86">
        <f t="shared" si="3"/>
        <v>48.458408419146735</v>
      </c>
      <c r="J16" s="86">
        <f t="shared" si="3"/>
        <v>22.101290729913437</v>
      </c>
      <c r="K16" s="86">
        <f t="shared" si="3"/>
        <v>0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105.085067784548</v>
      </c>
      <c r="I17" s="86">
        <f t="shared" si="3"/>
        <v>67.530420497959653</v>
      </c>
      <c r="J17" s="86">
        <f t="shared" si="3"/>
        <v>56.602390650768243</v>
      </c>
      <c r="K17" s="86">
        <f t="shared" si="3"/>
        <v>44.793748535993203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1126.3148298057915</v>
      </c>
      <c r="I18" s="86">
        <f t="shared" si="3"/>
        <v>280.17131772446379</v>
      </c>
      <c r="J18" s="86">
        <f t="shared" si="3"/>
        <v>276.17262296174408</v>
      </c>
      <c r="K18" s="86">
        <f t="shared" si="3"/>
        <v>147.02925207990731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330.54470576018718</v>
      </c>
      <c r="I19" s="86">
        <f t="shared" si="3"/>
        <v>627.7659568758462</v>
      </c>
      <c r="J19" s="86">
        <f t="shared" si="3"/>
        <v>648.76855611470569</v>
      </c>
      <c r="K19" s="86">
        <f t="shared" si="3"/>
        <v>636.16808933728714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6346.7038138956841</v>
      </c>
      <c r="I20" s="13">
        <f t="shared" ref="I20:K20" si="4">SUM(I13:I19)</f>
        <v>4386.7229190321532</v>
      </c>
      <c r="J20" s="13">
        <f t="shared" si="4"/>
        <v>3745.4524143928784</v>
      </c>
      <c r="K20" s="13">
        <f t="shared" si="4"/>
        <v>3114.0995899457962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-0.41728000000000021</v>
      </c>
      <c r="J23" s="193">
        <f t="shared" ref="J23:K23" si="5">J114/$G114-1</f>
        <v>-0.50717934579802937</v>
      </c>
      <c r="K23" s="193">
        <f t="shared" si="5"/>
        <v>-0.60527122573010461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-0.10585889120858805</v>
      </c>
      <c r="J24" s="193">
        <f t="shared" ref="J24:K24" si="6">J125/$G125-1</f>
        <v>-0.22854689591021515</v>
      </c>
      <c r="K24" s="193">
        <f t="shared" si="6"/>
        <v>-0.30899830782946336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67389.90174661066</v>
      </c>
      <c r="H34" s="127">
        <f>'Init. parc'!C5</f>
        <v>67389.90174661066</v>
      </c>
      <c r="I34" s="127">
        <f>'Init. parc'!D5</f>
        <v>68391.959360319597</v>
      </c>
      <c r="J34" s="127">
        <f>'Init. parc'!E5</f>
        <v>69224.825652015963</v>
      </c>
      <c r="K34" s="127">
        <f>'Init. parc'!F5</f>
        <v>68495.508265298835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parc'!N5</f>
        <v>2942.8867840113244</v>
      </c>
      <c r="J35" s="127">
        <f>'Init. parc'!O5</f>
        <v>2802.5547212735701</v>
      </c>
      <c r="K35" s="127">
        <f>'Init. parc'!P5</f>
        <v>1993.67497877806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67389.90174661066</v>
      </c>
      <c r="H36" s="127">
        <f>H34-H35</f>
        <v>67389.90174661066</v>
      </c>
      <c r="I36" s="127">
        <f>I34-I35</f>
        <v>65449.072576308274</v>
      </c>
      <c r="J36" s="127">
        <f>J34-J35</f>
        <v>66422.270930742394</v>
      </c>
      <c r="K36" s="127">
        <f>K34-K35</f>
        <v>66501.833286520778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7.9577911246311389E-2</v>
      </c>
      <c r="H45" s="55">
        <f>'Init. énergie'!B12</f>
        <v>7.9577911246311389E-2</v>
      </c>
      <c r="I45" s="47">
        <v>0.03</v>
      </c>
      <c r="J45" s="47">
        <v>0</v>
      </c>
      <c r="K45" s="47">
        <v>0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0.34462030283054329</v>
      </c>
      <c r="H46" s="55">
        <f>'Init. énergie'!B13</f>
        <v>0.34462030283054329</v>
      </c>
      <c r="I46" s="47">
        <f t="shared" ref="I46" si="8">H46+((K46-H46)/3)</f>
        <v>0.29641353522036218</v>
      </c>
      <c r="J46" s="47">
        <f t="shared" ref="J46" si="9">H46+((K46-H46)/3*2)</f>
        <v>0.24820676761018112</v>
      </c>
      <c r="K46" s="47">
        <v>0.2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6.6086937326922057E-2</v>
      </c>
      <c r="H47" s="55">
        <f>'Init. énergie'!B14</f>
        <v>6.6086937326922057E-2</v>
      </c>
      <c r="I47" s="47">
        <v>0.2</v>
      </c>
      <c r="J47" s="47">
        <v>0.22</v>
      </c>
      <c r="K47" s="47">
        <v>0.26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1.4148263803273525E-2</v>
      </c>
      <c r="H48" s="55">
        <f>'Init. énergie'!B15</f>
        <v>1.4148263803273525E-2</v>
      </c>
      <c r="I48" s="47">
        <f t="shared" ref="I48:I49" si="10">H48+((K48-H48)/3)</f>
        <v>9.432175868849018E-3</v>
      </c>
      <c r="J48" s="47">
        <f t="shared" ref="J48:J49" si="11">H48+((K48-H48)/3*2)</f>
        <v>4.716087934424509E-3</v>
      </c>
      <c r="K48" s="47">
        <v>0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2.6562983479710957E-2</v>
      </c>
      <c r="H49" s="55">
        <f>'Init. énergie'!B16</f>
        <v>2.6562983479710957E-2</v>
      </c>
      <c r="I49" s="47">
        <f t="shared" si="10"/>
        <v>2.4375322319807304E-2</v>
      </c>
      <c r="J49" s="47">
        <f t="shared" si="11"/>
        <v>2.2187661159903654E-2</v>
      </c>
      <c r="K49" s="47">
        <v>0.02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0.36221493246354636</v>
      </c>
      <c r="H50" s="55">
        <f>'Init. énergie'!B17</f>
        <v>0.36221493246354636</v>
      </c>
      <c r="I50" s="47">
        <f t="shared" ref="I50" si="12">1-I45-I46-I47-I48-I49-I51</f>
        <v>0.13977896659098143</v>
      </c>
      <c r="J50" s="47">
        <f t="shared" ref="J50" si="13">1-J45-J46-J47-J48-J49-J51</f>
        <v>0.15488948329549079</v>
      </c>
      <c r="K50" s="47">
        <f>1-K45-K46-K47-K48-K49-K51</f>
        <v>0.10000000000000003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0.10678866884969246</v>
      </c>
      <c r="H51" s="55">
        <f>'Init. énergie'!B18</f>
        <v>0.10678866884969246</v>
      </c>
      <c r="I51" s="47">
        <v>0.3</v>
      </c>
      <c r="J51" s="47">
        <v>0.35</v>
      </c>
      <c r="K51" s="125">
        <v>0.42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4">SUM(G45:G51)</f>
        <v>1</v>
      </c>
      <c r="H52" s="164">
        <f t="shared" si="14"/>
        <v>1</v>
      </c>
      <c r="I52" s="170">
        <f t="shared" si="14"/>
        <v>1</v>
      </c>
      <c r="J52" s="170">
        <f t="shared" si="14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5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4.2743152325472628E-2</v>
      </c>
      <c r="J55" s="157">
        <f t="shared" si="15"/>
        <v>-5.6668670528685329E-2</v>
      </c>
      <c r="K55" s="157">
        <f t="shared" si="15"/>
        <v>-1.2451112251496714E-2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7.9577911246311389E-2</v>
      </c>
      <c r="H59" s="55">
        <f>H45</f>
        <v>7.9577911246311389E-2</v>
      </c>
      <c r="I59" s="47">
        <v>0.03</v>
      </c>
      <c r="J59" s="47">
        <v>0</v>
      </c>
      <c r="K59" s="47">
        <v>0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6">H60</f>
        <v>0.34462030283054329</v>
      </c>
      <c r="H60" s="55">
        <f t="shared" ref="H60:H65" si="17">H46</f>
        <v>0.34462030283054329</v>
      </c>
      <c r="I60" s="47">
        <f t="shared" ref="I60:I65" si="18">H60+((K60-H60)/3)</f>
        <v>0.30641353522036219</v>
      </c>
      <c r="J60" s="47">
        <f t="shared" ref="J60:J65" si="19">H60+((K60-H60)/3*2)</f>
        <v>0.26820676761018108</v>
      </c>
      <c r="K60" s="47">
        <v>0.23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6"/>
        <v>6.6086937326922057E-2</v>
      </c>
      <c r="H61" s="55">
        <f t="shared" si="17"/>
        <v>6.6086937326922057E-2</v>
      </c>
      <c r="I61" s="47">
        <v>0.2</v>
      </c>
      <c r="J61" s="47">
        <v>0.2</v>
      </c>
      <c r="K61" s="47">
        <v>0.26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6"/>
        <v>1.4148263803273525E-2</v>
      </c>
      <c r="H62" s="55">
        <f t="shared" si="17"/>
        <v>1.4148263803273525E-2</v>
      </c>
      <c r="I62" s="47">
        <f t="shared" si="18"/>
        <v>9.432175868849018E-3</v>
      </c>
      <c r="J62" s="47">
        <f t="shared" si="19"/>
        <v>4.716087934424509E-3</v>
      </c>
      <c r="K62" s="47">
        <v>0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6"/>
        <v>2.6562983479710957E-2</v>
      </c>
      <c r="H63" s="55">
        <f t="shared" si="17"/>
        <v>2.6562983479710957E-2</v>
      </c>
      <c r="I63" s="47">
        <f t="shared" si="18"/>
        <v>2.4375322319807304E-2</v>
      </c>
      <c r="J63" s="47">
        <f t="shared" si="19"/>
        <v>2.2187661159903654E-2</v>
      </c>
      <c r="K63" s="47">
        <v>0.02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6"/>
        <v>0.36221493246354636</v>
      </c>
      <c r="H64" s="55">
        <f t="shared" si="17"/>
        <v>0.36221493246354636</v>
      </c>
      <c r="I64" s="47">
        <f t="shared" ref="I64:J64" si="20">1-I59-I60-I61-I62-I63-I65</f>
        <v>0.21858652069118645</v>
      </c>
      <c r="J64" s="47">
        <f t="shared" si="20"/>
        <v>0.18929326034559329</v>
      </c>
      <c r="K64" s="47">
        <f>1-K59-K60-K61-K62-K63-K65</f>
        <v>7.0000000000000007E-2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6"/>
        <v>0.10678866884969246</v>
      </c>
      <c r="H65" s="55">
        <f t="shared" si="17"/>
        <v>0.10678866884969246</v>
      </c>
      <c r="I65" s="47">
        <f t="shared" si="18"/>
        <v>0.21119244589979497</v>
      </c>
      <c r="J65" s="47">
        <f t="shared" si="19"/>
        <v>0.31559622294989748</v>
      </c>
      <c r="K65" s="125">
        <v>0.42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21">SUM(G59:G65)</f>
        <v>1</v>
      </c>
      <c r="H66" s="164">
        <v>1</v>
      </c>
      <c r="I66" s="170">
        <f t="shared" ref="I66:J66" si="22">SUM(I59:I65)</f>
        <v>1</v>
      </c>
      <c r="J66" s="170">
        <f t="shared" si="22"/>
        <v>1</v>
      </c>
      <c r="K66" s="170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5.33359388982576E-2</v>
      </c>
      <c r="J69" s="157">
        <f t="shared" ref="J69:K69" si="23">(I$97*(J59-I59)+I$98*(J60-I60)+I$99*(J61-I61)+I$100*(J62-I62)+I$101*(J63-I63)+I$102*(J64-I64)+I$103*(J65-I65))/(I$97*I59+I$98*I60+I$99*I61+I$100*I62+I$101*I63+I$102*I64+I$103*I65)</f>
        <v>-6.7347429032119349E-2</v>
      </c>
      <c r="K69" s="157">
        <f t="shared" si="23"/>
        <v>2.5165700400077769E-2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98" t="s">
        <v>92</v>
      </c>
      <c r="G72" s="199" t="s">
        <v>91</v>
      </c>
      <c r="H72" s="199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bord'!F10</f>
        <v>0.65</v>
      </c>
      <c r="G73" s="92">
        <f>'Tableau de bord'!F23</f>
        <v>0.9</v>
      </c>
      <c r="H73" s="92">
        <f>'Tableau de bord'!F26</f>
        <v>0.74249999999999994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130.27139624649729</v>
      </c>
      <c r="H77" s="54">
        <f>'Init. énergie'!D12</f>
        <v>127.68929254901445</v>
      </c>
      <c r="I77" s="81">
        <f>G77*60%/(1+I$55)</f>
        <v>74.95885978592483</v>
      </c>
      <c r="J77" s="81">
        <f>G77*50%/(1+I$55)/(1+J$55)</f>
        <v>66.218214678907458</v>
      </c>
      <c r="K77" s="81">
        <f>G77*40%/(1+I$55)/(1+J$55)/(1+K$55)</f>
        <v>53.642480286623417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24">H78/0.998^10</f>
        <v>146.94458739322729</v>
      </c>
      <c r="H78" s="54">
        <f>'Init. énergie'!D13</f>
        <v>144.03200509684046</v>
      </c>
      <c r="I78" s="81">
        <f t="shared" ref="I78:I83" si="25">G78*60%/(1+I$55)</f>
        <v>84.552703356825091</v>
      </c>
      <c r="J78" s="81">
        <f t="shared" ref="J78:J83" si="26">G78*50%/(1+I$55)/(1+J$55)</f>
        <v>74.69335951152695</v>
      </c>
      <c r="K78" s="81">
        <f t="shared" ref="K78:K83" si="27">G78*40%/(1+I$55)/(1+J$55)/(1+K$55)</f>
        <v>60.508080511796543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24"/>
        <v>147.53923121179881</v>
      </c>
      <c r="H79" s="54">
        <f>'Init. énergie'!D14</f>
        <v>144.61486250606305</v>
      </c>
      <c r="I79" s="81">
        <f t="shared" si="25"/>
        <v>84.894864597920019</v>
      </c>
      <c r="J79" s="81">
        <f t="shared" si="26"/>
        <v>74.995622734077713</v>
      </c>
      <c r="K79" s="81">
        <f t="shared" si="27"/>
        <v>60.752939861080918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24"/>
        <v>118.71912012768229</v>
      </c>
      <c r="H80" s="54">
        <f>'Init. énergie'!D15</f>
        <v>116.3659935943368</v>
      </c>
      <c r="I80" s="81">
        <f t="shared" si="25"/>
        <v>68.311618175341223</v>
      </c>
      <c r="J80" s="81">
        <f t="shared" si="26"/>
        <v>60.34608064099293</v>
      </c>
      <c r="K80" s="81">
        <f t="shared" si="27"/>
        <v>48.885543907461624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24"/>
        <v>59.891324892441268</v>
      </c>
      <c r="H81" s="54">
        <f>'Init. énergie'!D16</f>
        <v>58.704221538153881</v>
      </c>
      <c r="I81" s="81">
        <f t="shared" si="25"/>
        <v>34.46178942084137</v>
      </c>
      <c r="J81" s="81">
        <f t="shared" si="26"/>
        <v>30.443341542357228</v>
      </c>
      <c r="K81" s="81">
        <f t="shared" si="27"/>
        <v>24.661739318457045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24"/>
        <v>47.075312967432488</v>
      </c>
      <c r="H82" s="54">
        <f>'Init. énergie'!D17</f>
        <v>46.142235229911599</v>
      </c>
      <c r="I82" s="81">
        <f t="shared" si="25"/>
        <v>27.087387452479081</v>
      </c>
      <c r="J82" s="81">
        <f t="shared" si="26"/>
        <v>23.928838332674403</v>
      </c>
      <c r="K82" s="81">
        <f t="shared" si="27"/>
        <v>19.384428359575697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24"/>
        <v>46.860271078570904</v>
      </c>
      <c r="H83" s="54">
        <f>'Init. énergie'!D18</f>
        <v>45.931455677006653</v>
      </c>
      <c r="I83" s="81">
        <f t="shared" si="25"/>
        <v>26.963651196787346</v>
      </c>
      <c r="J83" s="81">
        <f t="shared" si="26"/>
        <v>23.819530454107952</v>
      </c>
      <c r="K83" s="81">
        <f t="shared" si="27"/>
        <v>19.295879525246566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8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8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8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8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8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8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130.27139624649729</v>
      </c>
      <c r="H97" s="54">
        <f>H77</f>
        <v>127.68929254901445</v>
      </c>
      <c r="I97" s="81">
        <f>$H97*(1+$G87)^(I$96-$H$96)</f>
        <v>113.8058424435695</v>
      </c>
      <c r="J97" s="81">
        <f>$H97*(1+$G87)^(J$96-$H$96)</f>
        <v>101.4319173968243</v>
      </c>
      <c r="K97" s="81">
        <f>$H97*(1+$G87)^(K$96-$H$96)</f>
        <v>90.403389192410728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9">G78</f>
        <v>146.94458739322729</v>
      </c>
      <c r="H98" s="54">
        <f t="shared" si="29"/>
        <v>144.03200509684046</v>
      </c>
      <c r="I98" s="81">
        <f t="shared" ref="I98:K103" si="30">$H98*(1+$G88)^(I$96-$H$96)</f>
        <v>129.60674879389148</v>
      </c>
      <c r="J98" s="81">
        <f t="shared" si="30"/>
        <v>116.62622707799389</v>
      </c>
      <c r="K98" s="81">
        <f t="shared" si="30"/>
        <v>104.94574525650673</v>
      </c>
      <c r="L98" s="67"/>
      <c r="M98" s="79">
        <f t="shared" ref="M98:M103" si="31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9"/>
        <v>147.53923121179881</v>
      </c>
      <c r="H99" s="54">
        <f t="shared" si="29"/>
        <v>144.61486250606305</v>
      </c>
      <c r="I99" s="81">
        <f t="shared" si="30"/>
        <v>134.05265149509705</v>
      </c>
      <c r="J99" s="81">
        <f t="shared" si="30"/>
        <v>124.26187088559131</v>
      </c>
      <c r="K99" s="81">
        <f t="shared" si="30"/>
        <v>115.1861778470836</v>
      </c>
      <c r="L99" s="67"/>
      <c r="M99" s="79">
        <f t="shared" si="31"/>
        <v>-0.22371872990135291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9"/>
        <v>118.71912012768229</v>
      </c>
      <c r="H100" s="54">
        <f t="shared" si="29"/>
        <v>116.3659935943368</v>
      </c>
      <c r="I100" s="81">
        <f t="shared" si="30"/>
        <v>107.86699039684336</v>
      </c>
      <c r="J100" s="81">
        <f t="shared" si="30"/>
        <v>99.98872744415732</v>
      </c>
      <c r="K100" s="81">
        <f t="shared" si="30"/>
        <v>92.685867837048292</v>
      </c>
      <c r="L100" s="67"/>
      <c r="M100" s="79">
        <f t="shared" si="31"/>
        <v>-0.22371872990135289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9"/>
        <v>59.891324892441268</v>
      </c>
      <c r="H101" s="54">
        <f t="shared" si="29"/>
        <v>58.704221538153881</v>
      </c>
      <c r="I101" s="81">
        <f t="shared" si="30"/>
        <v>54.41665133703102</v>
      </c>
      <c r="J101" s="81">
        <f>$H101*(1+$G91)^(J$96-$H$96)</f>
        <v>50.442231668321035</v>
      </c>
      <c r="K101" s="81">
        <f>$H101*(1+$G91)^(K$96-$H$96)</f>
        <v>46.758091010077834</v>
      </c>
      <c r="L101" s="67"/>
      <c r="M101" s="79">
        <f t="shared" si="31"/>
        <v>-0.22371872990135294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9"/>
        <v>47.075312967432488</v>
      </c>
      <c r="H102" s="54">
        <f t="shared" si="29"/>
        <v>46.142235229911599</v>
      </c>
      <c r="I102" s="81">
        <f t="shared" si="30"/>
        <v>39.857662082724318</v>
      </c>
      <c r="J102" s="81">
        <f t="shared" si="30"/>
        <v>34.429047894732498</v>
      </c>
      <c r="K102" s="81">
        <f t="shared" si="30"/>
        <v>29.739811042543813</v>
      </c>
      <c r="L102" s="67"/>
      <c r="M102" s="79">
        <f t="shared" si="31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9"/>
        <v>46.860271078570904</v>
      </c>
      <c r="H103" s="54">
        <f t="shared" si="29"/>
        <v>45.931455677006653</v>
      </c>
      <c r="I103" s="81">
        <f t="shared" si="30"/>
        <v>39.675590708163185</v>
      </c>
      <c r="J103" s="81">
        <f t="shared" si="30"/>
        <v>34.271774644183715</v>
      </c>
      <c r="K103" s="81">
        <f t="shared" si="30"/>
        <v>29.603958411135931</v>
      </c>
      <c r="L103" s="67"/>
      <c r="M103" s="79">
        <f t="shared" si="31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518.71987048857284</v>
      </c>
      <c r="H107" s="54">
        <f>H$36*H45*$H$73*H77/1000</f>
        <v>508.43834642313647</v>
      </c>
      <c r="I107" s="127">
        <f>I$36*I45*$H$73*I77/1000</f>
        <v>109.28087945600954</v>
      </c>
      <c r="J107" s="127">
        <f>J$36*J45*$H$73*J77/1000</f>
        <v>0</v>
      </c>
      <c r="K107" s="127">
        <f>K$36*K45*$H$73*K77/1000</f>
        <v>0</v>
      </c>
      <c r="L107" s="46"/>
      <c r="M107" s="79">
        <f>(K107-G107)/H107</f>
        <v>-1.0202217715043858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32">G$36*G46*$H$73*G78/1000</f>
        <v>2533.8781972549023</v>
      </c>
      <c r="H108" s="54">
        <f t="shared" si="32"/>
        <v>2483.6543073556722</v>
      </c>
      <c r="I108" s="127">
        <f t="shared" si="32"/>
        <v>1217.9388491764748</v>
      </c>
      <c r="J108" s="127">
        <f t="shared" si="32"/>
        <v>914.33593753444654</v>
      </c>
      <c r="K108" s="127">
        <f t="shared" si="32"/>
        <v>597.54889497840622</v>
      </c>
      <c r="L108" s="46"/>
      <c r="M108" s="79">
        <f t="shared" ref="M108:M114" si="33">(K108-G108)/H108</f>
        <v>-0.77962915231068974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32"/>
        <v>487.88158166481657</v>
      </c>
      <c r="H109" s="54">
        <f t="shared" si="32"/>
        <v>478.21130198525594</v>
      </c>
      <c r="I109" s="127">
        <f t="shared" si="32"/>
        <v>825.10908793213207</v>
      </c>
      <c r="J109" s="127">
        <f t="shared" si="32"/>
        <v>813.70835306376432</v>
      </c>
      <c r="K109" s="127">
        <f t="shared" si="32"/>
        <v>779.95711160728717</v>
      </c>
      <c r="L109" s="46"/>
      <c r="M109" s="79">
        <f t="shared" si="33"/>
        <v>0.61076668144383539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32"/>
        <v>84.045622709906127</v>
      </c>
      <c r="H110" s="54">
        <f t="shared" si="32"/>
        <v>82.379758065714654</v>
      </c>
      <c r="I110" s="127">
        <f t="shared" si="32"/>
        <v>31.31168345486601</v>
      </c>
      <c r="J110" s="127">
        <f t="shared" si="32"/>
        <v>14.035928289173102</v>
      </c>
      <c r="K110" s="127">
        <f t="shared" si="32"/>
        <v>0</v>
      </c>
      <c r="L110" s="46"/>
      <c r="M110" s="79">
        <f t="shared" si="33"/>
        <v>-1.020221771504386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32"/>
        <v>79.603479955253931</v>
      </c>
      <c r="H111" s="54">
        <f t="shared" si="32"/>
        <v>78.025662830026889</v>
      </c>
      <c r="I111" s="127">
        <f t="shared" si="32"/>
        <v>40.821423623574574</v>
      </c>
      <c r="J111" s="127">
        <f t="shared" si="32"/>
        <v>33.313021313238998</v>
      </c>
      <c r="K111" s="127">
        <f t="shared" si="32"/>
        <v>24.354755519168222</v>
      </c>
      <c r="L111" s="46"/>
      <c r="M111" s="79">
        <f t="shared" si="33"/>
        <v>-0.70808401277462973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32"/>
        <v>853.2000013700731</v>
      </c>
      <c r="H112" s="54">
        <f t="shared" si="32"/>
        <v>836.28876113080014</v>
      </c>
      <c r="I112" s="127">
        <f t="shared" si="32"/>
        <v>183.99621961259851</v>
      </c>
      <c r="J112" s="127">
        <f t="shared" si="32"/>
        <v>182.79054354006058</v>
      </c>
      <c r="K112" s="127">
        <f t="shared" si="32"/>
        <v>95.715676716883394</v>
      </c>
      <c r="L112" s="46"/>
      <c r="M112" s="79">
        <f t="shared" si="33"/>
        <v>-0.90576886819445723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32"/>
        <v>250.39246216450013</v>
      </c>
      <c r="H113" s="54">
        <f t="shared" si="32"/>
        <v>245.42944402693894</v>
      </c>
      <c r="I113" s="127">
        <f t="shared" si="32"/>
        <v>393.09716350345229</v>
      </c>
      <c r="J113" s="127">
        <f t="shared" si="32"/>
        <v>411.16053095595692</v>
      </c>
      <c r="K113" s="127">
        <f t="shared" si="32"/>
        <v>400.16946364658213</v>
      </c>
      <c r="L113" s="46"/>
      <c r="M113" s="79">
        <f t="shared" si="33"/>
        <v>0.61026500742772372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4807.721215608025</v>
      </c>
      <c r="H114" s="161">
        <f>SUM(H107:H113)</f>
        <v>4712.4275818175447</v>
      </c>
      <c r="I114" s="159">
        <f t="shared" ref="I114:J114" si="34">SUM(I107:I113)</f>
        <v>2801.5553067591072</v>
      </c>
      <c r="J114" s="159">
        <f t="shared" si="34"/>
        <v>2369.3443146966406</v>
      </c>
      <c r="K114" s="159">
        <f>SUM(K107:K113)</f>
        <v>1897.7459024683271</v>
      </c>
      <c r="L114" s="21"/>
      <c r="M114" s="79">
        <f t="shared" si="33"/>
        <v>-0.61751088215499839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179.89274969805732</v>
      </c>
      <c r="H118" s="162">
        <f>H$36*H45*(1-$H$73)*H97/1000</f>
        <v>176.3271033049935</v>
      </c>
      <c r="I118" s="158">
        <f t="shared" ref="I118:K118" si="35">I$36*I45*(1-$H$73)*I97/1000</f>
        <v>57.539560852109993</v>
      </c>
      <c r="J118" s="158">
        <f t="shared" si="35"/>
        <v>0</v>
      </c>
      <c r="K118" s="158">
        <f t="shared" si="35"/>
        <v>0</v>
      </c>
      <c r="L118" s="46"/>
      <c r="M118" s="79">
        <f>(K118-G118)/H118</f>
        <v>-1.0202217715043858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6">G$36*G46*(1-$H$73)*G98/1000</f>
        <v>878.75237143856907</v>
      </c>
      <c r="H119" s="162">
        <f t="shared" si="36"/>
        <v>861.33465877991352</v>
      </c>
      <c r="I119" s="158">
        <f t="shared" si="36"/>
        <v>647.45021254332562</v>
      </c>
      <c r="J119" s="158">
        <f t="shared" si="36"/>
        <v>495.10897398842377</v>
      </c>
      <c r="K119" s="158">
        <f t="shared" si="36"/>
        <v>359.42284944166136</v>
      </c>
      <c r="L119" s="46"/>
      <c r="M119" s="79">
        <f t="shared" ref="M119:M125" si="37">(K119-G119)/H119</f>
        <v>-0.60293582372795906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6"/>
        <v>169.19798960092973</v>
      </c>
      <c r="H120" s="162">
        <f t="shared" si="36"/>
        <v>165.8443235841124</v>
      </c>
      <c r="I120" s="158">
        <f t="shared" si="36"/>
        <v>451.84151841258227</v>
      </c>
      <c r="J120" s="158">
        <f t="shared" si="36"/>
        <v>467.57525781743635</v>
      </c>
      <c r="K120" s="158">
        <f t="shared" si="36"/>
        <v>512.84315913878049</v>
      </c>
      <c r="L120" s="46"/>
      <c r="M120" s="79">
        <f t="shared" si="37"/>
        <v>2.0720948544468083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6"/>
        <v>29.147135148553307</v>
      </c>
      <c r="H121" s="162">
        <f t="shared" si="36"/>
        <v>28.569411046358969</v>
      </c>
      <c r="I121" s="158">
        <f t="shared" si="36"/>
        <v>17.146724964280729</v>
      </c>
      <c r="J121" s="158">
        <f t="shared" si="36"/>
        <v>8.065362440740337</v>
      </c>
      <c r="K121" s="158">
        <f t="shared" si="36"/>
        <v>0</v>
      </c>
      <c r="L121" s="46"/>
      <c r="M121" s="79">
        <f t="shared" si="37"/>
        <v>-1.0202217715043855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6"/>
        <v>27.606594058556087</v>
      </c>
      <c r="H122" s="162">
        <f t="shared" si="36"/>
        <v>27.059404954521117</v>
      </c>
      <c r="I122" s="158">
        <f t="shared" si="36"/>
        <v>22.354394471723896</v>
      </c>
      <c r="J122" s="158">
        <f t="shared" si="36"/>
        <v>19.142416899823651</v>
      </c>
      <c r="K122" s="158">
        <f t="shared" si="36"/>
        <v>16.013918681713037</v>
      </c>
      <c r="L122" s="46"/>
      <c r="M122" s="79">
        <f t="shared" si="37"/>
        <v>-0.42841575401701998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6"/>
        <v>295.89090956605236</v>
      </c>
      <c r="H123" s="162">
        <f t="shared" si="36"/>
        <v>290.02606867499145</v>
      </c>
      <c r="I123" s="158">
        <f t="shared" si="36"/>
        <v>93.893250990464907</v>
      </c>
      <c r="J123" s="158">
        <f t="shared" si="36"/>
        <v>91.20904257295075</v>
      </c>
      <c r="K123" s="158">
        <f t="shared" si="36"/>
        <v>50.927112865039895</v>
      </c>
      <c r="L123" s="46"/>
      <c r="M123" s="79">
        <f t="shared" si="37"/>
        <v>-0.84462682206516893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6"/>
        <v>86.836443107553947</v>
      </c>
      <c r="H124" s="162">
        <f t="shared" si="36"/>
        <v>85.115261733248218</v>
      </c>
      <c r="I124" s="158">
        <f t="shared" si="36"/>
        <v>200.59744006796018</v>
      </c>
      <c r="J124" s="158">
        <f t="shared" si="36"/>
        <v>205.16137019998533</v>
      </c>
      <c r="K124" s="158">
        <f t="shared" si="36"/>
        <v>212.91679836890506</v>
      </c>
      <c r="L124" s="46"/>
      <c r="M124" s="79">
        <f t="shared" si="37"/>
        <v>1.4812896382377083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1667.324192618272</v>
      </c>
      <c r="H125" s="163">
        <f>SUM(H118:H124)</f>
        <v>1634.2762320781389</v>
      </c>
      <c r="I125" s="160">
        <f t="shared" ref="I125:K125" si="38">SUM(I118:I124)</f>
        <v>1490.8231023024475</v>
      </c>
      <c r="J125" s="160">
        <f t="shared" si="38"/>
        <v>1286.2624239193603</v>
      </c>
      <c r="K125" s="160">
        <f t="shared" si="38"/>
        <v>1152.1238384960998</v>
      </c>
      <c r="L125" s="21"/>
      <c r="M125" s="79">
        <f t="shared" si="37"/>
        <v>-0.31524680100563268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684.76544972812997</v>
      </c>
      <c r="I129" s="158">
        <f t="shared" ref="I129:K129" si="39">I107+I118</f>
        <v>166.82044030811954</v>
      </c>
      <c r="J129" s="158">
        <f t="shared" si="39"/>
        <v>0</v>
      </c>
      <c r="K129" s="158">
        <f t="shared" si="39"/>
        <v>0</v>
      </c>
      <c r="L129" s="46"/>
      <c r="M129" s="79">
        <f>(K129-G129)/H129</f>
        <v>0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40">H108+H119</f>
        <v>3344.9889661355855</v>
      </c>
      <c r="I130" s="158">
        <f t="shared" si="40"/>
        <v>1865.3890617198003</v>
      </c>
      <c r="J130" s="158">
        <f t="shared" si="40"/>
        <v>1409.4449115228704</v>
      </c>
      <c r="K130" s="158">
        <f t="shared" si="40"/>
        <v>956.97174442006758</v>
      </c>
      <c r="L130" s="46"/>
      <c r="M130" s="79">
        <f t="shared" ref="M130:M136" si="41">(K130-G130)/H130</f>
        <v>0.28609115130374924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40"/>
        <v>644.05562556936832</v>
      </c>
      <c r="I131" s="158">
        <f t="shared" si="40"/>
        <v>1276.9506063447143</v>
      </c>
      <c r="J131" s="158">
        <f t="shared" si="40"/>
        <v>1281.2836108812007</v>
      </c>
      <c r="K131" s="158">
        <f t="shared" si="40"/>
        <v>1292.8002707460678</v>
      </c>
      <c r="L131" s="46"/>
      <c r="M131" s="79">
        <f t="shared" si="41"/>
        <v>2.0072804574964871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40"/>
        <v>110.94916911207362</v>
      </c>
      <c r="I132" s="158">
        <f t="shared" si="40"/>
        <v>48.458408419146735</v>
      </c>
      <c r="J132" s="158">
        <f t="shared" si="40"/>
        <v>22.101290729913437</v>
      </c>
      <c r="K132" s="158">
        <f t="shared" si="40"/>
        <v>0</v>
      </c>
      <c r="L132" s="46"/>
      <c r="M132" s="79">
        <f t="shared" si="41"/>
        <v>0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40"/>
        <v>105.085067784548</v>
      </c>
      <c r="I133" s="158">
        <f t="shared" si="40"/>
        <v>63.175818095298467</v>
      </c>
      <c r="J133" s="158">
        <f t="shared" si="40"/>
        <v>52.455438213062649</v>
      </c>
      <c r="K133" s="158">
        <f t="shared" si="40"/>
        <v>40.368674200881259</v>
      </c>
      <c r="L133" s="46"/>
      <c r="M133" s="79">
        <f t="shared" si="41"/>
        <v>0.38415233535984056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40"/>
        <v>1126.3148298057915</v>
      </c>
      <c r="I134" s="158">
        <f t="shared" si="40"/>
        <v>277.88947060306339</v>
      </c>
      <c r="J134" s="158">
        <f t="shared" si="40"/>
        <v>273.99958611301133</v>
      </c>
      <c r="K134" s="158">
        <f t="shared" si="40"/>
        <v>146.6427895819233</v>
      </c>
      <c r="L134" s="46"/>
      <c r="M134" s="79">
        <f t="shared" si="41"/>
        <v>0.13019698018822023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40"/>
        <v>330.54470576018718</v>
      </c>
      <c r="I135" s="158">
        <f t="shared" si="40"/>
        <v>593.69460357141247</v>
      </c>
      <c r="J135" s="158">
        <f t="shared" si="40"/>
        <v>616.32190115594221</v>
      </c>
      <c r="K135" s="158">
        <f t="shared" si="40"/>
        <v>613.08626201548714</v>
      </c>
      <c r="L135" s="46"/>
      <c r="M135" s="79">
        <f t="shared" si="41"/>
        <v>1.8547756213656803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6346.7038138956841</v>
      </c>
      <c r="I136" s="160">
        <f t="shared" ref="I136:K136" si="42">SUM(I129:I135)</f>
        <v>4292.3784090615554</v>
      </c>
      <c r="J136" s="160">
        <f t="shared" si="42"/>
        <v>3655.6067386160007</v>
      </c>
      <c r="K136" s="160">
        <f t="shared" si="42"/>
        <v>3049.8697409644269</v>
      </c>
      <c r="L136" s="21"/>
      <c r="M136" s="79">
        <f t="shared" si="41"/>
        <v>0.48054389024534921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énergie'!C12</f>
        <v>0</v>
      </c>
      <c r="I142" s="47">
        <v>0</v>
      </c>
      <c r="J142" s="47">
        <v>0</v>
      </c>
      <c r="K142" s="47">
        <v>0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énergie'!C13</f>
        <v>0.38923402073260943</v>
      </c>
      <c r="I143" s="47">
        <v>0</v>
      </c>
      <c r="J143" s="47">
        <v>0</v>
      </c>
      <c r="K143" s="47">
        <v>0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énergie'!C14</f>
        <v>6.6076657693018501E-2</v>
      </c>
      <c r="I144" s="47">
        <v>0.3</v>
      </c>
      <c r="J144" s="47">
        <v>0.3</v>
      </c>
      <c r="K144" s="47">
        <v>0.3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énergie'!C15</f>
        <v>1.4740928196769911E-2</v>
      </c>
      <c r="I145" s="47">
        <v>0</v>
      </c>
      <c r="J145" s="47">
        <v>0</v>
      </c>
      <c r="K145" s="47">
        <v>0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énergie'!C16</f>
        <v>2.5736644706610589E-2</v>
      </c>
      <c r="I146" s="47">
        <v>0.06</v>
      </c>
      <c r="J146" s="47">
        <v>0.06</v>
      </c>
      <c r="K146" s="47">
        <v>0.09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énergie'!C17</f>
        <v>8.0042733231366181E-2</v>
      </c>
      <c r="I147" s="47">
        <f>1-I142-I143-I144-I145-I146-I148</f>
        <v>3.9999999999999925E-2</v>
      </c>
      <c r="J147" s="47">
        <f t="shared" ref="J147:K147" si="43">1-J142-J143-J144-J145-J146-J148</f>
        <v>3.9999999999999925E-2</v>
      </c>
      <c r="K147" s="47">
        <f t="shared" si="43"/>
        <v>1.0000000000000009E-2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énergie'!C18</f>
        <v>0.42416901543962537</v>
      </c>
      <c r="I148" s="47">
        <v>0.6</v>
      </c>
      <c r="J148" s="47">
        <v>0.6</v>
      </c>
      <c r="K148" s="47">
        <v>0.6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4">SUM(I142:I148)</f>
        <v>0.99999999999999989</v>
      </c>
      <c r="J149" s="15">
        <f t="shared" si="44"/>
        <v>0.99999999999999989</v>
      </c>
      <c r="K149" s="15">
        <f t="shared" si="44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53.642480286623417</v>
      </c>
      <c r="J153" s="45">
        <f>K153</f>
        <v>53.642480286623417</v>
      </c>
      <c r="K153" s="45">
        <f t="shared" ref="K153:K159" si="45">K77</f>
        <v>53.642480286623417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6">J154</f>
        <v>60.508080511796543</v>
      </c>
      <c r="J154" s="45">
        <f t="shared" si="46"/>
        <v>60.508080511796543</v>
      </c>
      <c r="K154" s="45">
        <f t="shared" si="45"/>
        <v>60.508080511796543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6"/>
        <v>60.752939861080918</v>
      </c>
      <c r="J155" s="45">
        <f t="shared" si="46"/>
        <v>60.752939861080918</v>
      </c>
      <c r="K155" s="45">
        <f t="shared" si="45"/>
        <v>60.752939861080918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6"/>
        <v>48.885543907461624</v>
      </c>
      <c r="J156" s="45">
        <f t="shared" si="46"/>
        <v>48.885543907461624</v>
      </c>
      <c r="K156" s="45">
        <f t="shared" si="45"/>
        <v>48.885543907461624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6"/>
        <v>24.661739318457045</v>
      </c>
      <c r="J157" s="45">
        <f t="shared" si="46"/>
        <v>24.661739318457045</v>
      </c>
      <c r="K157" s="45">
        <f t="shared" si="45"/>
        <v>24.661739318457045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6"/>
        <v>19.384428359575697</v>
      </c>
      <c r="J158" s="45">
        <f t="shared" si="46"/>
        <v>19.384428359575697</v>
      </c>
      <c r="K158" s="45">
        <f t="shared" si="45"/>
        <v>19.384428359575697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6"/>
        <v>19.295879525246566</v>
      </c>
      <c r="J159" s="45">
        <f t="shared" si="46"/>
        <v>19.295879525246566</v>
      </c>
      <c r="K159" s="45">
        <f t="shared" si="45"/>
        <v>19.295879525246566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7">I$35*I142*I153/1000</f>
        <v>0</v>
      </c>
      <c r="J163" s="10">
        <f t="shared" si="47"/>
        <v>0</v>
      </c>
      <c r="K163" s="10">
        <f t="shared" si="47"/>
        <v>0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8">H$35*H143*H154/1000</f>
        <v>0</v>
      </c>
      <c r="I164" s="10">
        <f t="shared" si="48"/>
        <v>0</v>
      </c>
      <c r="J164" s="10">
        <f t="shared" si="48"/>
        <v>0</v>
      </c>
      <c r="K164" s="10">
        <f t="shared" si="48"/>
        <v>0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8"/>
        <v>0</v>
      </c>
      <c r="I165" s="10">
        <f t="shared" si="48"/>
        <v>53.636707142102942</v>
      </c>
      <c r="J165" s="10">
        <f t="shared" si="48"/>
        <v>51.079031531676485</v>
      </c>
      <c r="K165" s="10">
        <f t="shared" si="48"/>
        <v>36.33648482647358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8"/>
        <v>0</v>
      </c>
      <c r="I166" s="10">
        <f t="shared" si="48"/>
        <v>0</v>
      </c>
      <c r="J166" s="10">
        <f t="shared" si="48"/>
        <v>0</v>
      </c>
      <c r="K166" s="10">
        <f t="shared" si="48"/>
        <v>0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8"/>
        <v>0</v>
      </c>
      <c r="I167" s="10">
        <f t="shared" si="48"/>
        <v>4.3546024026611807</v>
      </c>
      <c r="J167" s="10">
        <f t="shared" si="48"/>
        <v>4.1469524377055897</v>
      </c>
      <c r="K167" s="10">
        <f t="shared" si="48"/>
        <v>4.4250743351119404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8"/>
        <v>0</v>
      </c>
      <c r="I168" s="10">
        <f t="shared" si="48"/>
        <v>2.2818471214003813</v>
      </c>
      <c r="J168" s="10">
        <f t="shared" si="48"/>
        <v>2.1730368487327225</v>
      </c>
      <c r="K168" s="10">
        <f t="shared" si="48"/>
        <v>0.38646249798401938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8"/>
        <v>0</v>
      </c>
      <c r="I169" s="10">
        <f t="shared" si="48"/>
        <v>34.071353304433693</v>
      </c>
      <c r="J169" s="10">
        <f t="shared" si="48"/>
        <v>32.446654958763467</v>
      </c>
      <c r="K169" s="10">
        <f t="shared" si="48"/>
        <v>23.08182732179997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9">SUM(I163:I169)</f>
        <v>94.344509970598196</v>
      </c>
      <c r="J170" s="11">
        <f t="shared" si="49"/>
        <v>89.845675776878267</v>
      </c>
      <c r="K170" s="11">
        <f t="shared" si="49"/>
        <v>64.229848981369514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B1589"/>
  <sheetViews>
    <sheetView showGridLines="0" topLeftCell="C35" zoomScale="145" zoomScaleNormal="145" workbookViewId="0">
      <selection activeCell="I48" sqref="I48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215959</v>
      </c>
      <c r="I7" s="10">
        <f t="shared" si="0"/>
        <v>214926.68264629776</v>
      </c>
      <c r="J7" s="10">
        <f t="shared" si="0"/>
        <v>213221.04959260757</v>
      </c>
      <c r="K7" s="10">
        <f t="shared" si="0"/>
        <v>206669.62872520174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10020.497600000001</v>
      </c>
      <c r="J8" s="76">
        <f t="shared" si="0"/>
        <v>9972.5980747882168</v>
      </c>
      <c r="K8" s="76">
        <f t="shared" si="0"/>
        <v>9893.4567010969913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215959</v>
      </c>
      <c r="I9" s="96">
        <f t="shared" si="1"/>
        <v>204906.18504629776</v>
      </c>
      <c r="J9" s="96">
        <f t="shared" si="1"/>
        <v>203248.45151781934</v>
      </c>
      <c r="K9" s="96">
        <f t="shared" si="1"/>
        <v>196776.17202410474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3624.4323503592609</v>
      </c>
      <c r="I13" s="86">
        <f t="shared" ref="I13:K13" si="2">I129+I163</f>
        <v>435.55022416270833</v>
      </c>
      <c r="J13" s="86">
        <f t="shared" si="2"/>
        <v>0</v>
      </c>
      <c r="K13" s="86">
        <f t="shared" si="2"/>
        <v>0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8287.8230883102515</v>
      </c>
      <c r="I14" s="86">
        <f t="shared" si="3"/>
        <v>4672.581188751682</v>
      </c>
      <c r="J14" s="86">
        <f t="shared" si="3"/>
        <v>3630.6927105391842</v>
      </c>
      <c r="K14" s="86">
        <f t="shared" si="3"/>
        <v>2317.0298710383167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467.84860691760446</v>
      </c>
      <c r="I15" s="86">
        <f t="shared" si="3"/>
        <v>1886.5369964598613</v>
      </c>
      <c r="J15" s="86">
        <f t="shared" si="3"/>
        <v>1688.7790538596801</v>
      </c>
      <c r="K15" s="86">
        <f t="shared" si="3"/>
        <v>1449.446060597206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160.53332984064483</v>
      </c>
      <c r="I16" s="86">
        <f t="shared" si="3"/>
        <v>83.224901491933082</v>
      </c>
      <c r="J16" s="86">
        <f t="shared" si="3"/>
        <v>38.938477235188408</v>
      </c>
      <c r="K16" s="86">
        <f t="shared" si="3"/>
        <v>3.1961447029368548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103.23138425216302</v>
      </c>
      <c r="I17" s="86">
        <f t="shared" si="3"/>
        <v>135.18489580401234</v>
      </c>
      <c r="J17" s="86">
        <f t="shared" si="3"/>
        <v>174.45003138733881</v>
      </c>
      <c r="K17" s="86">
        <f t="shared" si="3"/>
        <v>198.10191301234488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3378.6340135212163</v>
      </c>
      <c r="I18" s="86">
        <f t="shared" si="3"/>
        <v>1750.4519934937564</v>
      </c>
      <c r="J18" s="86">
        <f t="shared" si="3"/>
        <v>777.01276419982435</v>
      </c>
      <c r="K18" s="86">
        <f t="shared" si="3"/>
        <v>65.853306239224693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961.63435268409228</v>
      </c>
      <c r="I19" s="86">
        <f t="shared" si="3"/>
        <v>2038.459660694446</v>
      </c>
      <c r="J19" s="86">
        <f t="shared" si="3"/>
        <v>2850.954293534614</v>
      </c>
      <c r="K19" s="86">
        <f t="shared" si="3"/>
        <v>3229.0683717653819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16984.137125885234</v>
      </c>
      <c r="I20" s="13">
        <f t="shared" ref="I20:K20" si="4">SUM(I13:I19)</f>
        <v>11001.989860858401</v>
      </c>
      <c r="J20" s="13">
        <f t="shared" si="4"/>
        <v>9160.8273307558302</v>
      </c>
      <c r="K20" s="13">
        <f t="shared" si="4"/>
        <v>7262.6956673554114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-0.43070809261119636</v>
      </c>
      <c r="J23" s="193">
        <f t="shared" ref="J23:K23" si="5">J114/$G114-1</f>
        <v>-0.52942815183016367</v>
      </c>
      <c r="K23" s="193">
        <f t="shared" si="5"/>
        <v>-0.63553049972614284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-0.28794814751096298</v>
      </c>
      <c r="J24" s="193">
        <f t="shared" ref="J24:K24" si="6">J125/$G125-1</f>
        <v>-0.4058431566727051</v>
      </c>
      <c r="K24" s="193">
        <f t="shared" si="6"/>
        <v>-0.52078862516031554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215959</v>
      </c>
      <c r="H34" s="127">
        <f>'Init. parc'!C6</f>
        <v>215959</v>
      </c>
      <c r="I34" s="127">
        <f>'Init. parc'!D6</f>
        <v>214926.68264629776</v>
      </c>
      <c r="J34" s="127">
        <f>'Init. parc'!E6</f>
        <v>213221.04959260757</v>
      </c>
      <c r="K34" s="127">
        <f>'Init. parc'!F6</f>
        <v>206669.62872520174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parc'!N6</f>
        <v>10020.497600000001</v>
      </c>
      <c r="J35" s="127">
        <f>'Init. parc'!O6</f>
        <v>9972.5980747882168</v>
      </c>
      <c r="K35" s="127">
        <f>'Init. parc'!P6</f>
        <v>9893.4567010969913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215959</v>
      </c>
      <c r="H36" s="127">
        <f>H34-H35</f>
        <v>215959</v>
      </c>
      <c r="I36" s="127">
        <f>I34-I35</f>
        <v>204906.18504629776</v>
      </c>
      <c r="J36" s="127">
        <f>J34-J35</f>
        <v>203248.45151781934</v>
      </c>
      <c r="K36" s="127">
        <f>K34-K35</f>
        <v>196776.17202410474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0.1836452867363588</v>
      </c>
      <c r="H45" s="55">
        <f>'Init. énergie'!B21</f>
        <v>0.1836452867363588</v>
      </c>
      <c r="I45" s="47">
        <v>0.03</v>
      </c>
      <c r="J45" s="47">
        <v>0</v>
      </c>
      <c r="K45" s="47">
        <v>0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0.39294128743187395</v>
      </c>
      <c r="H46" s="55">
        <f>'Init. énergie'!B22</f>
        <v>0.39294128743187395</v>
      </c>
      <c r="I46" s="47">
        <v>0.3</v>
      </c>
      <c r="J46" s="47">
        <f t="shared" ref="J46:J51" si="8">H46+((K46-H46)/3*2)</f>
        <v>0.26431376247729133</v>
      </c>
      <c r="K46" s="47">
        <v>0.2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4.1639881083029275E-2</v>
      </c>
      <c r="H47" s="55">
        <f>'Init. énergie'!B23</f>
        <v>4.1639881083029275E-2</v>
      </c>
      <c r="I47" s="47">
        <v>0.22</v>
      </c>
      <c r="J47" s="47">
        <v>0.22</v>
      </c>
      <c r="K47" s="47">
        <v>0.22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1.8191868324415598E-2</v>
      </c>
      <c r="H48" s="55">
        <f>'Init. énergie'!B24</f>
        <v>1.8191868324415598E-2</v>
      </c>
      <c r="I48" s="47">
        <f t="shared" ref="I48:I51" si="9">H48+((K48-H48)/3)</f>
        <v>1.2127912216277067E-2</v>
      </c>
      <c r="J48" s="47">
        <f t="shared" si="8"/>
        <v>6.0639561081385334E-3</v>
      </c>
      <c r="K48" s="47">
        <v>0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1.3815793734488184E-2</v>
      </c>
      <c r="H49" s="55">
        <f>'Init. énergie'!B25</f>
        <v>1.3815793734488184E-2</v>
      </c>
      <c r="I49" s="47">
        <f t="shared" si="9"/>
        <v>2.2543862489658791E-2</v>
      </c>
      <c r="J49" s="47">
        <f t="shared" si="8"/>
        <v>3.1271931244829396E-2</v>
      </c>
      <c r="K49" s="47">
        <v>0.04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0.26215626418619603</v>
      </c>
      <c r="H50" s="55">
        <f>'Init. énergie'!B26</f>
        <v>0.26215626418619603</v>
      </c>
      <c r="I50" s="47">
        <f>1-I45-I46-I47-I48-I49-I51</f>
        <v>0.18025514629163863</v>
      </c>
      <c r="J50" s="47">
        <f t="shared" ref="J50" si="10">1-J45-J46-J47-J48-J49-J51</f>
        <v>9.5813810668528065E-2</v>
      </c>
      <c r="K50" s="47">
        <f>1-K45-K46-K47-K48-K49-K51</f>
        <v>1.0000000000000009E-2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8.7609618503638187E-2</v>
      </c>
      <c r="H51" s="55">
        <f>'Init. énergie'!B27</f>
        <v>8.7609618503638187E-2</v>
      </c>
      <c r="I51" s="47">
        <f t="shared" si="9"/>
        <v>0.23507307900242547</v>
      </c>
      <c r="J51" s="47">
        <f t="shared" si="8"/>
        <v>0.38253653950121275</v>
      </c>
      <c r="K51" s="125">
        <v>0.53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1">SUM(G45:G51)</f>
        <v>1</v>
      </c>
      <c r="H52" s="164">
        <f t="shared" si="11"/>
        <v>1</v>
      </c>
      <c r="I52" s="170">
        <f t="shared" si="11"/>
        <v>0.99999999999999989</v>
      </c>
      <c r="J52" s="170">
        <f t="shared" si="11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2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-0.1421255116072026</v>
      </c>
      <c r="J55" s="157">
        <f t="shared" si="12"/>
        <v>-5.5092989199423424E-2</v>
      </c>
      <c r="K55" s="157">
        <f t="shared" si="12"/>
        <v>-6.0441502565035291E-2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0.1836452867363588</v>
      </c>
      <c r="H59" s="55">
        <f>H45</f>
        <v>0.1836452867363588</v>
      </c>
      <c r="I59" s="47">
        <v>0.03</v>
      </c>
      <c r="J59" s="47">
        <v>0</v>
      </c>
      <c r="K59" s="47">
        <v>0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3">H60</f>
        <v>0.39294128743187395</v>
      </c>
      <c r="H60" s="55">
        <f t="shared" ref="H60:H65" si="14">H46</f>
        <v>0.39294128743187395</v>
      </c>
      <c r="I60" s="47">
        <f t="shared" ref="I60:I63" si="15">H60+((K60-H60)/3)</f>
        <v>0.32862752495458264</v>
      </c>
      <c r="J60" s="47">
        <f t="shared" ref="J60:J63" si="16">H60+((K60-H60)/3*2)</f>
        <v>0.26431376247729133</v>
      </c>
      <c r="K60" s="47">
        <v>0.2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3"/>
        <v>4.1639881083029275E-2</v>
      </c>
      <c r="H61" s="55">
        <f t="shared" si="14"/>
        <v>4.1639881083029275E-2</v>
      </c>
      <c r="I61" s="47">
        <f t="shared" si="15"/>
        <v>5.775992072201952E-2</v>
      </c>
      <c r="J61" s="47">
        <f t="shared" si="16"/>
        <v>7.3879960361009758E-2</v>
      </c>
      <c r="K61" s="47">
        <v>0.09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3"/>
        <v>1.8191868324415598E-2</v>
      </c>
      <c r="H62" s="55">
        <f t="shared" si="14"/>
        <v>1.8191868324415598E-2</v>
      </c>
      <c r="I62" s="47">
        <f t="shared" si="15"/>
        <v>1.2127912216277067E-2</v>
      </c>
      <c r="J62" s="47">
        <f t="shared" si="16"/>
        <v>6.0639561081385334E-3</v>
      </c>
      <c r="K62" s="47">
        <v>0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3"/>
        <v>1.3815793734488184E-2</v>
      </c>
      <c r="H63" s="55">
        <f t="shared" si="14"/>
        <v>1.3815793734488184E-2</v>
      </c>
      <c r="I63" s="47">
        <f t="shared" si="15"/>
        <v>2.2543862489658791E-2</v>
      </c>
      <c r="J63" s="47">
        <f t="shared" si="16"/>
        <v>3.1271931244829396E-2</v>
      </c>
      <c r="K63" s="47">
        <v>0.04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3"/>
        <v>0.26215626418619603</v>
      </c>
      <c r="H64" s="55">
        <f t="shared" si="14"/>
        <v>0.26215626418619603</v>
      </c>
      <c r="I64" s="47">
        <f t="shared" ref="I64" si="17">1-I59-I60-I61-I62-I63-I65</f>
        <v>0.31386770061503644</v>
      </c>
      <c r="J64" s="47">
        <f t="shared" ref="J64" si="18">1-J59-J60-J61-J62-J63-J65</f>
        <v>0.24193385030751829</v>
      </c>
      <c r="K64" s="47">
        <f>1-K59-K60-K61-K62-K63-K65</f>
        <v>0.14000000000000001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3"/>
        <v>8.7609618503638187E-2</v>
      </c>
      <c r="H65" s="55">
        <f t="shared" si="14"/>
        <v>8.7609618503638187E-2</v>
      </c>
      <c r="I65" s="47">
        <f t="shared" ref="I65" si="19">H65+((K65-H65)/3)</f>
        <v>0.23507307900242547</v>
      </c>
      <c r="J65" s="47">
        <f t="shared" ref="J65" si="20">H65+((K65-H65)/3*2)</f>
        <v>0.38253653950121275</v>
      </c>
      <c r="K65" s="125">
        <v>0.53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21">SUM(G59:G65)</f>
        <v>1</v>
      </c>
      <c r="H66" s="164">
        <v>1</v>
      </c>
      <c r="I66" s="47">
        <f t="shared" ref="I66:J66" si="22">SUM(I59:I65)</f>
        <v>0.99999999999999989</v>
      </c>
      <c r="J66" s="47">
        <f t="shared" si="22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-0.11251421954398379</v>
      </c>
      <c r="J69" s="157">
        <f t="shared" ref="J69:K69" si="23">(I$97*(J59-I59)+I$98*(J60-I60)+I$99*(J61-I61)+I$100*(J62-I62)+I$101*(J63-I63)+I$102*(J64-I64)+I$103*(J65-I65))/(I$97*I59+I$98*I60+I$99*I61+I$100*I62+I$101*I63+I$102*I64+I$103*I65)</f>
        <v>-7.2856435936496169E-2</v>
      </c>
      <c r="K69" s="157">
        <f t="shared" si="23"/>
        <v>-6.4498086469707672E-2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98" t="s">
        <v>92</v>
      </c>
      <c r="G72" s="199" t="s">
        <v>91</v>
      </c>
      <c r="H72" s="199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bord'!G10</f>
        <v>0.55000000000000004</v>
      </c>
      <c r="G73" s="92">
        <f>'Tableau de bord'!G23</f>
        <v>0.9</v>
      </c>
      <c r="H73" s="92">
        <f>'Tableau de bord'!G26</f>
        <v>0.65250000000000008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93.235969427894389</v>
      </c>
      <c r="H77" s="54">
        <f>'Init. énergie'!D21</f>
        <v>91.387943319825126</v>
      </c>
      <c r="I77" s="81">
        <f>G77*60%/(1+I$55)</f>
        <v>65.20951772507135</v>
      </c>
      <c r="J77" s="81">
        <f>G77*50%/(1+I$55)/(1+J$55)</f>
        <v>57.509642906397652</v>
      </c>
      <c r="K77" s="81">
        <f>G77*40%/(1+I$55)/(1+J$55)/(1+K$55)</f>
        <v>48.967376114122935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24">H78/0.998^10</f>
        <v>99.640543470997301</v>
      </c>
      <c r="H78" s="54">
        <f>'Init. énergie'!D22</f>
        <v>97.665572578470474</v>
      </c>
      <c r="I78" s="81">
        <f t="shared" ref="I78:I83" si="25">G78*60%/(1+I$55)</f>
        <v>69.688896093183232</v>
      </c>
      <c r="J78" s="81">
        <f t="shared" ref="J78:J83" si="26">G78*50%/(1+I$55)/(1+J$55)</f>
        <v>61.460100744145372</v>
      </c>
      <c r="K78" s="81">
        <f t="shared" ref="K78:K83" si="27">G78*40%/(1+I$55)/(1+J$55)/(1+K$55)</f>
        <v>52.33104775226586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24"/>
        <v>53.078560890997394</v>
      </c>
      <c r="H79" s="54">
        <f>'Init. énergie'!D23</f>
        <v>52.026493036636026</v>
      </c>
      <c r="I79" s="81">
        <f t="shared" si="25"/>
        <v>37.123305291736919</v>
      </c>
      <c r="J79" s="81">
        <f t="shared" si="26"/>
        <v>32.739822426445294</v>
      </c>
      <c r="K79" s="81">
        <f t="shared" si="27"/>
        <v>27.876771922835179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24"/>
        <v>41.68801241974316</v>
      </c>
      <c r="H80" s="54">
        <f>'Init. énergie'!D24</f>
        <v>40.861716132828043</v>
      </c>
      <c r="I80" s="81">
        <f t="shared" si="25"/>
        <v>29.156721397213541</v>
      </c>
      <c r="J80" s="81">
        <f t="shared" si="26"/>
        <v>25.713924813009186</v>
      </c>
      <c r="K80" s="81">
        <f t="shared" si="27"/>
        <v>21.894474805525633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24"/>
        <v>35.298738874141193</v>
      </c>
      <c r="H81" s="54">
        <f>'Init. énergie'!D25</f>
        <v>34.599084101185987</v>
      </c>
      <c r="I81" s="81">
        <f t="shared" si="25"/>
        <v>24.6880442431193</v>
      </c>
      <c r="J81" s="81">
        <f t="shared" si="26"/>
        <v>21.77290460060037</v>
      </c>
      <c r="K81" s="81">
        <f t="shared" si="27"/>
        <v>18.538838963229082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24"/>
        <v>60.884141923140419</v>
      </c>
      <c r="H82" s="54">
        <f>'Init. énergie'!D26</f>
        <v>59.677359985528099</v>
      </c>
      <c r="I82" s="81">
        <f t="shared" si="25"/>
        <v>42.582552166020278</v>
      </c>
      <c r="J82" s="81">
        <f t="shared" si="26"/>
        <v>37.554446874391402</v>
      </c>
      <c r="K82" s="81">
        <f t="shared" si="27"/>
        <v>31.976250102078083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24"/>
        <v>51.853904017695243</v>
      </c>
      <c r="H83" s="54">
        <f>'Init. énergie'!D27</f>
        <v>50.826110034128334</v>
      </c>
      <c r="I83" s="81">
        <f t="shared" si="25"/>
        <v>36.266776587453023</v>
      </c>
      <c r="J83" s="81">
        <f t="shared" si="26"/>
        <v>31.984431777335988</v>
      </c>
      <c r="K83" s="81">
        <f t="shared" si="27"/>
        <v>27.233584169292168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8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8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8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8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8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8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93.235969427894389</v>
      </c>
      <c r="H97" s="54">
        <f>H77</f>
        <v>91.387943319825126</v>
      </c>
      <c r="I97" s="81">
        <f>$H97*(1+$G87)^(I$96-$H$96)</f>
        <v>81.451480159979582</v>
      </c>
      <c r="J97" s="81">
        <f>$H97*(1+$G87)^(J$96-$H$96)</f>
        <v>72.595392556693355</v>
      </c>
      <c r="K97" s="81">
        <f>$H97*(1+$G87)^(K$96-$H$96)</f>
        <v>64.702213024359722</v>
      </c>
      <c r="L97" s="67"/>
      <c r="M97" s="79">
        <f>(K97-G97)/H97</f>
        <v>-0.3122267048255668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9">G78</f>
        <v>99.640543470997301</v>
      </c>
      <c r="H98" s="54">
        <f t="shared" si="29"/>
        <v>97.665572578470474</v>
      </c>
      <c r="I98" s="81">
        <f t="shared" ref="I98:K103" si="30">$H98*(1+$G88)^(I$96-$H$96)</f>
        <v>87.884059674644291</v>
      </c>
      <c r="J98" s="81">
        <f t="shared" si="30"/>
        <v>79.082195915974609</v>
      </c>
      <c r="K98" s="81">
        <f t="shared" si="30"/>
        <v>71.161866373100082</v>
      </c>
      <c r="L98" s="67"/>
      <c r="M98" s="79">
        <f t="shared" ref="M98:M103" si="31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9"/>
        <v>53.078560890997394</v>
      </c>
      <c r="H99" s="54">
        <f t="shared" si="29"/>
        <v>52.026493036636026</v>
      </c>
      <c r="I99" s="81">
        <f t="shared" si="30"/>
        <v>48.226642951445342</v>
      </c>
      <c r="J99" s="81">
        <f t="shared" si="30"/>
        <v>44.70432186786843</v>
      </c>
      <c r="K99" s="81">
        <f t="shared" si="30"/>
        <v>41.439259947619597</v>
      </c>
      <c r="L99" s="67"/>
      <c r="M99" s="79">
        <f t="shared" si="31"/>
        <v>-0.223718729901353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9"/>
        <v>41.68801241974316</v>
      </c>
      <c r="H100" s="54">
        <f t="shared" si="29"/>
        <v>40.861716132828043</v>
      </c>
      <c r="I100" s="81">
        <f t="shared" si="30"/>
        <v>37.877305951287894</v>
      </c>
      <c r="J100" s="81">
        <f t="shared" si="30"/>
        <v>35.110867626405152</v>
      </c>
      <c r="K100" s="81">
        <f t="shared" si="30"/>
        <v>32.546481184917248</v>
      </c>
      <c r="L100" s="67"/>
      <c r="M100" s="79">
        <f t="shared" si="31"/>
        <v>-0.22371872990135291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9"/>
        <v>35.298738874141193</v>
      </c>
      <c r="H101" s="54">
        <f t="shared" si="29"/>
        <v>34.599084101185987</v>
      </c>
      <c r="I101" s="81">
        <f t="shared" si="30"/>
        <v>32.072076705610975</v>
      </c>
      <c r="J101" s="81">
        <f>$H101*(1+$G91)^(J$96-$H$96)</f>
        <v>29.729633917544511</v>
      </c>
      <c r="K101" s="81">
        <f>$H101*(1+$G91)^(K$96-$H$96)</f>
        <v>27.55827572327377</v>
      </c>
      <c r="L101" s="67"/>
      <c r="M101" s="79">
        <f t="shared" si="31"/>
        <v>-0.22371872990135297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9"/>
        <v>60.884141923140419</v>
      </c>
      <c r="H102" s="54">
        <f t="shared" si="29"/>
        <v>59.677359985528099</v>
      </c>
      <c r="I102" s="81">
        <f t="shared" si="30"/>
        <v>51.549302638688616</v>
      </c>
      <c r="J102" s="81">
        <f t="shared" si="30"/>
        <v>44.528286827358272</v>
      </c>
      <c r="K102" s="81">
        <f t="shared" si="30"/>
        <v>38.463533477393504</v>
      </c>
      <c r="L102" s="67"/>
      <c r="M102" s="79">
        <f t="shared" si="31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9"/>
        <v>51.853904017695243</v>
      </c>
      <c r="H103" s="54">
        <f t="shared" si="29"/>
        <v>50.826110034128334</v>
      </c>
      <c r="I103" s="81">
        <f t="shared" si="30"/>
        <v>43.903593066649364</v>
      </c>
      <c r="J103" s="81">
        <f t="shared" si="30"/>
        <v>37.923923016490178</v>
      </c>
      <c r="K103" s="81">
        <f t="shared" si="30"/>
        <v>32.758684119027073</v>
      </c>
      <c r="L103" s="67"/>
      <c r="M103" s="79">
        <f t="shared" si="31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2412.765427550818</v>
      </c>
      <c r="H107" s="54">
        <f>H$36*H45*$H$73*H77/1000</f>
        <v>2364.942108609418</v>
      </c>
      <c r="I107" s="127">
        <f>I$36*I45*$H$73*I77/1000</f>
        <v>261.55789087512096</v>
      </c>
      <c r="J107" s="127">
        <f>J$36*J45*$H$73*J77/1000</f>
        <v>0</v>
      </c>
      <c r="K107" s="127">
        <f>K$36*K45*$H$73*K77/1000</f>
        <v>0</v>
      </c>
      <c r="L107" s="46"/>
      <c r="M107" s="79">
        <f>(K107-G107)/H107</f>
        <v>-1.0202217715043858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32">G$36*G46*$H$73*G78/1000</f>
        <v>5517.1599533787194</v>
      </c>
      <c r="H108" s="54">
        <f t="shared" si="32"/>
        <v>5407.8045651224393</v>
      </c>
      <c r="I108" s="127">
        <f t="shared" si="32"/>
        <v>2795.2485028946007</v>
      </c>
      <c r="J108" s="127">
        <f t="shared" si="32"/>
        <v>2154.3725468435496</v>
      </c>
      <c r="K108" s="127">
        <f t="shared" si="32"/>
        <v>1343.8241747385468</v>
      </c>
      <c r="L108" s="46"/>
      <c r="M108" s="79">
        <f t="shared" ref="M108:M114" si="33">(K108-G108)/H108</f>
        <v>-0.77172459329540932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32"/>
        <v>311.44434079083265</v>
      </c>
      <c r="H109" s="54">
        <f t="shared" si="32"/>
        <v>305.27121601373693</v>
      </c>
      <c r="I109" s="127">
        <f t="shared" si="32"/>
        <v>1091.9554026753572</v>
      </c>
      <c r="J109" s="127">
        <f t="shared" si="32"/>
        <v>955.22737920963243</v>
      </c>
      <c r="K109" s="127">
        <f t="shared" si="32"/>
        <v>787.44129529018096</v>
      </c>
      <c r="L109" s="46"/>
      <c r="M109" s="79">
        <f t="shared" si="33"/>
        <v>1.5592592079756673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32"/>
        <v>106.86618779647715</v>
      </c>
      <c r="H110" s="54">
        <f t="shared" si="32"/>
        <v>104.74799772102077</v>
      </c>
      <c r="I110" s="127">
        <f t="shared" si="32"/>
        <v>47.278132725456445</v>
      </c>
      <c r="J110" s="127">
        <f t="shared" si="32"/>
        <v>20.679126046088889</v>
      </c>
      <c r="K110" s="127">
        <f t="shared" si="32"/>
        <v>0</v>
      </c>
      <c r="L110" s="46"/>
      <c r="M110" s="79">
        <f t="shared" si="33"/>
        <v>-1.0202217715043855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32"/>
        <v>68.720585980076095</v>
      </c>
      <c r="H111" s="54">
        <f t="shared" si="32"/>
        <v>67.358478224536384</v>
      </c>
      <c r="I111" s="127">
        <f t="shared" si="32"/>
        <v>74.413305626013511</v>
      </c>
      <c r="J111" s="127">
        <f t="shared" si="32"/>
        <v>90.298146068401564</v>
      </c>
      <c r="K111" s="127">
        <f t="shared" si="32"/>
        <v>95.212846065339647</v>
      </c>
      <c r="L111" s="46"/>
      <c r="M111" s="79">
        <f t="shared" si="33"/>
        <v>0.39330253271092058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32"/>
        <v>2249.1387759970812</v>
      </c>
      <c r="H112" s="54">
        <f t="shared" si="32"/>
        <v>2204.5586938225938</v>
      </c>
      <c r="I112" s="127">
        <f t="shared" si="32"/>
        <v>1026.254190556424</v>
      </c>
      <c r="J112" s="127">
        <f t="shared" si="32"/>
        <v>477.19649424761258</v>
      </c>
      <c r="K112" s="127">
        <f t="shared" si="32"/>
        <v>41.056370692289391</v>
      </c>
      <c r="L112" s="46"/>
      <c r="M112" s="79">
        <f t="shared" si="33"/>
        <v>-1.0015983749909094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32"/>
        <v>640.15489759973173</v>
      </c>
      <c r="H113" s="54">
        <f t="shared" si="32"/>
        <v>627.46641512637029</v>
      </c>
      <c r="I113" s="127">
        <f t="shared" si="32"/>
        <v>1139.8492988253845</v>
      </c>
      <c r="J113" s="127">
        <f t="shared" si="32"/>
        <v>1622.6293455256787</v>
      </c>
      <c r="K113" s="127">
        <f t="shared" si="32"/>
        <v>1853.2486623144489</v>
      </c>
      <c r="L113" s="46"/>
      <c r="M113" s="79">
        <f t="shared" si="33"/>
        <v>1.9333206295517869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11306.250169093735</v>
      </c>
      <c r="H114" s="161">
        <f>SUM(H107:H113)</f>
        <v>11082.149474640115</v>
      </c>
      <c r="I114" s="159">
        <f t="shared" ref="I114:J114" si="34">SUM(I107:I113)</f>
        <v>6436.5567241783565</v>
      </c>
      <c r="J114" s="159">
        <f t="shared" si="34"/>
        <v>5320.4030379409633</v>
      </c>
      <c r="K114" s="159">
        <f>SUM(K107:K113)</f>
        <v>4120.7833491008059</v>
      </c>
      <c r="L114" s="21"/>
      <c r="M114" s="79">
        <f t="shared" si="33"/>
        <v>-0.64838205227567303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1284.9593656305119</v>
      </c>
      <c r="H118" s="162">
        <f>H$36*H45*(1-$H$73)*H97/1000</f>
        <v>1259.4902417498429</v>
      </c>
      <c r="I118" s="158">
        <f t="shared" ref="I118:K118" si="35">I$36*I45*(1-$H$73)*I97/1000</f>
        <v>173.99233328758734</v>
      </c>
      <c r="J118" s="158">
        <f t="shared" si="35"/>
        <v>0</v>
      </c>
      <c r="K118" s="158">
        <f t="shared" si="35"/>
        <v>0</v>
      </c>
      <c r="L118" s="46"/>
      <c r="M118" s="79">
        <f>(K118-G118)/H118</f>
        <v>-1.0202217715043858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6">G$36*G46*(1-$H$73)*G98/1000</f>
        <v>2938.2575996921137</v>
      </c>
      <c r="H119" s="162">
        <f t="shared" si="36"/>
        <v>2880.0185231878113</v>
      </c>
      <c r="I119" s="158">
        <f t="shared" si="36"/>
        <v>1877.3326858570815</v>
      </c>
      <c r="J119" s="158">
        <f t="shared" si="36"/>
        <v>1476.3201636956348</v>
      </c>
      <c r="K119" s="158">
        <f t="shared" si="36"/>
        <v>973.20569629976978</v>
      </c>
      <c r="L119" s="46"/>
      <c r="M119" s="79">
        <f t="shared" ref="M119:M125" si="37">(K119-G119)/H119</f>
        <v>-0.68230530032052827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6"/>
        <v>165.8649937545047</v>
      </c>
      <c r="H120" s="162">
        <f t="shared" si="36"/>
        <v>162.5773909038675</v>
      </c>
      <c r="I120" s="158">
        <f t="shared" si="36"/>
        <v>755.47411612371161</v>
      </c>
      <c r="J120" s="158">
        <f t="shared" si="36"/>
        <v>694.63113676879107</v>
      </c>
      <c r="K120" s="158">
        <f t="shared" si="36"/>
        <v>623.3930962691353</v>
      </c>
      <c r="L120" s="46"/>
      <c r="M120" s="79">
        <f t="shared" si="37"/>
        <v>2.8142172781279804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6"/>
        <v>56.913410359043375</v>
      </c>
      <c r="H121" s="162">
        <f t="shared" si="36"/>
        <v>55.785332119624066</v>
      </c>
      <c r="I121" s="158">
        <f t="shared" si="36"/>
        <v>32.709582685551005</v>
      </c>
      <c r="J121" s="158">
        <f t="shared" si="36"/>
        <v>15.037639357306853</v>
      </c>
      <c r="K121" s="158">
        <f t="shared" si="36"/>
        <v>0</v>
      </c>
      <c r="L121" s="46"/>
      <c r="M121" s="79">
        <f t="shared" si="37"/>
        <v>-1.0202217715043858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6"/>
        <v>36.598319736515606</v>
      </c>
      <c r="H122" s="162">
        <f t="shared" si="36"/>
        <v>35.872906027626641</v>
      </c>
      <c r="I122" s="158">
        <f t="shared" si="36"/>
        <v>51.483170611107646</v>
      </c>
      <c r="J122" s="158">
        <f t="shared" si="36"/>
        <v>65.663846343586513</v>
      </c>
      <c r="K122" s="158">
        <f t="shared" si="36"/>
        <v>75.377086861307731</v>
      </c>
      <c r="L122" s="46"/>
      <c r="M122" s="79">
        <f t="shared" si="37"/>
        <v>1.0810043405718959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6"/>
        <v>1197.8172025425067</v>
      </c>
      <c r="H123" s="162">
        <f t="shared" si="36"/>
        <v>1174.0753196986225</v>
      </c>
      <c r="I123" s="158">
        <f t="shared" si="36"/>
        <v>661.63785315351458</v>
      </c>
      <c r="J123" s="158">
        <f t="shared" si="36"/>
        <v>301.33262442599965</v>
      </c>
      <c r="K123" s="158">
        <f t="shared" si="36"/>
        <v>26.30125640870369</v>
      </c>
      <c r="L123" s="46"/>
      <c r="M123" s="79">
        <f t="shared" si="37"/>
        <v>-0.99782009422915352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6"/>
        <v>340.92540523510604</v>
      </c>
      <c r="H124" s="162">
        <f t="shared" si="36"/>
        <v>334.16793755772198</v>
      </c>
      <c r="I124" s="158">
        <f t="shared" si="36"/>
        <v>734.87392298438738</v>
      </c>
      <c r="J124" s="158">
        <f t="shared" si="36"/>
        <v>1024.6327562167357</v>
      </c>
      <c r="K124" s="158">
        <f t="shared" si="36"/>
        <v>1187.2157093947326</v>
      </c>
      <c r="L124" s="46"/>
      <c r="M124" s="79">
        <f t="shared" si="37"/>
        <v>2.532529931940116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6021.3362969503023</v>
      </c>
      <c r="H125" s="163">
        <f>SUM(H118:H124)</f>
        <v>5901.9876512451174</v>
      </c>
      <c r="I125" s="160">
        <f t="shared" ref="I125:K125" si="38">SUM(I118:I124)</f>
        <v>4287.503664702941</v>
      </c>
      <c r="J125" s="160">
        <f t="shared" si="38"/>
        <v>3577.6181668080549</v>
      </c>
      <c r="K125" s="160">
        <f t="shared" si="38"/>
        <v>2885.4928452336489</v>
      </c>
      <c r="L125" s="21"/>
      <c r="M125" s="79">
        <f t="shared" si="37"/>
        <v>-0.53131989374039057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3624.4323503592609</v>
      </c>
      <c r="I129" s="158">
        <f t="shared" ref="I129:K129" si="39">I107+I118</f>
        <v>435.55022416270833</v>
      </c>
      <c r="J129" s="158">
        <f t="shared" si="39"/>
        <v>0</v>
      </c>
      <c r="K129" s="158">
        <f t="shared" si="39"/>
        <v>0</v>
      </c>
      <c r="L129" s="46"/>
      <c r="M129" s="79">
        <f>(K129-G129)/H129</f>
        <v>0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40">H108+H119</f>
        <v>8287.8230883102515</v>
      </c>
      <c r="I130" s="158">
        <f t="shared" si="40"/>
        <v>4672.581188751682</v>
      </c>
      <c r="J130" s="158">
        <f t="shared" si="40"/>
        <v>3630.6927105391842</v>
      </c>
      <c r="K130" s="158">
        <f t="shared" si="40"/>
        <v>2317.0298710383167</v>
      </c>
      <c r="L130" s="46"/>
      <c r="M130" s="79">
        <f t="shared" ref="M130:M136" si="41">(K130-G130)/H130</f>
        <v>0.27957038251774752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40"/>
        <v>467.84860691760446</v>
      </c>
      <c r="I131" s="158">
        <f t="shared" si="40"/>
        <v>1847.4295187990688</v>
      </c>
      <c r="J131" s="158">
        <f t="shared" si="40"/>
        <v>1649.8585159784234</v>
      </c>
      <c r="K131" s="158">
        <f t="shared" si="40"/>
        <v>1410.8343915593164</v>
      </c>
      <c r="L131" s="46"/>
      <c r="M131" s="79">
        <f t="shared" si="41"/>
        <v>3.0155789088579814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40"/>
        <v>160.53332984064483</v>
      </c>
      <c r="I132" s="158">
        <f t="shared" si="40"/>
        <v>79.987715411007457</v>
      </c>
      <c r="J132" s="158">
        <f t="shared" si="40"/>
        <v>35.71676540339574</v>
      </c>
      <c r="K132" s="158">
        <f t="shared" si="40"/>
        <v>0</v>
      </c>
      <c r="L132" s="46"/>
      <c r="M132" s="79">
        <f t="shared" si="41"/>
        <v>0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40"/>
        <v>103.23138425216302</v>
      </c>
      <c r="I133" s="158">
        <f t="shared" si="40"/>
        <v>125.89647623712116</v>
      </c>
      <c r="J133" s="158">
        <f t="shared" si="40"/>
        <v>155.96199241198809</v>
      </c>
      <c r="K133" s="158">
        <f t="shared" si="40"/>
        <v>170.58993292664738</v>
      </c>
      <c r="L133" s="46"/>
      <c r="M133" s="79">
        <f t="shared" si="41"/>
        <v>1.652500682446995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40"/>
        <v>3378.6340135212163</v>
      </c>
      <c r="I134" s="158">
        <f t="shared" si="40"/>
        <v>1687.8920437099387</v>
      </c>
      <c r="J134" s="158">
        <f t="shared" si="40"/>
        <v>778.52911867361217</v>
      </c>
      <c r="K134" s="158">
        <f t="shared" si="40"/>
        <v>67.357627100993085</v>
      </c>
      <c r="L134" s="46"/>
      <c r="M134" s="79">
        <f t="shared" si="41"/>
        <v>1.9936349078186449E-2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40"/>
        <v>961.63435268409228</v>
      </c>
      <c r="I135" s="158">
        <f t="shared" si="40"/>
        <v>1874.723221809772</v>
      </c>
      <c r="J135" s="158">
        <f t="shared" si="40"/>
        <v>2647.2621017424144</v>
      </c>
      <c r="K135" s="158">
        <f t="shared" si="40"/>
        <v>3040.4643717091813</v>
      </c>
      <c r="L135" s="46"/>
      <c r="M135" s="79">
        <f t="shared" si="41"/>
        <v>3.1617676336361167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16984.137125885234</v>
      </c>
      <c r="I136" s="160">
        <f t="shared" ref="I136:K136" si="42">SUM(I129:I135)</f>
        <v>10724.060388881298</v>
      </c>
      <c r="J136" s="160">
        <f t="shared" si="42"/>
        <v>8898.0212047490168</v>
      </c>
      <c r="K136" s="160">
        <f t="shared" si="42"/>
        <v>7006.276194334454</v>
      </c>
      <c r="L136" s="21"/>
      <c r="M136" s="79">
        <f t="shared" si="41"/>
        <v>0.41251881931972323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énergie'!C21</f>
        <v>4.1021151124009851E-5</v>
      </c>
      <c r="I142" s="47">
        <v>0</v>
      </c>
      <c r="J142" s="47">
        <v>0</v>
      </c>
      <c r="K142" s="47">
        <v>0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énergie'!C22</f>
        <v>0.24387457929202933</v>
      </c>
      <c r="I143" s="47">
        <v>0</v>
      </c>
      <c r="J143" s="47">
        <v>0</v>
      </c>
      <c r="K143" s="47">
        <v>0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énergie'!C23</f>
        <v>3.8798739172946649E-2</v>
      </c>
      <c r="I144" s="47">
        <v>0.14000000000000001</v>
      </c>
      <c r="J144" s="47">
        <v>0.14000000000000001</v>
      </c>
      <c r="K144" s="47">
        <v>0.14000000000000001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énergie'!C24</f>
        <v>1.4755157309534661E-2</v>
      </c>
      <c r="I145" s="47">
        <f t="shared" ref="I145:K145" si="43">H145</f>
        <v>1.4755157309534661E-2</v>
      </c>
      <c r="J145" s="47">
        <f t="shared" si="43"/>
        <v>1.4755157309534661E-2</v>
      </c>
      <c r="K145" s="47">
        <f t="shared" si="43"/>
        <v>1.4755157309534661E-2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énergie'!C25</f>
        <v>1.1548604741342878E-2</v>
      </c>
      <c r="I146" s="47">
        <v>0.05</v>
      </c>
      <c r="J146" s="47">
        <v>0.1</v>
      </c>
      <c r="K146" s="47">
        <v>0.15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énergie'!C26</f>
        <v>0.37540666329243721</v>
      </c>
      <c r="I147" s="47">
        <f>1-I142-I143-I144-I145-I146-I148</f>
        <v>0.19524484269046527</v>
      </c>
      <c r="J147" s="47">
        <f t="shared" ref="J147:K147" si="44">1-J142-J143-J144-J145-J146-J148</f>
        <v>-4.7551573095346855E-3</v>
      </c>
      <c r="K147" s="47">
        <f t="shared" si="44"/>
        <v>-4.7551573095346855E-3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énergie'!C27</f>
        <v>0.31557523504058516</v>
      </c>
      <c r="I148" s="47">
        <v>0.6</v>
      </c>
      <c r="J148" s="47">
        <v>0.75</v>
      </c>
      <c r="K148" s="47">
        <v>0.7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0.99999999999999989</v>
      </c>
      <c r="I149" s="15">
        <f t="shared" ref="I149:K149" si="45">SUM(I142:I148)</f>
        <v>1</v>
      </c>
      <c r="J149" s="15">
        <f t="shared" si="45"/>
        <v>1</v>
      </c>
      <c r="K149" s="15">
        <f t="shared" si="45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48.967376114122935</v>
      </c>
      <c r="J153" s="45">
        <f>K153</f>
        <v>48.967376114122935</v>
      </c>
      <c r="K153" s="45">
        <f t="shared" ref="K153:K159" si="46">K77</f>
        <v>48.967376114122935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7">J154</f>
        <v>52.33104775226586</v>
      </c>
      <c r="J154" s="45">
        <f t="shared" si="47"/>
        <v>52.33104775226586</v>
      </c>
      <c r="K154" s="45">
        <f t="shared" si="46"/>
        <v>52.33104775226586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7"/>
        <v>27.876771922835179</v>
      </c>
      <c r="J155" s="45">
        <f t="shared" si="47"/>
        <v>27.876771922835179</v>
      </c>
      <c r="K155" s="45">
        <f t="shared" si="46"/>
        <v>27.876771922835179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7"/>
        <v>21.894474805525633</v>
      </c>
      <c r="J156" s="45">
        <f t="shared" si="47"/>
        <v>21.894474805525633</v>
      </c>
      <c r="K156" s="45">
        <f t="shared" si="46"/>
        <v>21.894474805525633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7"/>
        <v>18.538838963229082</v>
      </c>
      <c r="J157" s="45">
        <f t="shared" si="47"/>
        <v>18.538838963229082</v>
      </c>
      <c r="K157" s="45">
        <f t="shared" si="46"/>
        <v>18.538838963229082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7"/>
        <v>31.976250102078083</v>
      </c>
      <c r="J158" s="45">
        <f t="shared" si="47"/>
        <v>31.976250102078083</v>
      </c>
      <c r="K158" s="45">
        <f t="shared" si="46"/>
        <v>31.976250102078083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7"/>
        <v>27.233584169292168</v>
      </c>
      <c r="J159" s="45">
        <f t="shared" si="47"/>
        <v>27.233584169292168</v>
      </c>
      <c r="K159" s="45">
        <f t="shared" si="46"/>
        <v>27.233584169292168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8">I$35*I142*I153/1000</f>
        <v>0</v>
      </c>
      <c r="J163" s="10">
        <f t="shared" si="48"/>
        <v>0</v>
      </c>
      <c r="K163" s="10">
        <f t="shared" si="48"/>
        <v>0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9">H$35*H143*H154/1000</f>
        <v>0</v>
      </c>
      <c r="I164" s="10">
        <f t="shared" si="49"/>
        <v>0</v>
      </c>
      <c r="J164" s="10">
        <f t="shared" si="49"/>
        <v>0</v>
      </c>
      <c r="K164" s="10">
        <f t="shared" si="49"/>
        <v>0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9"/>
        <v>0</v>
      </c>
      <c r="I165" s="10">
        <f t="shared" si="49"/>
        <v>39.107477660792426</v>
      </c>
      <c r="J165" s="10">
        <f t="shared" si="49"/>
        <v>38.920537881256685</v>
      </c>
      <c r="K165" s="10">
        <f t="shared" si="49"/>
        <v>38.611669037889669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9"/>
        <v>0</v>
      </c>
      <c r="I166" s="10">
        <f t="shared" si="49"/>
        <v>3.2371860809256185</v>
      </c>
      <c r="J166" s="10">
        <f t="shared" si="49"/>
        <v>3.2217118317926685</v>
      </c>
      <c r="K166" s="10">
        <f t="shared" si="49"/>
        <v>3.1961447029368548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9"/>
        <v>0</v>
      </c>
      <c r="I167" s="10">
        <f t="shared" si="49"/>
        <v>9.2884195668911769</v>
      </c>
      <c r="J167" s="10">
        <f t="shared" si="49"/>
        <v>18.488038975350712</v>
      </c>
      <c r="K167" s="10">
        <f t="shared" si="49"/>
        <v>27.511980085697516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9"/>
        <v>0</v>
      </c>
      <c r="I168" s="10">
        <f t="shared" si="49"/>
        <v>62.559949783817814</v>
      </c>
      <c r="J168" s="10">
        <f t="shared" si="49"/>
        <v>-1.5163544737878842</v>
      </c>
      <c r="K168" s="10">
        <f t="shared" si="49"/>
        <v>-1.5043208617683848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9"/>
        <v>0</v>
      </c>
      <c r="I169" s="10">
        <f t="shared" si="49"/>
        <v>163.7364388846741</v>
      </c>
      <c r="J169" s="10">
        <f t="shared" si="49"/>
        <v>203.69219179219945</v>
      </c>
      <c r="K169" s="10">
        <f t="shared" si="49"/>
        <v>188.60400005620079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50">SUM(I163:I169)</f>
        <v>277.92947197710112</v>
      </c>
      <c r="J170" s="11">
        <f t="shared" si="50"/>
        <v>262.80612600681161</v>
      </c>
      <c r="K170" s="11">
        <f t="shared" si="50"/>
        <v>256.41947302095645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B1589"/>
  <sheetViews>
    <sheetView showGridLines="0" topLeftCell="A34" zoomScale="145" zoomScaleNormal="145" workbookViewId="0">
      <selection activeCell="K49" sqref="K49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190850</v>
      </c>
      <c r="I7" s="10">
        <f t="shared" si="0"/>
        <v>186167.04793852463</v>
      </c>
      <c r="J7" s="10">
        <f t="shared" si="0"/>
        <v>180821.7672052508</v>
      </c>
      <c r="K7" s="10">
        <f t="shared" si="0"/>
        <v>171384.52862687272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3840.2979556716878</v>
      </c>
      <c r="J8" s="76">
        <f t="shared" si="0"/>
        <v>3746.0672444943634</v>
      </c>
      <c r="K8" s="76">
        <f t="shared" si="0"/>
        <v>3638.5091063100158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190850</v>
      </c>
      <c r="I9" s="96">
        <f t="shared" si="1"/>
        <v>182326.74998285295</v>
      </c>
      <c r="J9" s="96">
        <f t="shared" si="1"/>
        <v>177075.69996075644</v>
      </c>
      <c r="K9" s="96">
        <f t="shared" si="1"/>
        <v>167746.0195205627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3436.5831479851036</v>
      </c>
      <c r="I13" s="86">
        <f t="shared" ref="I13:K13" si="2">I129+I163</f>
        <v>987.77760853782809</v>
      </c>
      <c r="J13" s="86">
        <f t="shared" si="2"/>
        <v>0</v>
      </c>
      <c r="K13" s="86">
        <f t="shared" si="2"/>
        <v>0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8441.096126606124</v>
      </c>
      <c r="I14" s="86">
        <f t="shared" si="3"/>
        <v>3757.0000727906677</v>
      </c>
      <c r="J14" s="86">
        <f t="shared" si="3"/>
        <v>2532.5086209310807</v>
      </c>
      <c r="K14" s="86">
        <f t="shared" si="3"/>
        <v>1353.5000839274273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1402.1888657823199</v>
      </c>
      <c r="I15" s="86">
        <f t="shared" si="3"/>
        <v>3441.6160354487356</v>
      </c>
      <c r="J15" s="86">
        <f t="shared" si="3"/>
        <v>3707.3785058395197</v>
      </c>
      <c r="K15" s="86">
        <f t="shared" si="3"/>
        <v>3202.8358831332566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246.16510050277404</v>
      </c>
      <c r="I16" s="86">
        <f t="shared" si="3"/>
        <v>97.660041242462029</v>
      </c>
      <c r="J16" s="86">
        <f t="shared" si="3"/>
        <v>42.033265021763825</v>
      </c>
      <c r="K16" s="86">
        <f t="shared" si="3"/>
        <v>1.8441082375176416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105.32458146020574</v>
      </c>
      <c r="I17" s="86">
        <f t="shared" si="3"/>
        <v>129.27343647421145</v>
      </c>
      <c r="J17" s="86">
        <f t="shared" si="3"/>
        <v>220.9072233456001</v>
      </c>
      <c r="K17" s="86">
        <f t="shared" si="3"/>
        <v>174.80263506365466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830.43191441660827</v>
      </c>
      <c r="I18" s="86">
        <f t="shared" si="3"/>
        <v>54.343022151695422</v>
      </c>
      <c r="J18" s="86">
        <f t="shared" si="3"/>
        <v>112.17606456045696</v>
      </c>
      <c r="K18" s="86">
        <f t="shared" si="3"/>
        <v>137.73692832817886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133.29396170895049</v>
      </c>
      <c r="I19" s="86">
        <f t="shared" si="3"/>
        <v>424.80405482823215</v>
      </c>
      <c r="J19" s="86">
        <f t="shared" si="3"/>
        <v>640.37915899939696</v>
      </c>
      <c r="K19" s="86">
        <f t="shared" si="3"/>
        <v>707.16884741379977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14595.083698462086</v>
      </c>
      <c r="I20" s="13">
        <f t="shared" ref="I20:K20" si="4">SUM(I13:I19)</f>
        <v>8892.4742714738313</v>
      </c>
      <c r="J20" s="13">
        <f t="shared" si="4"/>
        <v>7255.3828386978184</v>
      </c>
      <c r="K20" s="13">
        <f t="shared" si="4"/>
        <v>5577.888486103835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-0.42679565108875162</v>
      </c>
      <c r="J23" s="193">
        <f t="shared" ref="J23:K23" si="5">J114/$G114-1</f>
        <v>-0.53608671742007741</v>
      </c>
      <c r="K23" s="193">
        <f t="shared" si="5"/>
        <v>-0.64842332822517645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-0.11956291384615425</v>
      </c>
      <c r="J24" s="193">
        <f t="shared" ref="J24:K24" si="6">J125/$G125-1</f>
        <v>-0.24007685062828454</v>
      </c>
      <c r="K24" s="193">
        <f t="shared" si="6"/>
        <v>-0.35209341463551003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190850</v>
      </c>
      <c r="H34" s="127">
        <f>'Init. parc'!C7</f>
        <v>190850</v>
      </c>
      <c r="I34" s="127">
        <f>'Init. parc'!D7</f>
        <v>186167.04793852463</v>
      </c>
      <c r="J34" s="127">
        <f>'Init. parc'!E7</f>
        <v>180821.7672052508</v>
      </c>
      <c r="K34" s="127">
        <f>'Init. parc'!F7</f>
        <v>171384.52862687272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parc'!N7</f>
        <v>3840.2979556716878</v>
      </c>
      <c r="J35" s="127">
        <f>'Init. parc'!O7</f>
        <v>3746.0672444943634</v>
      </c>
      <c r="K35" s="127">
        <f>'Init. parc'!P7</f>
        <v>3638.5091063100158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190850</v>
      </c>
      <c r="H36" s="127">
        <f>H34-H35</f>
        <v>190850</v>
      </c>
      <c r="I36" s="127">
        <f>I34-I35</f>
        <v>182326.74998285295</v>
      </c>
      <c r="J36" s="127">
        <f>J34-J35</f>
        <v>177075.69996075644</v>
      </c>
      <c r="K36" s="127">
        <f>K34-K35</f>
        <v>167746.0195205627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0.20223518285214698</v>
      </c>
      <c r="H45" s="55">
        <f>'Init. énergie'!B30</f>
        <v>0.20223518285214698</v>
      </c>
      <c r="I45" s="47">
        <v>0.1</v>
      </c>
      <c r="J45" s="47">
        <v>0</v>
      </c>
      <c r="K45" s="47">
        <v>0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0.58817685192014335</v>
      </c>
      <c r="H46" s="55">
        <f>'Init. énergie'!B31</f>
        <v>0.58817685192014335</v>
      </c>
      <c r="I46" s="47">
        <v>0.45</v>
      </c>
      <c r="J46" s="47">
        <f t="shared" ref="J46:J51" si="8">H46+((K46-H46)/3*2)</f>
        <v>0.36272561730671449</v>
      </c>
      <c r="K46" s="47">
        <v>0.25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8.4009548274215404E-2</v>
      </c>
      <c r="H47" s="55">
        <f>'Init. énergie'!B32</f>
        <v>8.4009548274215404E-2</v>
      </c>
      <c r="I47" s="47">
        <v>0.35</v>
      </c>
      <c r="J47" s="47">
        <v>0.45</v>
      </c>
      <c r="K47" s="47">
        <v>0.5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1.3320407248410885E-2</v>
      </c>
      <c r="H48" s="55">
        <f>'Init. énergie'!B33</f>
        <v>1.3320407248410885E-2</v>
      </c>
      <c r="I48" s="47">
        <f t="shared" ref="I48:I51" si="9">H48+((K48-H48)/3)</f>
        <v>8.8802714989405888E-3</v>
      </c>
      <c r="J48" s="47">
        <f t="shared" si="8"/>
        <v>4.4401357494702944E-3</v>
      </c>
      <c r="K48" s="47">
        <v>0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9.3630592275931179E-3</v>
      </c>
      <c r="H49" s="55">
        <f>'Init. énergie'!B34</f>
        <v>9.3630592275931179E-3</v>
      </c>
      <c r="I49" s="47">
        <f t="shared" si="9"/>
        <v>1.9575372818395415E-2</v>
      </c>
      <c r="J49" s="47">
        <v>0.04</v>
      </c>
      <c r="K49" s="47">
        <v>0.04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8.9833717887786435E-2</v>
      </c>
      <c r="H50" s="55">
        <f>'Init. énergie'!B35</f>
        <v>8.9833717887786435E-2</v>
      </c>
      <c r="I50" s="47">
        <f t="shared" ref="I50:J50" si="10">1-I45-I46-I47-I48-I49-I51</f>
        <v>6.1702006228615408E-3</v>
      </c>
      <c r="J50" s="47">
        <f t="shared" si="10"/>
        <v>2.5147169413913942E-2</v>
      </c>
      <c r="K50" s="47">
        <f>1-K45-K46-K47-K48-K49-K51</f>
        <v>3.999999999999998E-2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1.3061232589703731E-2</v>
      </c>
      <c r="H51" s="55">
        <f>'Init. énergie'!B36</f>
        <v>1.3061232589703731E-2</v>
      </c>
      <c r="I51" s="47">
        <f t="shared" si="9"/>
        <v>6.5374155059802486E-2</v>
      </c>
      <c r="J51" s="47">
        <f t="shared" si="8"/>
        <v>0.11768707752990125</v>
      </c>
      <c r="K51" s="125">
        <v>0.17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1">SUM(G45:G51)</f>
        <v>0.99999999999999978</v>
      </c>
      <c r="H52" s="164">
        <f t="shared" si="11"/>
        <v>0.99999999999999978</v>
      </c>
      <c r="I52" s="170">
        <f t="shared" si="11"/>
        <v>1</v>
      </c>
      <c r="J52" s="170">
        <f t="shared" si="11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2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3.512144736157085E-2</v>
      </c>
      <c r="J55" s="157">
        <f t="shared" si="12"/>
        <v>-2.8179183968345976E-2</v>
      </c>
      <c r="K55" s="157">
        <f t="shared" si="12"/>
        <v>-1.3220359764298105E-2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0.20223518285214698</v>
      </c>
      <c r="H59" s="55">
        <f>H45</f>
        <v>0.20223518285214698</v>
      </c>
      <c r="I59" s="47">
        <v>0.1</v>
      </c>
      <c r="J59" s="47">
        <v>0</v>
      </c>
      <c r="K59" s="47">
        <v>0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3">H60</f>
        <v>0.58817685192014335</v>
      </c>
      <c r="H60" s="55">
        <f t="shared" ref="H60:H65" si="14">H46</f>
        <v>0.58817685192014335</v>
      </c>
      <c r="I60" s="47">
        <f t="shared" ref="I60:I63" si="15">H60+((K60-H60)/3)</f>
        <v>0.47545123461342892</v>
      </c>
      <c r="J60" s="47">
        <f t="shared" ref="J60:J63" si="16">H60+((K60-H60)/3*2)</f>
        <v>0.36272561730671449</v>
      </c>
      <c r="K60" s="47">
        <v>0.25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3"/>
        <v>8.4009548274215404E-2</v>
      </c>
      <c r="H61" s="55">
        <f t="shared" si="14"/>
        <v>8.4009548274215404E-2</v>
      </c>
      <c r="I61" s="47">
        <f t="shared" si="15"/>
        <v>0.22267303218281026</v>
      </c>
      <c r="J61" s="47">
        <f t="shared" si="16"/>
        <v>0.36133651609140516</v>
      </c>
      <c r="K61" s="47">
        <v>0.5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3"/>
        <v>1.3320407248410885E-2</v>
      </c>
      <c r="H62" s="55">
        <f t="shared" si="14"/>
        <v>1.3320407248410885E-2</v>
      </c>
      <c r="I62" s="47">
        <f t="shared" si="15"/>
        <v>8.8802714989405888E-3</v>
      </c>
      <c r="J62" s="47">
        <f t="shared" si="16"/>
        <v>4.4401357494702944E-3</v>
      </c>
      <c r="K62" s="47">
        <v>0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3"/>
        <v>9.3630592275931179E-3</v>
      </c>
      <c r="H63" s="55">
        <f t="shared" si="14"/>
        <v>9.3630592275931179E-3</v>
      </c>
      <c r="I63" s="47">
        <f t="shared" si="15"/>
        <v>1.9575372818395415E-2</v>
      </c>
      <c r="J63" s="47">
        <f t="shared" si="16"/>
        <v>2.9787686409197708E-2</v>
      </c>
      <c r="K63" s="47">
        <v>0.04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3"/>
        <v>8.9833717887786435E-2</v>
      </c>
      <c r="H64" s="55">
        <f t="shared" si="14"/>
        <v>8.9833717887786435E-2</v>
      </c>
      <c r="I64" s="47">
        <f t="shared" ref="I64" si="17">1-I59-I60-I61-I62-I63-I65</f>
        <v>0.10804593382662236</v>
      </c>
      <c r="J64" s="47">
        <f t="shared" ref="J64" si="18">1-J59-J60-J61-J62-J63-J65</f>
        <v>0.12402296691331112</v>
      </c>
      <c r="K64" s="47">
        <f>1-K59-K60-K61-K62-K63-K65</f>
        <v>3.999999999999998E-2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3"/>
        <v>1.3061232589703731E-2</v>
      </c>
      <c r="H65" s="55">
        <f t="shared" si="14"/>
        <v>1.3061232589703731E-2</v>
      </c>
      <c r="I65" s="47">
        <f t="shared" ref="I65" si="19">H65+((K65-H65)/3)</f>
        <v>6.5374155059802486E-2</v>
      </c>
      <c r="J65" s="47">
        <f t="shared" ref="J65" si="20">H65+((K65-H65)/3*2)</f>
        <v>0.11768707752990125</v>
      </c>
      <c r="K65" s="125">
        <v>0.17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21">SUM(G59:G65)</f>
        <v>0.99999999999999978</v>
      </c>
      <c r="H66" s="164">
        <v>1</v>
      </c>
      <c r="I66" s="47">
        <f t="shared" ref="I66:J66" si="22">SUM(I59:I65)</f>
        <v>0.99999999999999989</v>
      </c>
      <c r="J66" s="47">
        <f t="shared" si="22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-2.0937490702497112E-2</v>
      </c>
      <c r="J69" s="157">
        <f t="shared" ref="J69:K69" si="23">(I$97*(J59-I59)+I$98*(J60-I60)+I$99*(J61-I61)+I$100*(J62-I62)+I$101*(J63-I63)+I$102*(J64-I64)+I$103*(J65-I65))/(I$97*I59+I$98*I60+I$99*I61+I$100*I62+I$101*I63+I$102*I64+I$103*I65)</f>
        <v>-1.5955231144273326E-2</v>
      </c>
      <c r="K69" s="157">
        <f t="shared" si="23"/>
        <v>4.5687880876671014E-2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98" t="s">
        <v>92</v>
      </c>
      <c r="G72" s="199" t="s">
        <v>91</v>
      </c>
      <c r="H72" s="199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bord'!H10</f>
        <v>0.85</v>
      </c>
      <c r="G73" s="92">
        <f>'Tableau de bord'!H23</f>
        <v>0.94300000000000006</v>
      </c>
      <c r="H73" s="92">
        <f>'Tableau de bord'!H26</f>
        <v>0.94300000000000006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90.839046490654098</v>
      </c>
      <c r="H77" s="54">
        <f>'Init. énergie'!D30</f>
        <v>89.038529688212606</v>
      </c>
      <c r="I77" s="81">
        <f>G77*60%/(1+I$55)</f>
        <v>52.654138346101</v>
      </c>
      <c r="J77" s="81">
        <f>G77*50%/(1+I$55)/(1+J$55)</f>
        <v>45.150760199729689</v>
      </c>
      <c r="K77" s="81">
        <f>G77*40%/(1+I$55)/(1+J$55)/(1+K$55)</f>
        <v>36.604533258464876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24">H78/0.998^10</f>
        <v>76.717305384051045</v>
      </c>
      <c r="H78" s="54">
        <f>'Init. énergie'!D31</f>
        <v>75.196694999878517</v>
      </c>
      <c r="I78" s="81">
        <f t="shared" ref="I78:I83" si="25">G78*60%/(1+I$55)</f>
        <v>44.468582259364666</v>
      </c>
      <c r="J78" s="81">
        <f t="shared" ref="J78:J83" si="26">G78*50%/(1+I$55)/(1+J$55)</f>
        <v>38.131671262325447</v>
      </c>
      <c r="K78" s="81">
        <f t="shared" ref="K78:K83" si="27">G78*40%/(1+I$55)/(1+J$55)/(1+K$55)</f>
        <v>30.914031629770825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24"/>
        <v>89.223712047633214</v>
      </c>
      <c r="H79" s="54">
        <f>'Init. énergie'!D32</f>
        <v>87.455212719158936</v>
      </c>
      <c r="I79" s="81">
        <f t="shared" si="25"/>
        <v>51.717822449755765</v>
      </c>
      <c r="J79" s="81">
        <f t="shared" si="26"/>
        <v>44.347872224824499</v>
      </c>
      <c r="K79" s="81">
        <f t="shared" si="27"/>
        <v>35.953617538547171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24"/>
        <v>98.789639779222156</v>
      </c>
      <c r="H80" s="54">
        <f>'Init. énergie'!D33</f>
        <v>96.831534611881665</v>
      </c>
      <c r="I80" s="81">
        <f t="shared" si="25"/>
        <v>57.26263717036943</v>
      </c>
      <c r="J80" s="81">
        <f t="shared" si="26"/>
        <v>49.102533637319105</v>
      </c>
      <c r="K80" s="81">
        <f t="shared" si="27"/>
        <v>39.80830705067283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24"/>
        <v>60.1332108994282</v>
      </c>
      <c r="H81" s="54">
        <f>'Init. énergie'!D34</f>
        <v>58.941313133082552</v>
      </c>
      <c r="I81" s="81">
        <f t="shared" si="25"/>
        <v>34.855742417106057</v>
      </c>
      <c r="J81" s="81">
        <f t="shared" si="26"/>
        <v>29.888690934676326</v>
      </c>
      <c r="K81" s="81">
        <f t="shared" si="27"/>
        <v>24.231299241266978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24"/>
        <v>49.415942180022896</v>
      </c>
      <c r="H82" s="54">
        <f>'Init. énergie'!D35</f>
        <v>48.43647093235009</v>
      </c>
      <c r="I82" s="81">
        <f t="shared" si="25"/>
        <v>28.643561954578125</v>
      </c>
      <c r="J82" s="81">
        <f t="shared" si="26"/>
        <v>24.561765469912469</v>
      </c>
      <c r="K82" s="81">
        <f t="shared" si="27"/>
        <v>19.912664970708686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24"/>
        <v>54.554268348686961</v>
      </c>
      <c r="H83" s="54">
        <f>'Init. énergie'!D36</f>
        <v>53.47295056078152</v>
      </c>
      <c r="I83" s="81">
        <f t="shared" si="25"/>
        <v>31.62195227685066</v>
      </c>
      <c r="J83" s="81">
        <f t="shared" si="26"/>
        <v>27.115725926699255</v>
      </c>
      <c r="K83" s="81">
        <f t="shared" si="27"/>
        <v>21.983206641938743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8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8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8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8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8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8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90.839046490654098</v>
      </c>
      <c r="H97" s="54">
        <f>H77</f>
        <v>89.038529688212606</v>
      </c>
      <c r="I97" s="81">
        <f>$H97*(1+$G87)^(I$96-$H$96)</f>
        <v>79.357514469853797</v>
      </c>
      <c r="J97" s="81">
        <f>$H97*(1+$G87)^(J$96-$H$96)</f>
        <v>70.729100366835553</v>
      </c>
      <c r="K97" s="81">
        <f>$H97*(1+$G87)^(K$96-$H$96)</f>
        <v>63.038839763590097</v>
      </c>
      <c r="L97" s="67"/>
      <c r="M97" s="79">
        <f>(K97-G97)/H97</f>
        <v>-0.31222670482556653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9">G78</f>
        <v>76.717305384051045</v>
      </c>
      <c r="H98" s="54">
        <f t="shared" si="29"/>
        <v>75.196694999878517</v>
      </c>
      <c r="I98" s="81">
        <f t="shared" ref="I98:K103" si="30">$H98*(1+$G88)^(I$96-$H$96)</f>
        <v>67.665510540017621</v>
      </c>
      <c r="J98" s="81">
        <f t="shared" si="30"/>
        <v>60.888597785429702</v>
      </c>
      <c r="K98" s="81">
        <f t="shared" si="30"/>
        <v>54.790414063058797</v>
      </c>
      <c r="L98" s="67"/>
      <c r="M98" s="79">
        <f t="shared" ref="M98:M103" si="31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9"/>
        <v>89.223712047633214</v>
      </c>
      <c r="H99" s="54">
        <f t="shared" si="29"/>
        <v>87.455212719158936</v>
      </c>
      <c r="I99" s="81">
        <f t="shared" si="30"/>
        <v>81.067761286150471</v>
      </c>
      <c r="J99" s="81">
        <f t="shared" si="30"/>
        <v>75.146829052404158</v>
      </c>
      <c r="K99" s="81">
        <f t="shared" si="30"/>
        <v>69.658342934850324</v>
      </c>
      <c r="L99" s="67"/>
      <c r="M99" s="79">
        <f t="shared" si="31"/>
        <v>-0.223718729901353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9"/>
        <v>98.789639779222156</v>
      </c>
      <c r="H100" s="54">
        <f t="shared" si="29"/>
        <v>96.831534611881665</v>
      </c>
      <c r="I100" s="81">
        <f t="shared" si="30"/>
        <v>89.759266358378525</v>
      </c>
      <c r="J100" s="81">
        <f t="shared" si="30"/>
        <v>83.203534153281367</v>
      </c>
      <c r="K100" s="81">
        <f t="shared" si="30"/>
        <v>77.126611841453084</v>
      </c>
      <c r="L100" s="67"/>
      <c r="M100" s="79">
        <f t="shared" si="31"/>
        <v>-0.22371872990135305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9"/>
        <v>60.1332108994282</v>
      </c>
      <c r="H101" s="54">
        <f t="shared" si="29"/>
        <v>58.941313133082552</v>
      </c>
      <c r="I101" s="81">
        <f t="shared" si="30"/>
        <v>54.636426513638867</v>
      </c>
      <c r="J101" s="81">
        <f>$H101*(1+$G91)^(J$96-$H$96)</f>
        <v>50.64595516289512</v>
      </c>
      <c r="K101" s="81">
        <f>$H101*(1+$G91)^(K$96-$H$96)</f>
        <v>46.946935186577036</v>
      </c>
      <c r="L101" s="67"/>
      <c r="M101" s="79">
        <f t="shared" si="31"/>
        <v>-0.22371872990135294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9"/>
        <v>49.415942180022896</v>
      </c>
      <c r="H102" s="54">
        <f t="shared" si="29"/>
        <v>48.43647093235009</v>
      </c>
      <c r="I102" s="81">
        <f t="shared" si="30"/>
        <v>41.839422847244833</v>
      </c>
      <c r="J102" s="81">
        <f t="shared" si="30"/>
        <v>36.140892812679951</v>
      </c>
      <c r="K102" s="81">
        <f t="shared" si="30"/>
        <v>31.218502656368116</v>
      </c>
      <c r="L102" s="67"/>
      <c r="M102" s="79">
        <f t="shared" si="31"/>
        <v>-0.37569705582123541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9"/>
        <v>54.554268348686961</v>
      </c>
      <c r="H103" s="54">
        <f t="shared" si="29"/>
        <v>53.47295056078152</v>
      </c>
      <c r="I103" s="81">
        <f t="shared" si="30"/>
        <v>46.189933872909535</v>
      </c>
      <c r="J103" s="81">
        <f t="shared" si="30"/>
        <v>39.898864169813152</v>
      </c>
      <c r="K103" s="81">
        <f t="shared" si="30"/>
        <v>34.464638256926861</v>
      </c>
      <c r="L103" s="67"/>
      <c r="M103" s="79">
        <f t="shared" si="31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3306.23056117139</v>
      </c>
      <c r="H107" s="54">
        <f>H$36*H45*$H$73*H77/1000</f>
        <v>3240.6979085499529</v>
      </c>
      <c r="I107" s="127">
        <f>I$36*I45*$H$73*I77/1000</f>
        <v>905.30432164779586</v>
      </c>
      <c r="J107" s="127">
        <f>J$36*J45*$H$73*J77/1000</f>
        <v>0</v>
      </c>
      <c r="K107" s="127">
        <f>K$36*K45*$H$73*K77/1000</f>
        <v>0</v>
      </c>
      <c r="L107" s="46"/>
      <c r="M107" s="79">
        <f>(K107-G107)/H107</f>
        <v>-1.0202217715043855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32">G$36*G46*$H$73*G78/1000</f>
        <v>8120.9180112325885</v>
      </c>
      <c r="H108" s="54">
        <f t="shared" si="32"/>
        <v>7959.9536473895751</v>
      </c>
      <c r="I108" s="127">
        <f t="shared" si="32"/>
        <v>3440.550056018621</v>
      </c>
      <c r="J108" s="127">
        <f t="shared" si="32"/>
        <v>2309.5891395160534</v>
      </c>
      <c r="K108" s="127">
        <f t="shared" si="32"/>
        <v>1222.5301313232251</v>
      </c>
      <c r="L108" s="46"/>
      <c r="M108" s="79">
        <f t="shared" ref="M108:M114" si="33">(K108-G108)/H108</f>
        <v>-0.86663668979676201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32"/>
        <v>1349.0026229401305</v>
      </c>
      <c r="H109" s="54">
        <f t="shared" si="32"/>
        <v>1322.2641004327277</v>
      </c>
      <c r="I109" s="127">
        <f t="shared" si="32"/>
        <v>3112.2204966640584</v>
      </c>
      <c r="J109" s="127">
        <f t="shared" si="32"/>
        <v>3332.3910644565321</v>
      </c>
      <c r="K109" s="127">
        <f t="shared" si="32"/>
        <v>2843.6524421884942</v>
      </c>
      <c r="L109" s="46"/>
      <c r="M109" s="79">
        <f t="shared" si="33"/>
        <v>1.1303716245182944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32"/>
        <v>236.8278442071981</v>
      </c>
      <c r="H110" s="54">
        <f t="shared" si="32"/>
        <v>232.13368977411594</v>
      </c>
      <c r="I110" s="127">
        <f t="shared" si="32"/>
        <v>87.429837718628875</v>
      </c>
      <c r="J110" s="127">
        <f t="shared" si="32"/>
        <v>36.40581936147025</v>
      </c>
      <c r="K110" s="127">
        <f t="shared" si="32"/>
        <v>0</v>
      </c>
      <c r="L110" s="46"/>
      <c r="M110" s="79">
        <f t="shared" si="33"/>
        <v>-1.0202217715043858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32"/>
        <v>101.32952850871263</v>
      </c>
      <c r="H111" s="54">
        <f t="shared" si="32"/>
        <v>99.321080316974019</v>
      </c>
      <c r="I111" s="127">
        <f t="shared" si="32"/>
        <v>117.31308697514949</v>
      </c>
      <c r="J111" s="127">
        <f t="shared" si="32"/>
        <v>199.63539594731679</v>
      </c>
      <c r="K111" s="127">
        <f t="shared" si="32"/>
        <v>153.32063471154879</v>
      </c>
      <c r="L111" s="46"/>
      <c r="M111" s="79">
        <f t="shared" si="33"/>
        <v>0.52346496873484838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32"/>
        <v>798.93290986601687</v>
      </c>
      <c r="H112" s="54">
        <f t="shared" si="32"/>
        <v>783.09729529486162</v>
      </c>
      <c r="I112" s="127">
        <f t="shared" si="32"/>
        <v>30.387039618675278</v>
      </c>
      <c r="J112" s="127">
        <f t="shared" si="32"/>
        <v>103.13815249969404</v>
      </c>
      <c r="K112" s="127">
        <f t="shared" si="32"/>
        <v>125.99499522122386</v>
      </c>
      <c r="L112" s="46"/>
      <c r="M112" s="79">
        <f t="shared" si="33"/>
        <v>-0.85932861559866569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32"/>
        <v>128.23800584604729</v>
      </c>
      <c r="H113" s="54">
        <f t="shared" si="32"/>
        <v>125.69620589154033</v>
      </c>
      <c r="I113" s="127">
        <f t="shared" si="32"/>
        <v>355.43226660330168</v>
      </c>
      <c r="J113" s="127">
        <f t="shared" si="32"/>
        <v>532.86926781427712</v>
      </c>
      <c r="K113" s="127">
        <f t="shared" si="32"/>
        <v>591.15842025456504</v>
      </c>
      <c r="L113" s="46"/>
      <c r="M113" s="79">
        <f t="shared" si="33"/>
        <v>3.6828511340108276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14041.479483772084</v>
      </c>
      <c r="H114" s="161">
        <f>SUM(H107:H113)</f>
        <v>13763.163927649746</v>
      </c>
      <c r="I114" s="159">
        <f t="shared" ref="I114:J114" si="34">SUM(I107:I113)</f>
        <v>8048.63710524623</v>
      </c>
      <c r="J114" s="159">
        <f t="shared" si="34"/>
        <v>6514.0288395953439</v>
      </c>
      <c r="K114" s="159">
        <f>SUM(K107:K113)</f>
        <v>4936.6566236990566</v>
      </c>
      <c r="L114" s="21"/>
      <c r="M114" s="79">
        <f t="shared" si="33"/>
        <v>-0.66153559660665928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199.84638598809019</v>
      </c>
      <c r="H118" s="162">
        <f>H$36*H45*(1-$H$73)*H97/1000</f>
        <v>195.88523943515071</v>
      </c>
      <c r="I118" s="158">
        <f t="shared" ref="I118:K118" si="35">I$36*I45*(1-$H$73)*I97/1000</f>
        <v>82.473286890032227</v>
      </c>
      <c r="J118" s="158">
        <f t="shared" si="35"/>
        <v>0</v>
      </c>
      <c r="K118" s="158">
        <f t="shared" si="35"/>
        <v>0</v>
      </c>
      <c r="L118" s="46"/>
      <c r="M118" s="79">
        <f>(K118-G118)/H118</f>
        <v>-1.0202217715043855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6">G$36*G46*(1-$H$73)*G98/1000</f>
        <v>490.87203249231925</v>
      </c>
      <c r="H119" s="162">
        <f t="shared" si="36"/>
        <v>481.14247921654851</v>
      </c>
      <c r="I119" s="158">
        <f t="shared" si="36"/>
        <v>316.45001677204675</v>
      </c>
      <c r="J119" s="158">
        <f t="shared" si="36"/>
        <v>222.91948141502752</v>
      </c>
      <c r="K119" s="158">
        <f t="shared" si="36"/>
        <v>130.96995260420229</v>
      </c>
      <c r="L119" s="46"/>
      <c r="M119" s="79">
        <f t="shared" ref="M119:M125" si="37">(K119-G119)/H119</f>
        <v>-0.74801559919246985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6"/>
        <v>81.54098569203326</v>
      </c>
      <c r="H120" s="162">
        <f t="shared" si="36"/>
        <v>79.92476534959215</v>
      </c>
      <c r="I120" s="158">
        <f t="shared" si="36"/>
        <v>294.87738780160646</v>
      </c>
      <c r="J120" s="158">
        <f t="shared" si="36"/>
        <v>341.31627413742973</v>
      </c>
      <c r="K120" s="158">
        <f t="shared" si="36"/>
        <v>333.01992798100406</v>
      </c>
      <c r="L120" s="46"/>
      <c r="M120" s="79">
        <f t="shared" si="37"/>
        <v>3.1464458004849694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6"/>
        <v>14.315150710297218</v>
      </c>
      <c r="H121" s="162">
        <f t="shared" si="36"/>
        <v>14.031410728658106</v>
      </c>
      <c r="I121" s="158">
        <f t="shared" si="36"/>
        <v>8.283822495874567</v>
      </c>
      <c r="J121" s="158">
        <f t="shared" si="36"/>
        <v>3.7288236527557186</v>
      </c>
      <c r="K121" s="158">
        <f t="shared" si="36"/>
        <v>0</v>
      </c>
      <c r="L121" s="46"/>
      <c r="M121" s="79">
        <f t="shared" si="37"/>
        <v>-1.0202217715043858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6"/>
        <v>6.124902571576472</v>
      </c>
      <c r="H122" s="162">
        <f t="shared" si="36"/>
        <v>6.0035011432317216</v>
      </c>
      <c r="I122" s="158">
        <f t="shared" si="36"/>
        <v>11.115207511567522</v>
      </c>
      <c r="J122" s="158">
        <f t="shared" si="36"/>
        <v>20.447422950283663</v>
      </c>
      <c r="K122" s="158">
        <f t="shared" si="36"/>
        <v>17.955368234222949</v>
      </c>
      <c r="L122" s="46"/>
      <c r="M122" s="79">
        <f t="shared" si="37"/>
        <v>1.9705943882402701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6"/>
        <v>48.291808973873714</v>
      </c>
      <c r="H123" s="162">
        <f t="shared" si="36"/>
        <v>47.334619121746627</v>
      </c>
      <c r="I123" s="158">
        <f t="shared" si="36"/>
        <v>2.6829354049528118</v>
      </c>
      <c r="J123" s="158">
        <f t="shared" si="36"/>
        <v>9.1732199627049358</v>
      </c>
      <c r="K123" s="158">
        <f t="shared" si="36"/>
        <v>11.939857387675113</v>
      </c>
      <c r="L123" s="46"/>
      <c r="M123" s="79">
        <f t="shared" si="37"/>
        <v>-0.76797811539794703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6"/>
        <v>7.7513958994959573</v>
      </c>
      <c r="H124" s="162">
        <f t="shared" si="36"/>
        <v>7.5977558174101718</v>
      </c>
      <c r="I124" s="158">
        <f t="shared" si="36"/>
        <v>31.381859638164944</v>
      </c>
      <c r="J124" s="158">
        <f t="shared" si="36"/>
        <v>47.39397484398792</v>
      </c>
      <c r="K124" s="158">
        <f t="shared" si="36"/>
        <v>56.020853994792958</v>
      </c>
      <c r="L124" s="46"/>
      <c r="M124" s="79">
        <f t="shared" si="37"/>
        <v>6.3531204812726516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848.74266232768605</v>
      </c>
      <c r="H125" s="163">
        <f>SUM(H118:H124)</f>
        <v>831.9197708123379</v>
      </c>
      <c r="I125" s="160">
        <f t="shared" ref="I125:K125" si="38">SUM(I118:I124)</f>
        <v>747.26451651424532</v>
      </c>
      <c r="J125" s="160">
        <f t="shared" si="38"/>
        <v>644.97919696218958</v>
      </c>
      <c r="K125" s="160">
        <f t="shared" si="38"/>
        <v>549.90596020189741</v>
      </c>
      <c r="L125" s="21"/>
      <c r="M125" s="79">
        <f t="shared" si="37"/>
        <v>-0.35921336721446828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3436.5831479851036</v>
      </c>
      <c r="I129" s="158">
        <f t="shared" ref="I129:K129" si="39">I107+I118</f>
        <v>987.77760853782809</v>
      </c>
      <c r="J129" s="158">
        <f t="shared" si="39"/>
        <v>0</v>
      </c>
      <c r="K129" s="158">
        <f t="shared" si="39"/>
        <v>0</v>
      </c>
      <c r="L129" s="46"/>
      <c r="M129" s="79">
        <f>(K129-G129)/H129</f>
        <v>0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40">H108+H119</f>
        <v>8441.096126606124</v>
      </c>
      <c r="I130" s="158">
        <f t="shared" si="40"/>
        <v>3757.0000727906677</v>
      </c>
      <c r="J130" s="158">
        <f t="shared" si="40"/>
        <v>2532.5086209310807</v>
      </c>
      <c r="K130" s="158">
        <f t="shared" si="40"/>
        <v>1353.5000839274273</v>
      </c>
      <c r="L130" s="46"/>
      <c r="M130" s="79">
        <f t="shared" ref="M130:M136" si="41">(K130-G130)/H130</f>
        <v>0.16034648387206835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40"/>
        <v>1402.1888657823199</v>
      </c>
      <c r="I131" s="158">
        <f t="shared" si="40"/>
        <v>3407.0978844656647</v>
      </c>
      <c r="J131" s="158">
        <f t="shared" si="40"/>
        <v>3673.707338593962</v>
      </c>
      <c r="K131" s="158">
        <f t="shared" si="40"/>
        <v>3176.6723701694982</v>
      </c>
      <c r="L131" s="46"/>
      <c r="M131" s="79">
        <f t="shared" si="41"/>
        <v>2.2655096240527803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40"/>
        <v>246.16510050277404</v>
      </c>
      <c r="I132" s="158">
        <f t="shared" si="40"/>
        <v>95.713660214503449</v>
      </c>
      <c r="J132" s="158">
        <f t="shared" si="40"/>
        <v>40.134643014225972</v>
      </c>
      <c r="K132" s="158">
        <f t="shared" si="40"/>
        <v>0</v>
      </c>
      <c r="L132" s="46"/>
      <c r="M132" s="79">
        <f t="shared" si="41"/>
        <v>0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40"/>
        <v>105.32458146020574</v>
      </c>
      <c r="I133" s="158">
        <f t="shared" si="40"/>
        <v>128.42829448671702</v>
      </c>
      <c r="J133" s="158">
        <f t="shared" si="40"/>
        <v>220.08281889760045</v>
      </c>
      <c r="K133" s="158">
        <f t="shared" si="40"/>
        <v>171.27600294577175</v>
      </c>
      <c r="L133" s="46"/>
      <c r="M133" s="79">
        <f t="shared" si="41"/>
        <v>1.6261731171510434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40"/>
        <v>830.43191441660827</v>
      </c>
      <c r="I134" s="158">
        <f t="shared" si="40"/>
        <v>33.069975023628089</v>
      </c>
      <c r="J134" s="158">
        <f t="shared" si="40"/>
        <v>112.31137246239898</v>
      </c>
      <c r="K134" s="158">
        <f t="shared" si="40"/>
        <v>137.93485260889898</v>
      </c>
      <c r="L134" s="46"/>
      <c r="M134" s="79">
        <f t="shared" si="41"/>
        <v>0.16610013441716101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40"/>
        <v>133.29396170895049</v>
      </c>
      <c r="I135" s="158">
        <f t="shared" si="40"/>
        <v>386.81412624146662</v>
      </c>
      <c r="J135" s="158">
        <f t="shared" si="40"/>
        <v>580.26324265826509</v>
      </c>
      <c r="K135" s="158">
        <f t="shared" si="40"/>
        <v>647.17927424935806</v>
      </c>
      <c r="L135" s="46"/>
      <c r="M135" s="79">
        <f t="shared" si="41"/>
        <v>4.8552782583091378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14595.083698462086</v>
      </c>
      <c r="I136" s="160">
        <f t="shared" ref="I136:K136" si="42">SUM(I129:I135)</f>
        <v>8795.9016217604749</v>
      </c>
      <c r="J136" s="160">
        <f t="shared" si="42"/>
        <v>7159.0080365575332</v>
      </c>
      <c r="K136" s="160">
        <f t="shared" si="42"/>
        <v>5486.5625839009535</v>
      </c>
      <c r="L136" s="21"/>
      <c r="M136" s="79">
        <f t="shared" si="41"/>
        <v>0.37591854197308128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énergie'!C30</f>
        <v>5.6584972145073235E-2</v>
      </c>
      <c r="I142" s="47">
        <v>0</v>
      </c>
      <c r="J142" s="47">
        <v>0</v>
      </c>
      <c r="K142" s="47">
        <v>0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énergie'!C31</f>
        <v>0.5881912261494745</v>
      </c>
      <c r="I143" s="47">
        <v>0</v>
      </c>
      <c r="J143" s="47">
        <v>0</v>
      </c>
      <c r="K143" s="47">
        <v>0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énergie'!C32</f>
        <v>8.0741361547576412E-2</v>
      </c>
      <c r="I144" s="47">
        <v>0.25</v>
      </c>
      <c r="J144" s="47">
        <v>0.25</v>
      </c>
      <c r="K144" s="47">
        <v>0.2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énergie'!C33</f>
        <v>1.2731783152525081E-2</v>
      </c>
      <c r="I145" s="47">
        <f t="shared" ref="I145:K146" si="43">H145</f>
        <v>1.2731783152525081E-2</v>
      </c>
      <c r="J145" s="47">
        <f t="shared" si="43"/>
        <v>1.2731783152525081E-2</v>
      </c>
      <c r="K145" s="47">
        <f t="shared" si="43"/>
        <v>1.2731783152525081E-2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énergie'!C34</f>
        <v>9.0821371602788342E-3</v>
      </c>
      <c r="I146" s="47">
        <f t="shared" si="43"/>
        <v>9.0821371602788342E-3</v>
      </c>
      <c r="J146" s="47">
        <f t="shared" si="43"/>
        <v>9.0821371602788342E-3</v>
      </c>
      <c r="K146" s="47">
        <v>0.04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énergie'!C35</f>
        <v>2.1278159067402536E-2</v>
      </c>
      <c r="I147" s="47">
        <f>1-I142-I143-I144-I145-I146-I148</f>
        <v>0.27818607968719605</v>
      </c>
      <c r="J147" s="47">
        <f t="shared" ref="J147:K147" si="44">1-J142-J143-J144-J145-J146-J148</f>
        <v>-1.8139203128039183E-3</v>
      </c>
      <c r="K147" s="47">
        <f t="shared" si="44"/>
        <v>-2.7317831525250913E-3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énergie'!C36</f>
        <v>0.23139036077766945</v>
      </c>
      <c r="I148" s="47">
        <v>0.45</v>
      </c>
      <c r="J148" s="47">
        <v>0.73</v>
      </c>
      <c r="K148" s="47">
        <v>0.75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5">SUM(I142:I148)</f>
        <v>1</v>
      </c>
      <c r="J149" s="15">
        <f t="shared" si="45"/>
        <v>1</v>
      </c>
      <c r="K149" s="15">
        <f t="shared" si="45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36.604533258464876</v>
      </c>
      <c r="J153" s="45">
        <f>K153</f>
        <v>36.604533258464876</v>
      </c>
      <c r="K153" s="45">
        <f t="shared" ref="K153:K159" si="46">K77</f>
        <v>36.604533258464876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7">J154</f>
        <v>30.914031629770825</v>
      </c>
      <c r="J154" s="45">
        <f t="shared" si="47"/>
        <v>30.914031629770825</v>
      </c>
      <c r="K154" s="45">
        <f t="shared" si="46"/>
        <v>30.914031629770825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7"/>
        <v>35.953617538547171</v>
      </c>
      <c r="J155" s="45">
        <f t="shared" si="47"/>
        <v>35.953617538547171</v>
      </c>
      <c r="K155" s="45">
        <f t="shared" si="46"/>
        <v>35.953617538547171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7"/>
        <v>39.80830705067283</v>
      </c>
      <c r="J156" s="45">
        <f t="shared" si="47"/>
        <v>39.80830705067283</v>
      </c>
      <c r="K156" s="45">
        <f t="shared" si="46"/>
        <v>39.80830705067283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7"/>
        <v>24.231299241266978</v>
      </c>
      <c r="J157" s="45">
        <f t="shared" si="47"/>
        <v>24.231299241266978</v>
      </c>
      <c r="K157" s="45">
        <f t="shared" si="46"/>
        <v>24.231299241266978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7"/>
        <v>19.912664970708686</v>
      </c>
      <c r="J158" s="45">
        <f t="shared" si="47"/>
        <v>19.912664970708686</v>
      </c>
      <c r="K158" s="45">
        <f t="shared" si="46"/>
        <v>19.912664970708686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7"/>
        <v>21.983206641938743</v>
      </c>
      <c r="J159" s="45">
        <f t="shared" si="47"/>
        <v>21.983206641938743</v>
      </c>
      <c r="K159" s="45">
        <f t="shared" si="46"/>
        <v>21.983206641938743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8">I$35*I142*I153/1000</f>
        <v>0</v>
      </c>
      <c r="J163" s="10">
        <f t="shared" si="48"/>
        <v>0</v>
      </c>
      <c r="K163" s="10">
        <f t="shared" si="48"/>
        <v>0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9">H$35*H143*H154/1000</f>
        <v>0</v>
      </c>
      <c r="I164" s="10">
        <f t="shared" si="49"/>
        <v>0</v>
      </c>
      <c r="J164" s="10">
        <f t="shared" si="49"/>
        <v>0</v>
      </c>
      <c r="K164" s="10">
        <f t="shared" si="49"/>
        <v>0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9"/>
        <v>0</v>
      </c>
      <c r="I165" s="10">
        <f t="shared" si="49"/>
        <v>34.518150983071109</v>
      </c>
      <c r="J165" s="10">
        <f t="shared" si="49"/>
        <v>33.671167245557399</v>
      </c>
      <c r="K165" s="10">
        <f t="shared" si="49"/>
        <v>26.163512963758279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9"/>
        <v>0</v>
      </c>
      <c r="I166" s="10">
        <f t="shared" si="49"/>
        <v>1.9463810279585732</v>
      </c>
      <c r="J166" s="10">
        <f t="shared" si="49"/>
        <v>1.8986220075378495</v>
      </c>
      <c r="K166" s="10">
        <f t="shared" si="49"/>
        <v>1.8441082375176416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9"/>
        <v>0</v>
      </c>
      <c r="I167" s="10">
        <f t="shared" si="49"/>
        <v>0.84514198749443514</v>
      </c>
      <c r="J167" s="10">
        <f t="shared" si="49"/>
        <v>0.82440444799966728</v>
      </c>
      <c r="K167" s="10">
        <f t="shared" si="49"/>
        <v>3.5266321178829148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9"/>
        <v>0</v>
      </c>
      <c r="I168" s="10">
        <f t="shared" si="49"/>
        <v>21.273047128067329</v>
      </c>
      <c r="J168" s="10">
        <f t="shared" si="49"/>
        <v>-0.13530790194200751</v>
      </c>
      <c r="K168" s="10">
        <f t="shared" si="49"/>
        <v>-0.19792428072011067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9"/>
        <v>0</v>
      </c>
      <c r="I169" s="10">
        <f t="shared" si="49"/>
        <v>37.989928586765537</v>
      </c>
      <c r="J169" s="10">
        <f t="shared" si="49"/>
        <v>60.115916341131893</v>
      </c>
      <c r="K169" s="10">
        <f t="shared" si="49"/>
        <v>59.989573164441708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50">SUM(I163:I169)</f>
        <v>96.572649713356981</v>
      </c>
      <c r="J170" s="11">
        <f t="shared" si="50"/>
        <v>96.3748021402848</v>
      </c>
      <c r="K170" s="11">
        <f t="shared" si="50"/>
        <v>91.325902202880428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B1589"/>
  <sheetViews>
    <sheetView showGridLines="0" topLeftCell="D41" zoomScale="145" zoomScaleNormal="145" workbookViewId="0">
      <selection activeCell="I48" sqref="I48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245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246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231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72592</v>
      </c>
      <c r="I7" s="10">
        <f t="shared" si="0"/>
        <v>80864.731484243006</v>
      </c>
      <c r="J7" s="10">
        <f t="shared" si="0"/>
        <v>89173.42370429248</v>
      </c>
      <c r="K7" s="10">
        <f t="shared" si="0"/>
        <v>95523.463120492786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3840.2979556716878</v>
      </c>
      <c r="J8" s="76">
        <f t="shared" si="0"/>
        <v>3746.0672444943634</v>
      </c>
      <c r="K8" s="76">
        <f t="shared" si="0"/>
        <v>3638.5091063100158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72592</v>
      </c>
      <c r="I9" s="96">
        <f t="shared" si="1"/>
        <v>77024.433528571317</v>
      </c>
      <c r="J9" s="96">
        <f t="shared" si="1"/>
        <v>85427.356459798117</v>
      </c>
      <c r="K9" s="96">
        <f t="shared" si="1"/>
        <v>91884.954014182775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233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1843.8368</v>
      </c>
      <c r="I13" s="86">
        <f t="shared" ref="I13:K13" si="2">I129+I163</f>
        <v>994.36529889843905</v>
      </c>
      <c r="J13" s="86">
        <f t="shared" si="2"/>
        <v>504.73115555072877</v>
      </c>
      <c r="K13" s="86">
        <f t="shared" si="2"/>
        <v>0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3665.8959999999997</v>
      </c>
      <c r="I14" s="86">
        <f t="shared" si="3"/>
        <v>1951.9442817215725</v>
      </c>
      <c r="J14" s="86">
        <f t="shared" si="3"/>
        <v>1862.5254001397268</v>
      </c>
      <c r="K14" s="86">
        <f t="shared" si="3"/>
        <v>1274.2349704588478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217.77599999999998</v>
      </c>
      <c r="I15" s="86">
        <f t="shared" si="3"/>
        <v>831.99746985773675</v>
      </c>
      <c r="J15" s="86">
        <f t="shared" si="3"/>
        <v>1131.8038637918175</v>
      </c>
      <c r="K15" s="86">
        <f t="shared" si="3"/>
        <v>1605.9461710950063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36.295999999999999</v>
      </c>
      <c r="I16" s="86">
        <f t="shared" si="3"/>
        <v>19.744107408923881</v>
      </c>
      <c r="J16" s="86">
        <f t="shared" si="3"/>
        <v>10.107050384251771</v>
      </c>
      <c r="K16" s="86">
        <f t="shared" si="3"/>
        <v>0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108.88799999999999</v>
      </c>
      <c r="I17" s="86">
        <f t="shared" si="3"/>
        <v>103.67871951739582</v>
      </c>
      <c r="J17" s="86">
        <f t="shared" si="3"/>
        <v>116.01407607165987</v>
      </c>
      <c r="K17" s="86">
        <f t="shared" si="3"/>
        <v>128.47569368760051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999.59184000000005</v>
      </c>
      <c r="I18" s="86">
        <f t="shared" si="3"/>
        <v>624.25358288202335</v>
      </c>
      <c r="J18" s="86">
        <f t="shared" si="3"/>
        <v>438.8095000658351</v>
      </c>
      <c r="K18" s="86">
        <f t="shared" si="3"/>
        <v>249.67208383626817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97.999200000000002</v>
      </c>
      <c r="I19" s="86">
        <f t="shared" si="3"/>
        <v>338.40857288881784</v>
      </c>
      <c r="J19" s="86">
        <f t="shared" si="3"/>
        <v>420.08917991148826</v>
      </c>
      <c r="K19" s="86">
        <f t="shared" si="3"/>
        <v>582.56819561795828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6970.2838400000001</v>
      </c>
      <c r="I20" s="13">
        <f t="shared" ref="I20:K20" si="4">SUM(I13:I19)</f>
        <v>4864.3920331749086</v>
      </c>
      <c r="J20" s="13">
        <f t="shared" si="4"/>
        <v>4484.080225915508</v>
      </c>
      <c r="K20" s="13">
        <f t="shared" si="4"/>
        <v>3840.897114695681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-0.36336428095185724</v>
      </c>
      <c r="J23" s="193">
        <f t="shared" ref="J23:K23" si="5">J114/$G114-1</f>
        <v>-0.41159248636352408</v>
      </c>
      <c r="K23" s="193">
        <f t="shared" si="5"/>
        <v>-0.49369101821587635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-0.22187391102567844</v>
      </c>
      <c r="J24" s="193">
        <f t="shared" ref="J24:K24" si="6">J125/$G125-1</f>
        <v>-0.29561679895402315</v>
      </c>
      <c r="K24" s="193">
        <f t="shared" si="6"/>
        <v>-0.41952040429569504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247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248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72592</v>
      </c>
      <c r="H34" s="127">
        <f>'Init. parc'!C8</f>
        <v>72592</v>
      </c>
      <c r="I34" s="127">
        <f>'Init. parc'!D8</f>
        <v>80864.731484243006</v>
      </c>
      <c r="J34" s="127">
        <f>'Init. parc'!E8</f>
        <v>89173.42370429248</v>
      </c>
      <c r="K34" s="127">
        <f>'Init. parc'!F8</f>
        <v>95523.463120492786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parc'!N7</f>
        <v>3840.2979556716878</v>
      </c>
      <c r="J35" s="127">
        <f>'Init. parc'!O7</f>
        <v>3746.0672444943634</v>
      </c>
      <c r="K35" s="127">
        <f>'Init. parc'!P7</f>
        <v>3638.5091063100158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72592</v>
      </c>
      <c r="H36" s="127">
        <f>H34-H35</f>
        <v>72592</v>
      </c>
      <c r="I36" s="127">
        <f>I34-I35</f>
        <v>77024.433528571317</v>
      </c>
      <c r="J36" s="127">
        <f>J34-J35</f>
        <v>85427.356459798117</v>
      </c>
      <c r="K36" s="127">
        <f>K34-K35</f>
        <v>91884.954014182775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0.2</v>
      </c>
      <c r="H45" s="55">
        <f>'Init. énergie'!B39</f>
        <v>0.2</v>
      </c>
      <c r="I45" s="47">
        <f>H45+((K45-H45)/3)</f>
        <v>0.13333333333333336</v>
      </c>
      <c r="J45" s="47">
        <f>H45+((K45-H45)/3*2)</f>
        <v>6.666666666666668E-2</v>
      </c>
      <c r="K45" s="47">
        <v>0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0.5</v>
      </c>
      <c r="H46" s="55">
        <f>'Init. énergie'!B40</f>
        <v>0.5</v>
      </c>
      <c r="I46" s="47">
        <v>0.32</v>
      </c>
      <c r="J46" s="47">
        <f t="shared" ref="J46:J51" si="8">H46+((K46-H46)/3*2)</f>
        <v>0.30000000000000004</v>
      </c>
      <c r="K46" s="47">
        <v>0.2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0.06</v>
      </c>
      <c r="H47" s="55">
        <f>'Init. énergie'!B41</f>
        <v>0.06</v>
      </c>
      <c r="I47" s="47">
        <v>0.26</v>
      </c>
      <c r="J47" s="47">
        <f t="shared" si="8"/>
        <v>0.35333333333333333</v>
      </c>
      <c r="K47" s="47">
        <v>0.5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0.01</v>
      </c>
      <c r="H48" s="55">
        <f>'Init. énergie'!B42</f>
        <v>0.01</v>
      </c>
      <c r="I48" s="47">
        <f t="shared" ref="I48:I50" si="9">H48+((K48-H48)/3)</f>
        <v>6.6666666666666662E-3</v>
      </c>
      <c r="J48" s="47">
        <f t="shared" si="8"/>
        <v>3.3333333333333331E-3</v>
      </c>
      <c r="K48" s="47">
        <v>0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0.03</v>
      </c>
      <c r="H49" s="55">
        <f>'Init. énergie'!B43</f>
        <v>0.03</v>
      </c>
      <c r="I49" s="47">
        <f t="shared" si="9"/>
        <v>3.3333333333333333E-2</v>
      </c>
      <c r="J49" s="47">
        <f t="shared" si="8"/>
        <v>3.6666666666666667E-2</v>
      </c>
      <c r="K49" s="47">
        <v>0.04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0.17</v>
      </c>
      <c r="H50" s="55">
        <f>'Init. énergie'!B44</f>
        <v>0.17</v>
      </c>
      <c r="I50" s="47">
        <f t="shared" si="9"/>
        <v>0.13000000000000003</v>
      </c>
      <c r="J50" s="47">
        <f t="shared" si="8"/>
        <v>9.0000000000000052E-2</v>
      </c>
      <c r="K50" s="47">
        <f>1-K45-K46-K47-K48-K49-K51</f>
        <v>5.0000000000000072E-2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0.03</v>
      </c>
      <c r="H51" s="55">
        <f>'Init. énergie'!B45</f>
        <v>0.03</v>
      </c>
      <c r="I51" s="47">
        <v>0.12</v>
      </c>
      <c r="J51" s="47">
        <f t="shared" si="8"/>
        <v>0.15</v>
      </c>
      <c r="K51" s="125">
        <v>0.21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0">SUM(G45:G51)</f>
        <v>1</v>
      </c>
      <c r="H52" s="164">
        <f t="shared" si="10"/>
        <v>1</v>
      </c>
      <c r="I52" s="170">
        <f t="shared" si="10"/>
        <v>1.0033333333333334</v>
      </c>
      <c r="J52" s="170">
        <f t="shared" si="10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1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-0.164930917170034</v>
      </c>
      <c r="J55" s="157">
        <f t="shared" si="11"/>
        <v>-9.6154645603824571E-2</v>
      </c>
      <c r="K55" s="157">
        <f t="shared" si="11"/>
        <v>-0.1624505565265385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0.2</v>
      </c>
      <c r="H59" s="55">
        <f>H45</f>
        <v>0.2</v>
      </c>
      <c r="I59" s="47">
        <f>H59+((K59-H59)/3)</f>
        <v>0.13333333333333336</v>
      </c>
      <c r="J59" s="47">
        <f>H59+((K59-H59)/3*2)</f>
        <v>6.666666666666668E-2</v>
      </c>
      <c r="K59" s="47">
        <v>0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2">H60</f>
        <v>0.5</v>
      </c>
      <c r="H60" s="55">
        <f t="shared" ref="H60:H65" si="13">H46</f>
        <v>0.5</v>
      </c>
      <c r="I60" s="47">
        <f t="shared" ref="I60:I65" si="14">H60+((K60-H60)/3)</f>
        <v>0.4</v>
      </c>
      <c r="J60" s="47">
        <f t="shared" ref="J60:J65" si="15">H60+((K60-H60)/3*2)</f>
        <v>0.30000000000000004</v>
      </c>
      <c r="K60" s="47">
        <v>0.2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2"/>
        <v>0.06</v>
      </c>
      <c r="H61" s="55">
        <f t="shared" si="13"/>
        <v>0.06</v>
      </c>
      <c r="I61" s="47">
        <v>0.3</v>
      </c>
      <c r="J61" s="47">
        <v>0.4</v>
      </c>
      <c r="K61" s="47">
        <v>0.5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2"/>
        <v>0.01</v>
      </c>
      <c r="H62" s="55">
        <f t="shared" si="13"/>
        <v>0.01</v>
      </c>
      <c r="I62" s="47">
        <f t="shared" si="14"/>
        <v>6.6666666666666662E-3</v>
      </c>
      <c r="J62" s="47">
        <f t="shared" si="15"/>
        <v>3.3333333333333331E-3</v>
      </c>
      <c r="K62" s="47">
        <v>0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2"/>
        <v>0.03</v>
      </c>
      <c r="H63" s="55">
        <f t="shared" si="13"/>
        <v>0.03</v>
      </c>
      <c r="I63" s="47">
        <f t="shared" si="14"/>
        <v>3.3333333333333333E-2</v>
      </c>
      <c r="J63" s="47">
        <f t="shared" si="15"/>
        <v>3.6666666666666667E-2</v>
      </c>
      <c r="K63" s="47">
        <v>0.04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2"/>
        <v>0.17</v>
      </c>
      <c r="H64" s="55">
        <f t="shared" si="13"/>
        <v>0.17</v>
      </c>
      <c r="I64" s="47">
        <f>1-I59-I60-I61-I62-I63-I65</f>
        <v>3.6666666666666708E-2</v>
      </c>
      <c r="J64" s="47">
        <f>1-J59-J60-J61-J62-J63-J65</f>
        <v>4.3333333333333307E-2</v>
      </c>
      <c r="K64" s="47">
        <f t="shared" ref="K64" si="16">1-K59-K60-K61-K62-K63-K65</f>
        <v>5.0000000000000072E-2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2"/>
        <v>0.03</v>
      </c>
      <c r="H65" s="55">
        <f t="shared" si="13"/>
        <v>0.03</v>
      </c>
      <c r="I65" s="47">
        <f t="shared" si="14"/>
        <v>0.09</v>
      </c>
      <c r="J65" s="47">
        <f t="shared" si="15"/>
        <v>0.15</v>
      </c>
      <c r="K65" s="125">
        <v>0.21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7">SUM(G59:G65)</f>
        <v>1</v>
      </c>
      <c r="H66" s="164">
        <v>1</v>
      </c>
      <c r="I66" s="47">
        <f t="shared" ref="I66:J66" si="18">SUM(I59:I65)</f>
        <v>1.0000000000000002</v>
      </c>
      <c r="J66" s="47">
        <f t="shared" si="18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-0.1527459557036728</v>
      </c>
      <c r="J69" s="157">
        <f t="shared" ref="J69:K69" si="19">(I$97*(J59-I59)+I$98*(J60-I60)+I$99*(J61-I61)+I$100*(J62-I62)+I$101*(J63-I63)+I$102*(J64-I64)+I$103*(J65-I65))/(I$97*I59+I$98*I60+I$99*I61+I$100*I62+I$101*I63+I$102*I64+I$103*I65)</f>
        <v>-0.12557995692816243</v>
      </c>
      <c r="K69" s="157">
        <f t="shared" si="19"/>
        <v>-0.14164785402949756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274" t="s">
        <v>92</v>
      </c>
      <c r="G72" s="275" t="s">
        <v>91</v>
      </c>
      <c r="H72" s="275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bord'!I10</f>
        <v>0.8</v>
      </c>
      <c r="G73" s="92">
        <f>'Tableau de bord'!I23</f>
        <v>0.90500000000000003</v>
      </c>
      <c r="H73" s="92">
        <f>'Tableau de bord'!I26</f>
        <v>0.8145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129.56816498105698</v>
      </c>
      <c r="H77" s="54">
        <f>'Init. énergie'!D39</f>
        <v>127</v>
      </c>
      <c r="I77" s="81">
        <f>G77*60%/(1+I$55)</f>
        <v>93.095170911103565</v>
      </c>
      <c r="J77" s="81">
        <f>G77*50%/(1+I$55)/(1+J$55)</f>
        <v>85.832502999823546</v>
      </c>
      <c r="K77" s="81">
        <f>G77*40%/(1+I$55)/(1+J$55)/(1+K$55)</f>
        <v>81.984416484224653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20">H78/0.998^10</f>
        <v>103.04239892194296</v>
      </c>
      <c r="H78" s="54">
        <f>'Init. énergie'!D40</f>
        <v>101</v>
      </c>
      <c r="I78" s="81">
        <f t="shared" ref="I78:I83" si="21">G78*60%/(1+I$55)</f>
        <v>74.036317023791028</v>
      </c>
      <c r="J78" s="81">
        <f t="shared" ref="J78:J83" si="22">G78*50%/(1+I$55)/(1+J$55)</f>
        <v>68.2604945116707</v>
      </c>
      <c r="K78" s="81">
        <f t="shared" ref="K78:K83" si="23">G78*40%/(1+I$55)/(1+J$55)/(1+K$55)</f>
        <v>65.200205235485754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20"/>
        <v>51.011088575219283</v>
      </c>
      <c r="H79" s="54">
        <f>'Init. énergie'!D41</f>
        <v>50</v>
      </c>
      <c r="I79" s="81">
        <f t="shared" si="21"/>
        <v>36.651642090985654</v>
      </c>
      <c r="J79" s="81">
        <f t="shared" si="22"/>
        <v>33.79232401567856</v>
      </c>
      <c r="K79" s="81">
        <f t="shared" si="23"/>
        <v>32.277329324497892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20"/>
        <v>51.011088575219283</v>
      </c>
      <c r="H80" s="54">
        <f>'Init. énergie'!D42</f>
        <v>50</v>
      </c>
      <c r="I80" s="81">
        <f t="shared" si="21"/>
        <v>36.651642090985654</v>
      </c>
      <c r="J80" s="81">
        <f t="shared" si="22"/>
        <v>33.79232401567856</v>
      </c>
      <c r="K80" s="81">
        <f t="shared" si="23"/>
        <v>32.277329324497892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20"/>
        <v>51.011088575219283</v>
      </c>
      <c r="H81" s="54">
        <f>'Init. énergie'!D43</f>
        <v>50</v>
      </c>
      <c r="I81" s="81">
        <f t="shared" si="21"/>
        <v>36.651642090985654</v>
      </c>
      <c r="J81" s="81">
        <f t="shared" si="22"/>
        <v>33.79232401567856</v>
      </c>
      <c r="K81" s="81">
        <f t="shared" si="23"/>
        <v>32.277329324497892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20"/>
        <v>82.637963491855245</v>
      </c>
      <c r="H82" s="54">
        <f>'Init. énergie'!D44</f>
        <v>81</v>
      </c>
      <c r="I82" s="81">
        <f t="shared" si="21"/>
        <v>59.375660187396768</v>
      </c>
      <c r="J82" s="81">
        <f t="shared" si="22"/>
        <v>54.743564905399275</v>
      </c>
      <c r="K82" s="81">
        <f t="shared" si="23"/>
        <v>52.289273505686587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20"/>
        <v>45.909979717697354</v>
      </c>
      <c r="H83" s="54">
        <f>'Init. énergie'!D45</f>
        <v>45</v>
      </c>
      <c r="I83" s="81">
        <f t="shared" si="21"/>
        <v>32.98647788188709</v>
      </c>
      <c r="J83" s="81">
        <f t="shared" si="22"/>
        <v>30.413091614110705</v>
      </c>
      <c r="K83" s="81">
        <f t="shared" si="23"/>
        <v>29.049596392048105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249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4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4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4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4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4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4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250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129.56816498105698</v>
      </c>
      <c r="H97" s="54">
        <f>H77</f>
        <v>127</v>
      </c>
      <c r="I97" s="81">
        <f>$H97*(1+$G87)^(I$96-$H$96)</f>
        <v>113.19149555774466</v>
      </c>
      <c r="J97" s="81">
        <f>$H97*(1+$G87)^(J$96-$H$96)</f>
        <v>100.88436745353488</v>
      </c>
      <c r="K97" s="81">
        <f>$H97*(1+$G87)^(K$96-$H$96)</f>
        <v>89.915373468210021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5">G78</f>
        <v>103.04239892194296</v>
      </c>
      <c r="H98" s="54">
        <f t="shared" si="25"/>
        <v>101</v>
      </c>
      <c r="I98" s="81">
        <f t="shared" ref="I98:K103" si="26">$H98*(1+$G88)^(I$96-$H$96)</f>
        <v>90.884533749160397</v>
      </c>
      <c r="J98" s="81">
        <f t="shared" si="26"/>
        <v>81.782163116854207</v>
      </c>
      <c r="K98" s="81">
        <f t="shared" si="26"/>
        <v>73.591423404683923</v>
      </c>
      <c r="L98" s="67"/>
      <c r="M98" s="79">
        <f t="shared" ref="M98:M103" si="27">(K98-G98)/H98</f>
        <v>-0.29159381700256476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5"/>
        <v>51.011088575219283</v>
      </c>
      <c r="H99" s="54">
        <f t="shared" si="25"/>
        <v>50</v>
      </c>
      <c r="I99" s="81">
        <f t="shared" si="26"/>
        <v>46.348158540577678</v>
      </c>
      <c r="J99" s="81">
        <f t="shared" si="26"/>
        <v>42.963036002050472</v>
      </c>
      <c r="K99" s="81">
        <f t="shared" si="26"/>
        <v>39.825152080151639</v>
      </c>
      <c r="L99" s="67"/>
      <c r="M99" s="79">
        <f t="shared" si="27"/>
        <v>-0.22371872990135289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5"/>
        <v>51.011088575219283</v>
      </c>
      <c r="H100" s="54">
        <f t="shared" si="25"/>
        <v>50</v>
      </c>
      <c r="I100" s="81">
        <f t="shared" si="26"/>
        <v>46.348158540577678</v>
      </c>
      <c r="J100" s="81">
        <f t="shared" si="26"/>
        <v>42.963036002050472</v>
      </c>
      <c r="K100" s="81">
        <f t="shared" si="26"/>
        <v>39.825152080151639</v>
      </c>
      <c r="L100" s="67"/>
      <c r="M100" s="79">
        <f t="shared" si="27"/>
        <v>-0.22371872990135289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5"/>
        <v>51.011088575219283</v>
      </c>
      <c r="H101" s="54">
        <f t="shared" si="25"/>
        <v>50</v>
      </c>
      <c r="I101" s="81">
        <f t="shared" si="26"/>
        <v>46.348158540577678</v>
      </c>
      <c r="J101" s="81">
        <f>$H101*(1+$G91)^(J$96-$H$96)</f>
        <v>42.963036002050472</v>
      </c>
      <c r="K101" s="81">
        <f>$H101*(1+$G91)^(K$96-$H$96)</f>
        <v>39.825152080151639</v>
      </c>
      <c r="L101" s="67"/>
      <c r="M101" s="79">
        <f t="shared" si="27"/>
        <v>-0.22371872990135289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5"/>
        <v>82.637963491855245</v>
      </c>
      <c r="H102" s="54">
        <f t="shared" si="25"/>
        <v>81</v>
      </c>
      <c r="I102" s="81">
        <f t="shared" si="26"/>
        <v>69.967798755614268</v>
      </c>
      <c r="J102" s="81">
        <f t="shared" si="26"/>
        <v>60.438183490199229</v>
      </c>
      <c r="K102" s="81">
        <f t="shared" si="26"/>
        <v>52.206501970335175</v>
      </c>
      <c r="L102" s="67"/>
      <c r="M102" s="79">
        <f t="shared" si="27"/>
        <v>-0.37569705582123541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5"/>
        <v>45.909979717697354</v>
      </c>
      <c r="H103" s="54">
        <f t="shared" si="25"/>
        <v>45</v>
      </c>
      <c r="I103" s="81">
        <f t="shared" si="26"/>
        <v>38.870999308674591</v>
      </c>
      <c r="J103" s="81">
        <f t="shared" si="26"/>
        <v>33.576768605666238</v>
      </c>
      <c r="K103" s="81">
        <f t="shared" si="26"/>
        <v>29.003612205741764</v>
      </c>
      <c r="L103" s="67"/>
      <c r="M103" s="79">
        <f t="shared" si="27"/>
        <v>-0.37569705582123536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251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1532.1742326424664</v>
      </c>
      <c r="H107" s="54">
        <f>H$36*H45*$H$73*H77/1000</f>
        <v>1501.8050736</v>
      </c>
      <c r="I107" s="127">
        <f>I$36*I45*$H$73*I77/1000</f>
        <v>778.72746447891859</v>
      </c>
      <c r="J107" s="127">
        <f>J$36*J45*$H$73*J77/1000</f>
        <v>398.15169994742223</v>
      </c>
      <c r="K107" s="127">
        <f>K$36*K45*$H$73*K77/1000</f>
        <v>0</v>
      </c>
      <c r="L107" s="46"/>
      <c r="M107" s="79">
        <f>(K107-G107)/H107</f>
        <v>-1.0202217715043858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8">G$36*G46*$H$73*G78/1000</f>
        <v>3046.2519192301006</v>
      </c>
      <c r="H108" s="54">
        <f t="shared" si="28"/>
        <v>2985.872292</v>
      </c>
      <c r="I108" s="127">
        <f t="shared" si="28"/>
        <v>1486.3270660605501</v>
      </c>
      <c r="J108" s="127">
        <f t="shared" si="28"/>
        <v>1424.881477370893</v>
      </c>
      <c r="K108" s="127">
        <f t="shared" si="28"/>
        <v>975.92051935781797</v>
      </c>
      <c r="L108" s="46"/>
      <c r="M108" s="79">
        <f t="shared" ref="M108:M114" si="29">(K108-G108)/H108</f>
        <v>-0.6933757366044383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8"/>
        <v>180.9654605483228</v>
      </c>
      <c r="H109" s="54">
        <f t="shared" si="28"/>
        <v>177.37855199999998</v>
      </c>
      <c r="I109" s="127">
        <f t="shared" si="28"/>
        <v>597.84195107633502</v>
      </c>
      <c r="J109" s="127">
        <f t="shared" si="28"/>
        <v>830.78898020525094</v>
      </c>
      <c r="K109" s="127">
        <f t="shared" si="28"/>
        <v>1207.8224249477942</v>
      </c>
      <c r="L109" s="46"/>
      <c r="M109" s="79">
        <f t="shared" si="29"/>
        <v>5.789070622244517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8"/>
        <v>30.160910091387134</v>
      </c>
      <c r="H110" s="54">
        <f t="shared" si="28"/>
        <v>29.563092000000001</v>
      </c>
      <c r="I110" s="127">
        <f t="shared" si="28"/>
        <v>15.329280796829105</v>
      </c>
      <c r="J110" s="127">
        <f t="shared" si="28"/>
        <v>7.8376318887287795</v>
      </c>
      <c r="K110" s="127">
        <f t="shared" si="28"/>
        <v>0</v>
      </c>
      <c r="L110" s="46"/>
      <c r="M110" s="79">
        <f t="shared" si="29"/>
        <v>-1.0202217715043858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8"/>
        <v>90.482730274161398</v>
      </c>
      <c r="H111" s="54">
        <f t="shared" si="28"/>
        <v>88.689275999999992</v>
      </c>
      <c r="I111" s="127">
        <f t="shared" si="28"/>
        <v>76.646403984145508</v>
      </c>
      <c r="J111" s="127">
        <f t="shared" si="28"/>
        <v>86.213950776016603</v>
      </c>
      <c r="K111" s="127">
        <f t="shared" si="28"/>
        <v>96.625793995823543</v>
      </c>
      <c r="L111" s="46"/>
      <c r="M111" s="79">
        <f t="shared" si="29"/>
        <v>6.9265011495438816E-2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8"/>
        <v>830.63146391680175</v>
      </c>
      <c r="H112" s="54">
        <f t="shared" si="28"/>
        <v>814.16755368000008</v>
      </c>
      <c r="I112" s="127">
        <f t="shared" si="28"/>
        <v>484.25198037183156</v>
      </c>
      <c r="J112" s="127">
        <f t="shared" si="28"/>
        <v>342.81801881299714</v>
      </c>
      <c r="K112" s="127">
        <f t="shared" si="28"/>
        <v>195.66723284154298</v>
      </c>
      <c r="L112" s="46"/>
      <c r="M112" s="79">
        <f t="shared" si="29"/>
        <v>-0.77989380466618885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8"/>
        <v>81.434457246745254</v>
      </c>
      <c r="H113" s="54">
        <f t="shared" si="28"/>
        <v>79.8203484</v>
      </c>
      <c r="I113" s="127">
        <f t="shared" si="28"/>
        <v>248.33434890863145</v>
      </c>
      <c r="J113" s="127">
        <f t="shared" si="28"/>
        <v>317.42409149351568</v>
      </c>
      <c r="K113" s="127">
        <f t="shared" si="28"/>
        <v>456.55687663026623</v>
      </c>
      <c r="L113" s="46"/>
      <c r="M113" s="79">
        <f t="shared" si="29"/>
        <v>4.6995838392446929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5792.1011739499863</v>
      </c>
      <c r="H114" s="161">
        <f>SUM(H107:H113)</f>
        <v>5677.2961876800009</v>
      </c>
      <c r="I114" s="159">
        <f t="shared" ref="I114:J114" si="30">SUM(I107:I113)</f>
        <v>3687.4584956772414</v>
      </c>
      <c r="J114" s="159">
        <f t="shared" si="30"/>
        <v>3408.1158504948248</v>
      </c>
      <c r="K114" s="159">
        <f>SUM(K107:K113)</f>
        <v>2932.592847773245</v>
      </c>
      <c r="L114" s="21"/>
      <c r="M114" s="79">
        <f t="shared" si="29"/>
        <v>-0.50367432518000532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252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348.94821381851142</v>
      </c>
      <c r="H118" s="162">
        <f>H$36*H45*(1-$H$73)*H97/1000</f>
        <v>342.03172640000003</v>
      </c>
      <c r="I118" s="158">
        <f t="shared" ref="I118:K118" si="31">I$36*I45*(1-$H$73)*I97/1000</f>
        <v>215.63783441952043</v>
      </c>
      <c r="J118" s="158">
        <f t="shared" si="31"/>
        <v>106.57945560330651</v>
      </c>
      <c r="K118" s="158">
        <f t="shared" si="31"/>
        <v>0</v>
      </c>
      <c r="L118" s="46"/>
      <c r="M118" s="79">
        <f>(K118-G118)/H118</f>
        <v>-1.0202217715043858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2">G$36*G46*(1-$H$73)*G98/1000</f>
        <v>693.77499204074115</v>
      </c>
      <c r="H119" s="162">
        <f t="shared" si="32"/>
        <v>680.02370799999994</v>
      </c>
      <c r="I119" s="158">
        <f t="shared" si="32"/>
        <v>415.53957268598015</v>
      </c>
      <c r="J119" s="158">
        <f t="shared" si="32"/>
        <v>388.79505213544121</v>
      </c>
      <c r="K119" s="158">
        <f t="shared" si="32"/>
        <v>250.86814300451036</v>
      </c>
      <c r="L119" s="46"/>
      <c r="M119" s="79">
        <f t="shared" ref="M119:M125" si="33">(K119-G119)/H119</f>
        <v>-0.65131089376111995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2"/>
        <v>41.214355962816299</v>
      </c>
      <c r="H120" s="162">
        <f t="shared" si="32"/>
        <v>40.397447999999997</v>
      </c>
      <c r="I120" s="158">
        <f t="shared" si="32"/>
        <v>172.17823787169621</v>
      </c>
      <c r="J120" s="158">
        <f t="shared" si="32"/>
        <v>240.55836052543719</v>
      </c>
      <c r="K120" s="158">
        <f t="shared" si="32"/>
        <v>339.40306780993575</v>
      </c>
      <c r="L120" s="46"/>
      <c r="M120" s="79">
        <f t="shared" si="33"/>
        <v>7.3813749781203875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2"/>
        <v>6.8690593271360498</v>
      </c>
      <c r="H121" s="162">
        <f t="shared" si="32"/>
        <v>6.7329079999999992</v>
      </c>
      <c r="I121" s="158">
        <f t="shared" si="32"/>
        <v>4.4148266120947746</v>
      </c>
      <c r="J121" s="158">
        <f t="shared" si="32"/>
        <v>2.2694184955229915</v>
      </c>
      <c r="K121" s="158">
        <f t="shared" si="32"/>
        <v>0</v>
      </c>
      <c r="L121" s="46"/>
      <c r="M121" s="79">
        <f t="shared" si="33"/>
        <v>-1.0202217715043858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2"/>
        <v>20.607177981408149</v>
      </c>
      <c r="H122" s="162">
        <f t="shared" si="32"/>
        <v>20.198723999999999</v>
      </c>
      <c r="I122" s="158">
        <f t="shared" si="32"/>
        <v>22.074133060473869</v>
      </c>
      <c r="J122" s="158">
        <f t="shared" si="32"/>
        <v>24.963603450752913</v>
      </c>
      <c r="K122" s="158">
        <f t="shared" si="32"/>
        <v>27.152245424794863</v>
      </c>
      <c r="L122" s="46"/>
      <c r="M122" s="79">
        <f t="shared" si="33"/>
        <v>0.3240337084355781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2"/>
        <v>189.17389386932686</v>
      </c>
      <c r="H123" s="162">
        <f t="shared" si="32"/>
        <v>185.42428632000002</v>
      </c>
      <c r="I123" s="158">
        <f t="shared" si="32"/>
        <v>129.96128300281953</v>
      </c>
      <c r="J123" s="158">
        <f t="shared" si="32"/>
        <v>86.197524516934962</v>
      </c>
      <c r="K123" s="158">
        <f t="shared" si="32"/>
        <v>44.492101104086409</v>
      </c>
      <c r="L123" s="46"/>
      <c r="M123" s="79">
        <f t="shared" si="33"/>
        <v>-0.78027423287774011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2"/>
        <v>18.546460183267332</v>
      </c>
      <c r="H124" s="162">
        <f t="shared" si="32"/>
        <v>18.178851599999998</v>
      </c>
      <c r="I124" s="158">
        <f t="shared" si="32"/>
        <v>66.646811796317678</v>
      </c>
      <c r="J124" s="158">
        <f t="shared" si="32"/>
        <v>79.812522700865657</v>
      </c>
      <c r="K124" s="158">
        <f t="shared" si="32"/>
        <v>103.81490257620148</v>
      </c>
      <c r="L124" s="46"/>
      <c r="M124" s="79">
        <f t="shared" si="33"/>
        <v>4.6905296478097744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1319.1341531832072</v>
      </c>
      <c r="H125" s="163">
        <f>SUM(H118:H124)</f>
        <v>1292.9876523199998</v>
      </c>
      <c r="I125" s="160">
        <f t="shared" ref="I125:K125" si="34">SUM(I118:I124)</f>
        <v>1026.4526994489026</v>
      </c>
      <c r="J125" s="160">
        <f t="shared" si="34"/>
        <v>929.17593742826148</v>
      </c>
      <c r="K125" s="160">
        <f t="shared" si="34"/>
        <v>765.73045991952881</v>
      </c>
      <c r="L125" s="21"/>
      <c r="M125" s="79">
        <f t="shared" si="33"/>
        <v>-0.42800385005279018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253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1843.8368</v>
      </c>
      <c r="I129" s="158">
        <f t="shared" ref="I129:K129" si="35">I107+I118</f>
        <v>994.36529889843905</v>
      </c>
      <c r="J129" s="158">
        <f t="shared" si="35"/>
        <v>504.73115555072877</v>
      </c>
      <c r="K129" s="158">
        <f t="shared" si="35"/>
        <v>0</v>
      </c>
      <c r="L129" s="46"/>
      <c r="M129" s="79">
        <f>(K129-G129)/H129</f>
        <v>0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6">H108+H119</f>
        <v>3665.8959999999997</v>
      </c>
      <c r="I130" s="158">
        <f t="shared" si="36"/>
        <v>1901.8666387465303</v>
      </c>
      <c r="J130" s="158">
        <f t="shared" si="36"/>
        <v>1813.6765295063342</v>
      </c>
      <c r="K130" s="158">
        <f t="shared" si="36"/>
        <v>1226.7886623623283</v>
      </c>
      <c r="L130" s="46"/>
      <c r="M130" s="79">
        <f t="shared" ref="M130:M136" si="37">(K130-G130)/H130</f>
        <v>0.33464906324738303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6"/>
        <v>217.77599999999998</v>
      </c>
      <c r="I131" s="158">
        <f t="shared" si="36"/>
        <v>770.0201889480312</v>
      </c>
      <c r="J131" s="158">
        <f t="shared" si="36"/>
        <v>1071.3473407306881</v>
      </c>
      <c r="K131" s="158">
        <f t="shared" si="36"/>
        <v>1547.2254927577299</v>
      </c>
      <c r="L131" s="46"/>
      <c r="M131" s="79">
        <f t="shared" si="37"/>
        <v>7.1046648517638769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6"/>
        <v>36.295999999999999</v>
      </c>
      <c r="I132" s="158">
        <f t="shared" si="36"/>
        <v>19.744107408923881</v>
      </c>
      <c r="J132" s="158">
        <f t="shared" si="36"/>
        <v>10.107050384251771</v>
      </c>
      <c r="K132" s="158">
        <f t="shared" si="36"/>
        <v>0</v>
      </c>
      <c r="L132" s="46"/>
      <c r="M132" s="79">
        <f t="shared" si="37"/>
        <v>0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6"/>
        <v>108.88799999999999</v>
      </c>
      <c r="I133" s="158">
        <f t="shared" si="36"/>
        <v>98.720537044619377</v>
      </c>
      <c r="J133" s="158">
        <f t="shared" si="36"/>
        <v>111.17755422676952</v>
      </c>
      <c r="K133" s="158">
        <f t="shared" si="36"/>
        <v>123.7780394206184</v>
      </c>
      <c r="L133" s="46"/>
      <c r="M133" s="79">
        <f t="shared" si="37"/>
        <v>1.1367463762822203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6"/>
        <v>999.59184000000005</v>
      </c>
      <c r="I134" s="158">
        <f t="shared" si="36"/>
        <v>614.21326337465109</v>
      </c>
      <c r="J134" s="158">
        <f t="shared" si="36"/>
        <v>429.01554332993209</v>
      </c>
      <c r="K134" s="158">
        <f t="shared" si="36"/>
        <v>240.15933394562938</v>
      </c>
      <c r="L134" s="46"/>
      <c r="M134" s="79">
        <f t="shared" si="37"/>
        <v>0.24025739740495419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6"/>
        <v>97.999200000000002</v>
      </c>
      <c r="I135" s="158">
        <f t="shared" si="36"/>
        <v>314.98116070494916</v>
      </c>
      <c r="J135" s="158">
        <f t="shared" si="36"/>
        <v>397.23661419438133</v>
      </c>
      <c r="K135" s="158">
        <f t="shared" si="36"/>
        <v>560.37177920646775</v>
      </c>
      <c r="L135" s="46"/>
      <c r="M135" s="79">
        <f t="shared" si="37"/>
        <v>5.7181260582379014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6970.2838400000001</v>
      </c>
      <c r="I136" s="160">
        <f t="shared" ref="I136:K136" si="38">SUM(I129:I135)</f>
        <v>4713.9111951261439</v>
      </c>
      <c r="J136" s="160">
        <f t="shared" si="38"/>
        <v>4337.2917879230854</v>
      </c>
      <c r="K136" s="160">
        <f t="shared" si="38"/>
        <v>3698.3233076927736</v>
      </c>
      <c r="L136" s="21"/>
      <c r="M136" s="79">
        <f t="shared" si="37"/>
        <v>0.5305843194604789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254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énergie'!C30</f>
        <v>5.6584972145073235E-2</v>
      </c>
      <c r="I142" s="47">
        <f>J142</f>
        <v>0</v>
      </c>
      <c r="J142" s="47">
        <f>K142</f>
        <v>0</v>
      </c>
      <c r="K142" s="47">
        <f>K59</f>
        <v>0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énergie'!C31</f>
        <v>0.5881912261494745</v>
      </c>
      <c r="I143" s="47">
        <f t="shared" ref="I143:J148" si="39">J143</f>
        <v>0.2</v>
      </c>
      <c r="J143" s="47">
        <f t="shared" si="39"/>
        <v>0.2</v>
      </c>
      <c r="K143" s="47">
        <f t="shared" ref="K143:K148" si="40">K60</f>
        <v>0.2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énergie'!C32</f>
        <v>8.0741361547576412E-2</v>
      </c>
      <c r="I144" s="47">
        <f t="shared" si="39"/>
        <v>0.5</v>
      </c>
      <c r="J144" s="47">
        <f t="shared" si="39"/>
        <v>0.5</v>
      </c>
      <c r="K144" s="47">
        <f t="shared" si="40"/>
        <v>0.5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énergie'!C33</f>
        <v>1.2731783152525081E-2</v>
      </c>
      <c r="I145" s="47">
        <f t="shared" si="39"/>
        <v>0</v>
      </c>
      <c r="J145" s="47">
        <f t="shared" si="39"/>
        <v>0</v>
      </c>
      <c r="K145" s="47">
        <f t="shared" si="40"/>
        <v>0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énergie'!C34</f>
        <v>9.0821371602788342E-3</v>
      </c>
      <c r="I146" s="47">
        <f t="shared" si="39"/>
        <v>0.04</v>
      </c>
      <c r="J146" s="47">
        <f t="shared" si="39"/>
        <v>0.04</v>
      </c>
      <c r="K146" s="47">
        <f t="shared" si="40"/>
        <v>0.04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énergie'!C35</f>
        <v>2.1278159067402536E-2</v>
      </c>
      <c r="I147" s="47">
        <f t="shared" si="39"/>
        <v>5.0000000000000072E-2</v>
      </c>
      <c r="J147" s="47">
        <f t="shared" si="39"/>
        <v>5.0000000000000072E-2</v>
      </c>
      <c r="K147" s="47">
        <f t="shared" si="40"/>
        <v>5.0000000000000072E-2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énergie'!C36</f>
        <v>0.23139036077766945</v>
      </c>
      <c r="I148" s="47">
        <f t="shared" si="39"/>
        <v>0.21</v>
      </c>
      <c r="J148" s="47">
        <f t="shared" si="39"/>
        <v>0.21</v>
      </c>
      <c r="K148" s="47">
        <f t="shared" si="40"/>
        <v>0.21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1">SUM(I142:I148)</f>
        <v>1</v>
      </c>
      <c r="J149" s="15">
        <f t="shared" si="41"/>
        <v>1</v>
      </c>
      <c r="K149" s="15">
        <f t="shared" si="41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255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81.984416484224653</v>
      </c>
      <c r="J153" s="45">
        <f>K153</f>
        <v>81.984416484224653</v>
      </c>
      <c r="K153" s="45">
        <f t="shared" ref="K153:K159" si="42">K77</f>
        <v>81.984416484224653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3">J154</f>
        <v>65.200205235485754</v>
      </c>
      <c r="J154" s="45">
        <f t="shared" si="43"/>
        <v>65.200205235485754</v>
      </c>
      <c r="K154" s="45">
        <f t="shared" si="42"/>
        <v>65.200205235485754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3"/>
        <v>32.277329324497892</v>
      </c>
      <c r="J155" s="45">
        <f t="shared" si="43"/>
        <v>32.277329324497892</v>
      </c>
      <c r="K155" s="45">
        <f t="shared" si="42"/>
        <v>32.277329324497892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3"/>
        <v>32.277329324497892</v>
      </c>
      <c r="J156" s="45">
        <f t="shared" si="43"/>
        <v>32.277329324497892</v>
      </c>
      <c r="K156" s="45">
        <f t="shared" si="42"/>
        <v>32.277329324497892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3"/>
        <v>32.277329324497892</v>
      </c>
      <c r="J157" s="45">
        <f t="shared" si="43"/>
        <v>32.277329324497892</v>
      </c>
      <c r="K157" s="45">
        <f t="shared" si="42"/>
        <v>32.277329324497892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3"/>
        <v>52.289273505686587</v>
      </c>
      <c r="J158" s="45">
        <f t="shared" si="43"/>
        <v>52.289273505686587</v>
      </c>
      <c r="K158" s="45">
        <f t="shared" si="42"/>
        <v>52.289273505686587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3"/>
        <v>29.049596392048105</v>
      </c>
      <c r="J159" s="45">
        <f t="shared" si="43"/>
        <v>29.049596392048105</v>
      </c>
      <c r="K159" s="45">
        <f t="shared" si="42"/>
        <v>29.049596392048105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256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4">I$35*I142*I153/1000</f>
        <v>0</v>
      </c>
      <c r="J163" s="10">
        <f t="shared" si="44"/>
        <v>0</v>
      </c>
      <c r="K163" s="10">
        <f t="shared" si="44"/>
        <v>0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5">H$35*H143*H154/1000</f>
        <v>0</v>
      </c>
      <c r="I164" s="10">
        <f t="shared" si="45"/>
        <v>50.077642975042082</v>
      </c>
      <c r="J164" s="10">
        <f t="shared" si="45"/>
        <v>48.848870633392615</v>
      </c>
      <c r="K164" s="10">
        <f t="shared" si="45"/>
        <v>47.446308096519381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5"/>
        <v>0</v>
      </c>
      <c r="I165" s="10">
        <f t="shared" si="45"/>
        <v>61.977280909705534</v>
      </c>
      <c r="J165" s="10">
        <f t="shared" si="45"/>
        <v>60.456523061129467</v>
      </c>
      <c r="K165" s="10">
        <f t="shared" si="45"/>
        <v>58.720678337276446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5"/>
        <v>0</v>
      </c>
      <c r="I166" s="10">
        <f t="shared" si="45"/>
        <v>0</v>
      </c>
      <c r="J166" s="10">
        <f t="shared" si="45"/>
        <v>0</v>
      </c>
      <c r="K166" s="10">
        <f t="shared" si="45"/>
        <v>0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5"/>
        <v>0</v>
      </c>
      <c r="I167" s="10">
        <f t="shared" si="45"/>
        <v>4.9581824727764436</v>
      </c>
      <c r="J167" s="10">
        <f t="shared" si="45"/>
        <v>4.8365218448903571</v>
      </c>
      <c r="K167" s="10">
        <f t="shared" si="45"/>
        <v>4.6976542669821155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5"/>
        <v>0</v>
      </c>
      <c r="I168" s="10">
        <f t="shared" si="45"/>
        <v>10.040319507372313</v>
      </c>
      <c r="J168" s="10">
        <f t="shared" si="45"/>
        <v>9.793956735902988</v>
      </c>
      <c r="K168" s="10">
        <f t="shared" si="45"/>
        <v>9.5127498906387977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5"/>
        <v>0</v>
      </c>
      <c r="I169" s="10">
        <f t="shared" si="45"/>
        <v>23.427412183868697</v>
      </c>
      <c r="J169" s="10">
        <f t="shared" si="45"/>
        <v>22.852565717106941</v>
      </c>
      <c r="K169" s="10">
        <f t="shared" si="45"/>
        <v>22.196416411490496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6">SUM(I163:I169)</f>
        <v>150.48083804876507</v>
      </c>
      <c r="J170" s="11">
        <f t="shared" si="46"/>
        <v>146.78843799242236</v>
      </c>
      <c r="K170" s="11">
        <f t="shared" si="46"/>
        <v>142.57380700290724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C27:O27"/>
    <mergeCell ref="C1:O1"/>
    <mergeCell ref="C3:O3"/>
    <mergeCell ref="F5:K5"/>
    <mergeCell ref="F11:K11"/>
    <mergeCell ref="F22:K22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B1589"/>
  <sheetViews>
    <sheetView showGridLines="0" topLeftCell="A40" zoomScale="145" zoomScaleNormal="145" workbookViewId="0">
      <selection activeCell="I61" sqref="I61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118445.13907375958</v>
      </c>
      <c r="I7" s="10">
        <f t="shared" si="0"/>
        <v>129216.86060168703</v>
      </c>
      <c r="J7" s="10">
        <f t="shared" si="0"/>
        <v>146426.25427887274</v>
      </c>
      <c r="K7" s="10">
        <f t="shared" si="0"/>
        <v>161598.59468230139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13834.540453559624</v>
      </c>
      <c r="J8" s="76">
        <f t="shared" si="0"/>
        <v>20550.753645661614</v>
      </c>
      <c r="K8" s="76">
        <f t="shared" si="0"/>
        <v>18958.71024791403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118445.13907375958</v>
      </c>
      <c r="I9" s="96">
        <f t="shared" si="1"/>
        <v>115382.32014812742</v>
      </c>
      <c r="J9" s="96">
        <f t="shared" si="1"/>
        <v>125875.50063321114</v>
      </c>
      <c r="K9" s="96">
        <f t="shared" si="1"/>
        <v>142639.88443438738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2268.666910131225</v>
      </c>
      <c r="I13" s="86">
        <f t="shared" ref="I13:K13" si="2">I129+I163</f>
        <v>181.2074073954366</v>
      </c>
      <c r="J13" s="86">
        <f t="shared" si="2"/>
        <v>0</v>
      </c>
      <c r="K13" s="86">
        <f t="shared" si="2"/>
        <v>0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6032.588848458684</v>
      </c>
      <c r="I14" s="86">
        <f t="shared" si="3"/>
        <v>2522.2761068058253</v>
      </c>
      <c r="J14" s="86">
        <f t="shared" si="3"/>
        <v>1651.1778349236304</v>
      </c>
      <c r="K14" s="86">
        <f t="shared" si="3"/>
        <v>909.3890498026143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1173.5215677187266</v>
      </c>
      <c r="I15" s="86">
        <f t="shared" si="3"/>
        <v>2871.5447400552598</v>
      </c>
      <c r="J15" s="86">
        <f t="shared" si="3"/>
        <v>3587.111051872429</v>
      </c>
      <c r="K15" s="86">
        <f t="shared" si="3"/>
        <v>4032.2025186011301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163.97626676392247</v>
      </c>
      <c r="I16" s="86">
        <f t="shared" si="3"/>
        <v>88.908487745356737</v>
      </c>
      <c r="J16" s="86">
        <f t="shared" si="3"/>
        <v>61.315130380527464</v>
      </c>
      <c r="K16" s="86">
        <f t="shared" si="3"/>
        <v>27.371448340075201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135.52627574604799</v>
      </c>
      <c r="I17" s="86">
        <f t="shared" si="3"/>
        <v>115.31930365494325</v>
      </c>
      <c r="J17" s="86">
        <f t="shared" si="3"/>
        <v>141.36144983517909</v>
      </c>
      <c r="K17" s="86">
        <f t="shared" si="3"/>
        <v>162.58486729725081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1397.4813862870144</v>
      </c>
      <c r="I18" s="86">
        <f t="shared" si="3"/>
        <v>1092.793617179185</v>
      </c>
      <c r="J18" s="86">
        <f t="shared" si="3"/>
        <v>878.64133074795677</v>
      </c>
      <c r="K18" s="86">
        <f t="shared" si="3"/>
        <v>366.05101392676613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172.1023611717651</v>
      </c>
      <c r="I19" s="86">
        <f t="shared" si="3"/>
        <v>460.71703878765265</v>
      </c>
      <c r="J19" s="86">
        <f t="shared" si="3"/>
        <v>645.80832533828425</v>
      </c>
      <c r="K19" s="86">
        <f t="shared" si="3"/>
        <v>876.31848456802948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11343.863616277384</v>
      </c>
      <c r="I20" s="13">
        <f t="shared" ref="I20:K20" si="4">SUM(I13:I19)</f>
        <v>7332.7667016236592</v>
      </c>
      <c r="J20" s="13">
        <f t="shared" si="4"/>
        <v>6965.415123098006</v>
      </c>
      <c r="K20" s="13">
        <f t="shared" si="4"/>
        <v>6373.9173825358666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-0.41551512683213554</v>
      </c>
      <c r="J23" s="193">
        <f t="shared" ref="J23:K23" si="5">J114/$G114-1</f>
        <v>-0.46863374209546749</v>
      </c>
      <c r="K23" s="193">
        <f t="shared" si="5"/>
        <v>-0.51829214588346784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-0.1711479980608811</v>
      </c>
      <c r="J24" s="193">
        <f t="shared" ref="J24:K24" si="6">J125/$G125-1</f>
        <v>-0.18003573537029549</v>
      </c>
      <c r="K24" s="193">
        <f t="shared" si="6"/>
        <v>-0.14966639831736106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118445.13907375958</v>
      </c>
      <c r="H34" s="127">
        <f>'Init. parc'!C9</f>
        <v>118445.13907375958</v>
      </c>
      <c r="I34" s="127">
        <f>'Init. parc'!D9</f>
        <v>129216.86060168703</v>
      </c>
      <c r="J34" s="127">
        <f>'Init. parc'!E9</f>
        <v>146426.25427887274</v>
      </c>
      <c r="K34" s="127">
        <f>'Init. parc'!F9</f>
        <v>161598.59468230139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parc'!N9</f>
        <v>13834.540453559624</v>
      </c>
      <c r="J35" s="127">
        <f>'Init. parc'!O9</f>
        <v>20550.753645661614</v>
      </c>
      <c r="K35" s="127">
        <f>'Init. parc'!P9</f>
        <v>18958.71024791403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118445.13907375958</v>
      </c>
      <c r="H36" s="127">
        <f>H34-H35</f>
        <v>118445.13907375958</v>
      </c>
      <c r="I36" s="127">
        <f>I34-I35</f>
        <v>115382.32014812742</v>
      </c>
      <c r="J36" s="127">
        <f>J34-J35</f>
        <v>125875.50063321114</v>
      </c>
      <c r="K36" s="127">
        <f>K34-K35</f>
        <v>142639.88443438738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0.15758395350413734</v>
      </c>
      <c r="H45" s="55">
        <f>'Init. énergie'!B48</f>
        <v>0.15758395350413734</v>
      </c>
      <c r="I45" s="47">
        <v>0.02</v>
      </c>
      <c r="J45" s="47">
        <v>0</v>
      </c>
      <c r="K45" s="47">
        <v>0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0.52707670990322253</v>
      </c>
      <c r="H46" s="55">
        <f>'Init. énergie'!B49</f>
        <v>0.52707670990322253</v>
      </c>
      <c r="I46" s="47">
        <v>0.35</v>
      </c>
      <c r="J46" s="47">
        <v>0.25</v>
      </c>
      <c r="K46" s="47">
        <v>0.15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8.5504311043289719E-2</v>
      </c>
      <c r="H47" s="55">
        <f>'Init. énergie'!B50</f>
        <v>8.5504311043289719E-2</v>
      </c>
      <c r="I47" s="47">
        <v>0.3</v>
      </c>
      <c r="J47" s="47">
        <v>0.4</v>
      </c>
      <c r="K47" s="47">
        <v>0.5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1.5048165554765945E-2</v>
      </c>
      <c r="H48" s="55">
        <f>'Init. énergie'!B51</f>
        <v>1.5048165554765945E-2</v>
      </c>
      <c r="I48" s="47">
        <f t="shared" ref="I48:I49" si="8">H48+((K48-H48)/3)</f>
        <v>1.0032110369843965E-2</v>
      </c>
      <c r="J48" s="47">
        <f t="shared" ref="J48:J49" si="9">H48+((K48-H48)/3*2)</f>
        <v>5.0160551849219824E-3</v>
      </c>
      <c r="K48" s="47">
        <v>0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1.3459722901950799E-2</v>
      </c>
      <c r="H49" s="55">
        <f>'Init. énergie'!B52</f>
        <v>1.3459722901950799E-2</v>
      </c>
      <c r="I49" s="47">
        <f t="shared" si="8"/>
        <v>1.5639815267967198E-2</v>
      </c>
      <c r="J49" s="47">
        <f t="shared" si="9"/>
        <v>1.7819907633983601E-2</v>
      </c>
      <c r="K49" s="47">
        <v>0.02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0.16942946687247459</v>
      </c>
      <c r="H50" s="55">
        <f>'Init. énergie'!B53</f>
        <v>0.16942946687247459</v>
      </c>
      <c r="I50" s="47">
        <f>1-I45-I46-I47-I48-I49-I51</f>
        <v>0.20432807436218883</v>
      </c>
      <c r="J50" s="47">
        <f t="shared" ref="J50" si="10">1-J45-J46-J47-J48-J49-J51</f>
        <v>0.17716403718109439</v>
      </c>
      <c r="K50" s="47">
        <f>1-K45-K46-K47-K48-K49-K51</f>
        <v>7.999999999999996E-2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3.1897670220158943E-2</v>
      </c>
      <c r="H51" s="55">
        <f>'Init. énergie'!B54</f>
        <v>3.1897670220158943E-2</v>
      </c>
      <c r="I51" s="47">
        <v>0.1</v>
      </c>
      <c r="J51" s="47">
        <v>0.15</v>
      </c>
      <c r="K51" s="125">
        <v>0.25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1">SUM(G45:G51)</f>
        <v>0.99999999999999989</v>
      </c>
      <c r="H52" s="164">
        <f t="shared" si="11"/>
        <v>0.99999999999999989</v>
      </c>
      <c r="I52" s="170">
        <f t="shared" si="11"/>
        <v>0.99999999999999989</v>
      </c>
      <c r="J52" s="170">
        <f t="shared" si="11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2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-3.8872934666983175E-2</v>
      </c>
      <c r="J55" s="157">
        <f t="shared" si="12"/>
        <v>-4.3094792550623425E-3</v>
      </c>
      <c r="K55" s="157">
        <f t="shared" si="12"/>
        <v>-6.1398069688924726E-3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0.15758395350413734</v>
      </c>
      <c r="H59" s="55">
        <f>H45</f>
        <v>0.15758395350413734</v>
      </c>
      <c r="I59" s="47">
        <v>0.02</v>
      </c>
      <c r="J59" s="47">
        <v>0</v>
      </c>
      <c r="K59" s="47">
        <v>0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3">H60</f>
        <v>0.52707670990322253</v>
      </c>
      <c r="H60" s="55">
        <f t="shared" ref="H60:H65" si="14">H46</f>
        <v>0.52707670990322253</v>
      </c>
      <c r="I60" s="47">
        <v>0.35</v>
      </c>
      <c r="J60" s="47">
        <v>0.25</v>
      </c>
      <c r="K60" s="47">
        <v>0.25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3"/>
        <v>8.5504311043289719E-2</v>
      </c>
      <c r="H61" s="55">
        <f t="shared" si="14"/>
        <v>8.5504311043289719E-2</v>
      </c>
      <c r="I61" s="47">
        <v>0.35</v>
      </c>
      <c r="J61" s="47">
        <v>0.4</v>
      </c>
      <c r="K61" s="47">
        <v>0.5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3"/>
        <v>1.5048165554765945E-2</v>
      </c>
      <c r="H62" s="55">
        <f t="shared" si="14"/>
        <v>1.5048165554765945E-2</v>
      </c>
      <c r="I62" s="47">
        <f t="shared" ref="I62:I63" si="15">H62+((K62-H62)/3)</f>
        <v>1.0032110369843965E-2</v>
      </c>
      <c r="J62" s="47">
        <f t="shared" ref="J62:J63" si="16">H62+((K62-H62)/3*2)</f>
        <v>5.0160551849219824E-3</v>
      </c>
      <c r="K62" s="47">
        <v>0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3"/>
        <v>1.3459722901950799E-2</v>
      </c>
      <c r="H63" s="55">
        <f t="shared" si="14"/>
        <v>1.3459722901950799E-2</v>
      </c>
      <c r="I63" s="47">
        <f t="shared" si="15"/>
        <v>1.5639815267967198E-2</v>
      </c>
      <c r="J63" s="47">
        <f t="shared" si="16"/>
        <v>1.7819907633983601E-2</v>
      </c>
      <c r="K63" s="47">
        <v>0.02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3"/>
        <v>0.16942946687247459</v>
      </c>
      <c r="H64" s="55">
        <f t="shared" si="14"/>
        <v>0.16942946687247459</v>
      </c>
      <c r="I64" s="47">
        <f>1-I59-I60-I61-I62-I63-I65</f>
        <v>0.15432807436218884</v>
      </c>
      <c r="J64" s="47">
        <f t="shared" ref="J64" si="17">1-J59-J60-J61-J62-J63-J65</f>
        <v>0.17716403718109439</v>
      </c>
      <c r="K64" s="47">
        <f>1-K59-K60-K61-K62-K63-K65</f>
        <v>5.0000000000000017E-2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3"/>
        <v>3.1897670220158943E-2</v>
      </c>
      <c r="H65" s="55">
        <f t="shared" si="14"/>
        <v>3.1897670220158943E-2</v>
      </c>
      <c r="I65" s="47">
        <v>0.1</v>
      </c>
      <c r="J65" s="47">
        <v>0.15</v>
      </c>
      <c r="K65" s="125">
        <v>0.18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8">SUM(G59:G65)</f>
        <v>0.99999999999999989</v>
      </c>
      <c r="H66" s="164">
        <v>1</v>
      </c>
      <c r="I66" s="47">
        <f t="shared" ref="I66:J66" si="19">SUM(I59:I65)</f>
        <v>1</v>
      </c>
      <c r="J66" s="47">
        <f t="shared" si="19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-1.4734129707909716E-2</v>
      </c>
      <c r="J69" s="157">
        <f t="shared" ref="J69:K69" si="20">(I$97*(J59-I59)+I$98*(J60-I60)+I$99*(J61-I61)+I$100*(J62-I62)+I$101*(J63-I63)+I$102*(J64-I64)+I$103*(J65-I65))/(I$97*I59+I$98*I60+I$99*I61+I$100*I62+I$101*I63+I$102*I64+I$103*I65)</f>
        <v>-2.81431456904883E-2</v>
      </c>
      <c r="K69" s="157">
        <f t="shared" si="20"/>
        <v>5.4803395265113672E-2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98" t="s">
        <v>92</v>
      </c>
      <c r="G72" s="199" t="s">
        <v>91</v>
      </c>
      <c r="H72" s="199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bord'!J10</f>
        <v>0.93</v>
      </c>
      <c r="G73" s="92">
        <f>'Tableau de bord'!J23</f>
        <v>0.96399999999999997</v>
      </c>
      <c r="H73" s="92">
        <f>'Tableau de bord'!J26</f>
        <v>0.96399999999999997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124.00411283166794</v>
      </c>
      <c r="H77" s="54">
        <f>'Init. énergie'!D48</f>
        <v>121.54623268705149</v>
      </c>
      <c r="I77" s="81">
        <f>G77*60%/(1+I$55)</f>
        <v>77.411687156288096</v>
      </c>
      <c r="J77" s="81">
        <f>G77*50%/(1+I$55)/(1+J$55)</f>
        <v>64.788945915286021</v>
      </c>
      <c r="K77" s="81">
        <f>G77*40%/(1+I$55)/(1+J$55)/(1+K$55)</f>
        <v>52.151355991180665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21">H78/0.998^10</f>
        <v>98.584183882212017</v>
      </c>
      <c r="H78" s="54">
        <f>'Init. énergie'!D49</f>
        <v>96.63015104729925</v>
      </c>
      <c r="I78" s="81">
        <f t="shared" ref="I78:I83" si="22">G78*60%/(1+I$55)</f>
        <v>61.542861982387727</v>
      </c>
      <c r="J78" s="81">
        <f t="shared" ref="J78:J83" si="23">G78*50%/(1+I$55)/(1+J$55)</f>
        <v>51.50768963863031</v>
      </c>
      <c r="K78" s="81">
        <f t="shared" ref="K78:K83" si="24">G78*40%/(1+I$55)/(1+J$55)/(1+K$55)</f>
        <v>41.460712482338565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21"/>
        <v>118.21712920159915</v>
      </c>
      <c r="H79" s="54">
        <f>'Init. énergie'!D50</f>
        <v>115.87395260863727</v>
      </c>
      <c r="I79" s="81">
        <f t="shared" si="22"/>
        <v>73.799063702761472</v>
      </c>
      <c r="J79" s="81">
        <f t="shared" si="23"/>
        <v>61.765396446970136</v>
      </c>
      <c r="K79" s="81">
        <f t="shared" si="24"/>
        <v>49.717573461592018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21"/>
        <v>93.858752808897108</v>
      </c>
      <c r="H80" s="54">
        <f>'Init. énergie'!D51</f>
        <v>91.998382538431869</v>
      </c>
      <c r="I80" s="81">
        <f t="shared" si="22"/>
        <v>58.592930858549728</v>
      </c>
      <c r="J80" s="81">
        <f t="shared" si="23"/>
        <v>49.038773961204271</v>
      </c>
      <c r="K80" s="81">
        <f t="shared" si="24"/>
        <v>39.473378090851355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21"/>
        <v>86.729078087534262</v>
      </c>
      <c r="H81" s="54">
        <f>'Init. énergie'!D52</f>
        <v>85.010024790635853</v>
      </c>
      <c r="I81" s="81">
        <f t="shared" si="22"/>
        <v>54.142109539377415</v>
      </c>
      <c r="J81" s="81">
        <f t="shared" si="23"/>
        <v>45.313703079539174</v>
      </c>
      <c r="K81" s="81">
        <f t="shared" si="24"/>
        <v>36.474911378704057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21"/>
        <v>71.045149528754024</v>
      </c>
      <c r="H82" s="54">
        <f>'Init. énergie'!D53</f>
        <v>69.636966699890323</v>
      </c>
      <c r="I82" s="81">
        <f t="shared" si="22"/>
        <v>44.351149036139908</v>
      </c>
      <c r="J82" s="81">
        <f t="shared" si="23"/>
        <v>37.119255525098701</v>
      </c>
      <c r="K82" s="81">
        <f t="shared" si="24"/>
        <v>29.878854821132272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21"/>
        <v>46.473481673793643</v>
      </c>
      <c r="H83" s="54">
        <f>'Init. énergie'!D54</f>
        <v>45.552332808253411</v>
      </c>
      <c r="I83" s="81">
        <f t="shared" si="22"/>
        <v>29.011865350618073</v>
      </c>
      <c r="J83" s="81">
        <f t="shared" si="23"/>
        <v>24.281193759643731</v>
      </c>
      <c r="K83" s="81">
        <f t="shared" si="24"/>
        <v>19.5449572725839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5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5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5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5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5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5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124.00411283166794</v>
      </c>
      <c r="H97" s="54">
        <f>H77</f>
        <v>121.54623268705149</v>
      </c>
      <c r="I97" s="81">
        <f>$H97*(1+$G87)^(I$96-$H$96)</f>
        <v>108.33070753745659</v>
      </c>
      <c r="J97" s="81">
        <f>$H97*(1+$G87)^(J$96-$H$96)</f>
        <v>96.552085047191767</v>
      </c>
      <c r="K97" s="81">
        <f>$H97*(1+$G87)^(K$96-$H$96)</f>
        <v>86.054133115828279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6">G78</f>
        <v>98.584183882212017</v>
      </c>
      <c r="H98" s="54">
        <f t="shared" si="26"/>
        <v>96.63015104729925</v>
      </c>
      <c r="I98" s="81">
        <f t="shared" ref="I98:K103" si="27">$H98*(1+$G88)^(I$96-$H$96)</f>
        <v>86.952338851928076</v>
      </c>
      <c r="J98" s="81">
        <f t="shared" si="27"/>
        <v>78.243789851054331</v>
      </c>
      <c r="K98" s="81">
        <f t="shared" si="27"/>
        <v>70.407429300795656</v>
      </c>
      <c r="L98" s="67"/>
      <c r="M98" s="79">
        <f t="shared" ref="M98:M103" si="28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6"/>
        <v>118.21712920159915</v>
      </c>
      <c r="H99" s="54">
        <f t="shared" si="26"/>
        <v>115.87395260863727</v>
      </c>
      <c r="I99" s="81">
        <f t="shared" si="27"/>
        <v>107.41088652457009</v>
      </c>
      <c r="J99" s="81">
        <f t="shared" si="27"/>
        <v>99.565935952495451</v>
      </c>
      <c r="K99" s="81">
        <f t="shared" si="27"/>
        <v>92.293955695345261</v>
      </c>
      <c r="L99" s="67"/>
      <c r="M99" s="79">
        <f t="shared" si="28"/>
        <v>-0.22371872990135291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6"/>
        <v>93.858752808897108</v>
      </c>
      <c r="H100" s="54">
        <f t="shared" si="26"/>
        <v>91.998382538431869</v>
      </c>
      <c r="I100" s="81">
        <f t="shared" si="27"/>
        <v>85.279112387359064</v>
      </c>
      <c r="J100" s="81">
        <f t="shared" si="27"/>
        <v>79.050596422581194</v>
      </c>
      <c r="K100" s="81">
        <f t="shared" si="27"/>
        <v>73.276991514420317</v>
      </c>
      <c r="L100" s="67"/>
      <c r="M100" s="79">
        <f t="shared" si="28"/>
        <v>-0.22371872990135303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6"/>
        <v>86.729078087534262</v>
      </c>
      <c r="H101" s="54">
        <f t="shared" si="26"/>
        <v>85.010024790635853</v>
      </c>
      <c r="I101" s="81">
        <f t="shared" si="27"/>
        <v>78.801162130696582</v>
      </c>
      <c r="J101" s="81">
        <f>$H101*(1+$G91)^(J$96-$H$96)</f>
        <v>73.045775112305819</v>
      </c>
      <c r="K101" s="81">
        <f>$H101*(1+$G91)^(K$96-$H$96)</f>
        <v>67.710743312490678</v>
      </c>
      <c r="L101" s="67"/>
      <c r="M101" s="79">
        <f t="shared" si="28"/>
        <v>-0.223718729901353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6"/>
        <v>71.045149528754024</v>
      </c>
      <c r="H102" s="54">
        <f t="shared" si="26"/>
        <v>69.636966699890323</v>
      </c>
      <c r="I102" s="81">
        <f t="shared" si="27"/>
        <v>60.152410765547387</v>
      </c>
      <c r="J102" s="81">
        <f t="shared" si="27"/>
        <v>51.959651495171165</v>
      </c>
      <c r="K102" s="81">
        <f t="shared" si="27"/>
        <v>44.882746163283812</v>
      </c>
      <c r="L102" s="67"/>
      <c r="M102" s="79">
        <f t="shared" si="28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6"/>
        <v>46.473481673793643</v>
      </c>
      <c r="H103" s="54">
        <f t="shared" si="26"/>
        <v>45.552332808253411</v>
      </c>
      <c r="I103" s="81">
        <f t="shared" si="27"/>
        <v>39.348104379958521</v>
      </c>
      <c r="J103" s="81">
        <f t="shared" si="27"/>
        <v>33.98889195891163</v>
      </c>
      <c r="K103" s="81">
        <f t="shared" si="27"/>
        <v>29.359604351943769</v>
      </c>
      <c r="L103" s="67"/>
      <c r="M103" s="79">
        <f t="shared" si="28"/>
        <v>-0.37569705582123536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2231.219812543191</v>
      </c>
      <c r="H107" s="54">
        <f>H$36*H45*$H$73*H77/1000</f>
        <v>2186.9949013665009</v>
      </c>
      <c r="I107" s="127">
        <f>I$36*I45*$H$73*I77/1000</f>
        <v>172.20780456258541</v>
      </c>
      <c r="J107" s="127">
        <f>J$36*J45*$H$73*J77/1000</f>
        <v>0</v>
      </c>
      <c r="K107" s="127">
        <f>K$36*K45*$H$73*K77/1000</f>
        <v>0</v>
      </c>
      <c r="L107" s="46"/>
      <c r="M107" s="79">
        <f>(K107-G107)/H107</f>
        <v>-1.0202217715043858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9">G$36*G46*$H$73*G78/1000</f>
        <v>5933.0136563897649</v>
      </c>
      <c r="H108" s="54">
        <f t="shared" si="29"/>
        <v>5815.4156499141709</v>
      </c>
      <c r="I108" s="127">
        <f t="shared" si="29"/>
        <v>2395.8632980579009</v>
      </c>
      <c r="J108" s="127">
        <f t="shared" si="29"/>
        <v>1562.5370489531592</v>
      </c>
      <c r="K108" s="127">
        <f t="shared" si="29"/>
        <v>855.15734887716019</v>
      </c>
      <c r="L108" s="46"/>
      <c r="M108" s="79">
        <f t="shared" ref="M108:M114" si="30">(K108-G108)/H108</f>
        <v>-0.87317168938518586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9"/>
        <v>1154.1511716188054</v>
      </c>
      <c r="H109" s="54">
        <f t="shared" si="29"/>
        <v>1131.2747912808525</v>
      </c>
      <c r="I109" s="127">
        <f t="shared" si="29"/>
        <v>2462.5690007315538</v>
      </c>
      <c r="J109" s="127">
        <f t="shared" si="29"/>
        <v>2997.943676954626</v>
      </c>
      <c r="K109" s="127">
        <f t="shared" si="29"/>
        <v>3418.2037056672712</v>
      </c>
      <c r="L109" s="46"/>
      <c r="M109" s="79">
        <f t="shared" si="30"/>
        <v>2.0013285467848698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9"/>
        <v>161.26963969751239</v>
      </c>
      <c r="H110" s="54">
        <f t="shared" si="29"/>
        <v>158.07312116042127</v>
      </c>
      <c r="I110" s="127">
        <f t="shared" si="29"/>
        <v>65.381341208177034</v>
      </c>
      <c r="J110" s="127">
        <f t="shared" si="29"/>
        <v>29.848338017275683</v>
      </c>
      <c r="K110" s="127">
        <f t="shared" si="29"/>
        <v>0</v>
      </c>
      <c r="L110" s="46"/>
      <c r="M110" s="79">
        <f t="shared" si="30"/>
        <v>-1.0202217715043858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9"/>
        <v>133.28925027045204</v>
      </c>
      <c r="H111" s="54">
        <f t="shared" si="29"/>
        <v>130.64732981919025</v>
      </c>
      <c r="I111" s="127">
        <f t="shared" si="29"/>
        <v>94.185293130712509</v>
      </c>
      <c r="J111" s="127">
        <f t="shared" si="29"/>
        <v>97.983567558502969</v>
      </c>
      <c r="K111" s="127">
        <f t="shared" si="29"/>
        <v>100.3095433327121</v>
      </c>
      <c r="L111" s="46"/>
      <c r="M111" s="79">
        <f t="shared" si="30"/>
        <v>-0.25243307294058215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9"/>
        <v>1374.4142618819055</v>
      </c>
      <c r="H112" s="54">
        <f t="shared" si="29"/>
        <v>1347.1720563806819</v>
      </c>
      <c r="I112" s="127">
        <f t="shared" si="29"/>
        <v>1007.9737438627733</v>
      </c>
      <c r="J112" s="127">
        <f t="shared" si="29"/>
        <v>797.98195455172072</v>
      </c>
      <c r="K112" s="127">
        <f t="shared" si="29"/>
        <v>328.67899266914321</v>
      </c>
      <c r="L112" s="46"/>
      <c r="M112" s="79">
        <f t="shared" si="30"/>
        <v>-0.77624477457039842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9"/>
        <v>169.26160306613491</v>
      </c>
      <c r="H113" s="54">
        <f t="shared" si="29"/>
        <v>165.90667616958154</v>
      </c>
      <c r="I113" s="127">
        <f t="shared" si="29"/>
        <v>322.69479078841215</v>
      </c>
      <c r="J113" s="127">
        <f t="shared" si="29"/>
        <v>441.95651299955085</v>
      </c>
      <c r="K113" s="127">
        <f t="shared" si="29"/>
        <v>671.88159763937392</v>
      </c>
      <c r="L113" s="46"/>
      <c r="M113" s="79">
        <f t="shared" si="30"/>
        <v>3.0295344718948254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11156.619395467767</v>
      </c>
      <c r="H114" s="161">
        <f>SUM(H107:H113)</f>
        <v>10935.484526091399</v>
      </c>
      <c r="I114" s="159">
        <f t="shared" ref="I114:J114" si="31">SUM(I107:I113)</f>
        <v>6520.8752723421148</v>
      </c>
      <c r="J114" s="159">
        <f t="shared" si="31"/>
        <v>5928.2510990348355</v>
      </c>
      <c r="K114" s="159">
        <f>SUM(K107:K113)</f>
        <v>5374.2311881856604</v>
      </c>
      <c r="L114" s="21"/>
      <c r="M114" s="79">
        <f t="shared" si="30"/>
        <v>-0.52877293123004121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83.323561464268636</v>
      </c>
      <c r="H118" s="162">
        <f>H$36*H45*(1-$H$73)*H97/1000</f>
        <v>81.672008764724197</v>
      </c>
      <c r="I118" s="158">
        <f t="shared" ref="I118:K118" si="32">I$36*I45*(1-$H$73)*I97/1000</f>
        <v>8.9996028328511919</v>
      </c>
      <c r="J118" s="158">
        <f t="shared" si="32"/>
        <v>0</v>
      </c>
      <c r="K118" s="158">
        <f t="shared" si="32"/>
        <v>0</v>
      </c>
      <c r="L118" s="46"/>
      <c r="M118" s="79">
        <f>(K118-G118)/H118</f>
        <v>-1.0202217715043858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3">G$36*G46*(1-$H$73)*G98/1000</f>
        <v>221.56482534235656</v>
      </c>
      <c r="H119" s="162">
        <f t="shared" si="33"/>
        <v>217.17319854451281</v>
      </c>
      <c r="I119" s="158">
        <f t="shared" si="33"/>
        <v>126.41280874792456</v>
      </c>
      <c r="J119" s="158">
        <f t="shared" si="33"/>
        <v>88.640785970471143</v>
      </c>
      <c r="K119" s="158">
        <f t="shared" si="33"/>
        <v>54.231700925454128</v>
      </c>
      <c r="L119" s="46"/>
      <c r="M119" s="79">
        <f t="shared" ref="M119:M125" si="34">(K119-G119)/H119</f>
        <v>-0.77050541014436025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3"/>
        <v>43.10108109779776</v>
      </c>
      <c r="H120" s="162">
        <f t="shared" si="33"/>
        <v>42.246776437874196</v>
      </c>
      <c r="I120" s="158">
        <f t="shared" si="33"/>
        <v>133.84782680081912</v>
      </c>
      <c r="J120" s="158">
        <f t="shared" si="33"/>
        <v>180.47393329009842</v>
      </c>
      <c r="K120" s="158">
        <f t="shared" si="33"/>
        <v>236.96638513877753</v>
      </c>
      <c r="L120" s="46"/>
      <c r="M120" s="79">
        <f t="shared" si="34"/>
        <v>4.588878025429171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3"/>
        <v>6.0225176650523364</v>
      </c>
      <c r="H121" s="162">
        <f t="shared" si="33"/>
        <v>5.9031456035012155</v>
      </c>
      <c r="I121" s="158">
        <f t="shared" si="33"/>
        <v>3.5536670978306155</v>
      </c>
      <c r="J121" s="158">
        <f t="shared" si="33"/>
        <v>1.7968472875455062</v>
      </c>
      <c r="K121" s="158">
        <f t="shared" si="33"/>
        <v>0</v>
      </c>
      <c r="L121" s="46"/>
      <c r="M121" s="79">
        <f t="shared" si="34"/>
        <v>-1.0202217715043858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3"/>
        <v>4.9776068565729021</v>
      </c>
      <c r="H122" s="162">
        <f t="shared" si="33"/>
        <v>4.8789459268577309</v>
      </c>
      <c r="I122" s="158">
        <f t="shared" si="33"/>
        <v>5.1192461199661761</v>
      </c>
      <c r="J122" s="158">
        <f t="shared" si="33"/>
        <v>5.898536377121788</v>
      </c>
      <c r="K122" s="158">
        <f t="shared" si="33"/>
        <v>6.9539418727633064</v>
      </c>
      <c r="L122" s="46"/>
      <c r="M122" s="79">
        <f t="shared" si="34"/>
        <v>0.40507417909902033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3"/>
        <v>51.326673680237178</v>
      </c>
      <c r="H123" s="162">
        <f t="shared" si="33"/>
        <v>50.309329906332572</v>
      </c>
      <c r="I123" s="158">
        <f t="shared" si="33"/>
        <v>51.053185814853791</v>
      </c>
      <c r="J123" s="158">
        <f t="shared" si="33"/>
        <v>41.714352760370346</v>
      </c>
      <c r="K123" s="158">
        <f t="shared" si="33"/>
        <v>18.437960810386798</v>
      </c>
      <c r="L123" s="46"/>
      <c r="M123" s="79">
        <f t="shared" si="34"/>
        <v>-0.65372989326400444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3"/>
        <v>6.3209727286108537</v>
      </c>
      <c r="H124" s="162">
        <f t="shared" si="33"/>
        <v>6.1956850021835486</v>
      </c>
      <c r="I124" s="158">
        <f t="shared" si="33"/>
        <v>16.344272076445126</v>
      </c>
      <c r="J124" s="158">
        <f t="shared" si="33"/>
        <v>23.103191472999097</v>
      </c>
      <c r="K124" s="158">
        <f t="shared" si="33"/>
        <v>37.690655146205401</v>
      </c>
      <c r="L124" s="46"/>
      <c r="M124" s="79">
        <f t="shared" si="34"/>
        <v>5.0631499836642622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416.63723883489627</v>
      </c>
      <c r="H125" s="163">
        <f>SUM(H118:H124)</f>
        <v>408.37909018598629</v>
      </c>
      <c r="I125" s="160">
        <f t="shared" ref="I125:K125" si="35">SUM(I118:I124)</f>
        <v>345.33060949069056</v>
      </c>
      <c r="J125" s="160">
        <f t="shared" si="35"/>
        <v>341.62764715860629</v>
      </c>
      <c r="K125" s="160">
        <f t="shared" si="35"/>
        <v>354.28064389358718</v>
      </c>
      <c r="L125" s="21"/>
      <c r="M125" s="79">
        <f t="shared" si="34"/>
        <v>-0.15269291802601914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2268.666910131225</v>
      </c>
      <c r="I129" s="158">
        <f t="shared" ref="I129:K129" si="36">I107+I118</f>
        <v>181.2074073954366</v>
      </c>
      <c r="J129" s="158">
        <f t="shared" si="36"/>
        <v>0</v>
      </c>
      <c r="K129" s="158">
        <f t="shared" si="36"/>
        <v>0</v>
      </c>
      <c r="L129" s="46"/>
      <c r="M129" s="79">
        <f>(K129-G129)/H129</f>
        <v>0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7">H108+H119</f>
        <v>6032.588848458684</v>
      </c>
      <c r="I130" s="158">
        <f t="shared" si="37"/>
        <v>2522.2761068058253</v>
      </c>
      <c r="J130" s="158">
        <f t="shared" si="37"/>
        <v>1651.1778349236304</v>
      </c>
      <c r="K130" s="158">
        <f t="shared" si="37"/>
        <v>909.3890498026143</v>
      </c>
      <c r="L130" s="46"/>
      <c r="M130" s="79">
        <f t="shared" ref="M130:M136" si="38">(K130-G130)/H130</f>
        <v>0.15074606817186981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7"/>
        <v>1173.5215677187266</v>
      </c>
      <c r="I131" s="158">
        <f t="shared" si="37"/>
        <v>2596.4168275323727</v>
      </c>
      <c r="J131" s="158">
        <f t="shared" si="37"/>
        <v>3178.4176102447245</v>
      </c>
      <c r="K131" s="158">
        <f t="shared" si="37"/>
        <v>3655.1700908060488</v>
      </c>
      <c r="L131" s="46"/>
      <c r="M131" s="79">
        <f t="shared" si="38"/>
        <v>3.1147020995204509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7"/>
        <v>163.97626676392247</v>
      </c>
      <c r="I132" s="158">
        <f t="shared" si="37"/>
        <v>68.935008306007646</v>
      </c>
      <c r="J132" s="158">
        <f t="shared" si="37"/>
        <v>31.64518530482119</v>
      </c>
      <c r="K132" s="158">
        <f t="shared" si="37"/>
        <v>0</v>
      </c>
      <c r="L132" s="46"/>
      <c r="M132" s="79">
        <f t="shared" si="38"/>
        <v>0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7"/>
        <v>135.52627574604799</v>
      </c>
      <c r="I133" s="158">
        <f t="shared" si="37"/>
        <v>99.304539250678687</v>
      </c>
      <c r="J133" s="158">
        <f t="shared" si="37"/>
        <v>103.88210393562476</v>
      </c>
      <c r="K133" s="158">
        <f t="shared" si="37"/>
        <v>107.2634852054754</v>
      </c>
      <c r="L133" s="46"/>
      <c r="M133" s="79">
        <f t="shared" si="38"/>
        <v>0.79145895963722934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7"/>
        <v>1397.4813862870144</v>
      </c>
      <c r="I134" s="158">
        <f t="shared" si="37"/>
        <v>1059.0269296776271</v>
      </c>
      <c r="J134" s="158">
        <f t="shared" si="37"/>
        <v>839.69630731209111</v>
      </c>
      <c r="K134" s="158">
        <f t="shared" si="37"/>
        <v>347.11695347953003</v>
      </c>
      <c r="L134" s="46"/>
      <c r="M134" s="79">
        <f t="shared" si="38"/>
        <v>0.24838753266101765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7"/>
        <v>172.1023611717651</v>
      </c>
      <c r="I135" s="158">
        <f t="shared" si="37"/>
        <v>339.03906286485727</v>
      </c>
      <c r="J135" s="158">
        <f t="shared" si="37"/>
        <v>465.05970447254992</v>
      </c>
      <c r="K135" s="158">
        <f t="shared" si="37"/>
        <v>709.57225278557928</v>
      </c>
      <c r="L135" s="46"/>
      <c r="M135" s="79">
        <f t="shared" si="38"/>
        <v>4.12296640182291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11343.863616277384</v>
      </c>
      <c r="I136" s="160">
        <f t="shared" ref="I136:K136" si="39">SUM(I129:I135)</f>
        <v>6866.205881832806</v>
      </c>
      <c r="J136" s="160">
        <f t="shared" si="39"/>
        <v>6269.8787461934417</v>
      </c>
      <c r="K136" s="160">
        <f t="shared" si="39"/>
        <v>5728.5118320792481</v>
      </c>
      <c r="L136" s="21"/>
      <c r="M136" s="79">
        <f t="shared" si="38"/>
        <v>0.50498772074968967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énergie'!C48</f>
        <v>1.1068404808735261E-2</v>
      </c>
      <c r="I142" s="47">
        <v>0</v>
      </c>
      <c r="J142" s="47">
        <v>0</v>
      </c>
      <c r="K142" s="47">
        <v>0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énergie'!C49</f>
        <v>0.44151844048973238</v>
      </c>
      <c r="I143" s="47">
        <v>0</v>
      </c>
      <c r="J143" s="47">
        <v>0</v>
      </c>
      <c r="K143" s="47">
        <v>0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énergie'!C50</f>
        <v>0.19276276753541544</v>
      </c>
      <c r="I144" s="47">
        <v>0.4</v>
      </c>
      <c r="J144" s="47">
        <v>0.4</v>
      </c>
      <c r="K144" s="47">
        <v>0.4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énergie'!C51</f>
        <v>3.6575030316210601E-2</v>
      </c>
      <c r="I145" s="47">
        <f t="shared" ref="I145:K146" si="40">H145</f>
        <v>3.6575030316210601E-2</v>
      </c>
      <c r="J145" s="47">
        <f t="shared" si="40"/>
        <v>3.6575030316210601E-2</v>
      </c>
      <c r="K145" s="47">
        <f t="shared" si="40"/>
        <v>3.6575030316210601E-2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énergie'!C52</f>
        <v>3.1736685713051743E-2</v>
      </c>
      <c r="I146" s="47">
        <f t="shared" si="40"/>
        <v>3.1736685713051743E-2</v>
      </c>
      <c r="J146" s="47">
        <v>0.05</v>
      </c>
      <c r="K146" s="47">
        <v>0.08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énergie'!C53</f>
        <v>8.5410409228175652E-2</v>
      </c>
      <c r="I147" s="47">
        <f>1-I142-I143-I144-I145-I146-I148</f>
        <v>8.168828397073763E-2</v>
      </c>
      <c r="J147" s="47">
        <f t="shared" ref="J147:K147" si="41">1-J142-J143-J144-J145-J146-J148</f>
        <v>6.3424969683789356E-2</v>
      </c>
      <c r="K147" s="47">
        <f t="shared" si="41"/>
        <v>3.3424969683789385E-2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énergie'!C54</f>
        <v>0.20092826190867891</v>
      </c>
      <c r="I148" s="47">
        <v>0.45</v>
      </c>
      <c r="J148" s="47">
        <v>0.45</v>
      </c>
      <c r="K148" s="47">
        <v>0.45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2">SUM(I142:I148)</f>
        <v>1</v>
      </c>
      <c r="J149" s="15">
        <f t="shared" si="42"/>
        <v>1</v>
      </c>
      <c r="K149" s="15">
        <f t="shared" si="42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52.151355991180665</v>
      </c>
      <c r="J153" s="45">
        <f>K153</f>
        <v>52.151355991180665</v>
      </c>
      <c r="K153" s="45">
        <f t="shared" ref="K153:K159" si="43">K77</f>
        <v>52.151355991180665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4">J154</f>
        <v>41.460712482338565</v>
      </c>
      <c r="J154" s="45">
        <f t="shared" si="44"/>
        <v>41.460712482338565</v>
      </c>
      <c r="K154" s="45">
        <f t="shared" si="43"/>
        <v>41.460712482338565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4"/>
        <v>49.717573461592018</v>
      </c>
      <c r="J155" s="45">
        <f t="shared" si="44"/>
        <v>49.717573461592018</v>
      </c>
      <c r="K155" s="45">
        <f t="shared" si="43"/>
        <v>49.717573461592018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4"/>
        <v>39.473378090851355</v>
      </c>
      <c r="J156" s="45">
        <f t="shared" si="44"/>
        <v>39.473378090851355</v>
      </c>
      <c r="K156" s="45">
        <f t="shared" si="43"/>
        <v>39.473378090851355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4"/>
        <v>36.474911378704057</v>
      </c>
      <c r="J157" s="45">
        <f t="shared" si="44"/>
        <v>36.474911378704057</v>
      </c>
      <c r="K157" s="45">
        <f t="shared" si="43"/>
        <v>36.474911378704057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4"/>
        <v>29.878854821132272</v>
      </c>
      <c r="J158" s="45">
        <f t="shared" si="44"/>
        <v>29.878854821132272</v>
      </c>
      <c r="K158" s="45">
        <f t="shared" si="43"/>
        <v>29.878854821132272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4"/>
        <v>19.5449572725839</v>
      </c>
      <c r="J159" s="45">
        <f t="shared" si="44"/>
        <v>19.5449572725839</v>
      </c>
      <c r="K159" s="45">
        <f t="shared" si="43"/>
        <v>19.5449572725839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5">I$35*I142*I153/1000</f>
        <v>0</v>
      </c>
      <c r="J163" s="10">
        <f t="shared" si="45"/>
        <v>0</v>
      </c>
      <c r="K163" s="10">
        <f t="shared" si="45"/>
        <v>0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6">H$35*H143*H154/1000</f>
        <v>0</v>
      </c>
      <c r="I164" s="10">
        <f t="shared" si="46"/>
        <v>0</v>
      </c>
      <c r="J164" s="10">
        <f t="shared" si="46"/>
        <v>0</v>
      </c>
      <c r="K164" s="10">
        <f t="shared" si="46"/>
        <v>0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6"/>
        <v>0</v>
      </c>
      <c r="I165" s="10">
        <f t="shared" si="46"/>
        <v>275.1279125228869</v>
      </c>
      <c r="J165" s="10">
        <f t="shared" si="46"/>
        <v>408.69344162770454</v>
      </c>
      <c r="K165" s="10">
        <f t="shared" si="46"/>
        <v>377.03242779508133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6"/>
        <v>0</v>
      </c>
      <c r="I166" s="10">
        <f t="shared" si="46"/>
        <v>19.973479439349088</v>
      </c>
      <c r="J166" s="10">
        <f t="shared" si="46"/>
        <v>29.669945075706273</v>
      </c>
      <c r="K166" s="10">
        <f t="shared" si="46"/>
        <v>27.371448340075201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6"/>
        <v>0</v>
      </c>
      <c r="I167" s="10">
        <f t="shared" si="46"/>
        <v>16.014764404264564</v>
      </c>
      <c r="J167" s="10">
        <f t="shared" si="46"/>
        <v>37.479345899554339</v>
      </c>
      <c r="K167" s="10">
        <f t="shared" si="46"/>
        <v>55.321382091775412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6"/>
        <v>0</v>
      </c>
      <c r="I168" s="10">
        <f t="shared" si="46"/>
        <v>33.766687501557897</v>
      </c>
      <c r="J168" s="10">
        <f t="shared" si="46"/>
        <v>38.945023435865636</v>
      </c>
      <c r="K168" s="10">
        <f t="shared" si="46"/>
        <v>18.934060447236117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6"/>
        <v>0</v>
      </c>
      <c r="I169" s="10">
        <f t="shared" si="46"/>
        <v>121.67797592279535</v>
      </c>
      <c r="J169" s="10">
        <f t="shared" si="46"/>
        <v>180.74862086573435</v>
      </c>
      <c r="K169" s="10">
        <f t="shared" si="46"/>
        <v>166.74623178245022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7">SUM(I163:I169)</f>
        <v>466.56081979085377</v>
      </c>
      <c r="J170" s="11">
        <f t="shared" si="47"/>
        <v>695.53637690456515</v>
      </c>
      <c r="K170" s="11">
        <f t="shared" si="47"/>
        <v>645.40555045661824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B84B"/>
  </sheetPr>
  <dimension ref="A1:AL145"/>
  <sheetViews>
    <sheetView tabSelected="1" topLeftCell="D109" zoomScale="85" zoomScaleNormal="85" workbookViewId="0">
      <selection activeCell="V149" sqref="V149"/>
    </sheetView>
  </sheetViews>
  <sheetFormatPr baseColWidth="10" defaultRowHeight="14.5"/>
  <cols>
    <col min="1" max="1" width="19.08984375" customWidth="1"/>
    <col min="2" max="2" width="12.453125" bestFit="1" customWidth="1"/>
    <col min="24" max="24" width="14.1796875" customWidth="1"/>
  </cols>
  <sheetData>
    <row r="1" spans="1:29">
      <c r="A1" s="325" t="s">
        <v>117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197"/>
      <c r="P1" s="325" t="s">
        <v>118</v>
      </c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</row>
    <row r="2" spans="1:29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197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</row>
    <row r="3" spans="1:29" ht="14.5" customHeight="1">
      <c r="A3" s="320" t="s">
        <v>210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197"/>
      <c r="P3" s="320" t="s">
        <v>210</v>
      </c>
      <c r="Q3" s="320"/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</row>
    <row r="4" spans="1:29" ht="14.5" customHeight="1">
      <c r="A4" s="320"/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197"/>
      <c r="P4" s="320"/>
      <c r="Q4" s="320"/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</row>
    <row r="5" spans="1:29">
      <c r="O5" s="197"/>
    </row>
    <row r="6" spans="1:29">
      <c r="O6" s="197"/>
    </row>
    <row r="7" spans="1:29">
      <c r="A7" s="58"/>
      <c r="B7" s="306" t="s">
        <v>66</v>
      </c>
      <c r="C7" s="307"/>
      <c r="D7" s="307"/>
      <c r="E7" s="307"/>
      <c r="F7" s="308"/>
      <c r="O7" s="197"/>
      <c r="X7" s="58"/>
      <c r="Y7" s="306" t="s">
        <v>231</v>
      </c>
      <c r="Z7" s="307"/>
      <c r="AA7" s="307"/>
      <c r="AB7" s="307"/>
      <c r="AC7" s="308"/>
    </row>
    <row r="8" spans="1:29">
      <c r="A8" s="8" t="s">
        <v>27</v>
      </c>
      <c r="B8" s="9"/>
      <c r="C8" s="9">
        <v>2020</v>
      </c>
      <c r="D8" s="9">
        <v>2030</v>
      </c>
      <c r="E8" s="9">
        <v>2040</v>
      </c>
      <c r="F8" s="9">
        <v>2050</v>
      </c>
      <c r="O8" s="197"/>
      <c r="X8" s="8" t="s">
        <v>27</v>
      </c>
      <c r="Y8" s="9"/>
      <c r="Z8" s="9">
        <v>2020</v>
      </c>
      <c r="AA8" s="9">
        <v>2030</v>
      </c>
      <c r="AB8" s="9">
        <v>2040</v>
      </c>
      <c r="AC8" s="9">
        <v>2050</v>
      </c>
    </row>
    <row r="9" spans="1:29">
      <c r="A9" t="s">
        <v>0</v>
      </c>
      <c r="B9" s="83" t="s">
        <v>112</v>
      </c>
      <c r="C9" s="194">
        <f>'Bureaux - AME'!H8</f>
        <v>0</v>
      </c>
      <c r="D9" s="194">
        <f>'Bureaux - AME'!I8</f>
        <v>5164.8553369834699</v>
      </c>
      <c r="E9" s="194">
        <f>'Bureaux - AME'!J8</f>
        <v>5108.6719031846442</v>
      </c>
      <c r="F9" s="194">
        <f>'Bureaux - AME'!K8</f>
        <v>4946.8592483837929</v>
      </c>
      <c r="O9" s="197"/>
      <c r="X9" t="s">
        <v>0</v>
      </c>
      <c r="Y9" s="83" t="s">
        <v>112</v>
      </c>
      <c r="Z9" s="194">
        <f>'Bureaux - AMS'!H8</f>
        <v>0</v>
      </c>
      <c r="AA9" s="194">
        <f>'Bureaux - AMS'!I8</f>
        <v>5164.8553369834699</v>
      </c>
      <c r="AB9" s="194">
        <f>'Bureaux - AMS'!J8</f>
        <v>5108.6719031846442</v>
      </c>
      <c r="AC9" s="194">
        <f>'Bureaux - AMS'!K8</f>
        <v>4946.8592483837929</v>
      </c>
    </row>
    <row r="10" spans="1:29">
      <c r="B10" s="83" t="s">
        <v>111</v>
      </c>
      <c r="C10" s="194">
        <f>'Bureaux - AME'!H9</f>
        <v>239113.67300849396</v>
      </c>
      <c r="D10" s="194">
        <f>'Bureaux - AME'!I9</f>
        <v>231347.73277341673</v>
      </c>
      <c r="E10" s="194">
        <f>'Bureaux - AME'!J9</f>
        <v>223912.58959606502</v>
      </c>
      <c r="F10" s="194">
        <f>'Bureaux - AME'!K9</f>
        <v>211713.03814975632</v>
      </c>
      <c r="O10" s="197"/>
      <c r="Y10" s="83" t="s">
        <v>111</v>
      </c>
      <c r="Z10" s="194">
        <f>'Bureaux - AMS'!H9</f>
        <v>239113.67300849396</v>
      </c>
      <c r="AA10" s="194">
        <f>'Bureaux - AMS'!I9</f>
        <v>231347.73277341673</v>
      </c>
      <c r="AB10" s="194">
        <f>'Bureaux - AMS'!J9</f>
        <v>223912.58959606502</v>
      </c>
      <c r="AC10" s="194">
        <f>'Bureaux - AMS'!K9</f>
        <v>211713.03814975632</v>
      </c>
    </row>
    <row r="11" spans="1:29">
      <c r="A11" t="s">
        <v>51</v>
      </c>
      <c r="B11" s="83" t="s">
        <v>112</v>
      </c>
      <c r="C11" s="194">
        <f>'CaHoREs - AME'!H8</f>
        <v>0</v>
      </c>
      <c r="D11" s="194">
        <f>'CaHoREs - AME'!I8</f>
        <v>2942.8867840113244</v>
      </c>
      <c r="E11" s="194">
        <f>'CaHoREs - AME'!J8</f>
        <v>2802.5547212735701</v>
      </c>
      <c r="F11" s="194">
        <f>'CaHoREs - AME'!K8</f>
        <v>1993.67497877806</v>
      </c>
      <c r="O11" s="197"/>
      <c r="X11" t="s">
        <v>51</v>
      </c>
      <c r="Y11" s="83" t="s">
        <v>112</v>
      </c>
      <c r="Z11" s="194">
        <f>'CaHoREs - AMS'!H8</f>
        <v>0</v>
      </c>
      <c r="AA11" s="194">
        <f>'CaHoREs - AMS'!I8</f>
        <v>2942.8867840113244</v>
      </c>
      <c r="AB11" s="194">
        <f>'CaHoREs - AMS'!J8</f>
        <v>2802.5547212735701</v>
      </c>
      <c r="AC11" s="194">
        <f>'CaHoREs - AMS'!K8</f>
        <v>1993.67497877806</v>
      </c>
    </row>
    <row r="12" spans="1:29">
      <c r="B12" s="83" t="s">
        <v>111</v>
      </c>
      <c r="C12" s="194">
        <f>'CaHoREs - AME'!H9</f>
        <v>67389.90174661066</v>
      </c>
      <c r="D12" s="194">
        <f>'CaHoREs - AME'!I9</f>
        <v>65449.072576308274</v>
      </c>
      <c r="E12" s="194">
        <f>'CaHoREs - AME'!J9</f>
        <v>66422.270930742394</v>
      </c>
      <c r="F12" s="194">
        <f>'CaHoREs - AME'!K9</f>
        <v>66501.833286520778</v>
      </c>
      <c r="O12" s="197"/>
      <c r="Y12" s="83" t="s">
        <v>111</v>
      </c>
      <c r="Z12" s="194">
        <f>'CaHoREs - AMS'!H9</f>
        <v>67389.90174661066</v>
      </c>
      <c r="AA12" s="194">
        <f>'CaHoREs - AMS'!I9</f>
        <v>65449.072576308274</v>
      </c>
      <c r="AB12" s="194">
        <f>'CaHoREs - AMS'!J9</f>
        <v>66422.270930742394</v>
      </c>
      <c r="AC12" s="194">
        <f>'CaHoREs - AMS'!K9</f>
        <v>66501.833286520778</v>
      </c>
    </row>
    <row r="13" spans="1:29">
      <c r="A13" t="s">
        <v>3</v>
      </c>
      <c r="B13" s="83" t="s">
        <v>112</v>
      </c>
      <c r="C13" s="194">
        <f>'Commerce - AME'!H8</f>
        <v>0</v>
      </c>
      <c r="D13" s="194">
        <f>'Commerce - AME'!I8</f>
        <v>10020.497600000001</v>
      </c>
      <c r="E13" s="194">
        <f>'Commerce - AME'!J8</f>
        <v>9972.5980747882168</v>
      </c>
      <c r="F13" s="194">
        <f>'Commerce - AME'!K8</f>
        <v>9893.4567010969913</v>
      </c>
      <c r="O13" s="197"/>
      <c r="X13" t="s">
        <v>3</v>
      </c>
      <c r="Y13" s="83" t="s">
        <v>112</v>
      </c>
      <c r="Z13" s="194">
        <f>'Commerce - AMS'!H8</f>
        <v>0</v>
      </c>
      <c r="AA13" s="194">
        <f>'Commerce - AMS'!I8</f>
        <v>10020.497600000001</v>
      </c>
      <c r="AB13" s="194">
        <f>'Commerce - AMS'!J8</f>
        <v>9972.5980747882168</v>
      </c>
      <c r="AC13" s="194">
        <f>'Commerce - AMS'!K8</f>
        <v>9893.4567010969913</v>
      </c>
    </row>
    <row r="14" spans="1:29">
      <c r="B14" s="83" t="s">
        <v>111</v>
      </c>
      <c r="C14" s="194">
        <f>'Commerce - AME'!H9</f>
        <v>215959</v>
      </c>
      <c r="D14" s="194">
        <f>'Commerce - AME'!I9</f>
        <v>204906.18504629776</v>
      </c>
      <c r="E14" s="194">
        <f>'Commerce - AME'!J9</f>
        <v>203248.45151781934</v>
      </c>
      <c r="F14" s="194">
        <f>'Commerce - AME'!K9</f>
        <v>196776.17202410474</v>
      </c>
      <c r="O14" s="197"/>
      <c r="Y14" s="83" t="s">
        <v>111</v>
      </c>
      <c r="Z14" s="194">
        <f>'Commerce - AMS'!H9</f>
        <v>215959</v>
      </c>
      <c r="AA14" s="194">
        <f>'Commerce - AMS'!I9</f>
        <v>204906.18504629776</v>
      </c>
      <c r="AB14" s="194">
        <f>'Commerce - AMS'!J9</f>
        <v>203248.45151781934</v>
      </c>
      <c r="AC14" s="194">
        <f>'Commerce - AMS'!K9</f>
        <v>196776.17202410474</v>
      </c>
    </row>
    <row r="15" spans="1:29">
      <c r="A15" t="s">
        <v>45</v>
      </c>
      <c r="B15" s="83" t="s">
        <v>112</v>
      </c>
      <c r="C15" s="194">
        <f>'Enseignement - AME'!H8</f>
        <v>0</v>
      </c>
      <c r="D15" s="194">
        <f>'Enseignement - AME'!I8</f>
        <v>3840.2979556716878</v>
      </c>
      <c r="E15" s="194">
        <f>'Enseignement - AME'!J8</f>
        <v>3746.0672444943634</v>
      </c>
      <c r="F15" s="194">
        <f>'Enseignement - AME'!K8</f>
        <v>3638.5091063100158</v>
      </c>
      <c r="O15" s="197"/>
      <c r="X15" t="s">
        <v>45</v>
      </c>
      <c r="Y15" s="83" t="s">
        <v>112</v>
      </c>
      <c r="Z15" s="194">
        <f>'Enseignement - AMS'!H8</f>
        <v>0</v>
      </c>
      <c r="AA15" s="194">
        <f>'Enseignement - AMS'!I8</f>
        <v>3840.2979556716878</v>
      </c>
      <c r="AB15" s="194">
        <f>'Enseignement - AMS'!J8</f>
        <v>3746.0672444943634</v>
      </c>
      <c r="AC15" s="194">
        <f>'Enseignement - AMS'!K8</f>
        <v>3638.5091063100158</v>
      </c>
    </row>
    <row r="16" spans="1:29">
      <c r="B16" s="83" t="s">
        <v>111</v>
      </c>
      <c r="C16" s="194">
        <f>'Enseignement - AME'!H9</f>
        <v>190850</v>
      </c>
      <c r="D16" s="194">
        <f>'Enseignement - AME'!I9</f>
        <v>182326.74998285295</v>
      </c>
      <c r="E16" s="194">
        <f>'Enseignement - AME'!J9</f>
        <v>177075.69996075644</v>
      </c>
      <c r="F16" s="194">
        <f>'Enseignement - AME'!K9</f>
        <v>167746.0195205627</v>
      </c>
      <c r="O16" s="197"/>
      <c r="Y16" s="83" t="s">
        <v>111</v>
      </c>
      <c r="Z16" s="194">
        <f>'Enseignement - AMS'!H9</f>
        <v>190850</v>
      </c>
      <c r="AA16" s="194">
        <f>'Enseignement - AMS'!I9</f>
        <v>182326.74998285295</v>
      </c>
      <c r="AB16" s="194">
        <f>'Enseignement - AMS'!J9</f>
        <v>177075.69996075644</v>
      </c>
      <c r="AC16" s="194">
        <f>'Enseignement - AMS'!K9</f>
        <v>167746.0195205627</v>
      </c>
    </row>
    <row r="17" spans="1:29">
      <c r="A17" t="s">
        <v>1</v>
      </c>
      <c r="B17" s="83" t="s">
        <v>112</v>
      </c>
      <c r="C17" s="194">
        <f>'Hab. com. - AME'!H8</f>
        <v>0</v>
      </c>
      <c r="D17" s="194">
        <f>'Hab. com. - AME'!I8</f>
        <v>3840.2979556716878</v>
      </c>
      <c r="E17" s="194">
        <f>'Hab. com. - AME'!J8</f>
        <v>3746.0672444943634</v>
      </c>
      <c r="F17" s="194">
        <f>'Hab. com. - AME'!K8</f>
        <v>3638.5091063100158</v>
      </c>
      <c r="O17" s="197"/>
      <c r="X17" t="s">
        <v>1</v>
      </c>
      <c r="Y17" s="83" t="s">
        <v>112</v>
      </c>
      <c r="Z17" s="194">
        <f>'Hab. com. - AMS'!H8</f>
        <v>0</v>
      </c>
      <c r="AA17" s="194">
        <f>'Hab. com. - AMS'!I8</f>
        <v>3840.2979556716878</v>
      </c>
      <c r="AB17" s="194">
        <f>'Hab. com. - AMS'!J8</f>
        <v>3746.0672444943634</v>
      </c>
      <c r="AC17" s="194">
        <f>'Hab. com. - AMS'!K8</f>
        <v>3638.5091063100158</v>
      </c>
    </row>
    <row r="18" spans="1:29">
      <c r="B18" s="83" t="s">
        <v>111</v>
      </c>
      <c r="C18" s="194">
        <f>'Hab. com. - AME'!H9</f>
        <v>72592</v>
      </c>
      <c r="D18" s="194">
        <f>'Hab. com. - AME'!I9</f>
        <v>77024.433528571317</v>
      </c>
      <c r="E18" s="194">
        <f>'Hab. com. - AME'!J9</f>
        <v>85427.356459798117</v>
      </c>
      <c r="F18" s="194">
        <f>'Hab. com. - AME'!K9</f>
        <v>91884.954014182775</v>
      </c>
      <c r="O18" s="197"/>
      <c r="Y18" s="83" t="s">
        <v>111</v>
      </c>
      <c r="Z18" s="194">
        <f>'Hab. com. - AMS'!H9</f>
        <v>72592</v>
      </c>
      <c r="AA18" s="194">
        <f>'Hab. com. - AMS'!I9</f>
        <v>77024.433528571317</v>
      </c>
      <c r="AB18" s="194">
        <f>'Hab. com. - AMS'!J9</f>
        <v>85427.356459798117</v>
      </c>
      <c r="AC18" s="194">
        <f>'Hab. com. - AMS'!K9</f>
        <v>91884.954014182775</v>
      </c>
    </row>
    <row r="19" spans="1:29">
      <c r="A19" t="s">
        <v>47</v>
      </c>
      <c r="B19" s="83" t="s">
        <v>112</v>
      </c>
      <c r="C19" s="194">
        <f>'Santé social - AME'!H8</f>
        <v>0</v>
      </c>
      <c r="D19" s="194">
        <f>'Santé social - AME'!I8</f>
        <v>13834.540453559624</v>
      </c>
      <c r="E19" s="194">
        <f>'Santé social - AME'!J8</f>
        <v>20550.753645661614</v>
      </c>
      <c r="F19" s="194">
        <f>'Santé social - AME'!K8</f>
        <v>18958.71024791403</v>
      </c>
      <c r="O19" s="197"/>
      <c r="X19" t="s">
        <v>47</v>
      </c>
      <c r="Y19" s="83" t="s">
        <v>112</v>
      </c>
      <c r="Z19" s="194">
        <f>'Santé social - AMS'!H8</f>
        <v>0</v>
      </c>
      <c r="AA19" s="194">
        <f>'Santé social - AMS'!I8</f>
        <v>13834.540453559624</v>
      </c>
      <c r="AB19" s="194">
        <f>'Santé social - AMS'!J8</f>
        <v>20550.753645661614</v>
      </c>
      <c r="AC19" s="194">
        <f>'Santé social - AMS'!K8</f>
        <v>18958.71024791403</v>
      </c>
    </row>
    <row r="20" spans="1:29">
      <c r="B20" s="83" t="s">
        <v>111</v>
      </c>
      <c r="C20" s="194">
        <f>'Santé social - AME'!H9</f>
        <v>118445.13907375958</v>
      </c>
      <c r="D20" s="194">
        <f>'Santé social - AME'!I9</f>
        <v>115382.32014812742</v>
      </c>
      <c r="E20" s="194">
        <f>'Santé social - AME'!J9</f>
        <v>125875.50063321114</v>
      </c>
      <c r="F20" s="194">
        <f>'Santé social - AME'!K9</f>
        <v>142639.88443438738</v>
      </c>
      <c r="O20" s="197"/>
      <c r="Y20" s="83" t="s">
        <v>111</v>
      </c>
      <c r="Z20" s="194">
        <f>'Santé social - AMS'!H9</f>
        <v>118445.13907375958</v>
      </c>
      <c r="AA20" s="194">
        <f>'Santé social - AMS'!I9</f>
        <v>115382.32014812742</v>
      </c>
      <c r="AB20" s="194">
        <f>'Santé social - AMS'!J9</f>
        <v>125875.50063321114</v>
      </c>
      <c r="AC20" s="194">
        <f>'Santé social - AMS'!K9</f>
        <v>142639.88443438738</v>
      </c>
    </row>
    <row r="21" spans="1:29">
      <c r="A21" t="s">
        <v>46</v>
      </c>
      <c r="B21" s="83" t="s">
        <v>112</v>
      </c>
      <c r="C21" s="194">
        <f>'Sport Loisir Culture - AME'!H8</f>
        <v>0</v>
      </c>
      <c r="D21" s="194">
        <f>'Sport Loisir Culture - AME'!I8</f>
        <v>2606.2113096947755</v>
      </c>
      <c r="E21" s="194">
        <f>'Sport Loisir Culture - AME'!J8</f>
        <v>2441.502020159372</v>
      </c>
      <c r="F21" s="194">
        <f>'Sport Loisir Culture - AME'!K8</f>
        <v>1539.5198865418247</v>
      </c>
      <c r="O21" s="197"/>
      <c r="X21" t="s">
        <v>46</v>
      </c>
      <c r="Y21" s="83" t="s">
        <v>112</v>
      </c>
      <c r="Z21" s="194">
        <f>'Sport Loisir Culture - AMS'!H8</f>
        <v>0</v>
      </c>
      <c r="AA21" s="194">
        <f>'Sport Loisir Culture - AMS'!I8</f>
        <v>2606.2113096947755</v>
      </c>
      <c r="AB21" s="194">
        <f>'Sport Loisir Culture - AMS'!J8</f>
        <v>2441.502020159372</v>
      </c>
      <c r="AC21" s="194">
        <f>'Sport Loisir Culture - AMS'!K8</f>
        <v>1539.5198865418247</v>
      </c>
    </row>
    <row r="22" spans="1:29">
      <c r="B22" s="83" t="s">
        <v>111</v>
      </c>
      <c r="C22" s="194">
        <f>'Sport Loisir Culture - AME'!H9</f>
        <v>74481</v>
      </c>
      <c r="D22" s="194">
        <f>'Sport Loisir Culture - AME'!I9</f>
        <v>72982.287754590609</v>
      </c>
      <c r="E22" s="194">
        <f>'Sport Loisir Culture - AME'!J9</f>
        <v>74067.501639979033</v>
      </c>
      <c r="F22" s="194">
        <f>'Sport Loisir Culture - AME'!K9</f>
        <v>74163.424009860362</v>
      </c>
      <c r="O22" s="197"/>
      <c r="Y22" s="83" t="s">
        <v>111</v>
      </c>
      <c r="Z22" s="194">
        <f>'Sport Loisir Culture - AMS'!H9</f>
        <v>74481</v>
      </c>
      <c r="AA22" s="194">
        <f>'Sport Loisir Culture - AMS'!I9</f>
        <v>72982.287754590609</v>
      </c>
      <c r="AB22" s="194">
        <f>'Sport Loisir Culture - AMS'!J9</f>
        <v>74067.501639979033</v>
      </c>
      <c r="AC22" s="194">
        <f>'Sport Loisir Culture - AMS'!K9</f>
        <v>74163.424009860362</v>
      </c>
    </row>
    <row r="23" spans="1:29">
      <c r="A23" t="s">
        <v>4</v>
      </c>
      <c r="B23" s="83" t="s">
        <v>112</v>
      </c>
      <c r="C23" s="194">
        <f>'Transport - AME'!H8</f>
        <v>0</v>
      </c>
      <c r="D23" s="194">
        <f>'Transport - AME'!I8</f>
        <v>1056.0407324289231</v>
      </c>
      <c r="E23" s="194">
        <f>'Transport - AME'!J8</f>
        <v>1001.1574110556077</v>
      </c>
      <c r="F23" s="194">
        <f>'Transport - AME'!K8</f>
        <v>690.11456501052521</v>
      </c>
      <c r="O23" s="197"/>
      <c r="X23" t="s">
        <v>4</v>
      </c>
      <c r="Y23" s="83" t="s">
        <v>112</v>
      </c>
      <c r="Z23" s="194">
        <f>'Transport - AMS'!H8</f>
        <v>0</v>
      </c>
      <c r="AA23" s="194">
        <f>'Transport - AMS'!I8</f>
        <v>1056.0407324289231</v>
      </c>
      <c r="AB23" s="194">
        <f>'Transport - AMS'!J8</f>
        <v>1001.1574110556077</v>
      </c>
      <c r="AC23" s="194">
        <f>'Transport - AMS'!K8</f>
        <v>690.11456501052521</v>
      </c>
    </row>
    <row r="24" spans="1:29">
      <c r="B24" s="83" t="s">
        <v>111</v>
      </c>
      <c r="C24" s="194">
        <f>'Transport - AME'!H9</f>
        <v>25839.303197908266</v>
      </c>
      <c r="D24" s="194">
        <f>'Transport - AME'!I9</f>
        <v>25167.481314762652</v>
      </c>
      <c r="E24" s="194">
        <f>'Transport - AME'!J9</f>
        <v>25541.710473964595</v>
      </c>
      <c r="F24" s="194">
        <f>'Transport - AME'!K9</f>
        <v>25573.111228324349</v>
      </c>
      <c r="O24" s="197"/>
      <c r="Y24" s="83" t="s">
        <v>111</v>
      </c>
      <c r="Z24" s="194">
        <f>'Transport - AMS'!H9</f>
        <v>25839.303197908266</v>
      </c>
      <c r="AA24" s="194">
        <f>'Transport - AMS'!I9</f>
        <v>25167.481314762652</v>
      </c>
      <c r="AB24" s="194">
        <f>'Transport - AMS'!J9</f>
        <v>25541.710473964595</v>
      </c>
      <c r="AC24" s="194">
        <f>'Transport - AMS'!K9</f>
        <v>25573.111228324349</v>
      </c>
    </row>
    <row r="25" spans="1:29">
      <c r="A25" t="s">
        <v>17</v>
      </c>
      <c r="B25" s="83" t="s">
        <v>112</v>
      </c>
      <c r="C25" s="194">
        <f>C9+C11+C13+C15+C17+C19+C21+C23</f>
        <v>0</v>
      </c>
      <c r="D25" s="194">
        <f t="shared" ref="D25:F25" si="0">D9+D11+D13+D15+D17+D19+D21+D23</f>
        <v>43305.628128021497</v>
      </c>
      <c r="E25" s="194">
        <f t="shared" si="0"/>
        <v>49369.372265111757</v>
      </c>
      <c r="F25" s="194">
        <f t="shared" si="0"/>
        <v>45299.353840345255</v>
      </c>
      <c r="O25" s="197"/>
      <c r="X25" t="s">
        <v>17</v>
      </c>
      <c r="Y25" s="83" t="s">
        <v>112</v>
      </c>
      <c r="Z25" s="194">
        <f>Z9+Z11+Z13+Z15+Z17+Z19+Z21+Z23</f>
        <v>0</v>
      </c>
      <c r="AA25" s="194">
        <f t="shared" ref="AA25:AC25" si="1">AA9+AA11+AA13+AA15+AA17+AA19+AA21+AA23</f>
        <v>43305.628128021497</v>
      </c>
      <c r="AB25" s="194">
        <f t="shared" si="1"/>
        <v>49369.372265111757</v>
      </c>
      <c r="AC25" s="194">
        <f t="shared" si="1"/>
        <v>45299.353840345255</v>
      </c>
    </row>
    <row r="26" spans="1:29">
      <c r="B26" s="83" t="s">
        <v>111</v>
      </c>
      <c r="C26" s="194">
        <f>C10+C12+C14+C16+C18+C20+C22+C24</f>
        <v>1004670.0170267724</v>
      </c>
      <c r="D26" s="194">
        <f t="shared" ref="D26:F26" si="2">D10+D12+D14+D16+D18+D20+D22+D24</f>
        <v>974586.26312492765</v>
      </c>
      <c r="E26" s="194">
        <f t="shared" si="2"/>
        <v>981571.0812123362</v>
      </c>
      <c r="F26" s="194">
        <f t="shared" si="2"/>
        <v>976998.43666769937</v>
      </c>
      <c r="O26" s="197"/>
      <c r="Y26" s="83" t="s">
        <v>111</v>
      </c>
      <c r="Z26" s="194">
        <f>Z10+Z12+Z14+Z16++Z18+Z20+Z22+Z24</f>
        <v>1004670.0170267724</v>
      </c>
      <c r="AA26" s="194">
        <f t="shared" ref="AA26:AC26" si="3">AA10+AA12+AA14+AA16++AA18+AA20+AA22+AA24</f>
        <v>974586.26312492765</v>
      </c>
      <c r="AB26" s="194">
        <f t="shared" si="3"/>
        <v>981571.0812123362</v>
      </c>
      <c r="AC26" s="194">
        <f t="shared" si="3"/>
        <v>976998.43666769937</v>
      </c>
    </row>
    <row r="27" spans="1:29">
      <c r="B27" s="194"/>
      <c r="C27" s="194"/>
      <c r="D27" s="194"/>
      <c r="E27" s="194"/>
      <c r="F27" s="194"/>
      <c r="O27" s="197"/>
      <c r="Y27" s="194"/>
      <c r="Z27" s="194"/>
      <c r="AA27" s="194"/>
      <c r="AB27" s="194"/>
      <c r="AC27" s="194"/>
    </row>
    <row r="28" spans="1:29">
      <c r="B28" s="194"/>
      <c r="C28" s="194"/>
      <c r="D28" s="194"/>
      <c r="E28" s="194"/>
      <c r="F28" s="194"/>
      <c r="O28" s="197"/>
      <c r="Y28" s="194"/>
      <c r="Z28" s="194"/>
      <c r="AA28" s="194"/>
      <c r="AB28" s="194"/>
      <c r="AC28" s="194"/>
    </row>
    <row r="29" spans="1:29">
      <c r="A29" s="321" t="s">
        <v>114</v>
      </c>
      <c r="B29" s="322"/>
      <c r="C29" s="322"/>
      <c r="D29" s="322"/>
      <c r="E29" s="322"/>
      <c r="F29" s="194"/>
      <c r="O29" s="197"/>
      <c r="X29" s="321" t="s">
        <v>232</v>
      </c>
      <c r="Y29" s="322"/>
      <c r="Z29" s="322"/>
      <c r="AA29" s="322"/>
      <c r="AB29" s="322"/>
      <c r="AC29" s="194"/>
    </row>
    <row r="30" spans="1:29">
      <c r="A30" s="8" t="s">
        <v>218</v>
      </c>
      <c r="B30" s="9">
        <v>2020</v>
      </c>
      <c r="C30" s="9">
        <v>2030</v>
      </c>
      <c r="D30" s="9">
        <v>2040</v>
      </c>
      <c r="E30" s="9">
        <v>2050</v>
      </c>
      <c r="F30" s="194"/>
      <c r="O30" s="197"/>
      <c r="X30" s="8" t="s">
        <v>218</v>
      </c>
      <c r="Y30" s="9">
        <v>2020</v>
      </c>
      <c r="Z30" s="9">
        <v>2030</v>
      </c>
      <c r="AA30" s="9">
        <v>2040</v>
      </c>
      <c r="AB30" s="9">
        <v>2050</v>
      </c>
      <c r="AC30" s="194"/>
    </row>
    <row r="31" spans="1:29">
      <c r="A31" s="126" t="s">
        <v>209</v>
      </c>
      <c r="B31" s="86">
        <f>B77</f>
        <v>112000</v>
      </c>
      <c r="C31" s="86">
        <f t="shared" ref="C31:E31" si="4">C77</f>
        <v>86666.435950300583</v>
      </c>
      <c r="D31" s="86">
        <f t="shared" si="4"/>
        <v>75339.500031772128</v>
      </c>
      <c r="E31" s="86">
        <f t="shared" si="4"/>
        <v>63642.311085512876</v>
      </c>
      <c r="F31" s="194"/>
      <c r="O31" s="197"/>
      <c r="X31" s="126" t="s">
        <v>209</v>
      </c>
      <c r="Y31" s="86">
        <f>Y77</f>
        <v>112000</v>
      </c>
      <c r="Z31" s="86">
        <f t="shared" ref="Z31:AB31" si="5">Z77</f>
        <v>72664.138552981763</v>
      </c>
      <c r="AA31" s="86">
        <f t="shared" si="5"/>
        <v>61703.746226135016</v>
      </c>
      <c r="AB31" s="86">
        <f t="shared" si="5"/>
        <v>50234.850316829237</v>
      </c>
      <c r="AC31" s="194"/>
    </row>
    <row r="32" spans="1:29">
      <c r="A32" s="126" t="s">
        <v>219</v>
      </c>
      <c r="B32" s="86">
        <f>B121</f>
        <v>149176.07514302438</v>
      </c>
      <c r="C32" s="86">
        <f t="shared" ref="C32:E32" si="6">C121</f>
        <v>153541.2440791699</v>
      </c>
      <c r="D32" s="86">
        <f t="shared" si="6"/>
        <v>145656.72853316195</v>
      </c>
      <c r="E32" s="86">
        <f t="shared" si="6"/>
        <v>172857.82316500918</v>
      </c>
      <c r="F32" s="194"/>
      <c r="O32" s="197"/>
      <c r="X32" s="126" t="s">
        <v>219</v>
      </c>
      <c r="Y32" s="86">
        <f>Y121</f>
        <v>149178.39460178243</v>
      </c>
      <c r="Z32" s="86">
        <f t="shared" ref="Z32:AB32" si="7">Z121</f>
        <v>109955.56720889313</v>
      </c>
      <c r="AA32" s="86">
        <f t="shared" si="7"/>
        <v>89554.108632056115</v>
      </c>
      <c r="AB32" s="86">
        <f t="shared" si="7"/>
        <v>85614.863816842437</v>
      </c>
      <c r="AC32" s="194"/>
    </row>
    <row r="33" spans="1:29">
      <c r="B33" s="194"/>
      <c r="C33" s="194"/>
      <c r="D33" s="194"/>
      <c r="E33" s="194"/>
      <c r="F33" s="194"/>
      <c r="O33" s="197"/>
      <c r="Y33" s="194"/>
      <c r="Z33" s="194"/>
      <c r="AA33" s="194"/>
      <c r="AB33" s="194"/>
      <c r="AC33" s="194"/>
    </row>
    <row r="34" spans="1:29">
      <c r="A34" s="321" t="s">
        <v>114</v>
      </c>
      <c r="B34" s="322"/>
      <c r="C34" s="322"/>
      <c r="D34" s="322"/>
      <c r="E34" s="322"/>
      <c r="F34" s="194"/>
      <c r="O34" s="197"/>
      <c r="X34" s="321" t="s">
        <v>232</v>
      </c>
      <c r="Y34" s="322"/>
      <c r="Z34" s="322"/>
      <c r="AA34" s="322"/>
      <c r="AB34" s="322"/>
      <c r="AC34" s="194"/>
    </row>
    <row r="35" spans="1:29">
      <c r="A35" s="8" t="s">
        <v>20</v>
      </c>
      <c r="B35" s="9">
        <v>2020</v>
      </c>
      <c r="C35" s="9">
        <v>2030</v>
      </c>
      <c r="D35" s="9">
        <v>2040</v>
      </c>
      <c r="E35" s="9">
        <v>2050</v>
      </c>
      <c r="F35" s="194"/>
      <c r="O35" s="197"/>
      <c r="X35" s="8" t="s">
        <v>20</v>
      </c>
      <c r="Y35" s="9">
        <v>2020</v>
      </c>
      <c r="Z35" s="9">
        <v>2030</v>
      </c>
      <c r="AA35" s="9">
        <v>2040</v>
      </c>
      <c r="AB35" s="9">
        <v>2050</v>
      </c>
      <c r="AC35" s="194"/>
    </row>
    <row r="36" spans="1:29">
      <c r="A36" s="126" t="s">
        <v>15</v>
      </c>
      <c r="B36" s="86">
        <f>B58+B117</f>
        <v>20915.934143609949</v>
      </c>
      <c r="C36" s="86">
        <f t="shared" ref="C36:E36" si="8">C58+C117</f>
        <v>12671.086126719494</v>
      </c>
      <c r="D36" s="86">
        <f t="shared" si="8"/>
        <v>9053.6128144898339</v>
      </c>
      <c r="E36" s="86">
        <f t="shared" si="8"/>
        <v>5849.3822006781047</v>
      </c>
      <c r="F36" s="194"/>
      <c r="O36" s="197"/>
      <c r="X36" s="126" t="s">
        <v>15</v>
      </c>
      <c r="Y36" s="86">
        <f>Y58+Y117</f>
        <v>20915.934143609949</v>
      </c>
      <c r="Z36" s="86">
        <f t="shared" ref="Z36:AB36" si="9">Z58+Z117</f>
        <v>3486.5815654655303</v>
      </c>
      <c r="AA36" s="86">
        <f t="shared" si="9"/>
        <v>504.73115555072877</v>
      </c>
      <c r="AB36" s="86">
        <f t="shared" si="9"/>
        <v>0</v>
      </c>
      <c r="AC36" s="194"/>
    </row>
    <row r="37" spans="1:29">
      <c r="A37" s="126" t="s">
        <v>16</v>
      </c>
      <c r="B37" s="86">
        <f>B59+B116</f>
        <v>65235.216162126744</v>
      </c>
      <c r="C37" s="86">
        <f t="shared" ref="C37:E37" si="10">C59+C116</f>
        <v>52317.72333158696</v>
      </c>
      <c r="D37" s="86">
        <f t="shared" si="10"/>
        <v>45002.778278617312</v>
      </c>
      <c r="E37" s="86">
        <f t="shared" si="10"/>
        <v>37730.440340993911</v>
      </c>
      <c r="F37" s="194"/>
      <c r="O37" s="197"/>
      <c r="X37" s="126" t="s">
        <v>16</v>
      </c>
      <c r="Y37" s="86">
        <f>Y59+Y116</f>
        <v>65235.216162126744</v>
      </c>
      <c r="Z37" s="86">
        <f>Z59+Z116</f>
        <v>30502.061645926209</v>
      </c>
      <c r="AA37" s="86">
        <f t="shared" ref="AA37:AB37" si="11">AA59+AA116</f>
        <v>21292.701461372541</v>
      </c>
      <c r="AB37" s="86">
        <f t="shared" si="11"/>
        <v>12187.126811603295</v>
      </c>
      <c r="AC37" s="194"/>
    </row>
    <row r="38" spans="1:29">
      <c r="A38" s="126" t="s">
        <v>21</v>
      </c>
      <c r="B38" s="86">
        <f>B60+B119</f>
        <v>7995.6370849444884</v>
      </c>
      <c r="C38" s="86">
        <f t="shared" ref="C38:E38" si="12">C60+C119</f>
        <v>7939.7214490035813</v>
      </c>
      <c r="D38" s="86">
        <f t="shared" si="12"/>
        <v>7491.8107110581805</v>
      </c>
      <c r="E38" s="86">
        <f t="shared" si="12"/>
        <v>7876.6040204036881</v>
      </c>
      <c r="F38" s="194"/>
      <c r="O38" s="197"/>
      <c r="X38" s="126" t="s">
        <v>21</v>
      </c>
      <c r="Y38" s="86">
        <f>Y60+Y119</f>
        <v>7995.6370849444884</v>
      </c>
      <c r="Z38" s="86">
        <f>Z60+Z119</f>
        <v>18730.209889504804</v>
      </c>
      <c r="AA38" s="86">
        <f t="shared" ref="AA38:AB38" si="13">AA60+AA119</f>
        <v>17572.509491804194</v>
      </c>
      <c r="AB38" s="86">
        <f t="shared" si="13"/>
        <v>18954.574818346518</v>
      </c>
      <c r="AC38" s="194"/>
    </row>
    <row r="39" spans="1:29">
      <c r="A39" s="126" t="s">
        <v>22</v>
      </c>
      <c r="B39" s="86">
        <f>B61</f>
        <v>1103.9262822092655</v>
      </c>
      <c r="C39" s="86">
        <f t="shared" ref="C39:E39" si="14">C61</f>
        <v>888.54114221284931</v>
      </c>
      <c r="D39" s="86">
        <f t="shared" si="14"/>
        <v>804.73656580281113</v>
      </c>
      <c r="E39" s="86">
        <f t="shared" si="14"/>
        <v>710.87252011022076</v>
      </c>
      <c r="F39" s="194"/>
      <c r="O39" s="197"/>
      <c r="X39" s="126" t="s">
        <v>22</v>
      </c>
      <c r="Y39" s="86">
        <f>Y61</f>
        <v>1103.9262822092655</v>
      </c>
      <c r="Z39" s="86">
        <f>Z61</f>
        <v>526.32370685106901</v>
      </c>
      <c r="AA39" s="86">
        <f t="shared" ref="AA39:AB39" si="15">AA61</f>
        <v>287.48296836836829</v>
      </c>
      <c r="AB39" s="86">
        <f t="shared" si="15"/>
        <v>37.491714290223243</v>
      </c>
      <c r="AC39" s="194"/>
    </row>
    <row r="40" spans="1:29">
      <c r="A40" s="126" t="s">
        <v>42</v>
      </c>
      <c r="B40" s="86">
        <f>B62+B118+B120</f>
        <v>1030.0172268649769</v>
      </c>
      <c r="C40" s="86">
        <f t="shared" ref="C40:E40" si="16">C62+C118+C120</f>
        <v>1002.6599011053531</v>
      </c>
      <c r="D40" s="86">
        <f t="shared" si="16"/>
        <v>1027.069455448493</v>
      </c>
      <c r="E40" s="86">
        <f t="shared" si="16"/>
        <v>1011.5814845122688</v>
      </c>
      <c r="F40" s="194"/>
      <c r="O40" s="197"/>
      <c r="X40" s="126" t="s">
        <v>42</v>
      </c>
      <c r="Y40" s="86">
        <f>Y62+Y118+Y120</f>
        <v>1030.0172268649769</v>
      </c>
      <c r="Z40" s="86">
        <f t="shared" ref="Z40:AB40" si="17">Z62+Z118+Z120</f>
        <v>1417.196405929659</v>
      </c>
      <c r="AA40" s="86">
        <f t="shared" si="17"/>
        <v>1503.0391214496005</v>
      </c>
      <c r="AB40" s="86">
        <f t="shared" si="17"/>
        <v>1406.4584462395251</v>
      </c>
      <c r="AC40" s="194"/>
    </row>
    <row r="41" spans="1:29">
      <c r="A41" s="126" t="s">
        <v>214</v>
      </c>
      <c r="B41" s="86">
        <f>B63+B64+B115</f>
        <v>143008.55679835551</v>
      </c>
      <c r="C41" s="86">
        <f t="shared" ref="C41:E41" si="18">C63+C64+C115</f>
        <v>148451.7885944455</v>
      </c>
      <c r="D41" s="86">
        <f t="shared" si="18"/>
        <v>142893.54553057597</v>
      </c>
      <c r="E41" s="86">
        <f t="shared" si="18"/>
        <v>170884.41676211247</v>
      </c>
      <c r="F41" s="194"/>
      <c r="O41" s="197"/>
      <c r="X41" s="126" t="s">
        <v>214</v>
      </c>
      <c r="Y41" s="86">
        <f>Y63+Y64+Y115</f>
        <v>143010.87625711359</v>
      </c>
      <c r="Z41" s="86">
        <f t="shared" ref="Z41:AB41" si="19">Z63+Z64+Z115</f>
        <v>112966.55052733424</v>
      </c>
      <c r="AA41" s="86">
        <f t="shared" si="19"/>
        <v>96988.887972861077</v>
      </c>
      <c r="AB41" s="86">
        <f t="shared" si="19"/>
        <v>92252.49546727557</v>
      </c>
      <c r="AC41" s="194"/>
    </row>
    <row r="42" spans="1:29">
      <c r="A42" s="12" t="s">
        <v>17</v>
      </c>
      <c r="B42" s="13">
        <f>B77+B121</f>
        <v>261176.07514302438</v>
      </c>
      <c r="C42" s="13">
        <f t="shared" ref="C42:D42" si="20">C77+C121</f>
        <v>240207.68002947047</v>
      </c>
      <c r="D42" s="13">
        <f t="shared" si="20"/>
        <v>220996.22856493408</v>
      </c>
      <c r="E42" s="13">
        <f>E77+E121</f>
        <v>236500.13425052207</v>
      </c>
      <c r="F42" s="194"/>
      <c r="O42" s="197"/>
      <c r="X42" s="12" t="s">
        <v>17</v>
      </c>
      <c r="Y42" s="13">
        <f>Y77+Y121</f>
        <v>261178.39460178243</v>
      </c>
      <c r="Z42" s="13">
        <f t="shared" ref="Z42:AB42" si="21">Z65+Z121</f>
        <v>168419.84366029585</v>
      </c>
      <c r="AA42" s="13">
        <f t="shared" si="21"/>
        <v>139199.84790992062</v>
      </c>
      <c r="AB42" s="13">
        <f t="shared" si="21"/>
        <v>126032.93296214056</v>
      </c>
      <c r="AC42" s="194"/>
    </row>
    <row r="43" spans="1:29" ht="18.5">
      <c r="A43" s="195" t="s">
        <v>113</v>
      </c>
      <c r="B43" s="196">
        <f>B42/$B42-1</f>
        <v>0</v>
      </c>
      <c r="C43" s="196">
        <f>C42/$B42-1</f>
        <v>-8.0284517263195965E-2</v>
      </c>
      <c r="D43" s="196">
        <f>D42/$B42-1</f>
        <v>-0.15384198784703829</v>
      </c>
      <c r="E43" s="201">
        <f>E42/$B42-1</f>
        <v>-9.4480096919250189E-2</v>
      </c>
      <c r="F43" s="194"/>
      <c r="O43" s="197"/>
      <c r="X43" s="195" t="s">
        <v>113</v>
      </c>
      <c r="Y43" s="196">
        <f>Y42/$Y42-1</f>
        <v>0</v>
      </c>
      <c r="Z43" s="196">
        <f t="shared" ref="Z43:AA43" si="22">Z42/$Y42-1</f>
        <v>-0.35515399764561362</v>
      </c>
      <c r="AA43" s="196">
        <f t="shared" si="22"/>
        <v>-0.46703153558257371</v>
      </c>
      <c r="AB43" s="201">
        <f>AB42/$Y42-1</f>
        <v>-0.51744502773936407</v>
      </c>
      <c r="AC43" s="194"/>
    </row>
    <row r="44" spans="1:29">
      <c r="B44" s="194"/>
      <c r="C44" s="194"/>
      <c r="D44" s="194"/>
      <c r="E44" s="194"/>
      <c r="F44" s="194"/>
      <c r="O44" s="197"/>
      <c r="Y44" s="194"/>
      <c r="Z44" s="194"/>
      <c r="AA44" s="194"/>
      <c r="AB44" s="194"/>
      <c r="AC44" s="194"/>
    </row>
    <row r="45" spans="1:29">
      <c r="B45" s="194">
        <f>SUM(B36:B41)</f>
        <v>239289.28769811094</v>
      </c>
      <c r="C45" s="194">
        <f t="shared" ref="C45:D45" si="23">SUM(C36:C41)</f>
        <v>223271.52054507373</v>
      </c>
      <c r="D45" s="194">
        <f t="shared" si="23"/>
        <v>206273.5533559926</v>
      </c>
      <c r="E45" s="194">
        <f>SUM(E36:E41)</f>
        <v>224063.29732881067</v>
      </c>
      <c r="F45" s="194"/>
      <c r="O45" s="197"/>
      <c r="Y45" s="194"/>
      <c r="Z45" s="194"/>
      <c r="AA45" s="194"/>
      <c r="AB45" s="194"/>
      <c r="AC45" s="194"/>
    </row>
    <row r="46" spans="1:29">
      <c r="B46" s="194"/>
      <c r="C46" s="194"/>
      <c r="D46" s="194"/>
      <c r="E46" s="194"/>
      <c r="F46" s="194"/>
      <c r="O46" s="197"/>
      <c r="Y46" s="194"/>
      <c r="Z46" s="194"/>
      <c r="AA46" s="194"/>
      <c r="AB46" s="194"/>
      <c r="AC46" s="194"/>
    </row>
    <row r="47" spans="1:29">
      <c r="B47" s="194"/>
      <c r="C47" s="194"/>
      <c r="D47" s="194"/>
      <c r="E47" s="194"/>
      <c r="F47" s="194"/>
      <c r="O47" s="197"/>
      <c r="Y47" s="194"/>
      <c r="Z47" s="194"/>
      <c r="AA47" s="194"/>
      <c r="AB47" s="194"/>
      <c r="AC47" s="194"/>
    </row>
    <row r="48" spans="1:29">
      <c r="B48" s="194"/>
      <c r="C48" s="194"/>
      <c r="D48" s="194"/>
      <c r="E48" s="194"/>
      <c r="F48" s="194"/>
      <c r="O48" s="197"/>
      <c r="Y48" s="280"/>
      <c r="Z48" s="194"/>
      <c r="AA48" s="194"/>
      <c r="AB48" s="194"/>
      <c r="AC48" s="194"/>
    </row>
    <row r="49" spans="1:31">
      <c r="B49" s="194"/>
      <c r="O49" s="197"/>
      <c r="Y49" s="194"/>
      <c r="AA49" s="280"/>
    </row>
    <row r="50" spans="1:31" ht="14.5" customHeight="1">
      <c r="A50" s="320" t="s">
        <v>209</v>
      </c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197"/>
      <c r="P50" s="320" t="s">
        <v>209</v>
      </c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247"/>
    </row>
    <row r="51" spans="1:31" ht="14.5" customHeight="1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320"/>
      <c r="O51" s="197"/>
      <c r="P51" s="320"/>
      <c r="Q51" s="320"/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247"/>
    </row>
    <row r="52" spans="1:31">
      <c r="B52" s="194"/>
      <c r="C52" s="194"/>
      <c r="D52" s="194"/>
      <c r="E52" s="194"/>
      <c r="F52" s="194"/>
      <c r="O52" s="197"/>
      <c r="Y52" s="194"/>
      <c r="Z52" s="194"/>
      <c r="AA52" s="194"/>
      <c r="AB52" s="194"/>
      <c r="AC52" s="194"/>
    </row>
    <row r="53" spans="1:31">
      <c r="B53" s="194"/>
      <c r="C53" s="194"/>
      <c r="D53" s="194"/>
      <c r="E53" s="194"/>
      <c r="F53" s="194"/>
      <c r="O53" s="197"/>
      <c r="Y53" s="194"/>
      <c r="Z53" s="194"/>
      <c r="AA53" s="194"/>
      <c r="AB53" s="194"/>
      <c r="AC53" s="194"/>
    </row>
    <row r="54" spans="1:31">
      <c r="B54" s="194"/>
      <c r="O54" s="197"/>
      <c r="Y54" s="194"/>
    </row>
    <row r="55" spans="1:31">
      <c r="B55" s="194"/>
      <c r="O55" s="197"/>
      <c r="Y55" s="194"/>
    </row>
    <row r="56" spans="1:31">
      <c r="A56" s="321" t="s">
        <v>211</v>
      </c>
      <c r="B56" s="322"/>
      <c r="C56" s="322"/>
      <c r="D56" s="322"/>
      <c r="E56" s="322"/>
      <c r="O56" s="197"/>
      <c r="X56" s="321" t="s">
        <v>212</v>
      </c>
      <c r="Y56" s="322"/>
      <c r="Z56" s="322"/>
      <c r="AA56" s="322"/>
      <c r="AB56" s="322"/>
    </row>
    <row r="57" spans="1:31">
      <c r="A57" s="8" t="s">
        <v>20</v>
      </c>
      <c r="B57" s="9">
        <v>2020</v>
      </c>
      <c r="C57" s="9">
        <v>2030</v>
      </c>
      <c r="D57" s="9">
        <v>2040</v>
      </c>
      <c r="E57" s="9">
        <v>2050</v>
      </c>
      <c r="O57" s="197"/>
      <c r="X57" s="8" t="s">
        <v>20</v>
      </c>
      <c r="Y57" s="9">
        <v>2020</v>
      </c>
      <c r="Z57" s="9">
        <v>2030</v>
      </c>
      <c r="AA57" s="9">
        <v>2040</v>
      </c>
      <c r="AB57" s="9">
        <v>2050</v>
      </c>
    </row>
    <row r="58" spans="1:31">
      <c r="A58" s="126" t="s">
        <v>15</v>
      </c>
      <c r="B58" s="86">
        <f>'Bureaux - AME'!H13+'CaHoREs - AME'!H13+'Commerce - AME'!H13+'Enseignement - AME'!H13+'Hab. com. - AME'!H13+'Santé social - AME'!H13+'Sport Loisir Culture - AME'!H13+'Transport - AME'!H13</f>
        <v>16110.195584164085</v>
      </c>
      <c r="C58" s="86">
        <f>'Bureaux - AME'!I13+'CaHoREs - AME'!I13+'Commerce - AME'!I13+'Enseignement - AME'!I13+'Hab. com. - AME'!I13+'Santé social - AME'!I13+'Sport Loisir Culture - AME'!I13+'Transport - AME'!I13</f>
        <v>10328.435825930505</v>
      </c>
      <c r="D58" s="86">
        <f>'Bureaux - AME'!J13+'CaHoREs - AME'!J13+'Commerce - AME'!J13+'Enseignement - AME'!J13+'Hab. com. - AME'!J13+'Santé social - AME'!J13+'Sport Loisir Culture - AME'!J13+'Transport - AME'!J13</f>
        <v>7250.9725606468992</v>
      </c>
      <c r="E58" s="86">
        <f>'Bureaux - AME'!K13+'CaHoREs - AME'!K13+'Commerce - AME'!K13+'Enseignement - AME'!K13+'Hab. com. - AME'!K13+'Santé social - AME'!K13+'Sport Loisir Culture - AME'!K13+'Transport - AME'!K13</f>
        <v>4581.5075850170633</v>
      </c>
      <c r="O58" s="197"/>
      <c r="X58" s="126" t="s">
        <v>15</v>
      </c>
      <c r="Y58" s="86">
        <f>'Bureaux - AMS'!H13+'CaHoREs - AMS'!H13+'Commerce - AMS'!H13+'Enseignement - AMS'!H13+'Hab. com. - AMS'!H13+'Santé social - AMS'!H13+'Sport Loisir Culture - AMS'!H13+'Transport - AMS'!H13</f>
        <v>16110.195584164085</v>
      </c>
      <c r="Z58" s="86">
        <f>'Bureaux - AMS'!I13+'CaHoREs - AMS'!I13+'Commerce - AMS'!I13+'Enseignement - AMS'!I13+'Hab. com. - AMS'!I13+'Santé social - AMS'!I13+'Sport Loisir Culture - AMS'!I13+'Transport - AMS'!I13</f>
        <v>3169.8969130994283</v>
      </c>
      <c r="AA58" s="86">
        <f>'Bureaux - AMS'!J13+'CaHoREs - AMS'!J13+'Commerce - AMS'!J13+'Enseignement - AMS'!J13+'Hab. com. - AMS'!J13+'Santé social - AMS'!J13+'Sport Loisir Culture - AMS'!J13+'Transport - AMS'!J13</f>
        <v>504.73115555072877</v>
      </c>
      <c r="AB58" s="86">
        <f>'Bureaux - AMS'!K13+'CaHoREs - AMS'!K13+'Commerce - AMS'!K13+'Enseignement - AMS'!K13+'Hab. com. - AMS'!K13+'Santé social - AMS'!K13+'Sport Loisir Culture - AMS'!K13+'Transport - AMS'!K13</f>
        <v>0</v>
      </c>
    </row>
    <row r="59" spans="1:31">
      <c r="A59" s="126" t="s">
        <v>16</v>
      </c>
      <c r="B59" s="86">
        <f>'Bureaux - AME'!H14+'CaHoREs - AME'!H14+'Commerce - AME'!H14+'Enseignement - AME'!H14+'Hab. com. - AME'!H14+'Santé social - AME'!H14+'Sport Loisir Culture - AME'!H14+'Transport - AME'!H14</f>
        <v>48612.54886241199</v>
      </c>
      <c r="C59" s="86">
        <f>'Bureaux - AME'!I14+'CaHoREs - AME'!I14+'Commerce - AME'!I14+'Enseignement - AME'!I14+'Hab. com. - AME'!I14+'Santé social - AME'!I14+'Sport Loisir Culture - AME'!I14+'Transport - AME'!I14</f>
        <v>36226.668698453796</v>
      </c>
      <c r="D59" s="86">
        <f>'Bureaux - AME'!J14+'CaHoREs - AME'!J14+'Commerce - AME'!J14+'Enseignement - AME'!J14+'Hab. com. - AME'!J14+'Santé social - AME'!J14+'Sport Loisir Culture - AME'!J14+'Transport - AME'!J14</f>
        <v>30325.002106195956</v>
      </c>
      <c r="E59" s="86">
        <f>'Bureaux - AME'!K14+'CaHoREs - AME'!K14+'Commerce - AME'!K14+'Enseignement - AME'!K14+'Hab. com. - AME'!K14+'Santé social - AME'!K14+'Sport Loisir Culture - AME'!K14+'Transport - AME'!K14</f>
        <v>24631.607979171764</v>
      </c>
      <c r="O59" s="197"/>
      <c r="X59" s="126" t="s">
        <v>16</v>
      </c>
      <c r="Y59" s="86">
        <f>'Bureaux - AMS'!H14+'CaHoREs - AMS'!H14+'Commerce - AMS'!H14+'Enseignement - AMS'!H14+'Hab. com. - AMS'!H14+'Santé social - AMS'!H14+'Sport Loisir Culture - AMS'!H14+'Transport - AMS'!H14</f>
        <v>48612.54886241199</v>
      </c>
      <c r="Z59" s="86">
        <f>'Bureaux - AMS'!I14+'CaHoREs - AMS'!I14+'Commerce - AMS'!I14+'Enseignement - AMS'!I14+'Hab. com. - AMS'!I14+'Santé social - AMS'!I14+'Sport Loisir Culture - AMS'!I14+'Transport - AMS'!I14</f>
        <v>23395.933424789455</v>
      </c>
      <c r="AA59" s="86">
        <f>'Bureaux - AMS'!J14+'CaHoREs - AMS'!J14+'Commerce - AMS'!J14+'Enseignement - AMS'!J14+'Hab. com. - AMS'!J14+'Santé social - AMS'!J14+'Sport Loisir Culture - AMS'!J14+'Transport - AMS'!J14</f>
        <v>17132.841358011039</v>
      </c>
      <c r="AB59" s="86">
        <f>'Bureaux - AMS'!K14+'CaHoREs - AMS'!K14+'Commerce - AMS'!K14+'Enseignement - AMS'!K14+'Hab. com. - AMS'!K14+'Santé social - AMS'!K14+'Sport Loisir Culture - AMS'!K14+'Transport - AMS'!K14</f>
        <v>10457.633295136364</v>
      </c>
    </row>
    <row r="60" spans="1:31">
      <c r="A60" s="126" t="s">
        <v>21</v>
      </c>
      <c r="B60" s="86">
        <f>'Bureaux - AME'!H15+'CaHoREs - AME'!H15+'Commerce - AME'!H15+'Enseignement - AME'!H15+'Hab. com. - AME'!H15+'Santé social - AME'!H15+'Sport Loisir Culture - AME'!H15+'Transport - AME'!H15</f>
        <v>6493.6554094894636</v>
      </c>
      <c r="C60" s="86">
        <f>'Bureaux - AME'!I15+'CaHoREs - AME'!I15+'Commerce - AME'!I15+'Enseignement - AME'!I15+'Hab. com. - AME'!I15+'Santé social - AME'!I15+'Sport Loisir Culture - AME'!I15+'Transport - AME'!I15</f>
        <v>6066.800369098155</v>
      </c>
      <c r="D60" s="86">
        <f>'Bureaux - AME'!J15+'CaHoREs - AME'!J15+'Commerce - AME'!J15+'Enseignement - AME'!J15+'Hab. com. - AME'!J15+'Santé social - AME'!J15+'Sport Loisir Culture - AME'!J15+'Transport - AME'!J15</f>
        <v>6223.9360953971382</v>
      </c>
      <c r="E60" s="86">
        <f>'Bureaux - AME'!K15+'CaHoREs - AME'!K15+'Commerce - AME'!K15+'Enseignement - AME'!K15+'Hab. com. - AME'!K15+'Santé social - AME'!K15+'Sport Loisir Culture - AME'!K15+'Transport - AME'!K15</f>
        <v>6099.5080861887091</v>
      </c>
      <c r="O60" s="197"/>
      <c r="X60" s="126" t="s">
        <v>21</v>
      </c>
      <c r="Y60" s="86">
        <f>'Bureaux - AMS'!H15+'CaHoREs - AMS'!H15+'Commerce - AMS'!H15+'Enseignement - AMS'!H15+'Hab. com. - AMS'!H15+'Santé social - AMS'!H15+'Sport Loisir Culture - AMS'!H15+'Transport - AMS'!H15</f>
        <v>6493.6554094894636</v>
      </c>
      <c r="Z60" s="238">
        <f>'Bureaux - AMS'!I15+'CaHoREs - AMS'!I15+'Commerce - AMS'!I15+'Enseignement - AMS'!I15+'Hab. com. - AMS'!I15+'Santé social - AMS'!I15+'Sport Loisir Culture - AMS'!I15+'Transport - AMS'!I15</f>
        <v>17146.786627674293</v>
      </c>
      <c r="AA60" s="86">
        <f>'Bureaux - AMS'!J15+'CaHoREs - AMS'!J15+'Commerce - AMS'!J15+'Enseignement - AMS'!J15+'Hab. com. - AMS'!J15+'Santé social - AMS'!J15+'Sport Loisir Culture - AMS'!J15+'Transport - AMS'!J15</f>
        <v>17572.509491804194</v>
      </c>
      <c r="AB60" s="86">
        <f>'Bureaux - AMS'!K15+'CaHoREs - AMS'!K15+'Commerce - AMS'!K15+'Enseignement - AMS'!K15+'Hab. com. - AMS'!K15+'Santé social - AMS'!K15+'Sport Loisir Culture - AMS'!K15+'Transport - AMS'!K15</f>
        <v>17519.396795060671</v>
      </c>
      <c r="AE60" s="194"/>
    </row>
    <row r="61" spans="1:31">
      <c r="A61" s="126" t="s">
        <v>22</v>
      </c>
      <c r="B61" s="86">
        <f>'Bureaux - AME'!H16+'CaHoREs - AME'!H16+'Commerce - AME'!H16+'Enseignement - AME'!H16+'Hab. com. - AME'!H16+'Santé social - AME'!H16+'Sport Loisir Culture - AME'!H16+'Transport - AME'!H16</f>
        <v>1103.9262822092655</v>
      </c>
      <c r="C61" s="86">
        <f>'Bureaux - AME'!I16+'CaHoREs - AME'!I16+'Commerce - AME'!I16+'Enseignement - AME'!I16+'Hab. com. - AME'!I16+'Santé social - AME'!I16+'Sport Loisir Culture - AME'!I16+'Transport - AME'!I16</f>
        <v>888.54114221284931</v>
      </c>
      <c r="D61" s="86">
        <f>'Bureaux - AME'!J16+'CaHoREs - AME'!J16+'Commerce - AME'!J16+'Enseignement - AME'!J16+'Hab. com. - AME'!J16+'Santé social - AME'!J16+'Sport Loisir Culture - AME'!J16+'Transport - AME'!J16</f>
        <v>804.73656580281113</v>
      </c>
      <c r="E61" s="86">
        <f>'Bureaux - AME'!K16+'CaHoREs - AME'!K16+'Commerce - AME'!K16+'Enseignement - AME'!K16+'Hab. com. - AME'!K16+'Santé social - AME'!K16+'Sport Loisir Culture - AME'!K16+'Transport - AME'!K16</f>
        <v>710.87252011022076</v>
      </c>
      <c r="O61" s="197"/>
      <c r="X61" s="126" t="s">
        <v>22</v>
      </c>
      <c r="Y61" s="86">
        <f>'Bureaux - AMS'!H16+'CaHoREs - AMS'!H16+'Commerce - AMS'!H16+'Enseignement - AMS'!H16+'Hab. com. - AMS'!H16+'Santé social - AMS'!H16+'Sport Loisir Culture - AMS'!H16+'Transport - AMS'!H16</f>
        <v>1103.9262822092655</v>
      </c>
      <c r="Z61" s="86">
        <f>'Bureaux - AMS'!I16+'CaHoREs - AMS'!I16+'Commerce - AMS'!I16+'Enseignement - AMS'!I16+'Hab. com. - AMS'!I16+'Santé social - AMS'!I16+'Sport Loisir Culture - AMS'!I16+'Transport - AMS'!I16</f>
        <v>526.32370685106901</v>
      </c>
      <c r="AA61" s="86">
        <f>'Bureaux - AMS'!J16+'CaHoREs - AMS'!J16+'Commerce - AMS'!J16+'Enseignement - AMS'!J16+'Hab. com. - AMS'!J16+'Santé social - AMS'!J16+'Sport Loisir Culture - AMS'!J16+'Transport - AMS'!J16</f>
        <v>287.48296836836829</v>
      </c>
      <c r="AB61" s="86">
        <f>'Bureaux - AMS'!K16+'CaHoREs - AMS'!K16+'Commerce - AMS'!K16+'Enseignement - AMS'!K16+'Hab. com. - AMS'!K16+'Santé social - AMS'!K16+'Sport Loisir Culture - AMS'!K16+'Transport - AMS'!K16</f>
        <v>37.491714290223243</v>
      </c>
    </row>
    <row r="62" spans="1:31">
      <c r="A62" s="126" t="s">
        <v>42</v>
      </c>
      <c r="B62" s="86">
        <f>'Bureaux - AME'!H17+'CaHoREs - AME'!H17+'Commerce - AME'!H17+'Enseignement - AME'!H17+'Hab. com. - AME'!H17+'Santé social - AME'!H17+'Sport Loisir Culture - AME'!H17+'Transport - AME'!H17</f>
        <v>822.6533353506511</v>
      </c>
      <c r="C62" s="86">
        <f>'Bureaux - AME'!I17+'CaHoREs - AME'!I17+'Commerce - AME'!I17+'Enseignement - AME'!I17+'Hab. com. - AME'!I17+'Santé social - AME'!I17+'Sport Loisir Culture - AME'!I17+'Transport - AME'!I17</f>
        <v>745.04331556392458</v>
      </c>
      <c r="D62" s="86">
        <f>'Bureaux - AME'!J17+'CaHoREs - AME'!J17+'Commerce - AME'!J17+'Enseignement - AME'!J17+'Hab. com. - AME'!J17+'Santé social - AME'!J17+'Sport Loisir Culture - AME'!J17+'Transport - AME'!J17</f>
        <v>745.98681156137911</v>
      </c>
      <c r="E62" s="86">
        <f>'Bureaux - AME'!K17+'CaHoREs - AME'!K17+'Commerce - AME'!K17+'Enseignement - AME'!K17+'Hab. com. - AME'!K17+'Santé social - AME'!K17+'Sport Loisir Culture - AME'!K17+'Transport - AME'!K17</f>
        <v>713.372015795734</v>
      </c>
      <c r="O62" s="197"/>
      <c r="X62" s="126" t="s">
        <v>42</v>
      </c>
      <c r="Y62" s="86">
        <f>'Bureaux - AMS'!H17+'CaHoREs - AMS'!H17+'Commerce - AMS'!H17+'Enseignement - AMS'!H17+'Hab. com. - AMS'!H17+'Santé social - AMS'!H17+'Sport Loisir Culture - AMS'!H17+'Transport - AMS'!H17</f>
        <v>822.6533353506511</v>
      </c>
      <c r="Z62" s="86">
        <f>'Bureaux - AMS'!I17+'CaHoREs - AMS'!I17+'Commerce - AMS'!I17+'Enseignement - AMS'!I17+'Hab. com. - AMS'!I17+'Santé social - AMS'!I17+'Sport Loisir Culture - AMS'!I17+'Transport - AMS'!I17</f>
        <v>862.89499755451322</v>
      </c>
      <c r="AA62" s="86">
        <f>'Bureaux - AMS'!J17+'CaHoREs - AMS'!J17+'Commerce - AMS'!J17+'Enseignement - AMS'!J17+'Hab. com. - AMS'!J17+'Santé social - AMS'!J17+'Sport Loisir Culture - AMS'!J17+'Transport - AMS'!J17</f>
        <v>1011.875100086625</v>
      </c>
      <c r="AB62" s="86">
        <f>'Bureaux - AMS'!K17+'CaHoREs - AMS'!K17+'Commerce - AMS'!K17+'Enseignement - AMS'!K17+'Hab. com. - AMS'!K17+'Santé social - AMS'!K17+'Sport Loisir Culture - AMS'!K17+'Transport - AMS'!K17</f>
        <v>987.18886646583712</v>
      </c>
    </row>
    <row r="63" spans="1:31">
      <c r="A63" s="126" t="s">
        <v>48</v>
      </c>
      <c r="B63" s="86">
        <f>'Bureaux - AME'!H18+'CaHoREs - AME'!H18+'Commerce - AME'!H18+'Enseignement - AME'!H18+'Hab. com. - AME'!H18+'Santé social - AME'!H18+'Sport Loisir Culture - AME'!H18+'Transport - AME'!H18</f>
        <v>14018.640382729085</v>
      </c>
      <c r="C63" s="86">
        <f>'Bureaux - AME'!I18+'CaHoREs - AME'!I18+'Commerce - AME'!I18+'Enseignement - AME'!I18+'Hab. com. - AME'!I18+'Santé social - AME'!I18+'Sport Loisir Culture - AME'!I18+'Transport - AME'!I18</f>
        <v>11965.122703181887</v>
      </c>
      <c r="D63" s="86">
        <f>'Bureaux - AME'!J18+'CaHoREs - AME'!J18+'Commerce - AME'!J18+'Enseignement - AME'!J18+'Hab. com. - AME'!J18+'Santé social - AME'!J18+'Sport Loisir Culture - AME'!J18+'Transport - AME'!J18</f>
        <v>11355.800740215547</v>
      </c>
      <c r="E63" s="86">
        <f>'Bureaux - AME'!K18+'CaHoREs - AME'!K18+'Commerce - AME'!K18+'Enseignement - AME'!K18+'Hab. com. - AME'!K18+'Santé social - AME'!K18+'Sport Loisir Culture - AME'!K18+'Transport - AME'!K18</f>
        <v>10481.095880657884</v>
      </c>
      <c r="O63" s="197"/>
      <c r="X63" s="126" t="s">
        <v>48</v>
      </c>
      <c r="Y63" s="86">
        <f>'Bureaux - AMS'!H18+'CaHoREs - AMS'!H18+'Commerce - AMS'!H18+'Enseignement - AMS'!H18+'Hab. com. - AMS'!H18+'Santé social - AMS'!H18+'Sport Loisir Culture - AMS'!H18+'Transport - AMS'!H18</f>
        <v>14018.640382729085</v>
      </c>
      <c r="Z63" s="86">
        <f>'Bureaux - AMS'!I18+'CaHoREs - AMS'!I18+'Commerce - AMS'!I18+'Enseignement - AMS'!I18+'Hab. com. - AMS'!I18+'Santé social - AMS'!I18+'Sport Loisir Culture - AMS'!I18+'Transport - AMS'!I18</f>
        <v>6503.371375219951</v>
      </c>
      <c r="AA63" s="86">
        <f>'Bureaux - AMS'!J18+'CaHoREs - AMS'!J18+'Commerce - AMS'!J18+'Enseignement - AMS'!J18+'Hab. com. - AMS'!J18+'Santé social - AMS'!J18+'Sport Loisir Culture - AMS'!J18+'Transport - AMS'!J18</f>
        <v>3609.7346208845333</v>
      </c>
      <c r="AB63" s="86">
        <f>'Bureaux - AMS'!K18+'CaHoREs - AMS'!K18+'Commerce - AMS'!K18+'Enseignement - AMS'!K18+'Hab. com. - AMS'!K18+'Santé social - AMS'!K18+'Sport Loisir Culture - AMS'!K18+'Transport - AMS'!K18</f>
        <v>1591.3135823885473</v>
      </c>
    </row>
    <row r="64" spans="1:31">
      <c r="A64" s="126" t="s">
        <v>49</v>
      </c>
      <c r="B64" s="86">
        <f>'Bureaux - AME'!H19+'CaHoREs - AME'!H19+'Commerce - AME'!H19+'Enseignement - AME'!H19+'Hab. com. - AME'!H19+'Santé social - AME'!H19+'Sport Loisir Culture - AME'!H19+'Transport - AME'!H19</f>
        <v>2951.5926987320195</v>
      </c>
      <c r="C64" s="86">
        <f>'Bureaux - AME'!I19+'CaHoREs - AME'!I19+'Commerce - AME'!I19+'Enseignement - AME'!I19+'Hab. com. - AME'!I19+'Santé social - AME'!I19+'Sport Loisir Culture - AME'!I19+'Transport - AME'!I19</f>
        <v>3509.6644114627279</v>
      </c>
      <c r="D64" s="86">
        <f>'Bureaux - AME'!J19+'CaHoREs - AME'!J19+'Commerce - AME'!J19+'Enseignement - AME'!J19+'Hab. com. - AME'!J19+'Santé social - AME'!J19+'Sport Loisir Culture - AME'!J19+'Transport - AME'!J19</f>
        <v>3910.3899430109159</v>
      </c>
      <c r="E64" s="86">
        <f>'Bureaux - AME'!K19+'CaHoREs - AME'!K19+'Commerce - AME'!K19+'Enseignement - AME'!K19+'Hab. com. - AME'!K19+'Santé social - AME'!K19+'Sport Loisir Culture - AME'!K19+'Transport - AME'!K19</f>
        <v>3987.5100968600727</v>
      </c>
      <c r="O64" s="197"/>
      <c r="X64" s="126" t="s">
        <v>49</v>
      </c>
      <c r="Y64" s="86">
        <f>'Bureaux - AMS'!H19+'CaHoREs - AMS'!H19+'Commerce - AMS'!H19+'Enseignement - AMS'!H19+'Hab. com. - AMS'!H19+'Santé social - AMS'!H19+'Sport Loisir Culture - AMS'!H19+'Transport - AMS'!H19</f>
        <v>2951.5926987320195</v>
      </c>
      <c r="Z64" s="86">
        <f>'Bureaux - AMS'!I19+'CaHoREs - AMS'!I19+'Commerce - AMS'!I19+'Enseignement - AMS'!I19+'Hab. com. - AMS'!I19+'Santé social - AMS'!I19+'Sport Loisir Culture - AMS'!I19+'Transport - AMS'!I19</f>
        <v>6859.0694062140155</v>
      </c>
      <c r="AA64" s="86">
        <f>'Bureaux - AMS'!J19+'CaHoREs - AMS'!J19+'Commerce - AMS'!J19+'Enseignement - AMS'!J19+'Hab. com. - AMS'!J19+'Santé social - AMS'!J19+'Sport Loisir Culture - AMS'!J19+'Transport - AMS'!J19</f>
        <v>9526.5645831590136</v>
      </c>
      <c r="AB64" s="86">
        <f>'Bureaux - AMS'!K19+'CaHoREs - AMS'!K19+'Commerce - AMS'!K19+'Enseignement - AMS'!K19+'Hab. com. - AMS'!K19+'Santé social - AMS'!K19+'Sport Loisir Culture - AMS'!K19+'Transport - AMS'!K19</f>
        <v>9825.0448919564969</v>
      </c>
    </row>
    <row r="65" spans="1:28">
      <c r="A65" s="12" t="s">
        <v>17</v>
      </c>
      <c r="B65" s="13">
        <f>SUM(B58:B64)</f>
        <v>90113.21255508656</v>
      </c>
      <c r="C65" s="13">
        <f t="shared" ref="C65:E65" si="24">SUM(C58:C64)</f>
        <v>69730.276465903851</v>
      </c>
      <c r="D65" s="13">
        <f t="shared" si="24"/>
        <v>60616.824822830655</v>
      </c>
      <c r="E65" s="13">
        <f t="shared" si="24"/>
        <v>51205.474163801453</v>
      </c>
      <c r="O65" s="197"/>
      <c r="X65" s="12" t="s">
        <v>17</v>
      </c>
      <c r="Y65" s="13">
        <f>SUM(Y58:Y64)</f>
        <v>90113.21255508656</v>
      </c>
      <c r="Z65" s="13">
        <f t="shared" ref="Z65:AB65" si="25">SUM(Z58:Z64)</f>
        <v>58464.276451402729</v>
      </c>
      <c r="AA65" s="13">
        <f t="shared" si="25"/>
        <v>49645.739277864508</v>
      </c>
      <c r="AB65" s="13">
        <f t="shared" si="25"/>
        <v>40418.069145298134</v>
      </c>
    </row>
    <row r="66" spans="1:28" ht="18.5">
      <c r="A66" s="195" t="s">
        <v>113</v>
      </c>
      <c r="B66" s="196">
        <f>B65/$B65-1</f>
        <v>0</v>
      </c>
      <c r="C66" s="196">
        <f>C65/$B65-1</f>
        <v>-0.22619253615803059</v>
      </c>
      <c r="D66" s="196">
        <f>D65/$B65-1</f>
        <v>-0.32732589257346301</v>
      </c>
      <c r="E66" s="201">
        <f>E65/$B65-1</f>
        <v>-0.43176507959363508</v>
      </c>
      <c r="O66" s="197"/>
      <c r="X66" s="195" t="s">
        <v>113</v>
      </c>
      <c r="Y66" s="196">
        <f>Y65/$Y65-1</f>
        <v>0</v>
      </c>
      <c r="Z66" s="196">
        <f>Z65/$Y65-1</f>
        <v>-0.35121304863409142</v>
      </c>
      <c r="AA66" s="196">
        <f t="shared" ref="AA66:AB66" si="26">AA65/$Y65-1</f>
        <v>-0.44907369440950884</v>
      </c>
      <c r="AB66" s="201">
        <f t="shared" si="26"/>
        <v>-0.55147455074259599</v>
      </c>
    </row>
    <row r="67" spans="1:28">
      <c r="O67" s="197"/>
    </row>
    <row r="68" spans="1:28">
      <c r="A68" s="323" t="s">
        <v>216</v>
      </c>
      <c r="B68" s="324"/>
      <c r="C68" s="324"/>
      <c r="D68" s="324"/>
      <c r="E68" s="324"/>
      <c r="F68" s="252"/>
      <c r="G68" s="252"/>
      <c r="H68" s="252"/>
      <c r="I68" s="252"/>
      <c r="J68" s="252"/>
      <c r="K68" s="252"/>
      <c r="L68" s="252"/>
      <c r="M68" s="252"/>
      <c r="N68" s="252"/>
      <c r="O68" s="253"/>
      <c r="P68" s="252"/>
      <c r="Q68" s="252"/>
      <c r="R68" s="252"/>
      <c r="S68" s="252"/>
      <c r="T68" s="252"/>
      <c r="U68" s="252"/>
      <c r="V68" s="252"/>
      <c r="W68" s="252"/>
      <c r="X68" s="323" t="s">
        <v>217</v>
      </c>
      <c r="Y68" s="324"/>
      <c r="Z68" s="324"/>
      <c r="AA68" s="324"/>
      <c r="AB68" s="324"/>
    </row>
    <row r="69" spans="1:28">
      <c r="A69" s="254" t="s">
        <v>20</v>
      </c>
      <c r="B69" s="255">
        <v>2020</v>
      </c>
      <c r="C69" s="255">
        <v>2030</v>
      </c>
      <c r="D69" s="255">
        <v>2040</v>
      </c>
      <c r="E69" s="255">
        <v>2050</v>
      </c>
      <c r="F69" s="252"/>
      <c r="G69" s="252"/>
      <c r="H69" s="252"/>
      <c r="I69" s="252"/>
      <c r="J69" s="252"/>
      <c r="K69" s="252"/>
      <c r="L69" s="252"/>
      <c r="M69" s="252"/>
      <c r="N69" s="252"/>
      <c r="O69" s="253"/>
      <c r="P69" s="252"/>
      <c r="Q69" s="252"/>
      <c r="R69" s="252"/>
      <c r="S69" s="252"/>
      <c r="T69" s="252"/>
      <c r="U69" s="252"/>
      <c r="V69" s="252"/>
      <c r="W69" s="252"/>
      <c r="X69" s="254" t="s">
        <v>20</v>
      </c>
      <c r="Y69" s="255">
        <v>2020</v>
      </c>
      <c r="Z69" s="255">
        <v>2030</v>
      </c>
      <c r="AA69" s="255">
        <v>2040</v>
      </c>
      <c r="AB69" s="255">
        <v>2050</v>
      </c>
    </row>
    <row r="70" spans="1:28">
      <c r="A70" s="256" t="s">
        <v>15</v>
      </c>
      <c r="B70" s="257">
        <f>B58*$B$77/$B$65</f>
        <v>20023.056045453672</v>
      </c>
      <c r="C70" s="257">
        <f t="shared" ref="C70:E70" si="27">C58*$B$77/$B$65</f>
        <v>12837.01667829309</v>
      </c>
      <c r="D70" s="257">
        <f t="shared" si="27"/>
        <v>9012.0960485789728</v>
      </c>
      <c r="E70" s="257">
        <f t="shared" si="27"/>
        <v>5694.2687423138241</v>
      </c>
      <c r="F70" s="252"/>
      <c r="G70" s="252"/>
      <c r="H70" s="252"/>
      <c r="I70" s="252"/>
      <c r="J70" s="252"/>
      <c r="K70" s="252"/>
      <c r="L70" s="252"/>
      <c r="M70" s="252"/>
      <c r="N70" s="252"/>
      <c r="O70" s="253"/>
      <c r="P70" s="252"/>
      <c r="Q70" s="252"/>
      <c r="R70" s="252"/>
      <c r="S70" s="252"/>
      <c r="T70" s="252"/>
      <c r="U70" s="252"/>
      <c r="V70" s="252"/>
      <c r="W70" s="252"/>
      <c r="X70" s="256" t="s">
        <v>15</v>
      </c>
      <c r="Y70" s="257">
        <f>Y58*$B$77/$B$65</f>
        <v>20023.056045453672</v>
      </c>
      <c r="Z70" s="257">
        <f t="shared" ref="Z70:AB70" si="28">Z58*$B$77/$B$65</f>
        <v>3939.8046546182745</v>
      </c>
      <c r="AA70" s="257">
        <f t="shared" si="28"/>
        <v>627.3207648337326</v>
      </c>
      <c r="AB70" s="257">
        <f t="shared" si="28"/>
        <v>0</v>
      </c>
    </row>
    <row r="71" spans="1:28">
      <c r="A71" s="256" t="s">
        <v>16</v>
      </c>
      <c r="B71" s="257">
        <f t="shared" ref="B71:E77" si="29">B59*$B$77/$B$65</f>
        <v>60419.613486333481</v>
      </c>
      <c r="C71" s="257">
        <f t="shared" si="29"/>
        <v>45025.438325667601</v>
      </c>
      <c r="D71" s="257">
        <f t="shared" si="29"/>
        <v>37690.369032373739</v>
      </c>
      <c r="E71" s="257">
        <f t="shared" si="29"/>
        <v>30614.157629557478</v>
      </c>
      <c r="F71" s="252"/>
      <c r="G71" s="252"/>
      <c r="H71" s="252"/>
      <c r="I71" s="252"/>
      <c r="J71" s="252"/>
      <c r="K71" s="252"/>
      <c r="L71" s="252"/>
      <c r="M71" s="252"/>
      <c r="N71" s="252"/>
      <c r="O71" s="253"/>
      <c r="P71" s="252"/>
      <c r="Q71" s="252"/>
      <c r="R71" s="252"/>
      <c r="S71" s="252"/>
      <c r="T71" s="252"/>
      <c r="U71" s="252"/>
      <c r="V71" s="252"/>
      <c r="W71" s="252"/>
      <c r="X71" s="256" t="s">
        <v>16</v>
      </c>
      <c r="Y71" s="257">
        <f t="shared" ref="Y71:AB71" si="30">Y59*$B$77/$B$65</f>
        <v>60419.613486333481</v>
      </c>
      <c r="Z71" s="257">
        <f t="shared" si="30"/>
        <v>29078.361200080311</v>
      </c>
      <c r="AA71" s="257">
        <f t="shared" si="30"/>
        <v>21294.083050520683</v>
      </c>
      <c r="AB71" s="257">
        <f t="shared" si="30"/>
        <v>12997.593758398971</v>
      </c>
    </row>
    <row r="72" spans="1:28">
      <c r="A72" s="256" t="s">
        <v>21</v>
      </c>
      <c r="B72" s="257">
        <f t="shared" si="29"/>
        <v>8070.8409481930858</v>
      </c>
      <c r="C72" s="257">
        <f t="shared" si="29"/>
        <v>7540.310927474964</v>
      </c>
      <c r="D72" s="257">
        <f t="shared" si="29"/>
        <v>7735.6119365775712</v>
      </c>
      <c r="E72" s="257">
        <f t="shared" si="29"/>
        <v>7580.962727696854</v>
      </c>
      <c r="F72" s="252"/>
      <c r="G72" s="252"/>
      <c r="H72" s="252"/>
      <c r="I72" s="252"/>
      <c r="J72" s="252"/>
      <c r="K72" s="252"/>
      <c r="L72" s="252"/>
      <c r="M72" s="252"/>
      <c r="N72" s="252"/>
      <c r="O72" s="253"/>
      <c r="P72" s="252"/>
      <c r="Q72" s="252"/>
      <c r="R72" s="252"/>
      <c r="S72" s="252"/>
      <c r="T72" s="252"/>
      <c r="U72" s="252"/>
      <c r="V72" s="252"/>
      <c r="W72" s="252"/>
      <c r="X72" s="256" t="s">
        <v>21</v>
      </c>
      <c r="Y72" s="257">
        <f t="shared" ref="Y72:AA72" si="31">Y60*$B$77/$B$65</f>
        <v>8070.8409481930858</v>
      </c>
      <c r="Z72" s="257">
        <f t="shared" si="31"/>
        <v>21311.415361266234</v>
      </c>
      <c r="AA72" s="257">
        <f t="shared" si="31"/>
        <v>21840.538221617051</v>
      </c>
      <c r="AB72" s="257">
        <f>AB60*$B$77/$B$65</f>
        <v>21774.525459818797</v>
      </c>
    </row>
    <row r="73" spans="1:28">
      <c r="A73" s="256" t="s">
        <v>22</v>
      </c>
      <c r="B73" s="257">
        <f t="shared" si="29"/>
        <v>1372.0490048210886</v>
      </c>
      <c r="C73" s="257">
        <f t="shared" si="29"/>
        <v>1104.3509060006513</v>
      </c>
      <c r="D73" s="257">
        <f t="shared" si="29"/>
        <v>1000.1917900198899</v>
      </c>
      <c r="E73" s="257">
        <f t="shared" si="29"/>
        <v>883.52995076803086</v>
      </c>
      <c r="F73" s="252"/>
      <c r="G73" s="252"/>
      <c r="H73" s="252"/>
      <c r="I73" s="252"/>
      <c r="J73" s="252"/>
      <c r="K73" s="252"/>
      <c r="L73" s="252"/>
      <c r="M73" s="252"/>
      <c r="N73" s="252"/>
      <c r="O73" s="253"/>
      <c r="P73" s="252"/>
      <c r="Q73" s="252"/>
      <c r="R73" s="252"/>
      <c r="S73" s="252"/>
      <c r="T73" s="252"/>
      <c r="U73" s="252"/>
      <c r="V73" s="252"/>
      <c r="W73" s="252"/>
      <c r="X73" s="256" t="s">
        <v>22</v>
      </c>
      <c r="Y73" s="257">
        <f t="shared" ref="Y73:AB73" si="32">Y61*$B$77/$B$65</f>
        <v>1372.0490048210886</v>
      </c>
      <c r="Z73" s="257">
        <f t="shared" si="32"/>
        <v>654.15773665026563</v>
      </c>
      <c r="AA73" s="257">
        <f t="shared" si="32"/>
        <v>357.30712005827587</v>
      </c>
      <c r="AB73" s="257">
        <f t="shared" si="32"/>
        <v>46.597739459550326</v>
      </c>
    </row>
    <row r="74" spans="1:28">
      <c r="A74" s="256" t="s">
        <v>42</v>
      </c>
      <c r="B74" s="257">
        <f t="shared" si="29"/>
        <v>1022.4602025252303</v>
      </c>
      <c r="C74" s="257">
        <f t="shared" si="29"/>
        <v>926.00018329331442</v>
      </c>
      <c r="D74" s="257">
        <f t="shared" si="29"/>
        <v>927.17283654491496</v>
      </c>
      <c r="E74" s="257">
        <f t="shared" si="29"/>
        <v>886.63652647252434</v>
      </c>
      <c r="F74" s="252"/>
      <c r="G74" s="252"/>
      <c r="H74" s="252"/>
      <c r="I74" s="252"/>
      <c r="J74" s="252"/>
      <c r="K74" s="252"/>
      <c r="L74" s="252"/>
      <c r="M74" s="252"/>
      <c r="N74" s="252"/>
      <c r="O74" s="253"/>
      <c r="P74" s="252"/>
      <c r="Q74" s="252"/>
      <c r="R74" s="252"/>
      <c r="S74" s="252"/>
      <c r="T74" s="252"/>
      <c r="U74" s="252"/>
      <c r="V74" s="252"/>
      <c r="W74" s="252"/>
      <c r="X74" s="256" t="s">
        <v>42</v>
      </c>
      <c r="Y74" s="257">
        <f t="shared" ref="Y74:AB74" si="33">Y62*$B$77/$B$65</f>
        <v>1022.4602025252303</v>
      </c>
      <c r="Z74" s="257">
        <f t="shared" si="33"/>
        <v>1072.4758000057591</v>
      </c>
      <c r="AA74" s="257">
        <f t="shared" si="33"/>
        <v>1257.6403392612701</v>
      </c>
      <c r="AB74" s="257">
        <f t="shared" si="33"/>
        <v>1226.9582884594736</v>
      </c>
    </row>
    <row r="75" spans="1:28">
      <c r="A75" s="256" t="s">
        <v>48</v>
      </c>
      <c r="B75" s="257">
        <f t="shared" si="29"/>
        <v>17423.501818957535</v>
      </c>
      <c r="C75" s="257">
        <f t="shared" si="29"/>
        <v>14871.223705815246</v>
      </c>
      <c r="D75" s="257">
        <f t="shared" si="29"/>
        <v>14113.909013360882</v>
      </c>
      <c r="E75" s="257">
        <f t="shared" si="29"/>
        <v>13026.754960223883</v>
      </c>
      <c r="F75" s="252"/>
      <c r="G75" s="252"/>
      <c r="H75" s="252"/>
      <c r="I75" s="252"/>
      <c r="J75" s="252"/>
      <c r="K75" s="252"/>
      <c r="L75" s="252"/>
      <c r="M75" s="252"/>
      <c r="N75" s="252"/>
      <c r="O75" s="253"/>
      <c r="P75" s="252"/>
      <c r="Q75" s="252"/>
      <c r="R75" s="252"/>
      <c r="S75" s="252"/>
      <c r="T75" s="252"/>
      <c r="U75" s="252"/>
      <c r="V75" s="252"/>
      <c r="W75" s="252"/>
      <c r="X75" s="256" t="s">
        <v>48</v>
      </c>
      <c r="Y75" s="257">
        <f t="shared" ref="Y75:AB75" si="34">Y63*$B$77/$B$65</f>
        <v>17423.501818957535</v>
      </c>
      <c r="Z75" s="257">
        <f t="shared" si="34"/>
        <v>8082.9167374248746</v>
      </c>
      <c r="AA75" s="257">
        <f t="shared" si="34"/>
        <v>4486.4705860078348</v>
      </c>
      <c r="AB75" s="257">
        <f t="shared" si="34"/>
        <v>1977.8134212956438</v>
      </c>
    </row>
    <row r="76" spans="1:28">
      <c r="A76" s="256" t="s">
        <v>49</v>
      </c>
      <c r="B76" s="257">
        <f t="shared" si="29"/>
        <v>3668.478493715917</v>
      </c>
      <c r="C76" s="257">
        <f t="shared" si="29"/>
        <v>4362.095223755703</v>
      </c>
      <c r="D76" s="257">
        <f t="shared" si="29"/>
        <v>4860.1493743161545</v>
      </c>
      <c r="E76" s="257">
        <f t="shared" si="29"/>
        <v>4956.0005484802705</v>
      </c>
      <c r="F76" s="252"/>
      <c r="G76" s="252"/>
      <c r="H76" s="252"/>
      <c r="I76" s="252"/>
      <c r="J76" s="252"/>
      <c r="K76" s="252"/>
      <c r="L76" s="252"/>
      <c r="M76" s="252"/>
      <c r="N76" s="252"/>
      <c r="O76" s="253"/>
      <c r="P76" s="252"/>
      <c r="Q76" s="252"/>
      <c r="R76" s="252"/>
      <c r="S76" s="252"/>
      <c r="T76" s="252"/>
      <c r="U76" s="252"/>
      <c r="V76" s="252"/>
      <c r="W76" s="252"/>
      <c r="X76" s="256" t="s">
        <v>49</v>
      </c>
      <c r="Y76" s="257">
        <f t="shared" ref="Y76:AB76" si="35">Y64*$B$77/$B$65</f>
        <v>3668.478493715917</v>
      </c>
      <c r="Z76" s="257">
        <f t="shared" si="35"/>
        <v>8525.0070629360416</v>
      </c>
      <c r="AA76" s="257">
        <f t="shared" si="35"/>
        <v>11840.386143836158</v>
      </c>
      <c r="AB76" s="257">
        <f t="shared" si="35"/>
        <v>12211.361649396817</v>
      </c>
    </row>
    <row r="77" spans="1:28">
      <c r="A77" s="258" t="s">
        <v>17</v>
      </c>
      <c r="B77" s="259">
        <v>112000</v>
      </c>
      <c r="C77" s="257">
        <f t="shared" si="29"/>
        <v>86666.435950300583</v>
      </c>
      <c r="D77" s="257">
        <f t="shared" si="29"/>
        <v>75339.500031772128</v>
      </c>
      <c r="E77" s="257">
        <f>E65*$B$77/$B$65</f>
        <v>63642.311085512876</v>
      </c>
      <c r="F77" s="252"/>
      <c r="G77" s="252"/>
      <c r="H77" s="252"/>
      <c r="I77" s="252"/>
      <c r="J77" s="252"/>
      <c r="K77" s="252"/>
      <c r="L77" s="252"/>
      <c r="M77" s="252"/>
      <c r="N77" s="252"/>
      <c r="O77" s="253"/>
      <c r="P77" s="252"/>
      <c r="Q77" s="252"/>
      <c r="R77" s="252"/>
      <c r="S77" s="252"/>
      <c r="T77" s="252"/>
      <c r="U77" s="252"/>
      <c r="V77" s="252"/>
      <c r="W77" s="252"/>
      <c r="X77" s="258" t="s">
        <v>17</v>
      </c>
      <c r="Y77" s="259">
        <v>112000</v>
      </c>
      <c r="Z77" s="257">
        <f t="shared" ref="Z77:AB77" si="36">Z65*$B$77/$B$65</f>
        <v>72664.138552981763</v>
      </c>
      <c r="AA77" s="257">
        <f t="shared" si="36"/>
        <v>61703.746226135016</v>
      </c>
      <c r="AB77" s="257">
        <f t="shared" si="36"/>
        <v>50234.850316829237</v>
      </c>
    </row>
    <row r="78" spans="1:28" ht="18.5">
      <c r="A78" s="260" t="s">
        <v>113</v>
      </c>
      <c r="B78" s="261">
        <f>B77/$B77-1</f>
        <v>0</v>
      </c>
      <c r="C78" s="261">
        <f>C77/$B77-1</f>
        <v>-0.22619253615803048</v>
      </c>
      <c r="D78" s="261">
        <f>D77/$B77-1</f>
        <v>-0.32732589257346312</v>
      </c>
      <c r="E78" s="262">
        <f>E77/$B77-1</f>
        <v>-0.43176507959363508</v>
      </c>
      <c r="F78" s="252"/>
      <c r="G78" s="252"/>
      <c r="H78" s="252"/>
      <c r="I78" s="252"/>
      <c r="J78" s="252"/>
      <c r="K78" s="252"/>
      <c r="L78" s="252"/>
      <c r="M78" s="252"/>
      <c r="N78" s="252"/>
      <c r="O78" s="253"/>
      <c r="P78" s="252"/>
      <c r="Q78" s="252"/>
      <c r="R78" s="252"/>
      <c r="S78" s="252"/>
      <c r="T78" s="252"/>
      <c r="U78" s="252"/>
      <c r="V78" s="252"/>
      <c r="W78" s="252"/>
      <c r="X78" s="260" t="s">
        <v>113</v>
      </c>
      <c r="Y78" s="261">
        <f>Y77/$Y77-1</f>
        <v>0</v>
      </c>
      <c r="Z78" s="261">
        <f t="shared" ref="Z78:AB78" si="37">Z77/$Y77-1</f>
        <v>-0.35121304863409142</v>
      </c>
      <c r="AA78" s="261">
        <f t="shared" si="37"/>
        <v>-0.44907369440950884</v>
      </c>
      <c r="AB78" s="262">
        <f t="shared" si="37"/>
        <v>-0.5514745507425961</v>
      </c>
    </row>
    <row r="79" spans="1:28">
      <c r="O79" s="197"/>
    </row>
    <row r="80" spans="1:28">
      <c r="A80" s="321" t="s">
        <v>115</v>
      </c>
      <c r="B80" s="322"/>
      <c r="C80" s="322"/>
      <c r="D80" s="322"/>
      <c r="E80" s="322"/>
      <c r="O80" s="197"/>
      <c r="X80" s="321" t="s">
        <v>119</v>
      </c>
      <c r="Y80" s="322"/>
      <c r="Z80" s="322"/>
      <c r="AA80" s="322"/>
      <c r="AB80" s="322"/>
    </row>
    <row r="81" spans="1:28">
      <c r="A81" s="8" t="s">
        <v>20</v>
      </c>
      <c r="B81" s="9">
        <v>2020</v>
      </c>
      <c r="C81" s="9">
        <v>2030</v>
      </c>
      <c r="D81" s="9">
        <v>2040</v>
      </c>
      <c r="E81" s="9">
        <v>2050</v>
      </c>
      <c r="O81" s="197"/>
      <c r="X81" s="8" t="s">
        <v>20</v>
      </c>
      <c r="Y81" s="9">
        <v>2020</v>
      </c>
      <c r="Z81" s="9">
        <v>2030</v>
      </c>
      <c r="AA81" s="9">
        <v>2040</v>
      </c>
      <c r="AB81" s="9">
        <v>2050</v>
      </c>
    </row>
    <row r="82" spans="1:28">
      <c r="A82" s="126" t="s">
        <v>15</v>
      </c>
      <c r="B82" s="86">
        <f>'Bureaux - AME'!H107+'CaHoREs - AME'!H107+'Commerce - AME'!H107+'Enseignement - AME'!H107+'Hab. com. - AME'!H107+'Santé social - AME'!H107+'Santé social - AME'!H107+'Sport Loisir Culture - AME'!H107+'Transport - AME'!H107</f>
        <v>6863.5797130905457</v>
      </c>
      <c r="C82" s="86">
        <f>'Bureaux - AME'!I107+'CaHoREs - AME'!I107+'Commerce - AME'!I107+'Enseignement - AME'!I107+'Hab. com. - AME'!I107+'Santé social - AME'!I107+'Santé social - AME'!I107+'Sport Loisir Culture - AME'!I107+'Transport - AME'!I107</f>
        <v>3438.4610009541707</v>
      </c>
      <c r="D82" s="86">
        <f>'Bureaux - AME'!J107+'CaHoREs - AME'!J107+'Commerce - AME'!J107+'Enseignement - AME'!J107+'Hab. com. - AME'!J107+'Santé social - AME'!J107+'Santé social - AME'!J107+'Sport Loisir Culture - AME'!J107+'Transport - AME'!J107</f>
        <v>2351.3893735476622</v>
      </c>
      <c r="E82" s="86">
        <f>'Bureaux - AME'!K107+'CaHoREs - AME'!K107+'Commerce - AME'!K107+'Enseignement - AME'!K107+'Hab. com. - AME'!K107+'Santé social - AME'!K107+'Santé social - AME'!K107+'Sport Loisir Culture - AME'!K107+'Transport - AME'!K107</f>
        <v>1397.0218835842172</v>
      </c>
      <c r="O82" s="197"/>
      <c r="X82" s="126" t="s">
        <v>15</v>
      </c>
      <c r="Y82" s="86">
        <f>'Bureaux - AMS'!H107+'CaHoREs - AMS'!H107+'Commerce - AMS'!H107+'Enseignement - AMS'!H107+'Hab. com. - AMS'!H107+'Santé social - AMS'!H107+'Santé social - AMS'!H107+'Sport Loisir Culture - AMS'!H107+'Transport - AMS'!H107</f>
        <v>15256.135436326505</v>
      </c>
      <c r="Z82" s="86">
        <f>'Bureaux - AMS'!I107+'CaHoREs - AMS'!I107+'Commerce - AMS'!I107+'Enseignement - AMS'!I107+'Hab. com. - AMS'!I107+'Santé social - AMS'!I107+'Santé social - AMS'!I107+'Sport Loisir Culture - AMS'!I107+'Transport - AMS'!I107</f>
        <v>2692.8096715671018</v>
      </c>
      <c r="AA82" s="86">
        <f>'Bureaux - AMS'!J107+'CaHoREs - AMS'!J107+'Commerce - AMS'!J107+'Enseignement - AMS'!J107+'Hab. com. - AMS'!J107+'Santé social - AMS'!J107+'Santé social - AMS'!J107+'Sport Loisir Culture - AMS'!J107+'Transport - AMS'!J107</f>
        <v>398.15169994742223</v>
      </c>
      <c r="AB82" s="86">
        <f>'Bureaux - AMS'!K107+'CaHoREs - AMS'!K107+'Commerce - AMS'!K107+'Enseignement - AMS'!K107+'Hab. com. - AMS'!K107+'Santé social - AMS'!K107+'Santé social - AMS'!K107+'Sport Loisir Culture - AMS'!K107+'Transport - AMS'!K107</f>
        <v>0</v>
      </c>
    </row>
    <row r="83" spans="1:28">
      <c r="A83" s="126" t="s">
        <v>16</v>
      </c>
      <c r="B83" s="86">
        <f>'Bureaux - AME'!H108+'CaHoREs - AME'!H108+'Commerce - AME'!H108+'Enseignement - AME'!H108+'Hab. com. - AME'!H108+'Santé social - AME'!H108+'Santé social - AME'!H108+'Sport Loisir Culture - AME'!H108+'Transport - AME'!H108</f>
        <v>19825.978931578247</v>
      </c>
      <c r="C83" s="86">
        <f>'Bureaux - AME'!I108+'CaHoREs - AME'!I108+'Commerce - AME'!I108+'Enseignement - AME'!I108+'Hab. com. - AME'!I108+'Santé social - AME'!I108+'Santé social - AME'!I108+'Sport Loisir Culture - AME'!I108+'Transport - AME'!I108</f>
        <v>11396.212848945199</v>
      </c>
      <c r="D83" s="86">
        <f>'Bureaux - AME'!J108+'CaHoREs - AME'!J108+'Commerce - AME'!J108+'Enseignement - AME'!J108+'Hab. com. - AME'!J108+'Santé social - AME'!J108+'Santé social - AME'!J108+'Sport Loisir Culture - AME'!J108+'Transport - AME'!J108</f>
        <v>9388.7760621023353</v>
      </c>
      <c r="E83" s="86">
        <f>'Bureaux - AME'!K108+'CaHoREs - AME'!K108+'Commerce - AME'!K108+'Enseignement - AME'!K108+'Hab. com. - AME'!K108+'Santé social - AME'!K108+'Santé social - AME'!K108+'Sport Loisir Culture - AME'!K108+'Transport - AME'!K108</f>
        <v>7430.1192519297292</v>
      </c>
      <c r="O83" s="197"/>
      <c r="X83" s="126" t="s">
        <v>16</v>
      </c>
      <c r="Y83" s="86">
        <f>'Bureaux - AMS'!H108+'CaHoREs - AMS'!H108+'Commerce - AMS'!H108+'Enseignement - AMS'!H108+'Hab. com. - AMS'!H108+'Santé social - AMS'!H108+'Santé social - AMS'!H108+'Sport Loisir Culture - AMS'!H108+'Transport - AMS'!H108</f>
        <v>44652.906225424005</v>
      </c>
      <c r="Z83" s="86">
        <f>'Bureaux - AMS'!I108+'CaHoREs - AMS'!I108+'Commerce - AMS'!I108+'Enseignement - AMS'!I108+'Hab. com. - AMS'!I108+'Santé social - AMS'!I108+'Santé social - AMS'!I108+'Sport Loisir Culture - AMS'!I108+'Transport - AMS'!I108</f>
        <v>19749.220062925244</v>
      </c>
      <c r="AA83" s="86">
        <f>'Bureaux - AMS'!J108+'CaHoREs - AMS'!J108+'Commerce - AMS'!J108+'Enseignement - AMS'!J108+'Hab. com. - AMS'!J108+'Santé social - AMS'!J108+'Santé social - AMS'!J108+'Sport Loisir Culture - AMS'!J108+'Transport - AMS'!J108</f>
        <v>14114.79427633611</v>
      </c>
      <c r="AB83" s="86">
        <f>'Bureaux - AMS'!K108+'CaHoREs - AMS'!K108+'Commerce - AMS'!K108+'Enseignement - AMS'!K108+'Hab. com. - AMS'!K108+'Santé social - AMS'!K108+'Santé social - AMS'!K108+'Sport Loisir Culture - AMS'!K108+'Transport - AMS'!K108</f>
        <v>8325.1846318915959</v>
      </c>
    </row>
    <row r="84" spans="1:28">
      <c r="A84" s="126" t="s">
        <v>21</v>
      </c>
      <c r="B84" s="86">
        <f>'Bureaux - AME'!H109+'CaHoREs - AME'!H109+'Commerce - AME'!H109+'Enseignement - AME'!H109+'Hab. com. - AME'!H109+'Santé social - AME'!H109+'Santé social - AME'!H109+'Sport Loisir Culture - AME'!H109+'Transport - AME'!H109</f>
        <v>2968.6277399009405</v>
      </c>
      <c r="C84" s="86">
        <f>'Bureaux - AME'!I109+'CaHoREs - AME'!I109+'Commerce - AME'!I109+'Enseignement - AME'!I109+'Hab. com. - AME'!I109+'Santé social - AME'!I109+'Santé social - AME'!I109+'Sport Loisir Culture - AME'!I109+'Transport - AME'!I109</f>
        <v>2001.3910621560144</v>
      </c>
      <c r="D84" s="86">
        <f>'Bureaux - AME'!J109+'CaHoREs - AME'!J109+'Commerce - AME'!J109+'Enseignement - AME'!J109+'Hab. com. - AME'!J109+'Santé social - AME'!J109+'Santé social - AME'!J109+'Sport Loisir Culture - AME'!J109+'Transport - AME'!J109</f>
        <v>1922.4395345843725</v>
      </c>
      <c r="E84" s="86">
        <f>'Bureaux - AME'!K109+'CaHoREs - AME'!K109+'Commerce - AME'!K109+'Enseignement - AME'!K109+'Hab. com. - AME'!K109+'Santé social - AME'!K109+'Santé social - AME'!K109+'Sport Loisir Culture - AME'!K109+'Transport - AME'!K109</f>
        <v>1765.3381960806378</v>
      </c>
      <c r="O84" s="197"/>
      <c r="X84" s="126" t="s">
        <v>21</v>
      </c>
      <c r="Y84" s="86">
        <f>'Bureaux - AMS'!H109+'CaHoREs - AMS'!H109+'Commerce - AMS'!H109+'Enseignement - AMS'!H109+'Hab. com. - AMS'!H109+'Santé social - AMS'!H109+'Santé social - AMS'!H109+'Sport Loisir Culture - AMS'!H109+'Transport - AMS'!H109</f>
        <v>6517.6525772497771</v>
      </c>
      <c r="Z84" s="86">
        <f>'Bureaux - AMS'!I109+'CaHoREs - AMS'!I109+'Commerce - AMS'!I109+'Enseignement - AMS'!I109+'Hab. com. - AMS'!I109+'Santé social - AMS'!I109+'Santé social - AMS'!I109+'Sport Loisir Culture - AMS'!I109+'Transport - AMS'!I109</f>
        <v>15239.910148331423</v>
      </c>
      <c r="AA84" s="86">
        <f>'Bureaux - AMS'!J109+'CaHoREs - AMS'!J109+'Commerce - AMS'!J109+'Enseignement - AMS'!J109+'Hab. com. - AMS'!J109+'Santé social - AMS'!J109+'Santé social - AMS'!J109+'Sport Loisir Culture - AMS'!J109+'Transport - AMS'!J109</f>
        <v>16129.55283333477</v>
      </c>
      <c r="AB84" s="86">
        <f>'Bureaux - AMS'!K109+'CaHoREs - AMS'!K109+'Commerce - AMS'!K109+'Enseignement - AMS'!K109+'Hab. com. - AMS'!K109+'Santé social - AMS'!K109+'Santé social - AMS'!K109+'Sport Loisir Culture - AMS'!K109+'Transport - AMS'!K109</f>
        <v>16361.018416692175</v>
      </c>
    </row>
    <row r="85" spans="1:28">
      <c r="A85" s="126" t="s">
        <v>22</v>
      </c>
      <c r="B85" s="86">
        <f>'Bureaux - AME'!H110+'CaHoREs - AME'!H110+'Commerce - AME'!H110+'Enseignement - AME'!H110+'Hab. com. - AME'!H110+'Santé social - AME'!H110+'Santé social - AME'!H110+'Sport Loisir Culture - AME'!H110+'Transport - AME'!H110</f>
        <v>477.91328367817113</v>
      </c>
      <c r="C85" s="86">
        <f>'Bureaux - AME'!I110+'CaHoREs - AME'!I110+'Commerce - AME'!I110+'Enseignement - AME'!I110+'Hab. com. - AME'!I110+'Santé social - AME'!I110+'Santé social - AME'!I110+'Sport Loisir Culture - AME'!I110+'Transport - AME'!I110</f>
        <v>293.15698059550959</v>
      </c>
      <c r="D85" s="86">
        <f>'Bureaux - AME'!J110+'CaHoREs - AME'!J110+'Commerce - AME'!J110+'Enseignement - AME'!J110+'Hab. com. - AME'!J110+'Santé social - AME'!J110+'Santé social - AME'!J110+'Sport Loisir Culture - AME'!J110+'Transport - AME'!J110</f>
        <v>261.09191548120515</v>
      </c>
      <c r="E85" s="86">
        <f>'Bureaux - AME'!K110+'CaHoREs - AME'!K110+'Commerce - AME'!K110+'Enseignement - AME'!K110+'Hab. com. - AME'!K110+'Santé social - AME'!K110+'Santé social - AME'!K110+'Sport Loisir Culture - AME'!K110+'Transport - AME'!K110</f>
        <v>227.89812230121674</v>
      </c>
      <c r="O85" s="197"/>
      <c r="X85" s="126" t="s">
        <v>22</v>
      </c>
      <c r="Y85" s="86">
        <f>'Bureaux - AMS'!H110+'CaHoREs - AMS'!H110+'Commerce - AMS'!H110+'Enseignement - AMS'!H110+'Hab. com. - AMS'!H110+'Santé social - AMS'!H110+'Santé social - AMS'!H110+'Sport Loisir Culture - AMS'!H110+'Transport - AMS'!H110</f>
        <v>1062.8405089841831</v>
      </c>
      <c r="Z85" s="86">
        <f>'Bureaux - AMS'!I110+'CaHoREs - AMS'!I110+'Commerce - AMS'!I110+'Enseignement - AMS'!I110+'Hab. com. - AMS'!I110+'Santé social - AMS'!I110+'Santé social - AMS'!I110+'Sport Loisir Culture - AMS'!I110+'Transport - AMS'!I110</f>
        <v>440.5674462780878</v>
      </c>
      <c r="AA85" s="86">
        <f>'Bureaux - AMS'!J110+'CaHoREs - AMS'!J110+'Commerce - AMS'!J110+'Enseignement - AMS'!J110+'Hab. com. - AMS'!J110+'Santé social - AMS'!J110+'Santé social - AMS'!J110+'Sport Loisir Culture - AMS'!J110+'Transport - AMS'!J110</f>
        <v>218.63984386420051</v>
      </c>
      <c r="AB85" s="86">
        <f>'Bureaux - AMS'!K110+'CaHoREs - AMS'!K110+'Commerce - AMS'!K110+'Enseignement - AMS'!K110+'Hab. com. - AMS'!K110+'Santé social - AMS'!K110+'Santé social - AMS'!K110+'Sport Loisir Culture - AMS'!K110+'Transport - AMS'!K110</f>
        <v>0</v>
      </c>
    </row>
    <row r="86" spans="1:28">
      <c r="A86" s="126" t="s">
        <v>42</v>
      </c>
      <c r="B86" s="86">
        <f>'Bureaux - AME'!H111+'CaHoREs - AME'!H111+'Commerce - AME'!H111+'Enseignement - AME'!H111+'Hab. com. - AME'!H111+'Santé social - AME'!H111+'Santé social - AME'!H111+'Sport Loisir Culture - AME'!H111+'Transport - AME'!H111</f>
        <v>360.60863125060348</v>
      </c>
      <c r="C86" s="86">
        <f>'Bureaux - AME'!I111+'CaHoREs - AME'!I111+'Commerce - AME'!I111+'Enseignement - AME'!I111+'Hab. com. - AME'!I111+'Santé social - AME'!I111+'Santé social - AME'!I111+'Sport Loisir Culture - AME'!I111+'Transport - AME'!I111</f>
        <v>229.26608046317983</v>
      </c>
      <c r="D86" s="86">
        <f>'Bureaux - AME'!J111+'CaHoREs - AME'!J111+'Commerce - AME'!J111+'Enseignement - AME'!J111+'Hab. com. - AME'!J111+'Santé social - AME'!J111+'Santé social - AME'!J111+'Sport Loisir Culture - AME'!J111+'Transport - AME'!J111</f>
        <v>208.8809615088752</v>
      </c>
      <c r="E86" s="86">
        <f>'Bureaux - AME'!K111+'CaHoREs - AME'!K111+'Commerce - AME'!K111+'Enseignement - AME'!K111+'Hab. com. - AME'!K111+'Santé social - AME'!K111+'Santé social - AME'!K111+'Sport Loisir Culture - AME'!K111+'Transport - AME'!K111</f>
        <v>181.19034014892404</v>
      </c>
      <c r="O86" s="197"/>
      <c r="X86" s="126" t="s">
        <v>42</v>
      </c>
      <c r="Y86" s="86">
        <f>'Bureaux - AMS'!H111+'CaHoREs - AMS'!H111+'Commerce - AMS'!H111+'Enseignement - AMS'!H111+'Hab. com. - AMS'!H111+'Santé social - AMS'!H111+'Santé social - AMS'!H111+'Sport Loisir Culture - AMS'!H111+'Transport - AMS'!H111</f>
        <v>797.24498472744153</v>
      </c>
      <c r="Z86" s="86">
        <f>'Bureaux - AMS'!I111+'CaHoREs - AMS'!I111+'Commerce - AMS'!I111+'Enseignement - AMS'!I111+'Hab. com. - AMS'!I111+'Santé social - AMS'!I111+'Santé social - AMS'!I111+'Sport Loisir Culture - AMS'!I111+'Transport - AMS'!I111</f>
        <v>707.77880619700124</v>
      </c>
      <c r="AA86" s="86">
        <f>'Bureaux - AMS'!J111+'CaHoREs - AMS'!J111+'Commerce - AMS'!J111+'Enseignement - AMS'!J111+'Hab. com. - AMS'!J111+'Santé social - AMS'!J111+'Santé social - AMS'!J111+'Sport Loisir Culture - AMS'!J111+'Transport - AMS'!J111</f>
        <v>805.16495190092314</v>
      </c>
      <c r="AB86" s="86">
        <f>'Bureaux - AMS'!K111+'CaHoREs - AMS'!K111+'Commerce - AMS'!K111+'Enseignement - AMS'!K111+'Hab. com. - AMS'!K111+'Santé social - AMS'!K111+'Santé social - AMS'!K111+'Sport Loisir Culture - AMS'!K111+'Transport - AMS'!K111</f>
        <v>745.6828122904974</v>
      </c>
    </row>
    <row r="87" spans="1:28">
      <c r="A87" s="126" t="s">
        <v>48</v>
      </c>
      <c r="B87" s="86">
        <f>'Bureaux - AME'!H112+'CaHoREs - AME'!H112+'Commerce - AME'!H112+'Enseignement - AME'!H112+'Hab. com. - AME'!H112+'Santé social - AME'!H112+'Santé social - AME'!H112+'Sport Loisir Culture - AME'!H112+'Transport - AME'!H112</f>
        <v>5230.5202588625125</v>
      </c>
      <c r="C87" s="86">
        <f>'Bureaux - AME'!I112+'CaHoREs - AME'!I112+'Commerce - AME'!I112+'Enseignement - AME'!I112+'Hab. com. - AME'!I112+'Santé social - AME'!I112+'Santé social - AME'!I112+'Sport Loisir Culture - AME'!I112+'Transport - AME'!I112</f>
        <v>3630.8992121916262</v>
      </c>
      <c r="D87" s="86">
        <f>'Bureaux - AME'!J112+'CaHoREs - AME'!J112+'Commerce - AME'!J112+'Enseignement - AME'!J112+'Hab. com. - AME'!J112+'Santé social - AME'!J112+'Santé social - AME'!J112+'Sport Loisir Culture - AME'!J112+'Transport - AME'!J112</f>
        <v>3579.5704696731932</v>
      </c>
      <c r="E87" s="86">
        <f>'Bureaux - AME'!K112+'CaHoREs - AME'!K112+'Commerce - AME'!K112+'Enseignement - AME'!K112+'Hab. com. - AME'!K112+'Santé social - AME'!K112+'Santé social - AME'!K112+'Sport Loisir Culture - AME'!K112+'Transport - AME'!K112</f>
        <v>3376.9591156950601</v>
      </c>
      <c r="O87" s="197"/>
      <c r="X87" s="126" t="s">
        <v>48</v>
      </c>
      <c r="Y87" s="86">
        <f>'Bureaux - AMS'!H112+'CaHoREs - AMS'!H112+'Commerce - AMS'!H112+'Enseignement - AMS'!H112+'Hab. com. - AMS'!H112+'Santé social - AMS'!H112+'Santé social - AMS'!H112+'Sport Loisir Culture - AMS'!H112+'Transport - AMS'!H112</f>
        <v>12080.381510731888</v>
      </c>
      <c r="Z87" s="86">
        <f>'Bureaux - AMS'!I112+'CaHoREs - AMS'!I112+'Commerce - AMS'!I112+'Enseignement - AMS'!I112+'Hab. com. - AMS'!I112+'Santé social - AMS'!I112+'Santé social - AMS'!I112+'Sport Loisir Culture - AMS'!I112+'Transport - AMS'!I112</f>
        <v>5605.6856616836267</v>
      </c>
      <c r="AA87" s="86">
        <f>'Bureaux - AMS'!J112+'CaHoREs - AMS'!J112+'Commerce - AMS'!J112+'Enseignement - AMS'!J112+'Hab. com. - AMS'!J112+'Santé social - AMS'!J112+'Santé social - AMS'!J112+'Sport Loisir Culture - AMS'!J112+'Transport - AMS'!J112</f>
        <v>3514.1817926724984</v>
      </c>
      <c r="AB87" s="86">
        <f>'Bureaux - AMS'!K112+'CaHoREs - AMS'!K112+'Commerce - AMS'!K112+'Enseignement - AMS'!K112+'Hab. com. - AMS'!K112+'Santé social - AMS'!K112+'Santé social - AMS'!K112+'Sport Loisir Culture - AMS'!K112+'Transport - AMS'!K112</f>
        <v>1566.5305217355381</v>
      </c>
    </row>
    <row r="88" spans="1:28">
      <c r="A88" s="126" t="s">
        <v>49</v>
      </c>
      <c r="B88" s="86">
        <f>'Bureaux - AME'!H113+'CaHoREs - AME'!H113+'Commerce - AME'!H113+'Enseignement - AME'!H113+'Hab. com. - AME'!H113+'Santé social - AME'!H113+'Santé social - AME'!H113+'Sport Loisir Culture - AME'!H113+'Transport - AME'!H113</f>
        <v>988.6563401904798</v>
      </c>
      <c r="C88" s="86">
        <f>'Bureaux - AME'!I113+'CaHoREs - AME'!I113+'Commerce - AME'!I113+'Enseignement - AME'!I113+'Hab. com. - AME'!I113+'Santé social - AME'!I113+'Santé social - AME'!I113+'Sport Loisir Culture - AME'!I113+'Transport - AME'!I113</f>
        <v>877.80747469050004</v>
      </c>
      <c r="D88" s="86">
        <f>'Bureaux - AME'!J113+'CaHoREs - AME'!J113+'Commerce - AME'!J113+'Enseignement - AME'!J113+'Hab. com. - AME'!J113+'Santé social - AME'!J113+'Santé social - AME'!J113+'Sport Loisir Culture - AME'!J113+'Transport - AME'!J113</f>
        <v>997.88937802746398</v>
      </c>
      <c r="E88" s="86">
        <f>'Bureaux - AME'!K113+'CaHoREs - AME'!K113+'Commerce - AME'!K113+'Enseignement - AME'!K113+'Hab. com. - AME'!K113+'Santé social - AME'!K113+'Santé social - AME'!K113+'Sport Loisir Culture - AME'!K113+'Transport - AME'!K113</f>
        <v>1021.0923467085569</v>
      </c>
      <c r="O88" s="197"/>
      <c r="X88" s="126" t="s">
        <v>49</v>
      </c>
      <c r="Y88" s="86">
        <f>'Bureaux - AMS'!H113+'CaHoREs - AMS'!H113+'Commerce - AMS'!H113+'Enseignement - AMS'!H113+'Hab. com. - AMS'!H113+'Santé social - AMS'!H113+'Santé social - AMS'!H113+'Sport Loisir Culture - AMS'!H113+'Transport - AMS'!H113</f>
        <v>2360.3627662113554</v>
      </c>
      <c r="Z88" s="86">
        <f>'Bureaux - AMS'!I113+'CaHoREs - AMS'!I113+'Commerce - AMS'!I113+'Enseignement - AMS'!I113+'Hab. com. - AMS'!I113+'Santé social - AMS'!I113+'Santé social - AMS'!I113+'Sport Loisir Culture - AMS'!I113+'Transport - AMS'!I113</f>
        <v>4803.2649273083434</v>
      </c>
      <c r="AA88" s="86">
        <f>'Bureaux - AMS'!J113+'CaHoREs - AMS'!J113+'Commerce - AMS'!J113+'Enseignement - AMS'!J113+'Hab. com. - AMS'!J113+'Santé social - AMS'!J113+'Santé social - AMS'!J113+'Sport Loisir Culture - AMS'!J113+'Transport - AMS'!J113</f>
        <v>6744.801717256646</v>
      </c>
      <c r="AB88" s="86">
        <f>'Bureaux - AMS'!K113+'CaHoREs - AMS'!K113+'Commerce - AMS'!K113+'Enseignement - AMS'!K113+'Hab. com. - AMS'!K113+'Santé social - AMS'!K113+'Santé social - AMS'!K113+'Sport Loisir Culture - AMS'!K113+'Transport - AMS'!K113</f>
        <v>7232.3171213023743</v>
      </c>
    </row>
    <row r="89" spans="1:28">
      <c r="A89" s="12" t="s">
        <v>17</v>
      </c>
      <c r="B89" s="13">
        <f>SUM(B82:B88)</f>
        <v>36715.8848985515</v>
      </c>
      <c r="C89" s="13">
        <f t="shared" ref="C89:E89" si="38">SUM(C82:C88)</f>
        <v>21867.194659996203</v>
      </c>
      <c r="D89" s="13">
        <f t="shared" si="38"/>
        <v>18710.037694925108</v>
      </c>
      <c r="E89" s="13">
        <f t="shared" si="38"/>
        <v>15399.619256448341</v>
      </c>
      <c r="O89" s="197"/>
      <c r="X89" s="12" t="s">
        <v>17</v>
      </c>
      <c r="Y89" s="13">
        <f>SUM(Y82:Y88)</f>
        <v>82727.524009655172</v>
      </c>
      <c r="Z89" s="13">
        <f t="shared" ref="Z89:AB89" si="39">SUM(Z82:Z88)</f>
        <v>49239.236724290829</v>
      </c>
      <c r="AA89" s="13">
        <f t="shared" si="39"/>
        <v>41925.287115312567</v>
      </c>
      <c r="AB89" s="13">
        <f t="shared" si="39"/>
        <v>34230.733503912183</v>
      </c>
    </row>
    <row r="90" spans="1:28">
      <c r="A90" s="195" t="s">
        <v>113</v>
      </c>
      <c r="B90" s="196">
        <f>B89/$B89-1</f>
        <v>0</v>
      </c>
      <c r="C90" s="196">
        <f>C89/$B89-1</f>
        <v>-0.4044214181295982</v>
      </c>
      <c r="D90" s="196">
        <f>D89/$B89-1</f>
        <v>-0.49041027482730648</v>
      </c>
      <c r="E90" s="196">
        <f>E89/$B89-1</f>
        <v>-0.58057338672352465</v>
      </c>
      <c r="O90" s="197"/>
      <c r="X90" s="195" t="s">
        <v>113</v>
      </c>
      <c r="Y90" s="196">
        <f>Y89/$Y89-1</f>
        <v>0</v>
      </c>
      <c r="Z90" s="196">
        <f t="shared" ref="Z90" si="40">Z89/$Y89-1</f>
        <v>-0.40480224310177482</v>
      </c>
      <c r="AA90" s="196">
        <f t="shared" ref="AA90" si="41">AA89/$Y89-1</f>
        <v>-0.49321235444663558</v>
      </c>
      <c r="AB90" s="196">
        <f t="shared" ref="AB90" si="42">AB89/$Y89-1</f>
        <v>-0.58622315953857029</v>
      </c>
    </row>
    <row r="91" spans="1:28">
      <c r="O91" s="197"/>
    </row>
    <row r="92" spans="1:28">
      <c r="A92" s="321" t="s">
        <v>116</v>
      </c>
      <c r="B92" s="322"/>
      <c r="C92" s="322"/>
      <c r="D92" s="322"/>
      <c r="E92" s="322"/>
      <c r="O92" s="197"/>
      <c r="X92" s="321" t="s">
        <v>120</v>
      </c>
      <c r="Y92" s="322"/>
      <c r="Z92" s="322"/>
      <c r="AA92" s="322"/>
      <c r="AB92" s="322"/>
    </row>
    <row r="93" spans="1:28">
      <c r="A93" s="8" t="s">
        <v>20</v>
      </c>
      <c r="B93" s="9">
        <v>2020</v>
      </c>
      <c r="C93" s="9">
        <v>2030</v>
      </c>
      <c r="D93" s="9">
        <v>2040</v>
      </c>
      <c r="E93" s="9">
        <v>2050</v>
      </c>
      <c r="O93" s="197"/>
      <c r="X93" s="8" t="s">
        <v>20</v>
      </c>
      <c r="Y93" s="9">
        <v>2020</v>
      </c>
      <c r="Z93" s="9">
        <v>2030</v>
      </c>
      <c r="AA93" s="9">
        <v>2040</v>
      </c>
      <c r="AB93" s="9">
        <v>2050</v>
      </c>
    </row>
    <row r="94" spans="1:28">
      <c r="A94" s="126" t="s">
        <v>15</v>
      </c>
      <c r="B94" s="86">
        <f>'Bureaux - AME'!H118+'CaHoREs - AME'!H118+'Commerce - AME'!H118+'Enseignement - AME'!H118+'Hab. com. - AME'!H118+'Santé social - AME'!H118+'Sport Loisir Culture - AME'!H118+'Transport - AME'!H118</f>
        <v>10394.379834247127</v>
      </c>
      <c r="C94" s="86">
        <f>'Bureaux - AME'!I118+'CaHoREs - AME'!I118+'Commerce - AME'!I118+'Enseignement - AME'!I118+'Hab. com. - AME'!I118+'Santé social - AME'!I118+'Sport Loisir Culture - AME'!I118+'Transport - AME'!I118</f>
        <v>7402.1702751306311</v>
      </c>
      <c r="D94" s="86">
        <f>'Bureaux - AME'!J118+'CaHoREs - AME'!J118+'Commerce - AME'!J118+'Enseignement - AME'!J118+'Hab. com. - AME'!J118+'Santé social - AME'!J118+'Sport Loisir Culture - AME'!J118+'Transport - AME'!J118</f>
        <v>5223.68387106513</v>
      </c>
      <c r="E94" s="86">
        <f>'Bureaux - AME'!K118+'CaHoREs - AME'!K118+'Commerce - AME'!K118+'Enseignement - AME'!K118+'Hab. com. - AME'!K118+'Santé social - AME'!K118+'Sport Loisir Culture - AME'!K118+'Transport - AME'!K118</f>
        <v>3347.1903448936055</v>
      </c>
      <c r="O94" s="197"/>
      <c r="X94" s="126" t="s">
        <v>15</v>
      </c>
      <c r="Y94" s="86">
        <f>'Bureaux - AMS'!H118+'CaHoREs - AMS'!H118+'Commerce - AMS'!H118+'Enseignement - AMS'!H118+'Hab. com. - AMS'!H118+'Santé social - AMS'!H118+'Sport Loisir Culture - AMS'!H118+'Transport - AMS'!H118</f>
        <v>3041.0550492040788</v>
      </c>
      <c r="Z94" s="86">
        <f>'Bureaux - AMS'!I118+'CaHoREs - AMS'!I118+'Commerce - AMS'!I118+'Enseignement - AMS'!I118+'Hab. com. - AMS'!I118+'Santé social - AMS'!I118+'Sport Loisir Culture - AMS'!I118+'Transport - AMS'!I118</f>
        <v>649.29504609491141</v>
      </c>
      <c r="AA94" s="86">
        <f>'Bureaux - AMS'!J118+'CaHoREs - AMS'!J118+'Commerce - AMS'!J118+'Enseignement - AMS'!J118+'Hab. com. - AMS'!J118+'Santé social - AMS'!J118+'Sport Loisir Culture - AMS'!J118+'Transport - AMS'!J118</f>
        <v>106.57945560330651</v>
      </c>
      <c r="AB94" s="86">
        <f>'Bureaux - AMS'!K118+'CaHoREs - AMS'!K118+'Commerce - AMS'!K118+'Enseignement - AMS'!K118+'Hab. com. - AMS'!K118+'Santé social - AMS'!K118+'Sport Loisir Culture - AMS'!K118+'Transport - AMS'!K118</f>
        <v>0</v>
      </c>
    </row>
    <row r="95" spans="1:28">
      <c r="A95" s="126" t="s">
        <v>16</v>
      </c>
      <c r="B95" s="86">
        <f>'Bureaux - AME'!H119+'CaHoREs - AME'!H119+'Commerce - AME'!H119+'Enseignement - AME'!H119+'Hab. com. - AME'!H119+'Santé social - AME'!H119+'Sport Loisir Culture - AME'!H119+'Transport - AME'!H119</f>
        <v>31838.577281045964</v>
      </c>
      <c r="C95" s="86">
        <f>'Bureaux - AME'!I119+'CaHoREs - AME'!I119+'Commerce - AME'!I119+'Enseignement - AME'!I119+'Hab. com. - AME'!I119+'Santé social - AME'!I119+'Sport Loisir Culture - AME'!I119+'Transport - AME'!I119</f>
        <v>25840.661189060804</v>
      </c>
      <c r="D95" s="86">
        <f>'Bureaux - AME'!J119+'CaHoREs - AME'!J119+'Commerce - AME'!J119+'Enseignement - AME'!J119+'Hab. com. - AME'!J119+'Santé social - AME'!J119+'Sport Loisir Culture - AME'!J119+'Transport - AME'!J119</f>
        <v>21634.708233141882</v>
      </c>
      <c r="E95" s="86">
        <f>'Bureaux - AME'!K119+'CaHoREs - AME'!K119+'Commerce - AME'!K119+'Enseignement - AME'!K119+'Hab. com. - AME'!K119+'Santé social - AME'!K119+'Sport Loisir Culture - AME'!K119+'Transport - AME'!K119</f>
        <v>17808.230769414342</v>
      </c>
      <c r="O95" s="197"/>
      <c r="X95" s="126" t="s">
        <v>16</v>
      </c>
      <c r="Y95" s="86">
        <f>'Bureaux - AMS'!H119+'CaHoREs - AMS'!H119+'Commerce - AMS'!H119+'Enseignement - AMS'!H119+'Hab. com. - AMS'!H119+'Santé social - AMS'!H119+'Sport Loisir Culture - AMS'!H119+'Transport - AMS'!H119</f>
        <v>9775.0582869021528</v>
      </c>
      <c r="Z95" s="86">
        <f>'Bureaux - AMS'!I119+'CaHoREs - AMS'!I119+'Commerce - AMS'!I119+'Enseignement - AMS'!I119+'Hab. com. - AMS'!I119+'Santé social - AMS'!I119+'Sport Loisir Culture - AMS'!I119+'Transport - AMS'!I119</f>
        <v>5985.3629619933736</v>
      </c>
      <c r="AA95" s="86">
        <f>'Bureaux - AMS'!J119+'CaHoREs - AMS'!J119+'Commerce - AMS'!J119+'Enseignement - AMS'!J119+'Hab. com. - AMS'!J119+'Santé social - AMS'!J119+'Sport Loisir Culture - AMS'!J119+'Transport - AMS'!J119</f>
        <v>4525.5850889030644</v>
      </c>
      <c r="AB95" s="86">
        <f>'Bureaux - AMS'!K119+'CaHoREs - AMS'!K119+'Commerce - AMS'!K119+'Enseignement - AMS'!K119+'Hab. com. - AMS'!K119+'Santé social - AMS'!K119+'Sport Loisir Culture - AMS'!K119+'Transport - AMS'!K119</f>
        <v>2936.3442297146789</v>
      </c>
    </row>
    <row r="96" spans="1:28">
      <c r="A96" s="126" t="s">
        <v>21</v>
      </c>
      <c r="B96" s="86">
        <f>'Bureaux - AME'!H120+'CaHoREs - AME'!H120+'Commerce - AME'!H120+'Enseignement - AME'!H120+'Hab. com. - AME'!H120+'Santé social - AME'!H120+'Sport Loisir Culture - AME'!H120+'Transport - AME'!H120</f>
        <v>4118.7357011287831</v>
      </c>
      <c r="C96" s="86">
        <f>'Bureaux - AME'!I120+'CaHoREs - AME'!I120+'Commerce - AME'!I120+'Enseignement - AME'!I120+'Hab. com. - AME'!I120+'Santé social - AME'!I120+'Sport Loisir Culture - AME'!I120+'Transport - AME'!I120</f>
        <v>4224.1384738896304</v>
      </c>
      <c r="D96" s="86">
        <f>'Bureaux - AME'!J120+'CaHoREs - AME'!J120+'Commerce - AME'!J120+'Enseignement - AME'!J120+'Hab. com. - AME'!J120+'Santé social - AME'!J120+'Sport Loisir Culture - AME'!J120+'Transport - AME'!J120</f>
        <v>4390.2421036627393</v>
      </c>
      <c r="E96" s="86">
        <f>'Bureaux - AME'!K120+'CaHoREs - AME'!K120+'Commerce - AME'!K120+'Enseignement - AME'!K120+'Hab. com. - AME'!K120+'Santé social - AME'!K120+'Sport Loisir Culture - AME'!K120+'Transport - AME'!K120</f>
        <v>4440.7373365350504</v>
      </c>
      <c r="O96" s="197"/>
      <c r="X96" s="126" t="s">
        <v>21</v>
      </c>
      <c r="Y96" s="86">
        <f>'Bureaux - AMS'!H120+'CaHoREs - AMS'!H120+'Commerce - AMS'!H120+'Enseignement - AMS'!H120+'Hab. com. - AMS'!H120+'Santé social - AMS'!H120+'Sport Loisir Culture - AMS'!H120+'Transport - AMS'!H120</f>
        <v>1107.2776235205401</v>
      </c>
      <c r="Z96" s="86">
        <f>'Bureaux - AMS'!I120+'CaHoREs - AMS'!I120+'Commerce - AMS'!I120+'Enseignement - AMS'!I120+'Hab. com. - AMS'!I120+'Santé social - AMS'!I120+'Sport Loisir Culture - AMS'!I120+'Transport - AMS'!I120</f>
        <v>3835.676423366956</v>
      </c>
      <c r="AA96" s="86">
        <f>'Bureaux - AMS'!J120+'CaHoREs - AMS'!J120+'Commerce - AMS'!J120+'Enseignement - AMS'!J120+'Hab. com. - AMS'!J120+'Santé social - AMS'!J120+'Sport Loisir Culture - AMS'!J120+'Transport - AMS'!J120</f>
        <v>3777.8983372140533</v>
      </c>
      <c r="AB96" s="86">
        <f>'Bureaux - AMS'!K120+'CaHoREs - AMS'!K120+'Commerce - AMS'!K120+'Enseignement - AMS'!K120+'Hab. com. - AMS'!K120+'Santé social - AMS'!K120+'Sport Loisir Culture - AMS'!K120+'Transport - AMS'!K120</f>
        <v>3973.4609911112834</v>
      </c>
    </row>
    <row r="97" spans="1:30">
      <c r="A97" s="126" t="s">
        <v>22</v>
      </c>
      <c r="B97" s="86">
        <f>'Bureaux - AME'!H121+'CaHoREs - AME'!H121+'Commerce - AME'!H121+'Enseignement - AME'!H121+'Hab. com. - AME'!H121+'Santé social - AME'!H121+'Sport Loisir Culture - AME'!H121+'Transport - AME'!H121</f>
        <v>708.97187141229813</v>
      </c>
      <c r="C97" s="86">
        <f>'Bureaux - AME'!I121+'CaHoREs - AME'!I121+'Commerce - AME'!I121+'Enseignement - AME'!I121+'Hab. com. - AME'!I121+'Santé social - AME'!I121+'Sport Loisir Culture - AME'!I121+'Transport - AME'!I121</f>
        <v>616.22780565943071</v>
      </c>
      <c r="D97" s="86">
        <f>'Bureaux - AME'!J121+'CaHoREs - AME'!J121+'Commerce - AME'!J121+'Enseignement - AME'!J121+'Hab. com. - AME'!J121+'Santé social - AME'!J121+'Sport Loisir Culture - AME'!J121+'Transport - AME'!J121</f>
        <v>556.38831119251608</v>
      </c>
      <c r="E97" s="86">
        <f>'Bureaux - AME'!K121+'CaHoREs - AME'!K121+'Commerce - AME'!K121+'Enseignement - AME'!K121+'Hab. com. - AME'!K121+'Santé social - AME'!K121+'Sport Loisir Culture - AME'!K121+'Transport - AME'!K121</f>
        <v>500.59991682758277</v>
      </c>
      <c r="O97" s="197"/>
      <c r="X97" s="126" t="s">
        <v>22</v>
      </c>
      <c r="Y97" s="86">
        <f>'Bureaux - AMS'!H121+'CaHoREs - AMS'!H121+'Commerce - AMS'!H121+'Enseignement - AMS'!H121+'Hab. com. - AMS'!H121+'Santé social - AMS'!H121+'Sport Loisir Culture - AMS'!H121+'Transport - AMS'!H121</f>
        <v>199.15889438550369</v>
      </c>
      <c r="Z97" s="86">
        <f>'Bureaux - AMS'!I121+'CaHoREs - AMS'!I121+'Commerce - AMS'!I121+'Enseignement - AMS'!I121+'Hab. com. - AMS'!I121+'Santé social - AMS'!I121+'Sport Loisir Culture - AMS'!I121+'Transport - AMS'!I121</f>
        <v>118.88593436240271</v>
      </c>
      <c r="AA97" s="86">
        <f>'Bureaux - AMS'!J121+'CaHoREs - AMS'!J121+'Commerce - AMS'!J121+'Enseignement - AMS'!J121+'Hab. com. - AMS'!J121+'Santé social - AMS'!J121+'Sport Loisir Culture - AMS'!J121+'Transport - AMS'!J121</f>
        <v>58.083950597720637</v>
      </c>
      <c r="AB97" s="86">
        <f>'Bureaux - AMS'!K121+'CaHoREs - AMS'!K121+'Commerce - AMS'!K121+'Enseignement - AMS'!K121+'Hab. com. - AMS'!K121+'Santé social - AMS'!K121+'Sport Loisir Culture - AMS'!K121+'Transport - AMS'!K121</f>
        <v>0</v>
      </c>
    </row>
    <row r="98" spans="1:30">
      <c r="A98" s="126" t="s">
        <v>42</v>
      </c>
      <c r="B98" s="86">
        <f>'Bureaux - AME'!H122+'CaHoREs - AME'!H122+'Commerce - AME'!H122+'Enseignement - AME'!H122+'Hab. com. - AME'!H122+'Santé social - AME'!H122+'Sport Loisir Culture - AME'!H122+'Transport - AME'!H122</f>
        <v>530.61015752548826</v>
      </c>
      <c r="C98" s="86">
        <f>'Bureaux - AME'!I122+'CaHoREs - AME'!I122+'Commerce - AME'!I122+'Enseignement - AME'!I122+'Hab. com. - AME'!I122+'Santé social - AME'!I122+'Sport Loisir Culture - AME'!I122+'Transport - AME'!I122</f>
        <v>527.1839624155906</v>
      </c>
      <c r="D98" s="86">
        <f>'Bureaux - AME'!J122+'CaHoREs - AME'!J122+'Commerce - AME'!J122+'Enseignement - AME'!J122+'Hab. com. - AME'!J122+'Santé social - AME'!J122+'Sport Loisir Culture - AME'!J122+'Transport - AME'!J122</f>
        <v>534.86436657800812</v>
      </c>
      <c r="E98" s="86">
        <f>'Bureaux - AME'!K122+'CaHoREs - AME'!K122+'Commerce - AME'!K122+'Enseignement - AME'!K122+'Hab. com. - AME'!K122+'Santé social - AME'!K122+'Sport Loisir Culture - AME'!K122+'Transport - AME'!K122</f>
        <v>527.68791058836337</v>
      </c>
      <c r="O98" s="197"/>
      <c r="X98" s="126" t="s">
        <v>42</v>
      </c>
      <c r="Y98" s="86">
        <f>'Bureaux - AMS'!H122+'CaHoREs - AMS'!H122+'Commerce - AMS'!H122+'Enseignement - AMS'!H122+'Hab. com. - AMS'!H122+'Santé social - AMS'!H122+'Sport Loisir Culture - AMS'!H122+'Transport - AMS'!H122</f>
        <v>156.05568044239973</v>
      </c>
      <c r="Z98" s="86">
        <f>'Bureaux - AMS'!I122+'CaHoREs - AMS'!I122+'Commerce - AMS'!I122+'Enseignement - AMS'!I122+'Hab. com. - AMS'!I122+'Santé social - AMS'!I122+'Sport Loisir Culture - AMS'!I122+'Transport - AMS'!I122</f>
        <v>205.45634802303132</v>
      </c>
      <c r="AA98" s="86">
        <f>'Bureaux - AMS'!J122+'CaHoREs - AMS'!J122+'Commerce - AMS'!J122+'Enseignement - AMS'!J122+'Hab. com. - AMS'!J122+'Santé social - AMS'!J122+'Sport Loisir Culture - AMS'!J122+'Transport - AMS'!J122</f>
        <v>229.44925736638757</v>
      </c>
      <c r="AB98" s="86">
        <f>'Bureaux - AMS'!K122+'CaHoREs - AMS'!K122+'Commerce - AMS'!K122+'Enseignement - AMS'!K122+'Hab. com. - AMS'!K122+'Santé social - AMS'!K122+'Sport Loisir Culture - AMS'!K122+'Transport - AMS'!K122</f>
        <v>234.79038042973593</v>
      </c>
    </row>
    <row r="99" spans="1:30">
      <c r="A99" s="126" t="s">
        <v>48</v>
      </c>
      <c r="B99" s="86">
        <f>'Bureaux - AME'!H123+'CaHoREs - AME'!H123+'Commerce - AME'!H123+'Enseignement - AME'!H123+'Hab. com. - AME'!H123+'Santé social - AME'!H123+'Sport Loisir Culture - AME'!H123+'Transport - AME'!H123</f>
        <v>9495.1339068169</v>
      </c>
      <c r="C99" s="86">
        <f>'Bureaux - AME'!I123+'CaHoREs - AME'!I123+'Commerce - AME'!I123+'Enseignement - AME'!I123+'Hab. com. - AME'!I123+'Santé social - AME'!I123+'Sport Loisir Culture - AME'!I123+'Transport - AME'!I123</f>
        <v>8677.782470974269</v>
      </c>
      <c r="D99" s="86">
        <f>'Bureaux - AME'!J123+'CaHoREs - AME'!J123+'Commerce - AME'!J123+'Enseignement - AME'!J123+'Hab. com. - AME'!J123+'Santé social - AME'!J123+'Sport Loisir Culture - AME'!J123+'Transport - AME'!J123</f>
        <v>8166.3132536765406</v>
      </c>
      <c r="E99" s="86">
        <f>'Bureaux - AME'!K123+'CaHoREs - AME'!K123+'Commerce - AME'!K123+'Enseignement - AME'!K123+'Hab. com. - AME'!K123+'Santé social - AME'!K123+'Sport Loisir Culture - AME'!K123+'Transport - AME'!K123</f>
        <v>7558.2575737949664</v>
      </c>
      <c r="O99" s="197"/>
      <c r="X99" s="126" t="s">
        <v>48</v>
      </c>
      <c r="Y99" s="86">
        <f>'Bureaux - AMS'!H123+'CaHoREs - AMS'!H123+'Commerce - AMS'!H123+'Enseignement - AMS'!H123+'Hab. com. - AMS'!H123+'Santé social - AMS'!H123+'Sport Loisir Culture - AMS'!H123+'Transport - AMS'!H123</f>
        <v>3285.4309283778753</v>
      </c>
      <c r="Z99" s="86">
        <f>'Bureaux - AMS'!I123+'CaHoREs - AMS'!I123+'Commerce - AMS'!I123+'Enseignement - AMS'!I123+'Hab. com. - AMS'!I123+'Santé social - AMS'!I123+'Sport Loisir Culture - AMS'!I123+'Transport - AMS'!I123</f>
        <v>1701.9846022000484</v>
      </c>
      <c r="AA99" s="86">
        <f>'Bureaux - AMS'!J123+'CaHoREs - AMS'!J123+'Commerce - AMS'!J123+'Enseignement - AMS'!J123+'Hab. com. - AMS'!J123+'Santé social - AMS'!J123+'Sport Loisir Culture - AMS'!J123+'Transport - AMS'!J123</f>
        <v>826.40031155312886</v>
      </c>
      <c r="AB99" s="86">
        <f>'Bureaux - AMS'!K123+'CaHoREs - AMS'!K123+'Commerce - AMS'!K123+'Enseignement - AMS'!K123+'Hab. com. - AMS'!K123+'Santé social - AMS'!K123+'Sport Loisir Culture - AMS'!K123+'Transport - AMS'!K123</f>
        <v>322.973829094167</v>
      </c>
    </row>
    <row r="100" spans="1:30">
      <c r="A100" s="126" t="s">
        <v>49</v>
      </c>
      <c r="B100" s="86">
        <f>'Bureaux - AME'!H124+'CaHoREs - AME'!H124+'Commerce - AME'!H124+'Enseignement - AME'!H124+'Hab. com. - AME'!H124+'Santé social - AME'!H124+'Sport Loisir Culture - AME'!H124+'Transport - AME'!H124</f>
        <v>2050.0063851055588</v>
      </c>
      <c r="C100" s="86">
        <f>'Bureaux - AME'!I124+'CaHoREs - AME'!I124+'Commerce - AME'!I124+'Enseignement - AME'!I124+'Hab. com. - AME'!I124+'Santé social - AME'!I124+'Sport Loisir Culture - AME'!I124+'Transport - AME'!I124</f>
        <v>2436.7650414882064</v>
      </c>
      <c r="D100" s="86">
        <f>'Bureaux - AME'!J124+'CaHoREs - AME'!J124+'Commerce - AME'!J124+'Enseignement - AME'!J124+'Hab. com. - AME'!J124+'Santé social - AME'!J124+'Sport Loisir Culture - AME'!J124+'Transport - AME'!J124</f>
        <v>2714.5354495334532</v>
      </c>
      <c r="E100" s="86">
        <f>'Bureaux - AME'!K124+'CaHoREs - AME'!K124+'Commerce - AME'!K124+'Enseignement - AME'!K124+'Hab. com. - AME'!K124+'Santé social - AME'!K124+'Sport Loisir Culture - AME'!K124+'Transport - AME'!K124</f>
        <v>2809.9948288475089</v>
      </c>
      <c r="O100" s="197"/>
      <c r="X100" s="126" t="s">
        <v>49</v>
      </c>
      <c r="Y100" s="86">
        <f>'Bureaux - AMS'!H124+'CaHoREs - AMS'!H124+'Commerce - AMS'!H124+'Enseignement - AMS'!H124+'Hab. com. - AMS'!H124+'Santé social - AMS'!H124+'Sport Loisir Culture - AMS'!H124+'Transport - AMS'!H124</f>
        <v>757.13660869024568</v>
      </c>
      <c r="Z100" s="86">
        <f>'Bureaux - AMS'!I124+'CaHoREs - AMS'!I124+'Commerce - AMS'!I124+'Enseignement - AMS'!I124+'Hab. com. - AMS'!I124+'Santé social - AMS'!I124+'Sport Loisir Culture - AMS'!I124+'Transport - AMS'!I124</f>
        <v>1882.9396218424897</v>
      </c>
      <c r="AA100" s="86">
        <f>'Bureaux - AMS'!J124+'CaHoREs - AMS'!J124+'Commerce - AMS'!J124+'Enseignement - AMS'!J124+'Hab. com. - AMS'!J124+'Santé social - AMS'!J124+'Sport Loisir Culture - AMS'!J124+'Transport - AMS'!J124</f>
        <v>2570.2215247069421</v>
      </c>
      <c r="AB100" s="86">
        <f>'Bureaux - AMS'!K124+'CaHoREs - AMS'!K124+'Commerce - AMS'!K124+'Enseignement - AMS'!K124+'Hab. com. - AMS'!K124+'Santé social - AMS'!K124+'Sport Loisir Culture - AMS'!K124+'Transport - AMS'!K124</f>
        <v>2672.018880711596</v>
      </c>
    </row>
    <row r="101" spans="1:30">
      <c r="A101" s="12" t="s">
        <v>17</v>
      </c>
      <c r="B101" s="13">
        <f>SUM(B94:B100)</f>
        <v>59136.415137282122</v>
      </c>
      <c r="C101" s="13">
        <f t="shared" ref="C101:E101" si="43">SUM(C94:C100)</f>
        <v>49724.929218618563</v>
      </c>
      <c r="D101" s="13">
        <f t="shared" si="43"/>
        <v>43220.735588850272</v>
      </c>
      <c r="E101" s="13">
        <f t="shared" si="43"/>
        <v>36992.698680901412</v>
      </c>
      <c r="O101" s="197"/>
      <c r="X101" s="12" t="s">
        <v>17</v>
      </c>
      <c r="Y101" s="13">
        <f>SUM(Y94:Y100)</f>
        <v>18321.173071522797</v>
      </c>
      <c r="Z101" s="13">
        <f t="shared" ref="Z101:AB101" si="44">SUM(Z94:Z100)</f>
        <v>14379.600937883215</v>
      </c>
      <c r="AA101" s="13">
        <f t="shared" si="44"/>
        <v>12094.217925944602</v>
      </c>
      <c r="AB101" s="13">
        <f t="shared" si="44"/>
        <v>10139.588311061461</v>
      </c>
    </row>
    <row r="102" spans="1:30">
      <c r="A102" s="195" t="s">
        <v>113</v>
      </c>
      <c r="B102" s="196">
        <f>B101/$B101-1</f>
        <v>0</v>
      </c>
      <c r="C102" s="196">
        <f>C101/$B101-1</f>
        <v>-0.15914873934808671</v>
      </c>
      <c r="D102" s="196">
        <f>D101/$B101-1</f>
        <v>-0.26913500778639399</v>
      </c>
      <c r="E102" s="196">
        <f>E101/$B101-1</f>
        <v>-0.37445145102176414</v>
      </c>
      <c r="O102" s="197"/>
      <c r="X102" s="195" t="s">
        <v>113</v>
      </c>
      <c r="Y102" s="196">
        <f>Y101/$Y101-1</f>
        <v>0</v>
      </c>
      <c r="Z102" s="196">
        <f t="shared" ref="Z102" si="45">Z101/$Y101-1</f>
        <v>-0.21513754158930454</v>
      </c>
      <c r="AA102" s="196">
        <f t="shared" ref="AA102" si="46">AA101/$Y101-1</f>
        <v>-0.33987753520307917</v>
      </c>
      <c r="AB102" s="196">
        <f t="shared" ref="AB102" si="47">AB101/$Y101-1</f>
        <v>-0.44656446006605566</v>
      </c>
    </row>
    <row r="103" spans="1:30">
      <c r="O103" s="197"/>
    </row>
    <row r="104" spans="1:30">
      <c r="O104" s="197"/>
    </row>
    <row r="105" spans="1:30">
      <c r="O105" s="197"/>
    </row>
    <row r="106" spans="1:30">
      <c r="O106" s="197"/>
    </row>
    <row r="107" spans="1:30" ht="14.5" customHeight="1">
      <c r="A107" s="320" t="s">
        <v>213</v>
      </c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197"/>
      <c r="P107" s="320" t="s">
        <v>213</v>
      </c>
      <c r="Q107" s="320"/>
      <c r="R107" s="320"/>
      <c r="S107" s="320"/>
      <c r="T107" s="320"/>
      <c r="U107" s="320"/>
      <c r="V107" s="320"/>
      <c r="W107" s="320"/>
      <c r="X107" s="320"/>
      <c r="Y107" s="320"/>
      <c r="Z107" s="320"/>
      <c r="AA107" s="320"/>
      <c r="AB107" s="320"/>
      <c r="AC107" s="320"/>
      <c r="AD107" s="247"/>
    </row>
    <row r="108" spans="1:30" ht="14.5" customHeight="1">
      <c r="A108" s="320"/>
      <c r="B108" s="320"/>
      <c r="C108" s="320"/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197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  <c r="AA108" s="320"/>
      <c r="AB108" s="320"/>
      <c r="AC108" s="320"/>
      <c r="AD108" s="247"/>
    </row>
    <row r="109" spans="1:30">
      <c r="O109" s="197"/>
    </row>
    <row r="110" spans="1:30">
      <c r="O110" s="197"/>
    </row>
    <row r="111" spans="1:30">
      <c r="O111" s="197"/>
    </row>
    <row r="112" spans="1:30">
      <c r="O112" s="197"/>
    </row>
    <row r="113" spans="1:38">
      <c r="A113" s="306" t="s">
        <v>67</v>
      </c>
      <c r="B113" s="307"/>
      <c r="C113" s="307"/>
      <c r="D113" s="307"/>
      <c r="E113" s="307"/>
      <c r="O113" s="197"/>
      <c r="X113" s="306" t="s">
        <v>233</v>
      </c>
      <c r="Y113" s="307"/>
      <c r="Z113" s="307"/>
      <c r="AA113" s="307"/>
      <c r="AB113" s="307"/>
    </row>
    <row r="114" spans="1:38">
      <c r="A114" s="8" t="s">
        <v>20</v>
      </c>
      <c r="B114" s="9">
        <v>2020</v>
      </c>
      <c r="C114" s="9">
        <v>2030</v>
      </c>
      <c r="D114" s="9">
        <v>2040</v>
      </c>
      <c r="E114" s="9">
        <v>2050</v>
      </c>
      <c r="O114" s="197"/>
      <c r="X114" s="8" t="s">
        <v>20</v>
      </c>
      <c r="Y114" s="9">
        <v>2020</v>
      </c>
      <c r="Z114" s="9">
        <v>2021</v>
      </c>
      <c r="AA114" s="9">
        <v>2022</v>
      </c>
      <c r="AB114" s="9">
        <v>2023</v>
      </c>
    </row>
    <row r="115" spans="1:38">
      <c r="A115" s="126" t="s">
        <v>187</v>
      </c>
      <c r="B115" s="241">
        <f>'Hors chauffage - AME'!E6*1000</f>
        <v>126038.3237168944</v>
      </c>
      <c r="C115" s="241">
        <f>'Hors chauffage - AME'!F6*1000</f>
        <v>132977.00147980088</v>
      </c>
      <c r="D115" s="241">
        <f>'Hors chauffage - AME'!G6*1000</f>
        <v>127627.35484734952</v>
      </c>
      <c r="E115" s="241">
        <f>'Hors chauffage - AME'!H6*1000</f>
        <v>156415.81078459451</v>
      </c>
      <c r="O115" s="197"/>
      <c r="X115" s="126" t="s">
        <v>187</v>
      </c>
      <c r="Y115" s="241">
        <f>'Hors chauffage - AMS'!E6*1000</f>
        <v>126040.64317565247</v>
      </c>
      <c r="Z115" s="241">
        <f>'Hors chauffage - AMS'!F6*1000</f>
        <v>99604.109745900278</v>
      </c>
      <c r="AA115" s="241">
        <f>'Hors chauffage - AMS'!G6*1000</f>
        <v>83852.588768817528</v>
      </c>
      <c r="AB115" s="241">
        <f>'Hors chauffage - AMS'!H6*1000</f>
        <v>80836.136992930522</v>
      </c>
    </row>
    <row r="116" spans="1:38">
      <c r="A116" s="126" t="s">
        <v>83</v>
      </c>
      <c r="B116" s="241">
        <f>'Hors chauffage - AME'!E7*1000</f>
        <v>16622.667299714758</v>
      </c>
      <c r="C116" s="241">
        <f>'Hors chauffage - AME'!F7*1000</f>
        <v>16091.054633133164</v>
      </c>
      <c r="D116" s="241">
        <f>'Hors chauffage - AME'!G7*1000</f>
        <v>14677.776172421356</v>
      </c>
      <c r="E116" s="241">
        <f>'Hors chauffage - AME'!H7*1000</f>
        <v>13098.832361822148</v>
      </c>
      <c r="O116" s="197"/>
      <c r="X116" s="126" t="s">
        <v>83</v>
      </c>
      <c r="Y116" s="241">
        <f>'Hors chauffage - AMS'!E7*1000</f>
        <v>16622.667299714758</v>
      </c>
      <c r="Z116" s="241">
        <f>'Hors chauffage - AMS'!F7*1000</f>
        <v>7106.1282211367534</v>
      </c>
      <c r="AA116" s="241">
        <f>'Hors chauffage - AMS'!G7*1000</f>
        <v>4159.8601033615023</v>
      </c>
      <c r="AB116" s="241">
        <f>'Hors chauffage - AMS'!H7*1000</f>
        <v>1729.4935164669307</v>
      </c>
    </row>
    <row r="117" spans="1:38">
      <c r="A117" s="126" t="s">
        <v>188</v>
      </c>
      <c r="B117" s="241">
        <f>'Hors chauffage - AME'!E8*1000</f>
        <v>4805.7385594458628</v>
      </c>
      <c r="C117" s="241">
        <f>'Hors chauffage - AME'!F8*1000</f>
        <v>2342.6503007889901</v>
      </c>
      <c r="D117" s="241">
        <f>'Hors chauffage - AME'!G8*1000</f>
        <v>1802.6402538429354</v>
      </c>
      <c r="E117" s="241">
        <f>'Hors chauffage - AME'!H8*1000</f>
        <v>1267.8746156610418</v>
      </c>
      <c r="O117" s="197"/>
      <c r="X117" s="126" t="s">
        <v>188</v>
      </c>
      <c r="Y117" s="241">
        <f>'Hors chauffage - AMS'!E8*1000</f>
        <v>4805.7385594458628</v>
      </c>
      <c r="Z117" s="241">
        <f>'Hors chauffage - AMS'!F8*1000</f>
        <v>316.68465236610217</v>
      </c>
      <c r="AA117" s="241">
        <f>'Hors chauffage - AMS'!G8*1000</f>
        <v>0</v>
      </c>
      <c r="AB117" s="241">
        <f>'Hors chauffage - AMS'!H8*1000</f>
        <v>0</v>
      </c>
    </row>
    <row r="118" spans="1:38">
      <c r="A118" s="126" t="s">
        <v>142</v>
      </c>
      <c r="B118" s="241">
        <f>'Hors chauffage - AME'!E9*1000</f>
        <v>207.36389151432581</v>
      </c>
      <c r="C118" s="241">
        <f>'Hors chauffage - AME'!F9*1000</f>
        <v>257.61658554142861</v>
      </c>
      <c r="D118" s="241">
        <f>'Hors chauffage - AME'!G9*1000</f>
        <v>281.08264388711382</v>
      </c>
      <c r="E118" s="241">
        <f>'Hors chauffage - AME'!H9*1000</f>
        <v>298.20946871653484</v>
      </c>
      <c r="O118" s="197"/>
      <c r="X118" s="126" t="s">
        <v>142</v>
      </c>
      <c r="Y118" s="241">
        <f>'Hors chauffage - AMS'!E9*1000</f>
        <v>207.36389151432581</v>
      </c>
      <c r="Z118" s="241">
        <f>'Hors chauffage - AMS'!F9*1000</f>
        <v>553.50969674423072</v>
      </c>
      <c r="AA118" s="241">
        <f>'Hors chauffage - AMS'!G9*1000</f>
        <v>490.11247407717576</v>
      </c>
      <c r="AB118" s="241">
        <f>'Hors chauffage - AMS'!H9*1000</f>
        <v>418.0735980876164</v>
      </c>
    </row>
    <row r="119" spans="1:38">
      <c r="A119" s="126" t="s">
        <v>189</v>
      </c>
      <c r="B119" s="241">
        <f>'Hors chauffage - AME'!E10*1000</f>
        <v>1501.9816754550247</v>
      </c>
      <c r="C119" s="241">
        <f>'Hors chauffage - AME'!F10*1000</f>
        <v>1872.9210799054263</v>
      </c>
      <c r="D119" s="241">
        <f>'Hors chauffage - AME'!G10*1000</f>
        <v>1267.8746156610418</v>
      </c>
      <c r="E119" s="241">
        <f>'Hors chauffage - AME'!H10*1000</f>
        <v>1777.0959342149788</v>
      </c>
      <c r="O119" s="197"/>
      <c r="X119" s="126" t="s">
        <v>189</v>
      </c>
      <c r="Y119" s="241">
        <f>'Hors chauffage - AMS'!E10*1000</f>
        <v>1501.9816754550247</v>
      </c>
      <c r="Z119" s="241">
        <f>'Hors chauffage - AMS'!F10*1000</f>
        <v>1583.4232618305109</v>
      </c>
      <c r="AA119" s="241">
        <f>'Hors chauffage - AMS'!G10*1000</f>
        <v>0</v>
      </c>
      <c r="AB119" s="241">
        <f>'Hors chauffage - AMS'!H10*1000</f>
        <v>1435.1780232858473</v>
      </c>
    </row>
    <row r="120" spans="1:38">
      <c r="A120" s="248" t="s">
        <v>215</v>
      </c>
      <c r="B120" s="241">
        <v>0</v>
      </c>
      <c r="C120" s="241">
        <v>0</v>
      </c>
      <c r="D120" s="241">
        <v>0</v>
      </c>
      <c r="E120" s="241">
        <v>0</v>
      </c>
      <c r="O120" s="197"/>
      <c r="X120" s="248" t="s">
        <v>215</v>
      </c>
      <c r="Y120" s="241">
        <f>'Hors chauffage - AMS'!E11</f>
        <v>0</v>
      </c>
      <c r="Z120" s="241">
        <f>'Hors chauffage - AMS'!F11</f>
        <v>0.79171163091525543</v>
      </c>
      <c r="AA120" s="241">
        <f>'Hors chauffage - AMS'!G11</f>
        <v>1.0515472857999111</v>
      </c>
      <c r="AB120" s="241">
        <f>'Hors chauffage - AMS'!H11</f>
        <v>1.1959816860715395</v>
      </c>
    </row>
    <row r="121" spans="1:38">
      <c r="A121" s="248" t="s">
        <v>17</v>
      </c>
      <c r="B121" s="241">
        <f>'Hors chauffage - AME'!E5*1000</f>
        <v>149176.07514302438</v>
      </c>
      <c r="C121" s="241">
        <f>'Hors chauffage - AME'!F5*1000</f>
        <v>153541.2440791699</v>
      </c>
      <c r="D121" s="241">
        <f>'Hors chauffage - AME'!G5*1000</f>
        <v>145656.72853316195</v>
      </c>
      <c r="E121" s="241">
        <f>'Hors chauffage - AME'!H5*1000</f>
        <v>172857.82316500918</v>
      </c>
      <c r="O121" s="197"/>
      <c r="X121" s="248" t="s">
        <v>17</v>
      </c>
      <c r="Y121" s="241">
        <f>'Hors chauffage - AMS'!E5*1000</f>
        <v>149178.39460178243</v>
      </c>
      <c r="Z121" s="241">
        <f>'Hors chauffage - AMS'!F5*1000</f>
        <v>109955.56720889313</v>
      </c>
      <c r="AA121" s="241">
        <f>'Hors chauffage - AMS'!G5*1000</f>
        <v>89554.108632056115</v>
      </c>
      <c r="AB121" s="241">
        <f>'Hors chauffage - AMS'!H5*1000</f>
        <v>85614.863816842437</v>
      </c>
    </row>
    <row r="122" spans="1:38">
      <c r="B122" s="249"/>
      <c r="C122" s="249"/>
      <c r="D122" s="249"/>
      <c r="E122" s="249"/>
      <c r="O122" s="197"/>
      <c r="Y122" s="249"/>
      <c r="Z122" s="249"/>
      <c r="AA122" s="249"/>
      <c r="AB122" s="249"/>
    </row>
    <row r="123" spans="1:38">
      <c r="A123" s="306" t="s">
        <v>107</v>
      </c>
      <c r="B123" s="307"/>
      <c r="C123" s="307"/>
      <c r="D123" s="307"/>
      <c r="E123" s="307"/>
      <c r="O123" s="197"/>
      <c r="X123" s="306" t="s">
        <v>107</v>
      </c>
      <c r="Y123" s="307"/>
      <c r="Z123" s="307"/>
      <c r="AA123" s="307"/>
      <c r="AB123" s="307"/>
    </row>
    <row r="124" spans="1:38" ht="18.5">
      <c r="A124" s="8" t="s">
        <v>190</v>
      </c>
      <c r="B124" s="240">
        <f>B121/$B121-1</f>
        <v>0</v>
      </c>
      <c r="C124" s="240">
        <f t="shared" ref="C124:E124" si="48">C121/$B121-1</f>
        <v>2.9261856715028678E-2</v>
      </c>
      <c r="D124" s="240">
        <f t="shared" si="48"/>
        <v>-2.3591897068536039E-2</v>
      </c>
      <c r="E124" s="201">
        <f t="shared" si="48"/>
        <v>0.15875030898406206</v>
      </c>
      <c r="O124" s="197"/>
      <c r="X124" s="8" t="s">
        <v>190</v>
      </c>
      <c r="Y124" s="240">
        <f>Y121/$B121-1</f>
        <v>1.5548463490722142E-5</v>
      </c>
      <c r="Z124" s="240">
        <f t="shared" ref="Z124:AB124" si="49">Z121/$B121-1</f>
        <v>-0.26291419650589487</v>
      </c>
      <c r="AA124" s="240">
        <f t="shared" si="49"/>
        <v>-0.39967512520895176</v>
      </c>
      <c r="AB124" s="201">
        <f t="shared" si="49"/>
        <v>-0.4260818047749404</v>
      </c>
    </row>
    <row r="125" spans="1:38">
      <c r="O125" s="197"/>
    </row>
    <row r="126" spans="1:38">
      <c r="O126" s="197"/>
    </row>
    <row r="127" spans="1:38">
      <c r="O127" s="197"/>
      <c r="AI127" s="16" t="s">
        <v>191</v>
      </c>
      <c r="AJ127" s="16">
        <v>2019</v>
      </c>
      <c r="AK127" s="16" t="s">
        <v>192</v>
      </c>
      <c r="AL127" s="16" t="s">
        <v>170</v>
      </c>
    </row>
    <row r="128" spans="1:38" ht="15" customHeight="1" thickBot="1">
      <c r="A128" s="320" t="s">
        <v>230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197"/>
      <c r="P128" s="320" t="s">
        <v>235</v>
      </c>
      <c r="Q128" s="320"/>
      <c r="R128" s="320"/>
      <c r="S128" s="320"/>
      <c r="T128" s="320"/>
      <c r="U128" s="320"/>
      <c r="V128" s="320"/>
      <c r="W128" s="320"/>
      <c r="X128" s="320"/>
      <c r="Y128" s="320"/>
      <c r="Z128" s="320"/>
      <c r="AA128" s="320"/>
      <c r="AB128" s="320"/>
      <c r="AC128" s="320"/>
      <c r="AD128" s="247"/>
      <c r="AK128" s="242">
        <v>22.4</v>
      </c>
      <c r="AL128">
        <f>AK128/86000*1000000</f>
        <v>260.46511627906972</v>
      </c>
    </row>
    <row r="129" spans="1:38" ht="14.5" customHeight="1">
      <c r="A129" s="320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197"/>
      <c r="P129" s="320"/>
      <c r="Q129" s="320"/>
      <c r="R129" s="320"/>
      <c r="S129" s="320"/>
      <c r="T129" s="320"/>
      <c r="U129" s="320"/>
      <c r="V129" s="320"/>
      <c r="W129" s="320"/>
      <c r="X129" s="320"/>
      <c r="Y129" s="320"/>
      <c r="Z129" s="320"/>
      <c r="AA129" s="320"/>
      <c r="AB129" s="320"/>
      <c r="AC129" s="320"/>
      <c r="AD129" s="247"/>
      <c r="AI129" t="s">
        <v>193</v>
      </c>
      <c r="AJ129" s="173">
        <v>0.43</v>
      </c>
      <c r="AK129">
        <f>AK$128*AJ129</f>
        <v>9.6319999999999997</v>
      </c>
      <c r="AL129" s="107">
        <f>AK129/86000*1000000</f>
        <v>112</v>
      </c>
    </row>
    <row r="130" spans="1:38">
      <c r="O130" s="197"/>
    </row>
    <row r="131" spans="1:38">
      <c r="A131" s="321" t="s">
        <v>225</v>
      </c>
      <c r="B131" s="322"/>
      <c r="C131" s="322"/>
      <c r="D131" s="322"/>
      <c r="E131" s="322"/>
      <c r="O131" s="197"/>
      <c r="X131" s="321" t="s">
        <v>234</v>
      </c>
      <c r="Y131" s="322"/>
      <c r="Z131" s="322"/>
      <c r="AA131" s="322"/>
      <c r="AB131" s="322"/>
      <c r="AI131" t="s">
        <v>194</v>
      </c>
      <c r="AJ131" s="173">
        <v>0.3</v>
      </c>
      <c r="AK131">
        <f>AK$128*AJ131</f>
        <v>6.72</v>
      </c>
      <c r="AL131" s="107">
        <f>AK131/86000*1000000</f>
        <v>78.139534883720927</v>
      </c>
    </row>
    <row r="132" spans="1:38">
      <c r="A132" s="8" t="s">
        <v>20</v>
      </c>
      <c r="B132" s="9">
        <v>2020</v>
      </c>
      <c r="C132" s="9">
        <v>2030</v>
      </c>
      <c r="D132" s="9">
        <v>2040</v>
      </c>
      <c r="E132" s="9">
        <v>2050</v>
      </c>
      <c r="O132" s="197"/>
      <c r="X132" s="8" t="s">
        <v>20</v>
      </c>
      <c r="Y132" s="9">
        <v>2020</v>
      </c>
      <c r="Z132" s="9">
        <v>2030</v>
      </c>
      <c r="AA132" s="9">
        <v>2040</v>
      </c>
      <c r="AB132" s="9">
        <v>2050</v>
      </c>
      <c r="AI132" t="s">
        <v>185</v>
      </c>
      <c r="AJ132" s="173">
        <v>0.1</v>
      </c>
      <c r="AK132">
        <f>AK$128*AJ132</f>
        <v>2.2399999999999998</v>
      </c>
      <c r="AL132" s="107">
        <f>AK132/86000*1000000</f>
        <v>26.046511627906973</v>
      </c>
    </row>
    <row r="133" spans="1:38">
      <c r="A133" s="126" t="s">
        <v>15</v>
      </c>
      <c r="B133" s="266">
        <f>B36*'Init. énergie'!$I7*10^-6</f>
        <v>6.2747802430829847</v>
      </c>
      <c r="C133" s="266">
        <f>C36*'Init. énergie'!$I7*10^-6</f>
        <v>3.8013258380158481</v>
      </c>
      <c r="D133" s="266">
        <f>D36*'Init. énergie'!$I7*10^-6</f>
        <v>2.7160838443469504</v>
      </c>
      <c r="E133" s="266">
        <f>E36*'Init. énergie'!$I7*10^-6</f>
        <v>1.7548146602034314</v>
      </c>
      <c r="O133" s="197"/>
      <c r="X133" s="126" t="s">
        <v>15</v>
      </c>
      <c r="Y133" s="266">
        <f>Y36*'Init. énergie'!I7*10^-6</f>
        <v>6.2747802430829847</v>
      </c>
      <c r="Z133" s="266">
        <f>Z36*'Init. énergie'!J7*10^-6</f>
        <v>1.0459744696396589</v>
      </c>
      <c r="AA133" s="266">
        <f>AA36*'Init. énergie'!K7*10^-6</f>
        <v>0.15141934666521861</v>
      </c>
      <c r="AB133" s="266">
        <f>AB36*'Init. énergie'!L7*10^-6</f>
        <v>0</v>
      </c>
      <c r="AI133" t="s">
        <v>195</v>
      </c>
      <c r="AJ133" s="173">
        <v>0.09</v>
      </c>
      <c r="AK133">
        <f>AK$128*AJ133</f>
        <v>2.016</v>
      </c>
      <c r="AL133" s="107">
        <f>AK133/86000*1000000</f>
        <v>23.441860465116278</v>
      </c>
    </row>
    <row r="134" spans="1:38">
      <c r="A134" s="126" t="s">
        <v>16</v>
      </c>
      <c r="B134" s="266">
        <f>B37*'Init. énergie'!$I8*10^-6</f>
        <v>15.265040581937656</v>
      </c>
      <c r="C134" s="266">
        <f>C37*'Init. énergie'!$I8*10^-6</f>
        <v>12.242347259591348</v>
      </c>
      <c r="D134" s="266">
        <f>D37*'Init. énergie'!$I8*10^-6</f>
        <v>10.530650117196451</v>
      </c>
      <c r="E134" s="266">
        <f>E37*'Init. énergie'!$I8*10^-6</f>
        <v>8.8289230397925742</v>
      </c>
      <c r="O134" s="197"/>
      <c r="X134" s="126" t="s">
        <v>16</v>
      </c>
      <c r="Y134" s="266">
        <f>Y37*'Init. énergie'!I8*10^-6</f>
        <v>15.265040581937656</v>
      </c>
      <c r="Z134" s="266">
        <f>Z37*'Init. énergie'!J8*10^-6</f>
        <v>6.0668600613747223</v>
      </c>
      <c r="AA134" s="266">
        <f>AA37*'Init. énergie'!K8*10^-6</f>
        <v>2.8234122137779991</v>
      </c>
      <c r="AB134" s="266">
        <f>AB37*'Init. énergie'!L8*10^-6</f>
        <v>0</v>
      </c>
      <c r="AI134" t="s">
        <v>196</v>
      </c>
      <c r="AJ134" s="173">
        <v>0.05</v>
      </c>
      <c r="AK134">
        <f>AK$128*AJ134</f>
        <v>1.1199999999999999</v>
      </c>
      <c r="AL134" s="107">
        <f>AK134/86000*1000000</f>
        <v>13.023255813953487</v>
      </c>
    </row>
    <row r="135" spans="1:38">
      <c r="A135" s="126" t="s">
        <v>21</v>
      </c>
      <c r="B135" s="266">
        <f>B38*'Init. énergie'!$I9*10^-6</f>
        <v>1.1993455627416734</v>
      </c>
      <c r="C135" s="266">
        <f>C38*'Init. énergie'!$I9*10^-6</f>
        <v>1.1909582173505371</v>
      </c>
      <c r="D135" s="266">
        <f>D38*'Init. énergie'!$I9*10^-6</f>
        <v>1.1237716066587271</v>
      </c>
      <c r="E135" s="266">
        <f>E38*'Init. énergie'!$I9*10^-6</f>
        <v>1.1814906030605532</v>
      </c>
      <c r="O135" s="197"/>
      <c r="X135" s="126" t="s">
        <v>21</v>
      </c>
      <c r="Y135" s="266">
        <f>Y38*'Init. énergie'!I9*10^-6</f>
        <v>1.1993455627416734</v>
      </c>
      <c r="Z135" s="266">
        <f>Z38*'Init. énergie'!J9*10^-6</f>
        <v>2.1851911537755599</v>
      </c>
      <c r="AA135" s="266">
        <f>AA38*'Init. énergie'!K9*10^-6</f>
        <v>1.3667507382514372</v>
      </c>
      <c r="AB135" s="266">
        <f>AB38*'Init. énergie'!L9*10^-6</f>
        <v>0.94772874091732595</v>
      </c>
      <c r="AI135" t="s">
        <v>197</v>
      </c>
      <c r="AJ135" s="173">
        <v>0.04</v>
      </c>
      <c r="AK135">
        <f>AK$128*AJ135</f>
        <v>0.89599999999999991</v>
      </c>
      <c r="AL135" s="107">
        <f>AK135/86000*1000000</f>
        <v>10.41860465116279</v>
      </c>
    </row>
    <row r="136" spans="1:38">
      <c r="A136" s="126" t="s">
        <v>22</v>
      </c>
      <c r="B136" s="266">
        <f>B39*'Init. énergie'!$I10*10^-6</f>
        <v>0.25831875003696814</v>
      </c>
      <c r="C136" s="266">
        <f>C39*'Init. énergie'!$I10*10^-6</f>
        <v>0.20791862727780674</v>
      </c>
      <c r="D136" s="266">
        <f>D39*'Init. énergie'!$I10*10^-6</f>
        <v>0.18830835639785778</v>
      </c>
      <c r="E136" s="266">
        <f>E39*'Init. énergie'!$I10*10^-6</f>
        <v>0.16634416970579166</v>
      </c>
      <c r="O136" s="197"/>
      <c r="X136" s="126" t="s">
        <v>22</v>
      </c>
      <c r="Y136" s="266">
        <f>Y39*'Init. énergie'!I10*10^-6</f>
        <v>0.25831875003696814</v>
      </c>
      <c r="Z136" s="266">
        <f>Z39*'Init. énergie'!J10*10^-6</f>
        <v>0.12315974740315014</v>
      </c>
      <c r="AA136" s="266">
        <f>AA39*'Init. énergie'!K10*10^-6</f>
        <v>6.7271014598198176E-2</v>
      </c>
      <c r="AB136" s="266">
        <f>AB39*'Init. énergie'!L10*10^-6</f>
        <v>8.7730611439122384E-3</v>
      </c>
    </row>
    <row r="137" spans="1:38">
      <c r="A137" s="126" t="s">
        <v>42</v>
      </c>
      <c r="B137" s="266">
        <f>B40*'Init. énergie'!$I11*10^-6</f>
        <v>3.090051680594931E-3</v>
      </c>
      <c r="C137" s="266">
        <f>C40*'Init. énergie'!$I11*10^-6</f>
        <v>3.0079797033160591E-3</v>
      </c>
      <c r="D137" s="266">
        <f>D40*'Init. énergie'!$I11*10^-6</f>
        <v>3.0812083663454789E-3</v>
      </c>
      <c r="E137" s="266">
        <f>E40*'Init. énergie'!$I11*10^-6</f>
        <v>3.0347444535368064E-3</v>
      </c>
      <c r="O137" s="197"/>
      <c r="X137" s="126" t="s">
        <v>42</v>
      </c>
      <c r="Y137" s="266">
        <f>Y40*'Init. énergie'!I11*10^-6</f>
        <v>3.090051680594931E-3</v>
      </c>
      <c r="Z137" s="266">
        <f>Z40*'Init. énergie'!J11*10^-6</f>
        <v>4.251589217788977E-3</v>
      </c>
      <c r="AA137" s="266">
        <f>AA40*'Init. énergie'!K11*10^-6</f>
        <v>4.509117364348802E-3</v>
      </c>
      <c r="AB137" s="266">
        <f>AB40*'Init. énergie'!L11*10^-6</f>
        <v>4.2193753387185749E-3</v>
      </c>
      <c r="AI137" t="s">
        <v>198</v>
      </c>
      <c r="AJ137" s="173">
        <f>SUM(AJ131:AJ135)</f>
        <v>0.58000000000000007</v>
      </c>
      <c r="AK137" s="107">
        <f t="shared" ref="AK137" si="50">SUM(AK131:AK135)</f>
        <v>12.991999999999997</v>
      </c>
      <c r="AL137" s="107">
        <f>SUM(AL131:AL135)</f>
        <v>151.06976744186045</v>
      </c>
    </row>
    <row r="138" spans="1:38">
      <c r="A138" s="126" t="s">
        <v>214</v>
      </c>
      <c r="B138" s="266">
        <f>B41*'Init. énergie'!$I12*10^-6</f>
        <v>11.297675987070084</v>
      </c>
      <c r="C138" s="266">
        <f>C41*'Init. énergie'!$I12*10^-6</f>
        <v>11.727691298961194</v>
      </c>
      <c r="D138" s="266">
        <f>D41*'Init. énergie'!$I12*10^-6</f>
        <v>11.288590096915502</v>
      </c>
      <c r="E138" s="266">
        <f>E41*'Init. énergie'!$I12*10^-6</f>
        <v>13.499868924206885</v>
      </c>
      <c r="O138" s="197"/>
      <c r="X138" s="126" t="s">
        <v>214</v>
      </c>
      <c r="Y138" s="266">
        <f>Y41*'Init. énergie'!I12*10^-6</f>
        <v>11.297859224311974</v>
      </c>
      <c r="Z138" s="266">
        <f>Z41*'Init. énergie'!J12*10^-6</f>
        <v>7.8323475032285064</v>
      </c>
      <c r="AA138" s="266">
        <f>AA41*'Init. énergie'!K12*10^-6</f>
        <v>4.4830419329678008</v>
      </c>
      <c r="AB138" s="266">
        <f>AB41*'Init. énergie'!L12*10^-6</f>
        <v>4.6126247733637777</v>
      </c>
    </row>
    <row r="139" spans="1:38">
      <c r="A139" s="12" t="s">
        <v>17</v>
      </c>
      <c r="B139" s="267">
        <f>SUM(B133:B138)</f>
        <v>34.298251176549961</v>
      </c>
      <c r="C139" s="267">
        <f t="shared" ref="C139:E139" si="51">SUM(C133:C138)</f>
        <v>29.17324922090005</v>
      </c>
      <c r="D139" s="267">
        <f t="shared" si="51"/>
        <v>25.850485229881834</v>
      </c>
      <c r="E139" s="267">
        <f t="shared" si="51"/>
        <v>25.43447614142277</v>
      </c>
      <c r="O139" s="197"/>
      <c r="X139" s="12" t="s">
        <v>17</v>
      </c>
      <c r="Y139" s="267">
        <f>SUM(Y133:Y138)</f>
        <v>34.298434413791853</v>
      </c>
      <c r="Z139" s="267">
        <f t="shared" ref="Z139" si="52">SUM(Z133:Z138)</f>
        <v>17.257784524639387</v>
      </c>
      <c r="AA139" s="267">
        <f t="shared" ref="AA139" si="53">SUM(AA133:AA138)</f>
        <v>8.8964043636250025</v>
      </c>
      <c r="AB139" s="267">
        <f t="shared" ref="AB139" si="54">SUM(AB133:AB138)</f>
        <v>5.5733459507637342</v>
      </c>
    </row>
    <row r="140" spans="1:38">
      <c r="A140" s="195" t="s">
        <v>226</v>
      </c>
      <c r="B140" s="269">
        <f>SUM(B133:B137)</f>
        <v>23.000575189479875</v>
      </c>
      <c r="C140" s="269">
        <f t="shared" ref="C140:E140" si="55">SUM(C133:C137)</f>
        <v>17.445557921938857</v>
      </c>
      <c r="D140" s="269">
        <f t="shared" si="55"/>
        <v>14.561895132966333</v>
      </c>
      <c r="E140" s="269">
        <f t="shared" si="55"/>
        <v>11.934607217215886</v>
      </c>
      <c r="O140" s="197"/>
      <c r="X140" s="195" t="s">
        <v>226</v>
      </c>
      <c r="Y140" s="269">
        <f>SUM(Y133:Y137)</f>
        <v>23.000575189479875</v>
      </c>
      <c r="Z140" s="269">
        <f t="shared" ref="Z140:AB140" si="56">SUM(Z133:Z137)</f>
        <v>9.4254370214108807</v>
      </c>
      <c r="AA140" s="269">
        <f t="shared" si="56"/>
        <v>4.4133624306572017</v>
      </c>
      <c r="AB140" s="269">
        <f t="shared" si="56"/>
        <v>0.96072117739995666</v>
      </c>
    </row>
    <row r="141" spans="1:38">
      <c r="A141" s="268"/>
      <c r="O141" s="197"/>
      <c r="X141" s="268"/>
      <c r="Z141" s="272"/>
    </row>
    <row r="142" spans="1:38">
      <c r="A142" s="306" t="s">
        <v>107</v>
      </c>
      <c r="B142" s="307"/>
      <c r="C142" s="307"/>
      <c r="D142" s="307"/>
      <c r="E142" s="307"/>
      <c r="O142" s="197"/>
      <c r="X142" s="306" t="s">
        <v>107</v>
      </c>
      <c r="Y142" s="307"/>
      <c r="Z142" s="307"/>
      <c r="AA142" s="307"/>
      <c r="AB142" s="307"/>
    </row>
    <row r="143" spans="1:38" ht="18.5">
      <c r="A143" s="8" t="s">
        <v>190</v>
      </c>
      <c r="B143" s="240"/>
      <c r="C143" s="201">
        <f>C140/$B140-1</f>
        <v>-0.24151644999216371</v>
      </c>
      <c r="D143" s="240">
        <f t="shared" ref="D143:E143" si="57">D140/$B140-1</f>
        <v>-0.36688995762041943</v>
      </c>
      <c r="E143" s="240">
        <f t="shared" si="57"/>
        <v>-0.48111701038352295</v>
      </c>
      <c r="O143" s="197"/>
      <c r="X143" s="8" t="s">
        <v>190</v>
      </c>
      <c r="Y143" s="240">
        <f>Y139/$B139-1</f>
        <v>5.3424660326761853E-6</v>
      </c>
      <c r="Z143" s="201">
        <f>Z140/$B140-1</f>
        <v>-0.59020863853344252</v>
      </c>
      <c r="AA143" s="240">
        <f t="shared" ref="AA143:AB143" si="58">AA140/$B140-1</f>
        <v>-0.80811947552182051</v>
      </c>
      <c r="AB143" s="240">
        <f t="shared" si="58"/>
        <v>-0.95823055860623096</v>
      </c>
    </row>
    <row r="144" spans="1:38">
      <c r="O144" s="197"/>
    </row>
    <row r="145" spans="15:15">
      <c r="O145" s="197"/>
    </row>
  </sheetData>
  <mergeCells count="32">
    <mergeCell ref="A142:E142"/>
    <mergeCell ref="X142:AB142"/>
    <mergeCell ref="A1:N2"/>
    <mergeCell ref="P1:AC2"/>
    <mergeCell ref="Y7:AC7"/>
    <mergeCell ref="X56:AB56"/>
    <mergeCell ref="X80:AB80"/>
    <mergeCell ref="A3:N4"/>
    <mergeCell ref="P3:AC4"/>
    <mergeCell ref="X92:AB92"/>
    <mergeCell ref="B7:F7"/>
    <mergeCell ref="A56:E56"/>
    <mergeCell ref="A80:E80"/>
    <mergeCell ref="A92:E92"/>
    <mergeCell ref="P50:AC51"/>
    <mergeCell ref="A50:N51"/>
    <mergeCell ref="A34:E34"/>
    <mergeCell ref="X34:AB34"/>
    <mergeCell ref="A68:E68"/>
    <mergeCell ref="X68:AB68"/>
    <mergeCell ref="A29:E29"/>
    <mergeCell ref="X29:AB29"/>
    <mergeCell ref="A128:N129"/>
    <mergeCell ref="P128:AC129"/>
    <mergeCell ref="A131:E131"/>
    <mergeCell ref="A107:N108"/>
    <mergeCell ref="P107:AC108"/>
    <mergeCell ref="A113:E113"/>
    <mergeCell ref="A123:E123"/>
    <mergeCell ref="X113:AB113"/>
    <mergeCell ref="X123:AB123"/>
    <mergeCell ref="X131:AB131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B1589"/>
  <sheetViews>
    <sheetView showGridLines="0" topLeftCell="A25" zoomScale="145" zoomScaleNormal="145" workbookViewId="0">
      <selection activeCell="I48" sqref="I48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74481</v>
      </c>
      <c r="I7" s="10">
        <f t="shared" si="0"/>
        <v>75588.499064285381</v>
      </c>
      <c r="J7" s="10">
        <f t="shared" si="0"/>
        <v>76509.003660138405</v>
      </c>
      <c r="K7" s="10">
        <f t="shared" si="0"/>
        <v>75702.943896402183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2606.2113096947755</v>
      </c>
      <c r="J8" s="76">
        <f t="shared" si="0"/>
        <v>2441.502020159372</v>
      </c>
      <c r="K8" s="76">
        <f t="shared" si="0"/>
        <v>1539.5198865418247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74481</v>
      </c>
      <c r="I9" s="96">
        <f t="shared" si="1"/>
        <v>72982.287754590609</v>
      </c>
      <c r="J9" s="96">
        <f t="shared" si="1"/>
        <v>74067.501639979033</v>
      </c>
      <c r="K9" s="96">
        <f t="shared" si="1"/>
        <v>74163.424009860362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876.37658295615097</v>
      </c>
      <c r="I13" s="86">
        <f t="shared" ref="I13:K13" si="2">I129+I163</f>
        <v>292.55933805953907</v>
      </c>
      <c r="J13" s="86">
        <f t="shared" si="2"/>
        <v>0</v>
      </c>
      <c r="K13" s="86">
        <f t="shared" si="2"/>
        <v>0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4915.1977828396939</v>
      </c>
      <c r="I14" s="86">
        <f t="shared" si="3"/>
        <v>2804.4220416925496</v>
      </c>
      <c r="J14" s="86">
        <f t="shared" si="3"/>
        <v>2188.6683248192485</v>
      </c>
      <c r="K14" s="86">
        <f t="shared" si="3"/>
        <v>1374.5476151684902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217.82341031793447</v>
      </c>
      <c r="I15" s="86">
        <f t="shared" si="3"/>
        <v>535.10511613154347</v>
      </c>
      <c r="J15" s="86">
        <f t="shared" si="3"/>
        <v>527.82234340685534</v>
      </c>
      <c r="K15" s="86">
        <f t="shared" si="3"/>
        <v>583.70525704229544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27.214936388643864</v>
      </c>
      <c r="I16" s="86">
        <f t="shared" si="3"/>
        <v>14.694857417461041</v>
      </c>
      <c r="J16" s="86">
        <f t="shared" si="3"/>
        <v>6.7031843682992367</v>
      </c>
      <c r="K16" s="86">
        <f t="shared" si="3"/>
        <v>0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26.208309722728565</v>
      </c>
      <c r="I17" s="86">
        <f t="shared" si="3"/>
        <v>52.246664038715039</v>
      </c>
      <c r="J17" s="86">
        <f t="shared" si="3"/>
        <v>77.384220660621239</v>
      </c>
      <c r="K17" s="86">
        <f t="shared" si="3"/>
        <v>95.897438463003255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1075.7072340198747</v>
      </c>
      <c r="I18" s="86">
        <f t="shared" si="3"/>
        <v>578.33399447955662</v>
      </c>
      <c r="J18" s="86">
        <f t="shared" si="3"/>
        <v>413.50529290419547</v>
      </c>
      <c r="K18" s="86">
        <f t="shared" si="3"/>
        <v>242.17817333010123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212.58847367700912</v>
      </c>
      <c r="I19" s="86">
        <f t="shared" si="3"/>
        <v>472.67490819391912</v>
      </c>
      <c r="J19" s="86">
        <f t="shared" si="3"/>
        <v>747.33935116819976</v>
      </c>
      <c r="K19" s="86">
        <f t="shared" si="3"/>
        <v>834.23235305882042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7351.116729922036</v>
      </c>
      <c r="I20" s="13">
        <f t="shared" ref="I20:K20" si="4">SUM(I13:I19)</f>
        <v>4750.0369200132836</v>
      </c>
      <c r="J20" s="13">
        <f t="shared" si="4"/>
        <v>3961.4227173274198</v>
      </c>
      <c r="K20" s="13">
        <f t="shared" si="4"/>
        <v>3130.560837062711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-0.41207324481741148</v>
      </c>
      <c r="J23" s="193">
        <f t="shared" ref="J23:K23" si="5">J114/$G114-1</f>
        <v>-0.50277586471731683</v>
      </c>
      <c r="K23" s="193">
        <f t="shared" si="5"/>
        <v>-0.60170554095750384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-0.29124917937118877</v>
      </c>
      <c r="J24" s="193">
        <f t="shared" ref="J24:K24" si="6">J125/$G125-1</f>
        <v>-0.42854098126135587</v>
      </c>
      <c r="K24" s="193">
        <f t="shared" si="6"/>
        <v>-0.55573732383219354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74481</v>
      </c>
      <c r="H34" s="127">
        <f>'Init. parc'!C10</f>
        <v>74481</v>
      </c>
      <c r="I34" s="127">
        <f>'Init. parc'!D10</f>
        <v>75588.499064285381</v>
      </c>
      <c r="J34" s="127">
        <f>'Init. parc'!E10</f>
        <v>76509.003660138405</v>
      </c>
      <c r="K34" s="127">
        <f>'Init. parc'!F10</f>
        <v>75702.943896402183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parc'!N10</f>
        <v>2606.2113096947755</v>
      </c>
      <c r="J35" s="127">
        <f>'Init. parc'!O10</f>
        <v>2441.502020159372</v>
      </c>
      <c r="K35" s="127">
        <f>'Init. parc'!P10</f>
        <v>1539.5198865418247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74481</v>
      </c>
      <c r="H36" s="127">
        <f>H34-H35</f>
        <v>74481</v>
      </c>
      <c r="I36" s="127">
        <f>I34-I35</f>
        <v>72982.287754590609</v>
      </c>
      <c r="J36" s="127">
        <f>J34-J35</f>
        <v>74067.501639979033</v>
      </c>
      <c r="K36" s="127">
        <f>K34-K35</f>
        <v>74163.424009860362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0.11535851755011599</v>
      </c>
      <c r="H45" s="55">
        <f>'Init. énergie'!B57</f>
        <v>0.11535851755011599</v>
      </c>
      <c r="I45" s="47">
        <v>0.05</v>
      </c>
      <c r="J45" s="47">
        <v>0</v>
      </c>
      <c r="K45" s="47">
        <v>0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0.47397594912324764</v>
      </c>
      <c r="H46" s="55">
        <f>'Init. énergie'!B58</f>
        <v>0.47397594912324764</v>
      </c>
      <c r="I46" s="47">
        <v>0.35</v>
      </c>
      <c r="J46" s="47">
        <f t="shared" ref="J46:J49" si="8">H46+((K46-H46)/3*2)</f>
        <v>0.29132531637441589</v>
      </c>
      <c r="K46" s="47">
        <v>0.2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7.5347621054706812E-2</v>
      </c>
      <c r="H47" s="55">
        <f>'Init. énergie'!B59</f>
        <v>7.5347621054706812E-2</v>
      </c>
      <c r="I47" s="47">
        <v>0.23</v>
      </c>
      <c r="J47" s="47">
        <v>0.24</v>
      </c>
      <c r="K47" s="47">
        <v>0.28999999999999998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8.5578093947910449E-3</v>
      </c>
      <c r="H48" s="55">
        <f>'Init. énergie'!B60</f>
        <v>8.5578093947910449E-3</v>
      </c>
      <c r="I48" s="47">
        <f t="shared" ref="I48:I49" si="9">H48+((K48-H48)/3)</f>
        <v>5.7052062631940299E-3</v>
      </c>
      <c r="J48" s="47">
        <f t="shared" si="8"/>
        <v>2.852603131597015E-3</v>
      </c>
      <c r="K48" s="47">
        <v>0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7.8229288904559831E-3</v>
      </c>
      <c r="H49" s="55">
        <f>'Init. énergie'!B61</f>
        <v>7.8229288904559831E-3</v>
      </c>
      <c r="I49" s="47">
        <f t="shared" si="9"/>
        <v>1.8548619260303989E-2</v>
      </c>
      <c r="J49" s="47">
        <f t="shared" si="8"/>
        <v>2.9274309630151991E-2</v>
      </c>
      <c r="K49" s="47">
        <v>0.04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0.25511815548729244</v>
      </c>
      <c r="H50" s="55">
        <f>'Init. énergie'!B62</f>
        <v>0.25511815548729244</v>
      </c>
      <c r="I50" s="47">
        <f t="shared" ref="I50:J50" si="10">1-I45-I46-I47-I48-I49-I51</f>
        <v>0.17574617447650195</v>
      </c>
      <c r="J50" s="47">
        <f t="shared" si="10"/>
        <v>0.13654777086383518</v>
      </c>
      <c r="K50" s="47">
        <f>1-K45-K46-K47-K48-K49-K51</f>
        <v>9.0000000000000024E-2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6.3819018499390159E-2</v>
      </c>
      <c r="H51" s="55">
        <f>'Init. énergie'!B63</f>
        <v>6.3819018499390159E-2</v>
      </c>
      <c r="I51" s="47">
        <v>0.17</v>
      </c>
      <c r="J51" s="47">
        <v>0.3</v>
      </c>
      <c r="K51" s="125">
        <v>0.38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1">SUM(G45:G51)</f>
        <v>1</v>
      </c>
      <c r="H52" s="164">
        <f t="shared" si="11"/>
        <v>1</v>
      </c>
      <c r="I52" s="170">
        <f t="shared" si="11"/>
        <v>1</v>
      </c>
      <c r="J52" s="170">
        <f t="shared" si="11"/>
        <v>1</v>
      </c>
      <c r="K52" s="170"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2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-0.17537458159977576</v>
      </c>
      <c r="J55" s="157">
        <f t="shared" si="12"/>
        <v>-0.10966474741570745</v>
      </c>
      <c r="K55" s="157">
        <f t="shared" si="12"/>
        <v>-0.1307042734116495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0.11535851755011599</v>
      </c>
      <c r="H59" s="55">
        <f>H45</f>
        <v>0.11535851755011599</v>
      </c>
      <c r="I59" s="47">
        <v>0.05</v>
      </c>
      <c r="J59" s="47">
        <v>0</v>
      </c>
      <c r="K59" s="47">
        <v>0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3">H60</f>
        <v>0.47397594912324764</v>
      </c>
      <c r="H60" s="55">
        <f t="shared" ref="H60:H65" si="14">H46</f>
        <v>0.47397594912324764</v>
      </c>
      <c r="I60" s="47">
        <f t="shared" ref="I60:I63" si="15">H60+((K60-H60)/3)</f>
        <v>0.34931729941549844</v>
      </c>
      <c r="J60" s="47">
        <f t="shared" ref="J60:J63" si="16">H60+((K60-H60)/3*2)</f>
        <v>0.22465864970774924</v>
      </c>
      <c r="K60" s="47">
        <v>0.1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3"/>
        <v>7.5347621054706812E-2</v>
      </c>
      <c r="H61" s="55">
        <f t="shared" si="14"/>
        <v>7.5347621054706812E-2</v>
      </c>
      <c r="I61" s="47">
        <v>0.17</v>
      </c>
      <c r="J61" s="47">
        <f t="shared" si="16"/>
        <v>0.22511587368490227</v>
      </c>
      <c r="K61" s="47">
        <v>0.3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3"/>
        <v>8.5578093947910449E-3</v>
      </c>
      <c r="H62" s="55">
        <f t="shared" si="14"/>
        <v>8.5578093947910449E-3</v>
      </c>
      <c r="I62" s="47">
        <f t="shared" si="15"/>
        <v>5.7052062631940299E-3</v>
      </c>
      <c r="J62" s="47">
        <f t="shared" si="16"/>
        <v>2.852603131597015E-3</v>
      </c>
      <c r="K62" s="47">
        <v>0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3"/>
        <v>7.8229288904559831E-3</v>
      </c>
      <c r="H63" s="55">
        <f t="shared" si="14"/>
        <v>7.8229288904559831E-3</v>
      </c>
      <c r="I63" s="47">
        <f t="shared" si="15"/>
        <v>1.8548619260303989E-2</v>
      </c>
      <c r="J63" s="47">
        <f t="shared" si="16"/>
        <v>2.9274309630151991E-2</v>
      </c>
      <c r="K63" s="47">
        <v>0.04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3"/>
        <v>0.25511815548729244</v>
      </c>
      <c r="H64" s="55">
        <f t="shared" si="14"/>
        <v>0.25511815548729244</v>
      </c>
      <c r="I64" s="47">
        <f t="shared" ref="I64" si="17">1-I59-I60-I61-I62-I63-I65</f>
        <v>0.23642887506100338</v>
      </c>
      <c r="J64" s="47">
        <f t="shared" ref="J64" si="18">1-J59-J60-J61-J62-J63-J65</f>
        <v>0.26349222434580288</v>
      </c>
      <c r="K64" s="47">
        <f>1-K59-K60-K61-K62-K63-K65</f>
        <v>0.21000000000000008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3"/>
        <v>6.3819018499390159E-2</v>
      </c>
      <c r="H65" s="55">
        <f t="shared" si="14"/>
        <v>6.3819018499390159E-2</v>
      </c>
      <c r="I65" s="47">
        <v>0.17</v>
      </c>
      <c r="J65" s="47">
        <f t="shared" ref="J65" si="19">H65+((K65-H65)/3*2)</f>
        <v>0.25460633949979672</v>
      </c>
      <c r="K65" s="125">
        <v>0.35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20">SUM(G59:G65)</f>
        <v>1</v>
      </c>
      <c r="H66" s="164">
        <v>1</v>
      </c>
      <c r="I66" s="47">
        <f t="shared" ref="I66:J66" si="21">SUM(I59:I65)</f>
        <v>1</v>
      </c>
      <c r="J66" s="47">
        <f t="shared" si="21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-0.16512654749755057</v>
      </c>
      <c r="J69" s="157">
        <f t="shared" ref="J69:K69" si="22">(I$97*(J59-I59)+I$98*(J60-I60)+I$99*(J61-I61)+I$100*(J62-I62)+I$101*(J63-I63)+I$102*(J64-I64)+I$103*(J65-I65))/(I$97*I59+I$98*I60+I$99*I61+I$100*I62+I$101*I63+I$102*I64+I$103*I65)</f>
        <v>-0.1801939879337677</v>
      </c>
      <c r="K69" s="157">
        <f t="shared" si="22"/>
        <v>-0.19223494265200611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98" t="s">
        <v>92</v>
      </c>
      <c r="G72" s="199" t="s">
        <v>91</v>
      </c>
      <c r="H72" s="199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bord'!K10</f>
        <v>0.56999999999999995</v>
      </c>
      <c r="G73" s="92">
        <f>'Tableau de bord'!K23</f>
        <v>0.9484999999999999</v>
      </c>
      <c r="H73" s="92">
        <f>'Tableau de bord'!K26</f>
        <v>0.70663249999999977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104.06152506157621</v>
      </c>
      <c r="H77" s="54">
        <f>'Init. énergie'!D57</f>
        <v>101.99892608460068</v>
      </c>
      <c r="I77" s="81">
        <f>G77*60%/(1+I$55)</f>
        <v>75.715486866841346</v>
      </c>
      <c r="J77" s="81">
        <f>G77*50%/(1+I$55)/(1+J$55)</f>
        <v>70.867955494919002</v>
      </c>
      <c r="K77" s="81">
        <f>G77*40%/(1+I$55)/(1+J$55)/(1+K$55)</f>
        <v>65.218731280825068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23">H78/0.998^10</f>
        <v>142.04756107302694</v>
      </c>
      <c r="H78" s="54">
        <f>'Init. énergie'!D58</f>
        <v>139.23204252303717</v>
      </c>
      <c r="I78" s="81">
        <f t="shared" ref="I78:I83" si="24">G78*60%/(1+I$55)</f>
        <v>103.35424392951623</v>
      </c>
      <c r="J78" s="81">
        <f t="shared" ref="J78:J83" si="25">G78*50%/(1+I$55)/(1+J$55)</f>
        <v>96.737196868183062</v>
      </c>
      <c r="K78" s="81">
        <f t="shared" ref="K78:K83" si="26">G78*40%/(1+I$55)/(1+J$55)/(1+K$55)</f>
        <v>89.025811501767436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23"/>
        <v>39.598988850670324</v>
      </c>
      <c r="H79" s="54">
        <f>'Init. énergie'!D59</f>
        <v>38.81409900935455</v>
      </c>
      <c r="I79" s="81">
        <f t="shared" si="24"/>
        <v>28.812346527585198</v>
      </c>
      <c r="J79" s="81">
        <f t="shared" si="25"/>
        <v>26.967694139140573</v>
      </c>
      <c r="K79" s="81">
        <f t="shared" si="26"/>
        <v>24.817970054888772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23"/>
        <v>43.560594914425344</v>
      </c>
      <c r="H80" s="54">
        <f>'Init. énergie'!D60</f>
        <v>42.697182251063232</v>
      </c>
      <c r="I80" s="81">
        <f t="shared" si="24"/>
        <v>31.694823328827066</v>
      </c>
      <c r="J80" s="81">
        <f t="shared" si="25"/>
        <v>29.665626175486029</v>
      </c>
      <c r="K80" s="81">
        <f t="shared" si="26"/>
        <v>27.300837004605683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23"/>
        <v>45.890069780114466</v>
      </c>
      <c r="H81" s="54">
        <f>'Init. énergie'!D61</f>
        <v>44.980484696426807</v>
      </c>
      <c r="I81" s="81">
        <f t="shared" si="24"/>
        <v>33.389756432059549</v>
      </c>
      <c r="J81" s="81">
        <f t="shared" si="25"/>
        <v>31.252044604492362</v>
      </c>
      <c r="K81" s="81">
        <f t="shared" si="26"/>
        <v>28.760794421152443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23"/>
        <v>57.756625497419172</v>
      </c>
      <c r="H82" s="54">
        <f>'Init. énergie'!D62</f>
        <v>56.611833927297141</v>
      </c>
      <c r="I82" s="81">
        <f t="shared" si="24"/>
        <v>42.023899003356355</v>
      </c>
      <c r="J82" s="81">
        <f t="shared" si="25"/>
        <v>39.333403607777271</v>
      </c>
      <c r="K82" s="81">
        <f t="shared" si="26"/>
        <v>36.197949585829129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23"/>
        <v>45.628761543246171</v>
      </c>
      <c r="H83" s="54">
        <f>'Init. énergie'!D63</f>
        <v>44.724355838793251</v>
      </c>
      <c r="I83" s="81">
        <f t="shared" si="24"/>
        <v>33.199627752270437</v>
      </c>
      <c r="J83" s="81">
        <f t="shared" si="25"/>
        <v>31.074088530046211</v>
      </c>
      <c r="K83" s="81">
        <f t="shared" si="26"/>
        <v>28.597024077870476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7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7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7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7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7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7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104.06152506157621</v>
      </c>
      <c r="H97" s="54">
        <f>H77</f>
        <v>101.99892608460068</v>
      </c>
      <c r="I97" s="81">
        <f>$H97*(1+$G87)^(I$96-$H$96)</f>
        <v>90.908747943305542</v>
      </c>
      <c r="J97" s="81">
        <f>$H97*(1+$G87)^(J$96-$H$96)</f>
        <v>81.024386921140149</v>
      </c>
      <c r="K97" s="81">
        <f>$H97*(1+$G87)^(K$96-$H$96)</f>
        <v>72.214736474434801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8">G78</f>
        <v>142.04756107302694</v>
      </c>
      <c r="H98" s="54">
        <f t="shared" si="28"/>
        <v>139.23204252303717</v>
      </c>
      <c r="I98" s="81">
        <f t="shared" ref="I98:K103" si="29">$H98*(1+$G88)^(I$96-$H$96)</f>
        <v>125.28751750148025</v>
      </c>
      <c r="J98" s="81">
        <f t="shared" si="29"/>
        <v>112.73958032387927</v>
      </c>
      <c r="K98" s="81">
        <f t="shared" si="29"/>
        <v>101.44835834467114</v>
      </c>
      <c r="L98" s="67"/>
      <c r="M98" s="79">
        <f t="shared" ref="M98:M103" si="30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8"/>
        <v>39.598988850670324</v>
      </c>
      <c r="H99" s="54">
        <f t="shared" si="28"/>
        <v>38.81409900935455</v>
      </c>
      <c r="I99" s="81">
        <f t="shared" si="29"/>
        <v>35.979240289904872</v>
      </c>
      <c r="J99" s="81">
        <f t="shared" si="29"/>
        <v>33.351430662521018</v>
      </c>
      <c r="K99" s="81">
        <f t="shared" si="29"/>
        <v>30.915547918032161</v>
      </c>
      <c r="L99" s="67"/>
      <c r="M99" s="79">
        <f t="shared" si="30"/>
        <v>-0.223718729901353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8"/>
        <v>43.560594914425344</v>
      </c>
      <c r="H100" s="54">
        <f t="shared" si="28"/>
        <v>42.697182251063232</v>
      </c>
      <c r="I100" s="81">
        <f t="shared" si="29"/>
        <v>39.578715444164359</v>
      </c>
      <c r="J100" s="81">
        <f t="shared" si="29"/>
        <v>36.688011564770797</v>
      </c>
      <c r="K100" s="81">
        <f t="shared" si="29"/>
        <v>34.008435530850889</v>
      </c>
      <c r="L100" s="67"/>
      <c r="M100" s="79">
        <f t="shared" si="30"/>
        <v>-0.22371872990135291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8"/>
        <v>45.890069780114466</v>
      </c>
      <c r="H101" s="54">
        <f t="shared" si="28"/>
        <v>44.980484696426807</v>
      </c>
      <c r="I101" s="81">
        <f t="shared" si="29"/>
        <v>41.695252718840351</v>
      </c>
      <c r="J101" s="81">
        <f>$H101*(1+$G91)^(J$96-$H$96)</f>
        <v>38.649963668045302</v>
      </c>
      <c r="K101" s="81">
        <f>$H101*(1+$G91)^(K$96-$H$96)</f>
        <v>35.82709287348262</v>
      </c>
      <c r="L101" s="67"/>
      <c r="M101" s="79">
        <f t="shared" si="30"/>
        <v>-0.22371872990135289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8"/>
        <v>57.756625497419172</v>
      </c>
      <c r="H102" s="54">
        <f t="shared" si="28"/>
        <v>56.611833927297141</v>
      </c>
      <c r="I102" s="81">
        <f t="shared" si="29"/>
        <v>48.901301276683732</v>
      </c>
      <c r="J102" s="81">
        <f t="shared" si="29"/>
        <v>42.240943291539139</v>
      </c>
      <c r="K102" s="81">
        <f t="shared" si="29"/>
        <v>36.487726166292909</v>
      </c>
      <c r="L102" s="67"/>
      <c r="M102" s="79">
        <f t="shared" si="30"/>
        <v>-0.37569705582123541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8"/>
        <v>45.628761543246171</v>
      </c>
      <c r="H103" s="54">
        <f t="shared" si="28"/>
        <v>44.724355838793251</v>
      </c>
      <c r="I103" s="81">
        <f t="shared" si="29"/>
        <v>38.632897886458863</v>
      </c>
      <c r="J103" s="81">
        <f t="shared" si="29"/>
        <v>33.371096600814191</v>
      </c>
      <c r="K103" s="81">
        <f t="shared" si="29"/>
        <v>28.825952731110263</v>
      </c>
      <c r="L103" s="67"/>
      <c r="M103" s="79">
        <f t="shared" si="30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631.79903708000506</v>
      </c>
      <c r="H107" s="54">
        <f>H$36*H45*$H$73*H77/1000</f>
        <v>619.27617575576221</v>
      </c>
      <c r="I107" s="127">
        <f>I$36*I45*$H$73*I77/1000</f>
        <v>195.23865383867042</v>
      </c>
      <c r="J107" s="127">
        <f>J$36*J45*$H$73*J77/1000</f>
        <v>0</v>
      </c>
      <c r="K107" s="127">
        <f>K$36*K45*$H$73*K77/1000</f>
        <v>0</v>
      </c>
      <c r="L107" s="46"/>
      <c r="M107" s="79">
        <f>(K107-G107)/H107</f>
        <v>-1.0202217715043858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31">G$36*G46*$H$73*G78/1000</f>
        <v>3543.4735325547513</v>
      </c>
      <c r="H108" s="54">
        <f t="shared" si="31"/>
        <v>3473.2384972824693</v>
      </c>
      <c r="I108" s="127">
        <f t="shared" si="31"/>
        <v>1865.5523462670283</v>
      </c>
      <c r="J108" s="127">
        <f t="shared" si="31"/>
        <v>1475.0034268122045</v>
      </c>
      <c r="K108" s="127">
        <f t="shared" si="31"/>
        <v>933.10242274360792</v>
      </c>
      <c r="L108" s="46"/>
      <c r="M108" s="79">
        <f t="shared" ref="M108:M114" si="32">(K108-G108)/H108</f>
        <v>-0.75156690559935624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31"/>
        <v>157.03365832544111</v>
      </c>
      <c r="H109" s="54">
        <f t="shared" si="31"/>
        <v>153.92110099148778</v>
      </c>
      <c r="I109" s="127">
        <f t="shared" si="31"/>
        <v>341.75710043853275</v>
      </c>
      <c r="J109" s="127">
        <f t="shared" si="31"/>
        <v>338.74770326339603</v>
      </c>
      <c r="K109" s="127">
        <f t="shared" si="31"/>
        <v>377.17911258507479</v>
      </c>
      <c r="L109" s="46"/>
      <c r="M109" s="79">
        <f t="shared" si="32"/>
        <v>1.4302486978169957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31"/>
        <v>19.619842587007021</v>
      </c>
      <c r="H110" s="54">
        <f t="shared" si="31"/>
        <v>19.230958537648377</v>
      </c>
      <c r="I110" s="127">
        <f t="shared" si="31"/>
        <v>9.3254707992146635</v>
      </c>
      <c r="J110" s="127">
        <f t="shared" si="31"/>
        <v>4.4291070601079774</v>
      </c>
      <c r="K110" s="127">
        <f t="shared" si="31"/>
        <v>0</v>
      </c>
      <c r="L110" s="46"/>
      <c r="M110" s="79">
        <f t="shared" si="32"/>
        <v>-1.020221771504386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31"/>
        <v>18.894143417730877</v>
      </c>
      <c r="H111" s="54">
        <f t="shared" si="31"/>
        <v>18.519643420145986</v>
      </c>
      <c r="I111" s="127">
        <f t="shared" si="31"/>
        <v>31.940074049739934</v>
      </c>
      <c r="J111" s="127">
        <f t="shared" si="31"/>
        <v>47.883556668967664</v>
      </c>
      <c r="K111" s="127">
        <f t="shared" si="31"/>
        <v>60.289856394907218</v>
      </c>
      <c r="L111" s="46"/>
      <c r="M111" s="79">
        <f t="shared" si="32"/>
        <v>2.2352327222534631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31"/>
        <v>775.50086098975271</v>
      </c>
      <c r="H112" s="54">
        <f t="shared" si="31"/>
        <v>760.12969204354897</v>
      </c>
      <c r="I112" s="127">
        <f t="shared" si="31"/>
        <v>380.88450510480357</v>
      </c>
      <c r="J112" s="127">
        <f t="shared" si="31"/>
        <v>281.10427280007661</v>
      </c>
      <c r="K112" s="127">
        <f t="shared" si="31"/>
        <v>170.73000795165919</v>
      </c>
      <c r="L112" s="46"/>
      <c r="M112" s="79">
        <f t="shared" si="32"/>
        <v>-0.79561535270673955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31"/>
        <v>153.25967806029644</v>
      </c>
      <c r="H113" s="54">
        <f t="shared" si="31"/>
        <v>150.2219246255691</v>
      </c>
      <c r="I113" s="127">
        <f t="shared" si="31"/>
        <v>291.06716545020885</v>
      </c>
      <c r="J113" s="127">
        <f t="shared" si="31"/>
        <v>487.91139067387337</v>
      </c>
      <c r="K113" s="127">
        <f t="shared" si="31"/>
        <v>569.4922494988781</v>
      </c>
      <c r="L113" s="46"/>
      <c r="M113" s="79">
        <f t="shared" si="32"/>
        <v>2.7707844409266422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5299.5807530149832</v>
      </c>
      <c r="H114" s="161">
        <f>SUM(H107:H113)</f>
        <v>5194.537992656632</v>
      </c>
      <c r="I114" s="159">
        <f t="shared" ref="I114:J114" si="33">SUM(I107:I113)</f>
        <v>3115.7653159481983</v>
      </c>
      <c r="J114" s="159">
        <f t="shared" si="33"/>
        <v>2635.0794572786263</v>
      </c>
      <c r="K114" s="159">
        <f>SUM(K107:K113)</f>
        <v>2110.7936491741275</v>
      </c>
      <c r="L114" s="21"/>
      <c r="M114" s="79">
        <f t="shared" si="32"/>
        <v>-0.61387309291966907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262.2994328884796</v>
      </c>
      <c r="H118" s="162">
        <f>H$36*H45*(1-$H$73)*H97/1000</f>
        <v>257.10040720038882</v>
      </c>
      <c r="I118" s="158">
        <f t="shared" ref="I118:K118" si="34">I$36*I45*(1-$H$73)*I97/1000</f>
        <v>97.320684220868628</v>
      </c>
      <c r="J118" s="158">
        <f t="shared" si="34"/>
        <v>0</v>
      </c>
      <c r="K118" s="158">
        <f t="shared" si="34"/>
        <v>0</v>
      </c>
      <c r="L118" s="46"/>
      <c r="M118" s="79">
        <f>(K118-G118)/H118</f>
        <v>-1.0202217715043858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5">G$36*G46*(1-$H$73)*G98/1000</f>
        <v>1471.1182567483906</v>
      </c>
      <c r="H119" s="162">
        <f t="shared" si="35"/>
        <v>1441.959285557225</v>
      </c>
      <c r="I119" s="158">
        <f t="shared" si="35"/>
        <v>938.8696954255214</v>
      </c>
      <c r="J119" s="158">
        <f t="shared" si="35"/>
        <v>713.6648980070438</v>
      </c>
      <c r="K119" s="158">
        <f t="shared" si="35"/>
        <v>441.44519242488224</v>
      </c>
      <c r="L119" s="46"/>
      <c r="M119" s="79">
        <f t="shared" ref="M119:M125" si="36">(K119-G119)/H119</f>
        <v>-0.71407915232891317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5"/>
        <v>65.194527224248674</v>
      </c>
      <c r="H120" s="162">
        <f t="shared" si="35"/>
        <v>63.902309326446691</v>
      </c>
      <c r="I120" s="158">
        <f t="shared" si="35"/>
        <v>177.17779713283139</v>
      </c>
      <c r="J120" s="158">
        <f t="shared" si="35"/>
        <v>173.9263591371429</v>
      </c>
      <c r="K120" s="158">
        <f t="shared" si="35"/>
        <v>195.06381692429045</v>
      </c>
      <c r="L120" s="46"/>
      <c r="M120" s="79">
        <f t="shared" si="36"/>
        <v>2.0323098033374816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5"/>
        <v>8.1454280267943915</v>
      </c>
      <c r="H121" s="162">
        <f t="shared" si="35"/>
        <v>7.9839778509954851</v>
      </c>
      <c r="I121" s="158">
        <f t="shared" si="35"/>
        <v>4.8346219326862814</v>
      </c>
      <c r="J121" s="158">
        <f t="shared" si="35"/>
        <v>2.2740773081912597</v>
      </c>
      <c r="K121" s="158">
        <f t="shared" si="35"/>
        <v>0</v>
      </c>
      <c r="L121" s="46"/>
      <c r="M121" s="79">
        <f t="shared" si="36"/>
        <v>-1.0202217715043855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5"/>
        <v>7.8441447557268731</v>
      </c>
      <c r="H122" s="162">
        <f t="shared" si="35"/>
        <v>7.6886663025825781</v>
      </c>
      <c r="I122" s="158">
        <f t="shared" si="35"/>
        <v>16.558754604164413</v>
      </c>
      <c r="J122" s="158">
        <f t="shared" si="35"/>
        <v>24.585296354009326</v>
      </c>
      <c r="K122" s="158">
        <f t="shared" si="35"/>
        <v>31.179800571685501</v>
      </c>
      <c r="L122" s="46"/>
      <c r="M122" s="79">
        <f t="shared" si="36"/>
        <v>3.0350720004742979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5"/>
        <v>321.9590789220868</v>
      </c>
      <c r="H123" s="162">
        <f t="shared" si="35"/>
        <v>315.57754197632585</v>
      </c>
      <c r="I123" s="158">
        <f t="shared" si="35"/>
        <v>184.00760352248966</v>
      </c>
      <c r="J123" s="158">
        <f t="shared" si="35"/>
        <v>125.33083074096453</v>
      </c>
      <c r="K123" s="158">
        <f t="shared" si="35"/>
        <v>71.448165378442042</v>
      </c>
      <c r="L123" s="46"/>
      <c r="M123" s="79">
        <f t="shared" si="36"/>
        <v>-0.79381730390192884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5"/>
        <v>63.627711155875325</v>
      </c>
      <c r="H124" s="162">
        <f t="shared" si="35"/>
        <v>62.366549051440032</v>
      </c>
      <c r="I124" s="158">
        <f t="shared" si="35"/>
        <v>140.61630457726241</v>
      </c>
      <c r="J124" s="158">
        <f t="shared" si="35"/>
        <v>217.53614526032621</v>
      </c>
      <c r="K124" s="158">
        <f t="shared" si="35"/>
        <v>238.32469120166408</v>
      </c>
      <c r="L124" s="46"/>
      <c r="M124" s="79">
        <f t="shared" si="36"/>
        <v>2.8011327017901602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2200.1885797216023</v>
      </c>
      <c r="H125" s="163">
        <f>SUM(H118:H124)</f>
        <v>2156.5787372654045</v>
      </c>
      <c r="I125" s="160">
        <f t="shared" ref="I125:K125" si="37">SUM(I118:I124)</f>
        <v>1559.3854614158242</v>
      </c>
      <c r="J125" s="160">
        <f t="shared" si="37"/>
        <v>1257.317606807678</v>
      </c>
      <c r="K125" s="160">
        <f t="shared" si="37"/>
        <v>977.46166650096427</v>
      </c>
      <c r="L125" s="21"/>
      <c r="M125" s="79">
        <f t="shared" si="36"/>
        <v>-0.56697531701118697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876.37658295615097</v>
      </c>
      <c r="I129" s="158">
        <f t="shared" ref="I129:K129" si="38">I107+I118</f>
        <v>292.55933805953907</v>
      </c>
      <c r="J129" s="158">
        <f t="shared" si="38"/>
        <v>0</v>
      </c>
      <c r="K129" s="158">
        <f t="shared" si="38"/>
        <v>0</v>
      </c>
      <c r="L129" s="46"/>
      <c r="M129" s="79">
        <f>(K129-G129)/H129</f>
        <v>0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9">H108+H119</f>
        <v>4915.1977828396939</v>
      </c>
      <c r="I130" s="158">
        <f t="shared" si="39"/>
        <v>2804.4220416925496</v>
      </c>
      <c r="J130" s="158">
        <f t="shared" si="39"/>
        <v>2188.6683248192485</v>
      </c>
      <c r="K130" s="158">
        <f t="shared" si="39"/>
        <v>1374.5476151684902</v>
      </c>
      <c r="L130" s="46"/>
      <c r="M130" s="79">
        <f t="shared" ref="M130:M136" si="40">(K130-G130)/H130</f>
        <v>0.27965255436259628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9"/>
        <v>217.82341031793447</v>
      </c>
      <c r="I131" s="158">
        <f t="shared" si="39"/>
        <v>518.9348975713641</v>
      </c>
      <c r="J131" s="158">
        <f t="shared" si="39"/>
        <v>512.6740624005389</v>
      </c>
      <c r="K131" s="158">
        <f t="shared" si="39"/>
        <v>572.24292950936524</v>
      </c>
      <c r="L131" s="46"/>
      <c r="M131" s="79">
        <f t="shared" si="40"/>
        <v>2.6270956306951625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9"/>
        <v>27.214936388643864</v>
      </c>
      <c r="I132" s="158">
        <f t="shared" si="39"/>
        <v>14.160092731900946</v>
      </c>
      <c r="J132" s="158">
        <f t="shared" si="39"/>
        <v>6.7031843682992367</v>
      </c>
      <c r="K132" s="158">
        <f t="shared" si="39"/>
        <v>0</v>
      </c>
      <c r="L132" s="46"/>
      <c r="M132" s="79">
        <f t="shared" si="40"/>
        <v>0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9"/>
        <v>26.208309722728565</v>
      </c>
      <c r="I133" s="158">
        <f t="shared" si="39"/>
        <v>48.498828653904347</v>
      </c>
      <c r="J133" s="158">
        <f t="shared" si="39"/>
        <v>72.468853022976987</v>
      </c>
      <c r="K133" s="158">
        <f t="shared" si="39"/>
        <v>91.469656966592723</v>
      </c>
      <c r="L133" s="46"/>
      <c r="M133" s="79">
        <f t="shared" si="40"/>
        <v>3.4901013432112995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9"/>
        <v>1075.7072340198747</v>
      </c>
      <c r="I134" s="158">
        <f t="shared" si="39"/>
        <v>564.89210862729328</v>
      </c>
      <c r="J134" s="158">
        <f t="shared" si="39"/>
        <v>406.43510354104114</v>
      </c>
      <c r="K134" s="158">
        <f t="shared" si="39"/>
        <v>242.17817333010123</v>
      </c>
      <c r="L134" s="46"/>
      <c r="M134" s="79">
        <f t="shared" si="40"/>
        <v>0.2251339078803915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9"/>
        <v>212.58847367700912</v>
      </c>
      <c r="I135" s="158">
        <f t="shared" si="39"/>
        <v>431.68347002747123</v>
      </c>
      <c r="J135" s="158">
        <f t="shared" si="39"/>
        <v>705.44753593419955</v>
      </c>
      <c r="K135" s="158">
        <f t="shared" si="39"/>
        <v>807.8169407005422</v>
      </c>
      <c r="L135" s="46"/>
      <c r="M135" s="79">
        <f t="shared" si="40"/>
        <v>3.7999094058499066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7351.116729922036</v>
      </c>
      <c r="I136" s="160">
        <f t="shared" ref="I136:K136" si="41">SUM(I129:I135)</f>
        <v>4675.1507773640224</v>
      </c>
      <c r="J136" s="160">
        <f t="shared" si="41"/>
        <v>3892.3970640863045</v>
      </c>
      <c r="K136" s="160">
        <f t="shared" si="41"/>
        <v>3088.2553156750914</v>
      </c>
      <c r="L136" s="21"/>
      <c r="M136" s="79">
        <f t="shared" si="40"/>
        <v>0.42010696185854807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énergie'!C57</f>
        <v>1.9344819899405983E-2</v>
      </c>
      <c r="I142" s="47">
        <v>0</v>
      </c>
      <c r="J142" s="47">
        <v>0</v>
      </c>
      <c r="K142" s="47">
        <v>0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énergie'!C58</f>
        <v>0.52399466367463399</v>
      </c>
      <c r="I143" s="47">
        <v>0</v>
      </c>
      <c r="J143" s="47">
        <v>0</v>
      </c>
      <c r="K143" s="47">
        <v>0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énergie'!C59</f>
        <v>6.7035227617333368E-2</v>
      </c>
      <c r="I144" s="47">
        <v>0.25</v>
      </c>
      <c r="J144" s="47">
        <v>0.25</v>
      </c>
      <c r="K144" s="47">
        <v>0.3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énergie'!C60</f>
        <v>7.5158331919586794E-3</v>
      </c>
      <c r="I145" s="47">
        <f t="shared" ref="I145" si="42">H145</f>
        <v>7.5158331919586794E-3</v>
      </c>
      <c r="J145" s="47">
        <v>0</v>
      </c>
      <c r="K145" s="47">
        <v>0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énergie'!C61</f>
        <v>6.8921199229294077E-3</v>
      </c>
      <c r="I146" s="47">
        <v>0.05</v>
      </c>
      <c r="J146" s="47">
        <v>7.0000000000000007E-2</v>
      </c>
      <c r="K146" s="47">
        <v>0.1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énergie'!C62</f>
        <v>0.16762986130287999</v>
      </c>
      <c r="I147" s="47">
        <f>1-I142-I143-I144-I145-I146-I148</f>
        <v>0.14248416680804121</v>
      </c>
      <c r="J147" s="47">
        <f t="shared" ref="J147:K147" si="43">1-J142-J143-J144-J145-J146-J148</f>
        <v>7.999999999999996E-2</v>
      </c>
      <c r="K147" s="47">
        <f t="shared" si="43"/>
        <v>0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énergie'!C63</f>
        <v>0.20758747439085867</v>
      </c>
      <c r="I148" s="47">
        <v>0.55000000000000004</v>
      </c>
      <c r="J148" s="47">
        <v>0.6</v>
      </c>
      <c r="K148" s="47">
        <v>0.6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4">SUM(I142:I148)</f>
        <v>1</v>
      </c>
      <c r="J149" s="15">
        <f t="shared" si="44"/>
        <v>1</v>
      </c>
      <c r="K149" s="15">
        <f t="shared" si="44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65.218731280825068</v>
      </c>
      <c r="J153" s="45">
        <f>K153</f>
        <v>65.218731280825068</v>
      </c>
      <c r="K153" s="45">
        <f t="shared" ref="K153:K159" si="45">K77</f>
        <v>65.218731280825068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6">J154</f>
        <v>89.025811501767436</v>
      </c>
      <c r="J154" s="45">
        <f t="shared" si="46"/>
        <v>89.025811501767436</v>
      </c>
      <c r="K154" s="45">
        <f t="shared" si="45"/>
        <v>89.025811501767436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6"/>
        <v>24.817970054888772</v>
      </c>
      <c r="J155" s="45">
        <f t="shared" si="46"/>
        <v>24.817970054888772</v>
      </c>
      <c r="K155" s="45">
        <f t="shared" si="45"/>
        <v>24.817970054888772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6"/>
        <v>27.300837004605683</v>
      </c>
      <c r="J156" s="45">
        <f t="shared" si="46"/>
        <v>27.300837004605683</v>
      </c>
      <c r="K156" s="45">
        <f t="shared" si="45"/>
        <v>27.300837004605683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6"/>
        <v>28.760794421152443</v>
      </c>
      <c r="J157" s="45">
        <f t="shared" si="46"/>
        <v>28.760794421152443</v>
      </c>
      <c r="K157" s="45">
        <f t="shared" si="45"/>
        <v>28.760794421152443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6"/>
        <v>36.197949585829129</v>
      </c>
      <c r="J158" s="45">
        <f t="shared" si="46"/>
        <v>36.197949585829129</v>
      </c>
      <c r="K158" s="45">
        <f t="shared" si="45"/>
        <v>36.197949585829129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6"/>
        <v>28.597024077870476</v>
      </c>
      <c r="J159" s="45">
        <f t="shared" si="46"/>
        <v>28.597024077870476</v>
      </c>
      <c r="K159" s="45">
        <f t="shared" si="45"/>
        <v>28.597024077870476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7">I$35*I142*I153/1000</f>
        <v>0</v>
      </c>
      <c r="J163" s="10">
        <f t="shared" si="47"/>
        <v>0</v>
      </c>
      <c r="K163" s="10">
        <f t="shared" si="47"/>
        <v>0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8">H$35*H143*H154/1000</f>
        <v>0</v>
      </c>
      <c r="I164" s="10">
        <f t="shared" si="48"/>
        <v>0</v>
      </c>
      <c r="J164" s="10">
        <f t="shared" si="48"/>
        <v>0</v>
      </c>
      <c r="K164" s="10">
        <f t="shared" si="48"/>
        <v>0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8"/>
        <v>0</v>
      </c>
      <c r="I165" s="10">
        <f t="shared" si="48"/>
        <v>16.170218560179347</v>
      </c>
      <c r="J165" s="10">
        <f t="shared" si="48"/>
        <v>15.148281006316434</v>
      </c>
      <c r="K165" s="10">
        <f t="shared" si="48"/>
        <v>11.462327532930228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8"/>
        <v>0</v>
      </c>
      <c r="I166" s="10">
        <f t="shared" si="48"/>
        <v>0.53476468556009427</v>
      </c>
      <c r="J166" s="10">
        <f t="shared" si="48"/>
        <v>0</v>
      </c>
      <c r="K166" s="10">
        <f t="shared" si="48"/>
        <v>0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8"/>
        <v>0</v>
      </c>
      <c r="I167" s="10">
        <f t="shared" si="48"/>
        <v>3.7478353848106956</v>
      </c>
      <c r="J167" s="10">
        <f t="shared" si="48"/>
        <v>4.9153676376442466</v>
      </c>
      <c r="K167" s="10">
        <f t="shared" si="48"/>
        <v>4.4277814964105353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8"/>
        <v>0</v>
      </c>
      <c r="I168" s="10">
        <f t="shared" si="48"/>
        <v>13.441885852263324</v>
      </c>
      <c r="J168" s="10">
        <f t="shared" si="48"/>
        <v>7.0701893631543111</v>
      </c>
      <c r="K168" s="10">
        <f t="shared" si="48"/>
        <v>0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8"/>
        <v>0</v>
      </c>
      <c r="I169" s="10">
        <f t="shared" si="48"/>
        <v>40.991438166447914</v>
      </c>
      <c r="J169" s="10">
        <f t="shared" si="48"/>
        <v>41.891815234000177</v>
      </c>
      <c r="K169" s="10">
        <f t="shared" si="48"/>
        <v>26.415412358278186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9">SUM(I163:I169)</f>
        <v>74.886142649261373</v>
      </c>
      <c r="J170" s="11">
        <f t="shared" si="49"/>
        <v>69.02565324111518</v>
      </c>
      <c r="K170" s="11">
        <f t="shared" si="49"/>
        <v>42.305521387618953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B1589"/>
  <sheetViews>
    <sheetView showGridLines="0" topLeftCell="A42" zoomScale="145" zoomScaleNormal="145" workbookViewId="0">
      <selection activeCell="I61" sqref="I61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25839.303197908266</v>
      </c>
      <c r="I7" s="10">
        <f t="shared" si="0"/>
        <v>26223.522047191575</v>
      </c>
      <c r="J7" s="10">
        <f t="shared" si="0"/>
        <v>26542.867885020201</v>
      </c>
      <c r="K7" s="10">
        <f t="shared" si="0"/>
        <v>26263.225793334874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1056.0407324289231</v>
      </c>
      <c r="J8" s="76">
        <f t="shared" si="0"/>
        <v>1001.1574110556077</v>
      </c>
      <c r="K8" s="76">
        <f t="shared" si="0"/>
        <v>690.11456501052521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25839.303197908266</v>
      </c>
      <c r="I9" s="96">
        <f t="shared" si="1"/>
        <v>25167.481314762652</v>
      </c>
      <c r="J9" s="96">
        <f t="shared" si="1"/>
        <v>25541.710473964595</v>
      </c>
      <c r="K9" s="96">
        <f t="shared" si="1"/>
        <v>25573.111228324349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648.92228698886652</v>
      </c>
      <c r="I13" s="86">
        <f t="shared" ref="I13:K13" si="2">I129+I163</f>
        <v>111.61659573735736</v>
      </c>
      <c r="J13" s="86">
        <f t="shared" si="2"/>
        <v>0</v>
      </c>
      <c r="K13" s="86">
        <f t="shared" si="2"/>
        <v>0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1312.2159698455907</v>
      </c>
      <c r="I14" s="86">
        <f t="shared" si="3"/>
        <v>655.74364492765994</v>
      </c>
      <c r="J14" s="86">
        <f t="shared" si="3"/>
        <v>311.79271830319539</v>
      </c>
      <c r="K14" s="86">
        <f t="shared" si="3"/>
        <v>167.76881217933274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188.15305580285894</v>
      </c>
      <c r="I15" s="86">
        <f t="shared" si="3"/>
        <v>486.73569910509735</v>
      </c>
      <c r="J15" s="86">
        <f t="shared" si="3"/>
        <v>596.3781199965216</v>
      </c>
      <c r="K15" s="86">
        <f t="shared" si="3"/>
        <v>639.86188920677148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51.163592458605258</v>
      </c>
      <c r="I16" s="86">
        <f t="shared" si="3"/>
        <v>24.35889993131228</v>
      </c>
      <c r="J16" s="86">
        <f t="shared" si="3"/>
        <v>38.680346552720131</v>
      </c>
      <c r="K16" s="86">
        <f t="shared" si="3"/>
        <v>0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26.787512001856257</v>
      </c>
      <c r="I17" s="86">
        <f t="shared" si="3"/>
        <v>17.204627300350367</v>
      </c>
      <c r="J17" s="86">
        <f t="shared" si="3"/>
        <v>14.649956655486031</v>
      </c>
      <c r="K17" s="86">
        <f t="shared" si="3"/>
        <v>10.44626852455219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357.89954101382017</v>
      </c>
      <c r="I18" s="86">
        <f t="shared" si="3"/>
        <v>203.27282395091831</v>
      </c>
      <c r="J18" s="86">
        <f t="shared" si="3"/>
        <v>193.02867525605703</v>
      </c>
      <c r="K18" s="86">
        <f t="shared" si="3"/>
        <v>93.980697523348681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80.433952361465728</v>
      </c>
      <c r="I19" s="86">
        <f t="shared" si="3"/>
        <v>177.94066491085559</v>
      </c>
      <c r="J19" s="86">
        <f t="shared" si="3"/>
        <v>260.78805623895931</v>
      </c>
      <c r="K19" s="86">
        <f t="shared" si="3"/>
        <v>237.85792237148419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2665.5759104730632</v>
      </c>
      <c r="I20" s="13">
        <f t="shared" ref="I20:K20" si="4">SUM(I13:I19)</f>
        <v>1676.8729558635512</v>
      </c>
      <c r="J20" s="13">
        <f t="shared" si="4"/>
        <v>1415.3178730029395</v>
      </c>
      <c r="K20" s="13">
        <f t="shared" si="4"/>
        <v>1149.9155898054894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-0.41560000000000019</v>
      </c>
      <c r="J23" s="193">
        <f t="shared" ref="J23:K23" si="5">J114/$G114-1</f>
        <v>-0.50575852842594782</v>
      </c>
      <c r="K23" s="193">
        <f t="shared" si="5"/>
        <v>-0.60412072984391418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-0.21726142689861094</v>
      </c>
      <c r="J24" s="193">
        <f t="shared" ref="J24:K24" si="6">J125/$G125-1</f>
        <v>-0.35922472665627603</v>
      </c>
      <c r="K24" s="193">
        <f t="shared" si="6"/>
        <v>-0.40662957995488036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25839.303197908266</v>
      </c>
      <c r="H34" s="127">
        <f>'Init. parc'!C11</f>
        <v>25839.303197908266</v>
      </c>
      <c r="I34" s="127">
        <f>'Init. parc'!D11</f>
        <v>26223.522047191575</v>
      </c>
      <c r="J34" s="127">
        <f>'Init. parc'!E11</f>
        <v>26542.867885020201</v>
      </c>
      <c r="K34" s="127">
        <f>'Init. parc'!F11</f>
        <v>26263.225793334874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parc'!N11</f>
        <v>1056.0407324289231</v>
      </c>
      <c r="J35" s="127">
        <f>'Init. parc'!O11</f>
        <v>1001.1574110556077</v>
      </c>
      <c r="K35" s="127">
        <f>'Init. parc'!P11</f>
        <v>690.11456501052521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25839.303197908266</v>
      </c>
      <c r="H36" s="127">
        <f>H34-H35</f>
        <v>25839.303197908266</v>
      </c>
      <c r="I36" s="127">
        <f>I34-I35</f>
        <v>25167.481314762652</v>
      </c>
      <c r="J36" s="127">
        <f>J34-J35</f>
        <v>25541.710473964595</v>
      </c>
      <c r="K36" s="127">
        <f>K34-K35</f>
        <v>25573.111228324349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0.19595605807562935</v>
      </c>
      <c r="H45" s="55">
        <f>'Init. énergie'!B66</f>
        <v>0.19595605807562935</v>
      </c>
      <c r="I45" s="47">
        <v>0.05</v>
      </c>
      <c r="J45" s="47">
        <v>0</v>
      </c>
      <c r="K45" s="47">
        <v>0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0.40960771079475461</v>
      </c>
      <c r="H46" s="55">
        <f>'Init. énergie'!B67</f>
        <v>0.40960771079475461</v>
      </c>
      <c r="I46" s="47">
        <v>0.3</v>
      </c>
      <c r="J46" s="47">
        <v>0.15</v>
      </c>
      <c r="K46" s="47">
        <v>0.1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6.1629340994289197E-2</v>
      </c>
      <c r="H47" s="55">
        <f>'Init. énergie'!B68</f>
        <v>6.1629340994289197E-2</v>
      </c>
      <c r="I47" s="47">
        <v>0.23</v>
      </c>
      <c r="J47" s="47">
        <v>0.3</v>
      </c>
      <c r="K47" s="47">
        <v>0.4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1.720027863130175E-2</v>
      </c>
      <c r="H48" s="55">
        <f>'Init. énergie'!B69</f>
        <v>1.720027863130175E-2</v>
      </c>
      <c r="I48" s="47">
        <f t="shared" ref="I48:I49" si="8">H48+((K48-H48)/3)</f>
        <v>1.1466852420867833E-2</v>
      </c>
      <c r="J48" s="47">
        <v>0.02</v>
      </c>
      <c r="K48" s="47">
        <v>0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1.3962097437388757E-2</v>
      </c>
      <c r="H49" s="55">
        <f>'Init. énergie'!B70</f>
        <v>1.3962097437388757E-2</v>
      </c>
      <c r="I49" s="47">
        <f t="shared" si="8"/>
        <v>1.2641398291592505E-2</v>
      </c>
      <c r="J49" s="47">
        <f t="shared" ref="J49" si="9">H49+((K49-H49)/3*2)</f>
        <v>1.1320699145796252E-2</v>
      </c>
      <c r="K49" s="47">
        <v>0.01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0.23589207259794331</v>
      </c>
      <c r="H50" s="55">
        <f>'Init. énergie'!B71</f>
        <v>0.23589207259794331</v>
      </c>
      <c r="I50" s="47">
        <f>1-I45-I46-I47-I48-I49-I51</f>
        <v>0.19589174928753961</v>
      </c>
      <c r="J50" s="47">
        <f>1-J45-J46-J47-J48-J49-J51</f>
        <v>0.19867930085420377</v>
      </c>
      <c r="K50" s="47">
        <f>1-K45-K46-K47-K48-K49-K51</f>
        <v>0.12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6.5752441468692954E-2</v>
      </c>
      <c r="H51" s="55">
        <f>'Init. énergie'!B72</f>
        <v>6.5752441468692954E-2</v>
      </c>
      <c r="I51" s="47">
        <v>0.2</v>
      </c>
      <c r="J51" s="47">
        <v>0.32</v>
      </c>
      <c r="K51" s="125">
        <v>0.37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0">SUM(G45:G51)</f>
        <v>1</v>
      </c>
      <c r="H52" s="164">
        <f t="shared" si="10"/>
        <v>1</v>
      </c>
      <c r="I52" s="170">
        <f t="shared" si="10"/>
        <v>1</v>
      </c>
      <c r="J52" s="170">
        <f t="shared" si="10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1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-8.8725573644830386E-2</v>
      </c>
      <c r="J55" s="157">
        <f t="shared" si="11"/>
        <v>-0.10643438356210956</v>
      </c>
      <c r="K55" s="157">
        <f t="shared" si="11"/>
        <v>1.1464193387118867E-2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0.19595605807562935</v>
      </c>
      <c r="H59" s="55">
        <f>H45</f>
        <v>0.19595605807562935</v>
      </c>
      <c r="I59" s="47">
        <v>0.05</v>
      </c>
      <c r="J59" s="47">
        <v>0</v>
      </c>
      <c r="K59" s="47">
        <v>0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2">H60</f>
        <v>0.40960771079475461</v>
      </c>
      <c r="H60" s="55">
        <f t="shared" ref="H60:H65" si="13">H46</f>
        <v>0.40960771079475461</v>
      </c>
      <c r="I60" s="47">
        <v>0.3</v>
      </c>
      <c r="J60" s="47">
        <v>0.15</v>
      </c>
      <c r="K60" s="47">
        <v>0.1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2"/>
        <v>6.1629340994289197E-2</v>
      </c>
      <c r="H61" s="55">
        <f t="shared" si="13"/>
        <v>6.1629340994289197E-2</v>
      </c>
      <c r="I61" s="47">
        <v>0.23</v>
      </c>
      <c r="J61" s="47">
        <v>0.3</v>
      </c>
      <c r="K61" s="47">
        <v>0.4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2"/>
        <v>1.720027863130175E-2</v>
      </c>
      <c r="H62" s="55">
        <f t="shared" si="13"/>
        <v>1.720027863130175E-2</v>
      </c>
      <c r="I62" s="47">
        <f t="shared" ref="I62:I63" si="14">H62+((K62-H62)/3)</f>
        <v>1.1466852420867833E-2</v>
      </c>
      <c r="J62" s="47">
        <v>0.02</v>
      </c>
      <c r="K62" s="47">
        <v>0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2"/>
        <v>1.3962097437388757E-2</v>
      </c>
      <c r="H63" s="55">
        <f t="shared" si="13"/>
        <v>1.3962097437388757E-2</v>
      </c>
      <c r="I63" s="47">
        <f t="shared" si="14"/>
        <v>1.2641398291592505E-2</v>
      </c>
      <c r="J63" s="47">
        <f t="shared" ref="J63" si="15">H63+((K63-H63)/3*2)</f>
        <v>1.1320699145796252E-2</v>
      </c>
      <c r="K63" s="47">
        <v>0.01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2"/>
        <v>0.23589207259794331</v>
      </c>
      <c r="H64" s="55">
        <f t="shared" si="13"/>
        <v>0.23589207259794331</v>
      </c>
      <c r="I64" s="47">
        <f>1-I59-I60-I61-I62-I63-I65</f>
        <v>0.19589174928753961</v>
      </c>
      <c r="J64" s="47">
        <f>1-J59-J60-J61-J62-J63-J65</f>
        <v>0.21867930085420378</v>
      </c>
      <c r="K64" s="47">
        <f>1-K59-K60-K61-K62-K63-K65</f>
        <v>0.12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2"/>
        <v>6.5752441468692954E-2</v>
      </c>
      <c r="H65" s="55">
        <f t="shared" si="13"/>
        <v>6.5752441468692954E-2</v>
      </c>
      <c r="I65" s="47">
        <v>0.2</v>
      </c>
      <c r="J65" s="47">
        <v>0.3</v>
      </c>
      <c r="K65" s="125">
        <v>0.37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6">SUM(G59:G65)</f>
        <v>1</v>
      </c>
      <c r="H66" s="164">
        <v>1</v>
      </c>
      <c r="I66" s="47">
        <f t="shared" ref="I66:J66" si="17">SUM(I59:I65)</f>
        <v>1</v>
      </c>
      <c r="J66" s="47">
        <f t="shared" si="17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-8.8725573644830386E-2</v>
      </c>
      <c r="J69" s="157">
        <f t="shared" ref="J69:K69" si="18">(I$97*(J59-I59)+I$98*(J60-I60)+I$99*(J61-I61)+I$100*(J62-I62)+I$101*(J63-I63)+I$102*(J64-I64)+I$103*(J65-I65))/(I$97*I59+I$98*I60+I$99*I61+I$100*I62+I$101*I63+I$102*I64+I$103*I65)</f>
        <v>-0.1030330708281272</v>
      </c>
      <c r="K69" s="157">
        <f t="shared" si="18"/>
        <v>1.7831958267942878E-2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98" t="s">
        <v>92</v>
      </c>
      <c r="G72" s="199" t="s">
        <v>91</v>
      </c>
      <c r="H72" s="199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bord'!L10</f>
        <v>0.78</v>
      </c>
      <c r="G73" s="92">
        <f>'Tableau de bord'!L23</f>
        <v>0.95</v>
      </c>
      <c r="H73" s="92">
        <f>'Tableau de bord'!L26</f>
        <v>0.90725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130.75183266377164</v>
      </c>
      <c r="H77" s="54">
        <f>'Init. énergie'!D66</f>
        <v>128.16020625688986</v>
      </c>
      <c r="I77" s="81">
        <f>G77*60%/(1+I$55)</f>
        <v>86.089434016100256</v>
      </c>
      <c r="J77" s="81">
        <f>G77*50%/(1+I$55)/(1+J$55)</f>
        <v>80.286431901225043</v>
      </c>
      <c r="K77" s="81">
        <f>G77*40%/(1+I$55)/(1+J$55)/(1+K$55)</f>
        <v>63.50115598842315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19">H78/0.998^10</f>
        <v>126.48848312749554</v>
      </c>
      <c r="H78" s="54">
        <f>'Init. énergie'!D67</f>
        <v>123.98136038694778</v>
      </c>
      <c r="I78" s="81">
        <f t="shared" ref="I78:I83" si="20">G78*60%/(1+I$55)</f>
        <v>83.28236553290256</v>
      </c>
      <c r="J78" s="81">
        <f t="shared" ref="J78:J83" si="21">G78*50%/(1+I$55)/(1+J$55)</f>
        <v>77.668578558430639</v>
      </c>
      <c r="K78" s="81">
        <f t="shared" ref="K78:K83" si="22">G78*40%/(1+I$55)/(1+J$55)/(1+K$55)</f>
        <v>61.430610448672169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19"/>
        <v>120.54176367559583</v>
      </c>
      <c r="H79" s="54">
        <f>'Init. énergie'!D68</f>
        <v>118.15251060350229</v>
      </c>
      <c r="I79" s="81">
        <f t="shared" si="20"/>
        <v>79.366935045721092</v>
      </c>
      <c r="J79" s="81">
        <f t="shared" si="21"/>
        <v>74.017074204083457</v>
      </c>
      <c r="K79" s="81">
        <f t="shared" si="22"/>
        <v>58.542516631237639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19"/>
        <v>117.44629958319703</v>
      </c>
      <c r="H80" s="54">
        <f>'Init. énergie'!D69</f>
        <v>115.11840157068453</v>
      </c>
      <c r="I80" s="81">
        <f t="shared" si="20"/>
        <v>77.328824020409158</v>
      </c>
      <c r="J80" s="81">
        <f t="shared" si="21"/>
        <v>72.11634545715917</v>
      </c>
      <c r="K80" s="81">
        <f t="shared" si="22"/>
        <v>57.039168309585826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19"/>
        <v>75.752244152227661</v>
      </c>
      <c r="H81" s="54">
        <f>'Init. énergie'!D70</f>
        <v>74.250762204893817</v>
      </c>
      <c r="I81" s="81">
        <f t="shared" si="20"/>
        <v>49.876683880100359</v>
      </c>
      <c r="J81" s="81">
        <f t="shared" si="21"/>
        <v>46.514662682643603</v>
      </c>
      <c r="K81" s="81">
        <f t="shared" si="22"/>
        <v>36.789962896761487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19"/>
        <v>59.904794734499362</v>
      </c>
      <c r="H82" s="54">
        <f>'Init. énergie'!D71</f>
        <v>58.717424395056483</v>
      </c>
      <c r="I82" s="81">
        <f t="shared" si="20"/>
        <v>39.442428977690703</v>
      </c>
      <c r="J82" s="81">
        <f t="shared" si="21"/>
        <v>36.783746162671285</v>
      </c>
      <c r="K82" s="81">
        <f t="shared" si="22"/>
        <v>29.093463834437888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19"/>
        <v>48.299353249456274</v>
      </c>
      <c r="H83" s="54">
        <f>'Init. énergie'!D72</f>
        <v>47.342013862569921</v>
      </c>
      <c r="I83" s="81">
        <f t="shared" si="20"/>
        <v>31.801190850470487</v>
      </c>
      <c r="J83" s="81">
        <f t="shared" si="21"/>
        <v>29.657578456337227</v>
      </c>
      <c r="K83" s="81">
        <f t="shared" si="22"/>
        <v>23.457145512603507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3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3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3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3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3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3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130.75183266377164</v>
      </c>
      <c r="H97" s="54">
        <f>H77</f>
        <v>128.16020625688986</v>
      </c>
      <c r="I97" s="81">
        <f>$H97*(1+$G87)^(I$96-$H$96)</f>
        <v>114.22555446619204</v>
      </c>
      <c r="J97" s="81">
        <f>$H97*(1+$G87)^(J$96-$H$96)</f>
        <v>101.80599481055825</v>
      </c>
      <c r="K97" s="81">
        <f>$H97*(1+$G87)^(K$96-$H$96)</f>
        <v>90.736793774417947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4">G78</f>
        <v>126.48848312749554</v>
      </c>
      <c r="H98" s="54">
        <f t="shared" si="24"/>
        <v>123.98136038694778</v>
      </c>
      <c r="I98" s="81">
        <f t="shared" ref="I98:K103" si="25">$H98*(1+$G88)^(I$96-$H$96)</f>
        <v>111.56423893420171</v>
      </c>
      <c r="J98" s="81">
        <f t="shared" si="25"/>
        <v>100.39073107539456</v>
      </c>
      <c r="K98" s="81">
        <f t="shared" si="25"/>
        <v>90.336285015094873</v>
      </c>
      <c r="L98" s="67"/>
      <c r="M98" s="79">
        <f t="shared" ref="M98:M103" si="26">(K98-G98)/H98</f>
        <v>-0.29159381700256465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4"/>
        <v>120.54176367559583</v>
      </c>
      <c r="H99" s="54">
        <f t="shared" si="24"/>
        <v>118.15251060350229</v>
      </c>
      <c r="I99" s="81">
        <f t="shared" si="25"/>
        <v>109.52302586836819</v>
      </c>
      <c r="J99" s="81">
        <f t="shared" si="25"/>
        <v>101.52381133581838</v>
      </c>
      <c r="K99" s="81">
        <f t="shared" si="25"/>
        <v>94.10883406872415</v>
      </c>
      <c r="L99" s="67"/>
      <c r="M99" s="79">
        <f t="shared" si="26"/>
        <v>-0.22371872990135305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4"/>
        <v>117.44629958319703</v>
      </c>
      <c r="H100" s="54">
        <f t="shared" si="24"/>
        <v>115.11840157068453</v>
      </c>
      <c r="I100" s="81">
        <f t="shared" si="25"/>
        <v>106.71051853871946</v>
      </c>
      <c r="J100" s="81">
        <f t="shared" si="25"/>
        <v>98.916720623596447</v>
      </c>
      <c r="K100" s="81">
        <f t="shared" si="25"/>
        <v>91.692156995529572</v>
      </c>
      <c r="L100" s="67"/>
      <c r="M100" s="79">
        <f t="shared" si="26"/>
        <v>-0.22371872990135297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4"/>
        <v>75.752244152227661</v>
      </c>
      <c r="H101" s="54">
        <f t="shared" si="24"/>
        <v>74.250762204893817</v>
      </c>
      <c r="I101" s="81">
        <f t="shared" si="25"/>
        <v>68.827721968623038</v>
      </c>
      <c r="J101" s="81">
        <f>$H101*(1+$G91)^(J$96-$H$96)</f>
        <v>63.800763395770829</v>
      </c>
      <c r="K101" s="81">
        <f>$H101*(1+$G91)^(K$96-$H$96)</f>
        <v>59.14095793754143</v>
      </c>
      <c r="L101" s="67"/>
      <c r="M101" s="79">
        <f t="shared" si="26"/>
        <v>-0.22371872990135303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4"/>
        <v>59.904794734499362</v>
      </c>
      <c r="H102" s="54">
        <f t="shared" si="24"/>
        <v>58.717424395056483</v>
      </c>
      <c r="I102" s="81">
        <f t="shared" si="25"/>
        <v>50.720110290386515</v>
      </c>
      <c r="J102" s="81">
        <f t="shared" si="25"/>
        <v>43.812030489633628</v>
      </c>
      <c r="K102" s="81">
        <f t="shared" si="25"/>
        <v>37.844831263870653</v>
      </c>
      <c r="L102" s="67"/>
      <c r="M102" s="79">
        <f t="shared" si="26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4"/>
        <v>48.299353249456274</v>
      </c>
      <c r="H103" s="54">
        <f t="shared" si="24"/>
        <v>47.342013862569921</v>
      </c>
      <c r="I103" s="81">
        <f t="shared" si="25"/>
        <v>40.894030847182634</v>
      </c>
      <c r="J103" s="81">
        <f t="shared" si="25"/>
        <v>35.324263217550076</v>
      </c>
      <c r="K103" s="81">
        <f t="shared" si="25"/>
        <v>30.513098024640637</v>
      </c>
      <c r="L103" s="67"/>
      <c r="M103" s="79">
        <f t="shared" si="26"/>
        <v>-0.37569705582123553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600.64000435811636</v>
      </c>
      <c r="H107" s="54">
        <f>H$36*H45*$H$73*H77/1000</f>
        <v>588.73474487064914</v>
      </c>
      <c r="I107" s="127">
        <f>I$36*I45*$H$73*I77/1000</f>
        <v>98.284852145415812</v>
      </c>
      <c r="J107" s="127">
        <f>J$36*J45*$H$73*J77/1000</f>
        <v>0</v>
      </c>
      <c r="K107" s="127">
        <f>K$36*K45*$H$73*K77/1000</f>
        <v>0</v>
      </c>
      <c r="L107" s="46"/>
      <c r="M107" s="79">
        <f>(K107-G107)/H107</f>
        <v>-1.020221771504386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7">G$36*G46*$H$73*G78/1000</f>
        <v>1214.5821181517963</v>
      </c>
      <c r="H108" s="54">
        <f t="shared" si="27"/>
        <v>1190.5079386424122</v>
      </c>
      <c r="I108" s="127">
        <f t="shared" si="27"/>
        <v>570.48080821562758</v>
      </c>
      <c r="J108" s="127">
        <f t="shared" si="27"/>
        <v>269.96879659939373</v>
      </c>
      <c r="K108" s="127">
        <f t="shared" si="27"/>
        <v>142.5264196240233</v>
      </c>
      <c r="L108" s="46"/>
      <c r="M108" s="79">
        <f t="shared" ref="M108:M114" si="28">(K108-G108)/H108</f>
        <v>-0.90050277174151783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7"/>
        <v>174.15375388295308</v>
      </c>
      <c r="H109" s="54">
        <f t="shared" si="27"/>
        <v>170.70185987714379</v>
      </c>
      <c r="I109" s="127">
        <f t="shared" si="27"/>
        <v>416.80620625087971</v>
      </c>
      <c r="J109" s="127">
        <f t="shared" si="27"/>
        <v>514.55301027948155</v>
      </c>
      <c r="K109" s="127">
        <f t="shared" si="27"/>
        <v>543.30277562205094</v>
      </c>
      <c r="L109" s="46"/>
      <c r="M109" s="79">
        <f t="shared" si="28"/>
        <v>2.1625366121070906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7"/>
        <v>47.356826870458207</v>
      </c>
      <c r="H110" s="54">
        <f t="shared" si="27"/>
        <v>46.418169258069618</v>
      </c>
      <c r="I110" s="127">
        <f t="shared" si="27"/>
        <v>20.246612014040583</v>
      </c>
      <c r="J110" s="127">
        <f t="shared" si="27"/>
        <v>33.422633038264628</v>
      </c>
      <c r="K110" s="127">
        <f t="shared" si="27"/>
        <v>0</v>
      </c>
      <c r="L110" s="46"/>
      <c r="M110" s="79">
        <f t="shared" si="28"/>
        <v>-1.0202217715043858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7"/>
        <v>24.794419375234188</v>
      </c>
      <c r="H111" s="54">
        <f t="shared" si="27"/>
        <v>24.302970263684088</v>
      </c>
      <c r="I111" s="127">
        <f t="shared" si="27"/>
        <v>14.396582742876978</v>
      </c>
      <c r="J111" s="127">
        <f t="shared" si="27"/>
        <v>12.202254516577741</v>
      </c>
      <c r="K111" s="127">
        <f t="shared" si="27"/>
        <v>8.5357147706635157</v>
      </c>
      <c r="L111" s="46"/>
      <c r="M111" s="79">
        <f t="shared" si="28"/>
        <v>-0.66900072000112865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7"/>
        <v>331.27045593056806</v>
      </c>
      <c r="H112" s="54">
        <f t="shared" si="27"/>
        <v>324.70435858478834</v>
      </c>
      <c r="I112" s="127">
        <f t="shared" si="27"/>
        <v>176.41947622414753</v>
      </c>
      <c r="J112" s="127">
        <f t="shared" si="27"/>
        <v>169.35013007858782</v>
      </c>
      <c r="K112" s="127">
        <f t="shared" si="27"/>
        <v>81.000410795163802</v>
      </c>
      <c r="L112" s="46"/>
      <c r="M112" s="79">
        <f t="shared" si="28"/>
        <v>-0.77076281398314694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7"/>
        <v>74.449360833495575</v>
      </c>
      <c r="H113" s="54">
        <f t="shared" si="27"/>
        <v>72.973703279939784</v>
      </c>
      <c r="I113" s="127">
        <f t="shared" si="27"/>
        <v>145.22457379390386</v>
      </c>
      <c r="J113" s="127">
        <f t="shared" si="27"/>
        <v>219.91893355462304</v>
      </c>
      <c r="K113" s="127">
        <f t="shared" si="27"/>
        <v>201.36659685364495</v>
      </c>
      <c r="L113" s="46"/>
      <c r="M113" s="79">
        <f t="shared" si="28"/>
        <v>1.7392187913675266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2467.246939402622</v>
      </c>
      <c r="H114" s="161">
        <f>SUM(H107:H113)</f>
        <v>2418.3437447766869</v>
      </c>
      <c r="I114" s="159">
        <f t="shared" ref="I114:J114" si="29">SUM(I107:I113)</f>
        <v>1441.859111386892</v>
      </c>
      <c r="J114" s="159">
        <f t="shared" si="29"/>
        <v>1219.4157580669284</v>
      </c>
      <c r="K114" s="159">
        <f>SUM(K107:K113)</f>
        <v>976.73191766554658</v>
      </c>
      <c r="L114" s="21"/>
      <c r="M114" s="79">
        <f t="shared" si="28"/>
        <v>-0.61633712120388073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61.404640842342559</v>
      </c>
      <c r="H118" s="162">
        <f>H$36*H45*(1-$H$73)*H97/1000</f>
        <v>60.187542118217372</v>
      </c>
      <c r="I118" s="158">
        <f t="shared" ref="I118:K118" si="30">I$36*I45*(1-$H$73)*I97/1000</f>
        <v>13.331743591941553</v>
      </c>
      <c r="J118" s="158">
        <f t="shared" si="30"/>
        <v>0</v>
      </c>
      <c r="K118" s="158">
        <f t="shared" si="30"/>
        <v>0</v>
      </c>
      <c r="L118" s="46"/>
      <c r="M118" s="79">
        <f>(K118-G118)/H118</f>
        <v>-1.0202217715043858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1">G$36*G46*(1-$H$73)*G98/1000</f>
        <v>124.16918320041786</v>
      </c>
      <c r="H119" s="162">
        <f t="shared" si="31"/>
        <v>121.70803120317854</v>
      </c>
      <c r="I119" s="158">
        <f t="shared" si="31"/>
        <v>78.126781758337515</v>
      </c>
      <c r="J119" s="158">
        <f t="shared" si="31"/>
        <v>35.673750612165883</v>
      </c>
      <c r="K119" s="158">
        <f t="shared" si="31"/>
        <v>21.42691824457896</v>
      </c>
      <c r="L119" s="46"/>
      <c r="M119" s="79">
        <f t="shared" ref="M119:M125" si="32">(K119-G119)/H119</f>
        <v>-0.84416996923006404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1"/>
        <v>17.804090022203248</v>
      </c>
      <c r="H120" s="162">
        <f t="shared" si="31"/>
        <v>17.451195925715169</v>
      </c>
      <c r="I120" s="158">
        <f t="shared" si="31"/>
        <v>58.801302068750459</v>
      </c>
      <c r="J120" s="158">
        <f t="shared" si="31"/>
        <v>72.152779205693818</v>
      </c>
      <c r="K120" s="158">
        <f t="shared" si="31"/>
        <v>89.286925772794632</v>
      </c>
      <c r="L120" s="46"/>
      <c r="M120" s="79">
        <f t="shared" si="32"/>
        <v>4.0961568510762074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1"/>
        <v>4.8413840641884809</v>
      </c>
      <c r="H121" s="162">
        <f t="shared" si="31"/>
        <v>4.7454232005356376</v>
      </c>
      <c r="I121" s="158">
        <f t="shared" si="31"/>
        <v>2.8563085939027562</v>
      </c>
      <c r="J121" s="158">
        <f t="shared" si="31"/>
        <v>4.6866616537196037</v>
      </c>
      <c r="K121" s="158">
        <f t="shared" si="31"/>
        <v>0</v>
      </c>
      <c r="L121" s="46"/>
      <c r="M121" s="79">
        <f t="shared" si="32"/>
        <v>-1.020221771504386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1"/>
        <v>2.5347835734945954</v>
      </c>
      <c r="H122" s="162">
        <f t="shared" si="31"/>
        <v>2.4845417381721679</v>
      </c>
      <c r="I122" s="158">
        <f t="shared" si="31"/>
        <v>2.0310105702028101</v>
      </c>
      <c r="J122" s="158">
        <f t="shared" si="31"/>
        <v>1.7110512587772189</v>
      </c>
      <c r="K122" s="158">
        <f t="shared" si="31"/>
        <v>1.4027679690636348</v>
      </c>
      <c r="L122" s="46"/>
      <c r="M122" s="79">
        <f t="shared" si="32"/>
        <v>-0.45562350072000152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1"/>
        <v>33.866447823158104</v>
      </c>
      <c r="H123" s="162">
        <f t="shared" si="31"/>
        <v>33.195182429031817</v>
      </c>
      <c r="I123" s="158">
        <f t="shared" si="31"/>
        <v>23.192630386030533</v>
      </c>
      <c r="J123" s="158">
        <f t="shared" si="31"/>
        <v>20.621008452189159</v>
      </c>
      <c r="K123" s="158">
        <f t="shared" si="31"/>
        <v>10.771726182922096</v>
      </c>
      <c r="L123" s="46"/>
      <c r="M123" s="79">
        <f t="shared" si="32"/>
        <v>-0.69572510076154437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1"/>
        <v>7.6111085338183688</v>
      </c>
      <c r="H124" s="162">
        <f t="shared" si="31"/>
        <v>7.460249081525947</v>
      </c>
      <c r="I124" s="158">
        <f t="shared" si="31"/>
        <v>19.091655496649825</v>
      </c>
      <c r="J124" s="158">
        <f t="shared" si="31"/>
        <v>26.778545641044623</v>
      </c>
      <c r="K124" s="158">
        <f t="shared" si="31"/>
        <v>26.778454854747871</v>
      </c>
      <c r="L124" s="46"/>
      <c r="M124" s="79">
        <f t="shared" si="32"/>
        <v>2.5692635877794237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252.23163805962318</v>
      </c>
      <c r="H125" s="163">
        <f>SUM(H118:H124)</f>
        <v>247.23216569637663</v>
      </c>
      <c r="I125" s="160">
        <f t="shared" ref="I125:K125" si="33">SUM(I118:I124)</f>
        <v>197.43143246581548</v>
      </c>
      <c r="J125" s="160">
        <f t="shared" si="33"/>
        <v>161.62379682359028</v>
      </c>
      <c r="K125" s="160">
        <f t="shared" si="33"/>
        <v>149.66679302410719</v>
      </c>
      <c r="L125" s="21"/>
      <c r="M125" s="79">
        <f t="shared" si="32"/>
        <v>-0.41485235040765228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648.92228698886652</v>
      </c>
      <c r="I129" s="158">
        <f t="shared" ref="I129:K129" si="34">I107+I118</f>
        <v>111.61659573735736</v>
      </c>
      <c r="J129" s="158">
        <f t="shared" si="34"/>
        <v>0</v>
      </c>
      <c r="K129" s="158">
        <f t="shared" si="34"/>
        <v>0</v>
      </c>
      <c r="L129" s="46"/>
      <c r="M129" s="79">
        <f>(K129-G129)/H129</f>
        <v>0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5">H108+H119</f>
        <v>1312.2159698455907</v>
      </c>
      <c r="I130" s="158">
        <f t="shared" si="35"/>
        <v>648.6075899739651</v>
      </c>
      <c r="J130" s="158">
        <f t="shared" si="35"/>
        <v>305.64254721155959</v>
      </c>
      <c r="K130" s="158">
        <f t="shared" si="35"/>
        <v>163.95333786860226</v>
      </c>
      <c r="L130" s="46"/>
      <c r="M130" s="79">
        <f t="shared" ref="M130:M136" si="36">(K130-G130)/H130</f>
        <v>0.12494386719580523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5"/>
        <v>188.15305580285894</v>
      </c>
      <c r="I131" s="158">
        <f t="shared" si="35"/>
        <v>475.60750831963014</v>
      </c>
      <c r="J131" s="158">
        <f t="shared" si="35"/>
        <v>586.70578948517539</v>
      </c>
      <c r="K131" s="158">
        <f t="shared" si="35"/>
        <v>632.58970139484563</v>
      </c>
      <c r="L131" s="46"/>
      <c r="M131" s="79">
        <f t="shared" si="36"/>
        <v>3.3621016607758629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5"/>
        <v>51.163592458605258</v>
      </c>
      <c r="I132" s="158">
        <f t="shared" si="35"/>
        <v>23.102920607943339</v>
      </c>
      <c r="J132" s="158">
        <f t="shared" si="35"/>
        <v>38.109294691984232</v>
      </c>
      <c r="K132" s="158">
        <f t="shared" si="35"/>
        <v>0</v>
      </c>
      <c r="L132" s="46"/>
      <c r="M132" s="79">
        <f t="shared" si="36"/>
        <v>0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5"/>
        <v>26.787512001856257</v>
      </c>
      <c r="I133" s="158">
        <f t="shared" si="35"/>
        <v>16.42759331307979</v>
      </c>
      <c r="J133" s="158">
        <f t="shared" si="35"/>
        <v>13.91330577535496</v>
      </c>
      <c r="K133" s="158">
        <f t="shared" si="35"/>
        <v>9.9384827397271511</v>
      </c>
      <c r="L133" s="46"/>
      <c r="M133" s="79">
        <f t="shared" si="36"/>
        <v>0.37101178859158168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5"/>
        <v>357.89954101382017</v>
      </c>
      <c r="I134" s="158">
        <f t="shared" si="35"/>
        <v>199.61210661017807</v>
      </c>
      <c r="J134" s="158">
        <f t="shared" si="35"/>
        <v>189.97113853077698</v>
      </c>
      <c r="K134" s="158">
        <f t="shared" si="35"/>
        <v>91.772136978085896</v>
      </c>
      <c r="L134" s="46"/>
      <c r="M134" s="79">
        <f t="shared" si="36"/>
        <v>0.25641870542254241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5"/>
        <v>80.433952361465728</v>
      </c>
      <c r="I135" s="158">
        <f t="shared" si="35"/>
        <v>164.31622929055368</v>
      </c>
      <c r="J135" s="158">
        <f t="shared" si="35"/>
        <v>246.69747919566765</v>
      </c>
      <c r="K135" s="158">
        <f t="shared" si="35"/>
        <v>228.14505170839283</v>
      </c>
      <c r="L135" s="46"/>
      <c r="M135" s="79">
        <f t="shared" si="36"/>
        <v>2.8364272177391161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2665.5759104730632</v>
      </c>
      <c r="I136" s="160">
        <f t="shared" ref="I136:K136" si="37">SUM(I129:I135)</f>
        <v>1639.2905438527073</v>
      </c>
      <c r="J136" s="160">
        <f t="shared" si="37"/>
        <v>1381.039554890519</v>
      </c>
      <c r="K136" s="160">
        <f t="shared" si="37"/>
        <v>1126.3987106896539</v>
      </c>
      <c r="L136" s="21"/>
      <c r="M136" s="79">
        <f t="shared" si="36"/>
        <v>0.4225723627918555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énergie'!C66</f>
        <v>8.566654622007622E-4</v>
      </c>
      <c r="I142" s="47">
        <v>0</v>
      </c>
      <c r="J142" s="47">
        <v>0</v>
      </c>
      <c r="K142" s="47">
        <v>0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énergie'!C67</f>
        <v>0.12133733261175747</v>
      </c>
      <c r="I143" s="47">
        <v>0.11</v>
      </c>
      <c r="J143" s="47">
        <v>0.1</v>
      </c>
      <c r="K143" s="47">
        <v>0.09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énergie'!C68</f>
        <v>0.13508370055286556</v>
      </c>
      <c r="I144" s="47">
        <v>0.18</v>
      </c>
      <c r="J144" s="47">
        <f>H144+((K144-H144)/3*2)</f>
        <v>0.16502790018428851</v>
      </c>
      <c r="K144" s="47">
        <v>0.18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énergie'!C69</f>
        <v>2.0851083900283521E-2</v>
      </c>
      <c r="I145" s="47">
        <f t="shared" ref="I145" si="38">H145</f>
        <v>2.0851083900283521E-2</v>
      </c>
      <c r="J145" s="47">
        <v>0.01</v>
      </c>
      <c r="K145" s="47">
        <v>0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énergie'!C70</f>
        <v>2.1412462228474215E-2</v>
      </c>
      <c r="I146" s="47">
        <v>0.02</v>
      </c>
      <c r="J146" s="47">
        <v>0.02</v>
      </c>
      <c r="K146" s="47">
        <v>0.02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énergie'!C71</f>
        <v>0.23233774569965782</v>
      </c>
      <c r="I147" s="47">
        <f>1-I142-I143-I144-I145-I146-I148</f>
        <v>0.11914891609971634</v>
      </c>
      <c r="J147" s="47">
        <f t="shared" ref="J147:K147" si="39">1-J142-J143-J144-J145-J146-J148</f>
        <v>0.10497209981571154</v>
      </c>
      <c r="K147" s="47">
        <f t="shared" si="39"/>
        <v>0.10999999999999999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énergie'!C72</f>
        <v>0.46812100954476071</v>
      </c>
      <c r="I148" s="47">
        <v>0.55000000000000004</v>
      </c>
      <c r="J148" s="47">
        <v>0.6</v>
      </c>
      <c r="K148" s="47">
        <v>0.6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0">SUM(I142:I148)</f>
        <v>0.99999999999999989</v>
      </c>
      <c r="J149" s="15">
        <f t="shared" si="40"/>
        <v>1</v>
      </c>
      <c r="K149" s="15">
        <f t="shared" si="40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63.50115598842315</v>
      </c>
      <c r="J153" s="45">
        <f>K153</f>
        <v>63.50115598842315</v>
      </c>
      <c r="K153" s="45">
        <f t="shared" ref="K153:K159" si="41">K77</f>
        <v>63.50115598842315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2">J154</f>
        <v>61.430610448672169</v>
      </c>
      <c r="J154" s="45">
        <f t="shared" si="42"/>
        <v>61.430610448672169</v>
      </c>
      <c r="K154" s="45">
        <f t="shared" si="41"/>
        <v>61.430610448672169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2"/>
        <v>58.542516631237639</v>
      </c>
      <c r="J155" s="45">
        <f t="shared" si="42"/>
        <v>58.542516631237639</v>
      </c>
      <c r="K155" s="45">
        <f t="shared" si="41"/>
        <v>58.542516631237639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2"/>
        <v>57.039168309585826</v>
      </c>
      <c r="J156" s="45">
        <f t="shared" si="42"/>
        <v>57.039168309585826</v>
      </c>
      <c r="K156" s="45">
        <f t="shared" si="41"/>
        <v>57.039168309585826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2"/>
        <v>36.789962896761487</v>
      </c>
      <c r="J157" s="45">
        <f t="shared" si="42"/>
        <v>36.789962896761487</v>
      </c>
      <c r="K157" s="45">
        <f t="shared" si="41"/>
        <v>36.789962896761487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2"/>
        <v>29.093463834437888</v>
      </c>
      <c r="J158" s="45">
        <f t="shared" si="42"/>
        <v>29.093463834437888</v>
      </c>
      <c r="K158" s="45">
        <f t="shared" si="41"/>
        <v>29.093463834437888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2"/>
        <v>23.457145512603507</v>
      </c>
      <c r="J159" s="45">
        <f t="shared" si="42"/>
        <v>23.457145512603507</v>
      </c>
      <c r="K159" s="45">
        <f t="shared" si="41"/>
        <v>23.457145512603507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3">I$35*I142*I153/1000</f>
        <v>0</v>
      </c>
      <c r="J163" s="10">
        <f t="shared" si="43"/>
        <v>0</v>
      </c>
      <c r="K163" s="10">
        <f t="shared" si="43"/>
        <v>0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4">H$35*H143*H154/1000</f>
        <v>0</v>
      </c>
      <c r="I164" s="10">
        <f t="shared" si="44"/>
        <v>7.1360549536948774</v>
      </c>
      <c r="J164" s="10">
        <f t="shared" si="44"/>
        <v>6.1501710916358201</v>
      </c>
      <c r="K164" s="10">
        <f t="shared" si="44"/>
        <v>3.8154743107304774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4"/>
        <v>0</v>
      </c>
      <c r="I165" s="10">
        <f t="shared" si="44"/>
        <v>11.128190785467227</v>
      </c>
      <c r="J165" s="10">
        <f t="shared" si="44"/>
        <v>9.6723305113462086</v>
      </c>
      <c r="K165" s="10">
        <f t="shared" si="44"/>
        <v>7.2721878119258401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4"/>
        <v>0</v>
      </c>
      <c r="I166" s="10">
        <f t="shared" si="44"/>
        <v>1.2559793233689405</v>
      </c>
      <c r="J166" s="10">
        <f t="shared" si="44"/>
        <v>0.5710518607359002</v>
      </c>
      <c r="K166" s="10">
        <f t="shared" si="44"/>
        <v>0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4"/>
        <v>0</v>
      </c>
      <c r="I167" s="10">
        <f t="shared" si="44"/>
        <v>0.77703398727057826</v>
      </c>
      <c r="J167" s="10">
        <f t="shared" si="44"/>
        <v>0.73665088013107194</v>
      </c>
      <c r="K167" s="10">
        <f t="shared" si="44"/>
        <v>0.50778578482503833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4"/>
        <v>0</v>
      </c>
      <c r="I168" s="10">
        <f t="shared" si="44"/>
        <v>3.6607173407402351</v>
      </c>
      <c r="J168" s="10">
        <f t="shared" si="44"/>
        <v>3.0575367252800341</v>
      </c>
      <c r="K168" s="10">
        <f t="shared" si="44"/>
        <v>2.2085605452627806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4"/>
        <v>0</v>
      </c>
      <c r="I169" s="10">
        <f t="shared" si="44"/>
        <v>13.624435620301899</v>
      </c>
      <c r="J169" s="10">
        <f t="shared" si="44"/>
        <v>14.090577043291674</v>
      </c>
      <c r="K169" s="10">
        <f t="shared" si="44"/>
        <v>9.7128706630913779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5">SUM(I163:I169)</f>
        <v>37.582412010843754</v>
      </c>
      <c r="J170" s="11">
        <f t="shared" si="45"/>
        <v>34.278318112420706</v>
      </c>
      <c r="K170" s="11">
        <f t="shared" si="45"/>
        <v>23.516879115835515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24"/>
  <sheetViews>
    <sheetView topLeftCell="A19" zoomScale="130" zoomScaleNormal="130" workbookViewId="0">
      <selection activeCell="I34" sqref="I34"/>
    </sheetView>
  </sheetViews>
  <sheetFormatPr baseColWidth="10" defaultRowHeight="14.5"/>
  <cols>
    <col min="3" max="3" width="16" bestFit="1" customWidth="1"/>
  </cols>
  <sheetData>
    <row r="1" spans="1:13" ht="18.5">
      <c r="A1" s="301" t="s">
        <v>199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</row>
    <row r="3" spans="1:13">
      <c r="C3" s="306" t="s">
        <v>67</v>
      </c>
      <c r="D3" s="307"/>
      <c r="E3" s="307"/>
      <c r="F3" s="307"/>
      <c r="G3" s="307"/>
      <c r="H3" s="308"/>
    </row>
    <row r="4" spans="1:13">
      <c r="D4" s="9"/>
      <c r="E4" s="9">
        <v>2020</v>
      </c>
      <c r="F4" s="9">
        <v>2030</v>
      </c>
      <c r="G4" s="9">
        <v>2040</v>
      </c>
      <c r="H4" s="9">
        <v>2050</v>
      </c>
    </row>
    <row r="5" spans="1:13">
      <c r="C5" s="8" t="s">
        <v>186</v>
      </c>
      <c r="D5" s="238"/>
      <c r="E5" s="241">
        <f>SUM(E6:E11)</f>
        <v>149.17839460178243</v>
      </c>
      <c r="F5" s="241">
        <f t="shared" ref="F5:H5" si="0">SUM(F6:F11)</f>
        <v>109.95556720889313</v>
      </c>
      <c r="G5" s="241">
        <f t="shared" si="0"/>
        <v>89.554108632056113</v>
      </c>
      <c r="H5" s="241">
        <f t="shared" si="0"/>
        <v>85.614863816842444</v>
      </c>
    </row>
    <row r="6" spans="1:13">
      <c r="C6" s="126" t="s">
        <v>187</v>
      </c>
      <c r="D6" s="86"/>
      <c r="E6" s="238">
        <f>D36+D63+C75+F100+C124</f>
        <v>126.04064317565246</v>
      </c>
      <c r="F6" s="238">
        <f>D38+D65+E78+G100+E124</f>
        <v>99.604109745900274</v>
      </c>
      <c r="G6" s="238">
        <f>D40+D67+G78+G124</f>
        <v>83.852588768817526</v>
      </c>
      <c r="H6" s="238">
        <f>D42+D69+I78+I100+I124</f>
        <v>80.83613699293052</v>
      </c>
    </row>
    <row r="7" spans="1:13">
      <c r="C7" s="126" t="s">
        <v>83</v>
      </c>
      <c r="D7" s="86"/>
      <c r="E7" s="238">
        <f>E36+E63</f>
        <v>16.62266729971476</v>
      </c>
      <c r="F7" s="238">
        <f>E38+E65</f>
        <v>7.1061282211367534</v>
      </c>
      <c r="G7" s="238">
        <f>E40+E67</f>
        <v>4.1598601033615026</v>
      </c>
      <c r="H7" s="238">
        <f>E42+E69</f>
        <v>1.7294935164669307</v>
      </c>
    </row>
    <row r="8" spans="1:13">
      <c r="C8" s="126" t="s">
        <v>188</v>
      </c>
      <c r="D8" s="86"/>
      <c r="E8" s="238">
        <f>G36+G63</f>
        <v>4.8057385594458628</v>
      </c>
      <c r="F8" s="238">
        <f>G38+G65</f>
        <v>0.31668465236610216</v>
      </c>
      <c r="G8" s="238">
        <f>G40+G67</f>
        <v>0</v>
      </c>
      <c r="H8" s="238">
        <f>G42+G69</f>
        <v>0</v>
      </c>
    </row>
    <row r="9" spans="1:13">
      <c r="C9" s="126" t="s">
        <v>142</v>
      </c>
      <c r="D9" s="10"/>
      <c r="E9" s="239">
        <f>H36+H63</f>
        <v>0.20736389151432583</v>
      </c>
      <c r="F9" s="238">
        <f>H38+H65</f>
        <v>0.55350969674423067</v>
      </c>
      <c r="G9" s="238">
        <f>H40+H67</f>
        <v>0.49011247407717579</v>
      </c>
      <c r="H9" s="238">
        <f>H42+H69</f>
        <v>0.4180735980876164</v>
      </c>
    </row>
    <row r="10" spans="1:13">
      <c r="C10" s="126" t="s">
        <v>189</v>
      </c>
      <c r="D10" s="10"/>
      <c r="E10" s="239">
        <f>I36</f>
        <v>1.5019816754550248</v>
      </c>
      <c r="F10" s="238">
        <f>I38</f>
        <v>1.5834232618305109</v>
      </c>
      <c r="G10" s="238">
        <f>G42+G69</f>
        <v>0</v>
      </c>
      <c r="H10" s="238">
        <f>I42</f>
        <v>1.4351780232858473</v>
      </c>
    </row>
    <row r="11" spans="1:13">
      <c r="C11" s="126" t="s">
        <v>215</v>
      </c>
      <c r="D11" s="238"/>
      <c r="E11" s="238">
        <f>J36</f>
        <v>0</v>
      </c>
      <c r="F11" s="238">
        <f>J38</f>
        <v>0.79171163091525543</v>
      </c>
      <c r="G11" s="238">
        <f>J40</f>
        <v>1.0515472857999111</v>
      </c>
      <c r="H11" s="238">
        <f>J42</f>
        <v>1.1959816860715395</v>
      </c>
    </row>
    <row r="12" spans="1:13">
      <c r="E12" s="250"/>
    </row>
    <row r="13" spans="1:13">
      <c r="C13" s="306" t="s">
        <v>107</v>
      </c>
      <c r="D13" s="307"/>
      <c r="E13" s="307"/>
      <c r="F13" s="307"/>
      <c r="G13" s="307"/>
      <c r="H13" s="308"/>
    </row>
    <row r="14" spans="1:13">
      <c r="C14" s="8" t="s">
        <v>190</v>
      </c>
      <c r="D14" s="240"/>
      <c r="E14" s="240">
        <f>E5/$E5-1</f>
        <v>0</v>
      </c>
      <c r="F14" s="240">
        <f t="shared" ref="F14:H14" si="1">F5/$E5-1</f>
        <v>-0.26292565687940883</v>
      </c>
      <c r="G14" s="240">
        <f t="shared" si="1"/>
        <v>-0.39968445919322093</v>
      </c>
      <c r="H14" s="265">
        <f t="shared" si="1"/>
        <v>-0.42609072818230009</v>
      </c>
    </row>
    <row r="16" spans="1:13" ht="53.5">
      <c r="C16" s="90"/>
      <c r="D16" s="263" t="s">
        <v>220</v>
      </c>
      <c r="E16" s="264" t="s">
        <v>91</v>
      </c>
      <c r="F16" s="264" t="s">
        <v>35</v>
      </c>
    </row>
    <row r="17" spans="2:12">
      <c r="C17" s="84" t="s">
        <v>23</v>
      </c>
      <c r="D17" s="55">
        <f>'Tableau de bord'!M11</f>
        <v>0.86021134119073972</v>
      </c>
      <c r="E17" s="92">
        <f>'Tableau de bord'!M23</f>
        <v>0.92452645867611971</v>
      </c>
      <c r="F17" s="92">
        <f>'Tableau de bord'!M26</f>
        <v>0.79708105249816774</v>
      </c>
    </row>
    <row r="18" spans="2:12" ht="15" thickBot="1"/>
    <row r="19" spans="2:12">
      <c r="B19" s="312" t="s">
        <v>130</v>
      </c>
      <c r="C19" s="313"/>
      <c r="D19" s="313"/>
      <c r="E19" s="313"/>
      <c r="F19" s="313"/>
      <c r="G19" s="313"/>
      <c r="H19" s="313"/>
      <c r="I19" s="313"/>
      <c r="J19" s="313"/>
      <c r="K19" s="313"/>
      <c r="L19" s="314"/>
    </row>
    <row r="21" spans="2:12">
      <c r="C21" s="204">
        <v>2020</v>
      </c>
      <c r="D21" s="204">
        <f t="shared" ref="D21:I21" si="2">C21+5</f>
        <v>2025</v>
      </c>
      <c r="E21" s="204">
        <f t="shared" si="2"/>
        <v>2030</v>
      </c>
      <c r="F21" s="204">
        <f t="shared" si="2"/>
        <v>2035</v>
      </c>
      <c r="G21" s="204">
        <f t="shared" si="2"/>
        <v>2040</v>
      </c>
      <c r="H21" s="204">
        <f t="shared" si="2"/>
        <v>2045</v>
      </c>
      <c r="I21" s="204">
        <f t="shared" si="2"/>
        <v>2050</v>
      </c>
    </row>
    <row r="22" spans="2:12">
      <c r="B22" s="204" t="s">
        <v>135</v>
      </c>
      <c r="C22" s="205">
        <v>23</v>
      </c>
      <c r="D22" s="205">
        <f>(C22+E22)/2</f>
        <v>19.333427158508428</v>
      </c>
      <c r="E22" s="205">
        <f>$C22*(1-$F$17*0.4)</f>
        <v>15.666854317016856</v>
      </c>
      <c r="F22" s="205">
        <f>(E22+G22)/2</f>
        <v>14.750211106643963</v>
      </c>
      <c r="G22" s="205">
        <f>$C22*(1-$F$17*0.5)</f>
        <v>13.83356789627107</v>
      </c>
      <c r="H22" s="205">
        <f>(G22+I22)/2</f>
        <v>12.916924685898177</v>
      </c>
      <c r="I22" s="205">
        <f>$C22*(1-$F$17*0.6)</f>
        <v>12.000281475525286</v>
      </c>
      <c r="K22" s="252" t="s">
        <v>221</v>
      </c>
    </row>
    <row r="23" spans="2:12" ht="15.5">
      <c r="B23" s="206" t="s">
        <v>136</v>
      </c>
      <c r="C23" s="207">
        <f>'Init. parc'!C28/1000</f>
        <v>1004.6700170267724</v>
      </c>
      <c r="D23" s="207">
        <f>(C23+E23)/2</f>
        <v>1007.6768052104567</v>
      </c>
      <c r="E23" s="207">
        <f>'Init. parc'!D28/1000</f>
        <v>1010.683593394141</v>
      </c>
      <c r="F23" s="207">
        <f>(E23+G23)/2</f>
        <v>1012.1029801626714</v>
      </c>
      <c r="G23" s="207">
        <f>'Init. parc'!E28/1000</f>
        <v>1013.522366931202</v>
      </c>
      <c r="H23" s="207">
        <f>(G23+I23)/2</f>
        <v>1005.0751973955067</v>
      </c>
      <c r="I23" s="207">
        <f>'Init. parc'!F28/1000</f>
        <v>996.62802785981148</v>
      </c>
      <c r="J23" s="208"/>
    </row>
    <row r="25" spans="2:12">
      <c r="B25" s="209" t="s">
        <v>137</v>
      </c>
      <c r="C25" s="210">
        <f t="shared" ref="C25:I25" si="3">C23*C22/1000</f>
        <v>23.107410391615765</v>
      </c>
      <c r="D25" s="210">
        <f t="shared" si="3"/>
        <v>19.48184611285485</v>
      </c>
      <c r="E25" s="210">
        <f>E23*E22/1000</f>
        <v>15.834232618305107</v>
      </c>
      <c r="F25" s="210">
        <f t="shared" si="3"/>
        <v>14.92873261906289</v>
      </c>
      <c r="G25" s="210">
        <f t="shared" si="3"/>
        <v>14.020630477332144</v>
      </c>
      <c r="H25" s="210">
        <f t="shared" si="3"/>
        <v>12.982480628422005</v>
      </c>
      <c r="I25" s="210">
        <f t="shared" si="3"/>
        <v>11.959816860715394</v>
      </c>
    </row>
    <row r="27" spans="2:12">
      <c r="B27" s="204"/>
      <c r="C27" s="211" t="s">
        <v>19</v>
      </c>
      <c r="D27" s="204" t="s">
        <v>138</v>
      </c>
      <c r="E27" s="204" t="s">
        <v>83</v>
      </c>
      <c r="F27" s="204" t="s">
        <v>140</v>
      </c>
      <c r="G27" s="204" t="s">
        <v>141</v>
      </c>
      <c r="H27" s="204" t="s">
        <v>142</v>
      </c>
      <c r="I27" s="204" t="s">
        <v>143</v>
      </c>
      <c r="J27" s="204" t="s">
        <v>200</v>
      </c>
    </row>
    <row r="28" spans="2:12">
      <c r="B28" s="318" t="s">
        <v>144</v>
      </c>
      <c r="C28" s="212">
        <v>2020</v>
      </c>
      <c r="D28" s="213">
        <v>0.30499999999999999</v>
      </c>
      <c r="E28" s="213">
        <v>0.47599999999999998</v>
      </c>
      <c r="F28" s="213"/>
      <c r="G28" s="213">
        <v>0.14799999999999999</v>
      </c>
      <c r="H28" s="213">
        <v>6.0000000000000001E-3</v>
      </c>
      <c r="I28" s="213">
        <v>6.5000000000000002E-2</v>
      </c>
      <c r="J28" s="213">
        <v>0</v>
      </c>
    </row>
    <row r="29" spans="2:12">
      <c r="B29" s="318"/>
      <c r="C29" s="204">
        <f t="shared" ref="C29:C34" si="4">C28+5</f>
        <v>2025</v>
      </c>
      <c r="D29" s="213">
        <f>(D28+D30)/2</f>
        <v>0.39749999999999996</v>
      </c>
      <c r="E29" s="213">
        <f>(E28+E30)/2</f>
        <v>0.39300000000000002</v>
      </c>
      <c r="F29" s="213"/>
      <c r="G29" s="213">
        <f>(G28+G30)/2</f>
        <v>8.3999999999999991E-2</v>
      </c>
      <c r="H29" s="213">
        <f>(H28+H30)/2</f>
        <v>1.7999999999999999E-2</v>
      </c>
      <c r="I29" s="213">
        <f>(I28+I30)/2</f>
        <v>8.2500000000000004E-2</v>
      </c>
      <c r="J29" s="213">
        <f>(J28+J30)/2</f>
        <v>2.5000000000000001E-2</v>
      </c>
    </row>
    <row r="30" spans="2:12">
      <c r="B30" s="318"/>
      <c r="C30" s="204">
        <f t="shared" si="4"/>
        <v>2030</v>
      </c>
      <c r="D30" s="213">
        <v>0.49</v>
      </c>
      <c r="E30" s="213">
        <v>0.31</v>
      </c>
      <c r="F30" s="213"/>
      <c r="G30" s="213">
        <v>0.02</v>
      </c>
      <c r="H30" s="213">
        <v>0.03</v>
      </c>
      <c r="I30" s="213">
        <v>0.1</v>
      </c>
      <c r="J30" s="213">
        <v>0.05</v>
      </c>
    </row>
    <row r="31" spans="2:12">
      <c r="B31" s="318"/>
      <c r="C31" s="204">
        <f t="shared" si="4"/>
        <v>2035</v>
      </c>
      <c r="D31" s="213">
        <f>55.25%</f>
        <v>0.55249999999999999</v>
      </c>
      <c r="E31" s="213">
        <v>0.25</v>
      </c>
      <c r="F31" s="213"/>
      <c r="G31" s="213">
        <v>0</v>
      </c>
      <c r="H31" s="213">
        <f>(H30+H32)/2</f>
        <v>0.03</v>
      </c>
      <c r="I31" s="213">
        <f>(I30+I32)/2</f>
        <v>0.10500000000000001</v>
      </c>
      <c r="J31" s="213">
        <f>(J30+J32)/2</f>
        <v>6.25E-2</v>
      </c>
    </row>
    <row r="32" spans="2:12">
      <c r="B32" s="318"/>
      <c r="C32" s="204">
        <f t="shared" si="4"/>
        <v>2040</v>
      </c>
      <c r="D32" s="213">
        <f>58%</f>
        <v>0.57999999999999996</v>
      </c>
      <c r="E32" s="213">
        <f>(E30+E34)/2</f>
        <v>0.20500000000000002</v>
      </c>
      <c r="F32" s="213"/>
      <c r="G32" s="213">
        <v>0</v>
      </c>
      <c r="H32" s="213">
        <f>(H30+H34)/2</f>
        <v>0.03</v>
      </c>
      <c r="I32" s="213">
        <f>(I30+I34)/2</f>
        <v>0.11</v>
      </c>
      <c r="J32" s="213">
        <f>(J30+J34)/2</f>
        <v>7.5000000000000011E-2</v>
      </c>
    </row>
    <row r="33" spans="2:12">
      <c r="B33" s="318"/>
      <c r="C33" s="204">
        <f t="shared" si="4"/>
        <v>2045</v>
      </c>
      <c r="D33" s="213">
        <f>(D32+D34)/2</f>
        <v>0.61499999999999999</v>
      </c>
      <c r="E33" s="213">
        <f>(E32+E34)/2</f>
        <v>0.15250000000000002</v>
      </c>
      <c r="F33" s="213"/>
      <c r="G33" s="213">
        <v>0</v>
      </c>
      <c r="H33" s="213">
        <f>(H32+H34)/2</f>
        <v>0.03</v>
      </c>
      <c r="I33" s="213">
        <f>(I32+I34)/2</f>
        <v>0.11499999999999999</v>
      </c>
      <c r="J33" s="213">
        <f>(J32+J34)/2</f>
        <v>8.7500000000000008E-2</v>
      </c>
    </row>
    <row r="34" spans="2:12">
      <c r="B34" s="318"/>
      <c r="C34" s="204">
        <f t="shared" si="4"/>
        <v>2050</v>
      </c>
      <c r="D34" s="213">
        <v>0.65</v>
      </c>
      <c r="E34" s="213">
        <v>0.1</v>
      </c>
      <c r="F34" s="213"/>
      <c r="G34" s="213">
        <v>0</v>
      </c>
      <c r="H34" s="213">
        <v>0.03</v>
      </c>
      <c r="I34" s="213">
        <v>0.12</v>
      </c>
      <c r="J34" s="213">
        <v>0.1</v>
      </c>
    </row>
    <row r="36" spans="2:12" ht="14.5" customHeight="1">
      <c r="B36" s="318" t="s">
        <v>145</v>
      </c>
      <c r="C36" s="212">
        <v>2020</v>
      </c>
      <c r="D36" s="214">
        <f>$C25*D28</f>
        <v>7.0477601694428085</v>
      </c>
      <c r="E36" s="214">
        <f t="shared" ref="E36:J36" si="5">$C25*E28</f>
        <v>10.999127346409104</v>
      </c>
      <c r="F36" s="214">
        <f t="shared" si="5"/>
        <v>0</v>
      </c>
      <c r="G36" s="214">
        <f t="shared" si="5"/>
        <v>3.419896737959133</v>
      </c>
      <c r="H36" s="214">
        <f t="shared" si="5"/>
        <v>0.1386444623496946</v>
      </c>
      <c r="I36" s="214">
        <f t="shared" si="5"/>
        <v>1.5019816754550248</v>
      </c>
      <c r="J36" s="214">
        <f t="shared" si="5"/>
        <v>0</v>
      </c>
    </row>
    <row r="37" spans="2:12">
      <c r="B37" s="318"/>
      <c r="C37" s="204">
        <f t="shared" ref="C37:C42" si="6">C36+5</f>
        <v>2025</v>
      </c>
      <c r="D37" s="214">
        <f>$D25*D29</f>
        <v>7.7440338298598022</v>
      </c>
      <c r="E37" s="214">
        <f t="shared" ref="E37:J37" si="7">$D25*E29</f>
        <v>7.6563655223519564</v>
      </c>
      <c r="F37" s="214">
        <f t="shared" si="7"/>
        <v>0</v>
      </c>
      <c r="G37" s="214">
        <f t="shared" si="7"/>
        <v>1.6364750734798073</v>
      </c>
      <c r="H37" s="214">
        <f t="shared" si="7"/>
        <v>0.35067323003138728</v>
      </c>
      <c r="I37" s="214">
        <f t="shared" si="7"/>
        <v>1.6072523043105251</v>
      </c>
      <c r="J37" s="214">
        <f t="shared" si="7"/>
        <v>0.48704615282137126</v>
      </c>
    </row>
    <row r="38" spans="2:12">
      <c r="B38" s="318"/>
      <c r="C38" s="204">
        <f t="shared" si="6"/>
        <v>2030</v>
      </c>
      <c r="D38" s="214">
        <f>$E25*D30</f>
        <v>7.7587739829695019</v>
      </c>
      <c r="E38" s="214">
        <f t="shared" ref="E38:J38" si="8">$E25*E30</f>
        <v>4.9086121116745831</v>
      </c>
      <c r="F38" s="214">
        <f t="shared" si="8"/>
        <v>0</v>
      </c>
      <c r="G38" s="214">
        <f t="shared" si="8"/>
        <v>0.31668465236610216</v>
      </c>
      <c r="H38" s="214">
        <f t="shared" si="8"/>
        <v>0.47502697854915321</v>
      </c>
      <c r="I38" s="214">
        <f t="shared" si="8"/>
        <v>1.5834232618305109</v>
      </c>
      <c r="J38" s="214">
        <f t="shared" si="8"/>
        <v>0.79171163091525543</v>
      </c>
    </row>
    <row r="39" spans="2:12">
      <c r="B39" s="318"/>
      <c r="C39" s="204">
        <f t="shared" si="6"/>
        <v>2035</v>
      </c>
      <c r="D39" s="214">
        <f>$F25*D31</f>
        <v>8.2481247720322468</v>
      </c>
      <c r="E39" s="214">
        <f t="shared" ref="E39:J39" si="9">$F25*E31</f>
        <v>3.7321831547657225</v>
      </c>
      <c r="F39" s="214">
        <f t="shared" si="9"/>
        <v>0</v>
      </c>
      <c r="G39" s="214">
        <f t="shared" si="9"/>
        <v>0</v>
      </c>
      <c r="H39" s="214">
        <f t="shared" si="9"/>
        <v>0.4478619785718867</v>
      </c>
      <c r="I39" s="214">
        <f t="shared" si="9"/>
        <v>1.5675169250016037</v>
      </c>
      <c r="J39" s="214">
        <f t="shared" si="9"/>
        <v>0.93304578869143062</v>
      </c>
    </row>
    <row r="40" spans="2:12">
      <c r="B40" s="318"/>
      <c r="C40" s="204">
        <f t="shared" si="6"/>
        <v>2040</v>
      </c>
      <c r="D40" s="214">
        <f>$G25*D32</f>
        <v>8.1319656768526425</v>
      </c>
      <c r="E40" s="214">
        <f t="shared" ref="E40:J40" si="10">$G25*E32</f>
        <v>2.8742292478530898</v>
      </c>
      <c r="F40" s="214">
        <f t="shared" si="10"/>
        <v>0</v>
      </c>
      <c r="G40" s="214">
        <f t="shared" si="10"/>
        <v>0</v>
      </c>
      <c r="H40" s="214">
        <f t="shared" si="10"/>
        <v>0.42061891431996429</v>
      </c>
      <c r="I40" s="214">
        <f t="shared" si="10"/>
        <v>1.5422693525065359</v>
      </c>
      <c r="J40" s="214">
        <f t="shared" si="10"/>
        <v>1.0515472857999111</v>
      </c>
    </row>
    <row r="41" spans="2:12">
      <c r="B41" s="318"/>
      <c r="C41" s="204">
        <f t="shared" si="6"/>
        <v>2045</v>
      </c>
      <c r="D41" s="214">
        <f>$H25*D33</f>
        <v>7.9842255864795328</v>
      </c>
      <c r="E41" s="214">
        <f t="shared" ref="E41:J41" si="11">$H25*E33</f>
        <v>1.979828295834356</v>
      </c>
      <c r="F41" s="214">
        <f t="shared" si="11"/>
        <v>0</v>
      </c>
      <c r="G41" s="214">
        <f t="shared" si="11"/>
        <v>0</v>
      </c>
      <c r="H41" s="214">
        <f t="shared" si="11"/>
        <v>0.38947441885266015</v>
      </c>
      <c r="I41" s="214">
        <f t="shared" si="11"/>
        <v>1.4929852722685304</v>
      </c>
      <c r="J41" s="214">
        <f t="shared" si="11"/>
        <v>1.1359670549869256</v>
      </c>
    </row>
    <row r="42" spans="2:12">
      <c r="B42" s="318"/>
      <c r="C42" s="204">
        <f t="shared" si="6"/>
        <v>2050</v>
      </c>
      <c r="D42" s="214">
        <f>$I25*D34</f>
        <v>7.7738809594650062</v>
      </c>
      <c r="E42" s="214">
        <f t="shared" ref="E42:J42" si="12">$I25*E34</f>
        <v>1.1959816860715395</v>
      </c>
      <c r="F42" s="214">
        <f t="shared" si="12"/>
        <v>0</v>
      </c>
      <c r="G42" s="214">
        <f t="shared" si="12"/>
        <v>0</v>
      </c>
      <c r="H42" s="214">
        <f t="shared" si="12"/>
        <v>0.35879450582146183</v>
      </c>
      <c r="I42" s="214">
        <f t="shared" si="12"/>
        <v>1.4351780232858473</v>
      </c>
      <c r="J42" s="214">
        <f t="shared" si="12"/>
        <v>1.1959816860715395</v>
      </c>
    </row>
    <row r="44" spans="2:12" ht="15" thickBot="1"/>
    <row r="45" spans="2:12">
      <c r="B45" s="312" t="s">
        <v>131</v>
      </c>
      <c r="C45" s="313"/>
      <c r="D45" s="313"/>
      <c r="E45" s="313"/>
      <c r="F45" s="313"/>
      <c r="G45" s="313"/>
      <c r="H45" s="313"/>
      <c r="I45" s="313"/>
      <c r="J45" s="313"/>
      <c r="K45" s="313"/>
      <c r="L45" s="314"/>
    </row>
    <row r="47" spans="2:12">
      <c r="C47" s="204">
        <v>2020</v>
      </c>
      <c r="D47" s="204">
        <f t="shared" ref="D47:I47" si="13">C47+5</f>
        <v>2025</v>
      </c>
      <c r="E47" s="204">
        <f t="shared" si="13"/>
        <v>2030</v>
      </c>
      <c r="F47" s="204">
        <f t="shared" si="13"/>
        <v>2035</v>
      </c>
      <c r="G47" s="204">
        <f t="shared" si="13"/>
        <v>2040</v>
      </c>
      <c r="H47" s="204">
        <f t="shared" si="13"/>
        <v>2045</v>
      </c>
      <c r="I47" s="204">
        <f t="shared" si="13"/>
        <v>2050</v>
      </c>
    </row>
    <row r="48" spans="2:12">
      <c r="B48" s="204" t="s">
        <v>148</v>
      </c>
      <c r="C48" s="205">
        <v>11.4</v>
      </c>
      <c r="D48" s="205">
        <f>(C48+E48)/2</f>
        <v>9.5826552003041776</v>
      </c>
      <c r="E48" s="205">
        <f>$C48*(1-$F$17*0.4)</f>
        <v>7.7653104006083549</v>
      </c>
      <c r="F48" s="205">
        <f>(E48+G48)/2</f>
        <v>7.3109742006843996</v>
      </c>
      <c r="G48" s="205">
        <f>$C48*(1-$F$17*0.5)</f>
        <v>6.8566380007604444</v>
      </c>
      <c r="H48" s="205">
        <f>(G48+I48)/2</f>
        <v>6.4023018008364883</v>
      </c>
      <c r="I48" s="205">
        <f>$C48*(1-$F$17*0.6)</f>
        <v>5.947965600912533</v>
      </c>
    </row>
    <row r="49" spans="2:9" ht="15.5">
      <c r="B49" s="206" t="s">
        <v>136</v>
      </c>
      <c r="C49" s="207">
        <f>C23</f>
        <v>1004.6700170267724</v>
      </c>
      <c r="D49" s="207">
        <f t="shared" ref="D49:I49" si="14">D23</f>
        <v>1007.6768052104567</v>
      </c>
      <c r="E49" s="207">
        <f t="shared" si="14"/>
        <v>1010.683593394141</v>
      </c>
      <c r="F49" s="207">
        <f t="shared" si="14"/>
        <v>1012.1029801626714</v>
      </c>
      <c r="G49" s="207">
        <f t="shared" si="14"/>
        <v>1013.522366931202</v>
      </c>
      <c r="H49" s="207">
        <f t="shared" si="14"/>
        <v>1005.0751973955067</v>
      </c>
      <c r="I49" s="207">
        <f t="shared" si="14"/>
        <v>996.62802785981148</v>
      </c>
    </row>
    <row r="51" spans="2:9">
      <c r="B51" s="209" t="s">
        <v>137</v>
      </c>
      <c r="C51" s="210">
        <f t="shared" ref="C51:I51" si="15">C49*C48/1000</f>
        <v>11.453238194105205</v>
      </c>
      <c r="D51" s="210">
        <f t="shared" si="15"/>
        <v>9.6562193776758836</v>
      </c>
      <c r="E51" s="210">
        <f t="shared" si="15"/>
        <v>7.8482718195077483</v>
      </c>
      <c r="F51" s="210">
        <f t="shared" si="15"/>
        <v>7.3994587764050861</v>
      </c>
      <c r="G51" s="210">
        <f t="shared" si="15"/>
        <v>6.9493559757211507</v>
      </c>
      <c r="H51" s="210">
        <f t="shared" si="15"/>
        <v>6.4347947462613417</v>
      </c>
      <c r="I51" s="210">
        <f t="shared" si="15"/>
        <v>5.9279092266154567</v>
      </c>
    </row>
    <row r="54" spans="2:9">
      <c r="B54" s="204"/>
      <c r="C54" s="211" t="s">
        <v>19</v>
      </c>
      <c r="D54" s="204" t="s">
        <v>138</v>
      </c>
      <c r="E54" s="204" t="s">
        <v>83</v>
      </c>
      <c r="F54" s="204" t="s">
        <v>140</v>
      </c>
      <c r="G54" s="204" t="s">
        <v>141</v>
      </c>
      <c r="H54" s="204" t="s">
        <v>142</v>
      </c>
      <c r="I54" s="204"/>
    </row>
    <row r="55" spans="2:9">
      <c r="B55" s="318" t="s">
        <v>147</v>
      </c>
      <c r="C55" s="212">
        <v>2020</v>
      </c>
      <c r="D55" s="243">
        <v>0.38200000000000001</v>
      </c>
      <c r="E55" s="243">
        <v>0.49099999999999999</v>
      </c>
      <c r="F55" s="243"/>
      <c r="G55" s="243">
        <v>0.121</v>
      </c>
      <c r="H55" s="243">
        <v>6.0000000000000001E-3</v>
      </c>
      <c r="I55" s="243"/>
    </row>
    <row r="56" spans="2:9">
      <c r="B56" s="318"/>
      <c r="C56" s="204">
        <f t="shared" ref="C56:C61" si="16">C55+5</f>
        <v>2025</v>
      </c>
      <c r="D56" s="243">
        <v>0.54600000000000004</v>
      </c>
      <c r="E56" s="243">
        <v>0.38550000000000001</v>
      </c>
      <c r="F56" s="243"/>
      <c r="G56" s="243">
        <v>6.0499999999999998E-2</v>
      </c>
      <c r="H56" s="243">
        <v>8.0000000000000002E-3</v>
      </c>
      <c r="I56" s="243"/>
    </row>
    <row r="57" spans="2:9">
      <c r="B57" s="318"/>
      <c r="C57" s="204">
        <f t="shared" si="16"/>
        <v>2030</v>
      </c>
      <c r="D57" s="243">
        <v>0.71</v>
      </c>
      <c r="E57" s="243">
        <v>0.28000000000000003</v>
      </c>
      <c r="F57" s="243"/>
      <c r="G57" s="243">
        <v>0</v>
      </c>
      <c r="H57" s="243">
        <v>0.01</v>
      </c>
      <c r="I57" s="243"/>
    </row>
    <row r="58" spans="2:9">
      <c r="B58" s="318"/>
      <c r="C58" s="204">
        <f t="shared" si="16"/>
        <v>2035</v>
      </c>
      <c r="D58" s="243">
        <v>0.75749999999999995</v>
      </c>
      <c r="E58" s="243">
        <v>0.23250000000000001</v>
      </c>
      <c r="F58" s="243"/>
      <c r="G58" s="243">
        <v>0</v>
      </c>
      <c r="H58" s="243">
        <v>0.01</v>
      </c>
      <c r="I58" s="243"/>
    </row>
    <row r="59" spans="2:9">
      <c r="B59" s="318"/>
      <c r="C59" s="204">
        <f t="shared" si="16"/>
        <v>2040</v>
      </c>
      <c r="D59" s="243">
        <v>0.80500000000000005</v>
      </c>
      <c r="E59" s="243">
        <v>0.185</v>
      </c>
      <c r="F59" s="243"/>
      <c r="G59" s="243">
        <v>0</v>
      </c>
      <c r="H59" s="243">
        <v>0.01</v>
      </c>
      <c r="I59" s="243"/>
    </row>
    <row r="60" spans="2:9">
      <c r="B60" s="318"/>
      <c r="C60" s="204">
        <f t="shared" si="16"/>
        <v>2045</v>
      </c>
      <c r="D60" s="243">
        <v>0.85250000000000004</v>
      </c>
      <c r="E60" s="243">
        <v>0.13750000000000001</v>
      </c>
      <c r="F60" s="243"/>
      <c r="G60" s="243">
        <v>0</v>
      </c>
      <c r="H60" s="243">
        <v>0.01</v>
      </c>
      <c r="I60" s="243"/>
    </row>
    <row r="61" spans="2:9">
      <c r="B61" s="318"/>
      <c r="C61" s="204">
        <f t="shared" si="16"/>
        <v>2050</v>
      </c>
      <c r="D61" s="243">
        <v>0.9</v>
      </c>
      <c r="E61" s="243">
        <v>0.09</v>
      </c>
      <c r="F61" s="243"/>
      <c r="G61" s="243">
        <v>0</v>
      </c>
      <c r="H61" s="243">
        <v>0.01</v>
      </c>
      <c r="I61" s="243"/>
    </row>
    <row r="62" spans="2:9">
      <c r="D62" s="214"/>
      <c r="E62" s="214"/>
      <c r="F62" s="214"/>
      <c r="G62" s="214"/>
      <c r="H62" s="214"/>
    </row>
    <row r="63" spans="2:9" ht="14.5" customHeight="1">
      <c r="B63" s="318" t="s">
        <v>146</v>
      </c>
      <c r="C63" s="212">
        <v>2020</v>
      </c>
      <c r="D63" s="214">
        <f>$C51*D55</f>
        <v>4.3751369901481887</v>
      </c>
      <c r="E63" s="214">
        <f t="shared" ref="E63:H63" si="17">$C51*E55</f>
        <v>5.6235399533056558</v>
      </c>
      <c r="F63" s="214">
        <f t="shared" si="17"/>
        <v>0</v>
      </c>
      <c r="G63" s="214">
        <f t="shared" si="17"/>
        <v>1.3858418214867299</v>
      </c>
      <c r="H63" s="214">
        <f t="shared" si="17"/>
        <v>6.8719429164631238E-2</v>
      </c>
      <c r="I63" s="214"/>
    </row>
    <row r="64" spans="2:9">
      <c r="B64" s="318"/>
      <c r="C64" s="204">
        <f t="shared" ref="C64:C69" si="18">C63+5</f>
        <v>2025</v>
      </c>
      <c r="D64" s="214">
        <f>$D51*D56</f>
        <v>5.2722957802110324</v>
      </c>
      <c r="E64" s="214">
        <f t="shared" ref="E64:H64" si="19">$D51*E56</f>
        <v>3.7224725700940531</v>
      </c>
      <c r="F64" s="214">
        <f t="shared" si="19"/>
        <v>0</v>
      </c>
      <c r="G64" s="214">
        <f t="shared" si="19"/>
        <v>0.5842012723493909</v>
      </c>
      <c r="H64" s="214">
        <f t="shared" si="19"/>
        <v>7.7249755021407074E-2</v>
      </c>
      <c r="I64" s="214"/>
    </row>
    <row r="65" spans="2:12">
      <c r="B65" s="318"/>
      <c r="C65" s="204">
        <f t="shared" si="18"/>
        <v>2030</v>
      </c>
      <c r="D65" s="214">
        <f>$E51*D57</f>
        <v>5.5722729918505012</v>
      </c>
      <c r="E65" s="214">
        <f t="shared" ref="E65:H65" si="20">$E51*E57</f>
        <v>2.1975161094621698</v>
      </c>
      <c r="F65" s="214">
        <f t="shared" si="20"/>
        <v>0</v>
      </c>
      <c r="G65" s="214">
        <f t="shared" si="20"/>
        <v>0</v>
      </c>
      <c r="H65" s="214">
        <f t="shared" si="20"/>
        <v>7.8482718195077489E-2</v>
      </c>
      <c r="I65" s="214"/>
    </row>
    <row r="66" spans="2:12">
      <c r="B66" s="318"/>
      <c r="C66" s="204">
        <f t="shared" si="18"/>
        <v>2035</v>
      </c>
      <c r="D66" s="214">
        <f>$F51*D58</f>
        <v>5.6050900231268521</v>
      </c>
      <c r="E66" s="214">
        <f t="shared" ref="E66:H66" si="21">$F51*E58</f>
        <v>1.7203741655141827</v>
      </c>
      <c r="F66" s="214">
        <f t="shared" si="21"/>
        <v>0</v>
      </c>
      <c r="G66" s="214">
        <f t="shared" si="21"/>
        <v>0</v>
      </c>
      <c r="H66" s="214">
        <f t="shared" si="21"/>
        <v>7.3994587764050865E-2</v>
      </c>
      <c r="I66" s="214"/>
    </row>
    <row r="67" spans="2:12">
      <c r="B67" s="318"/>
      <c r="C67" s="204">
        <f t="shared" si="18"/>
        <v>2040</v>
      </c>
      <c r="D67" s="214">
        <f>$G51*D59</f>
        <v>5.5942315604555271</v>
      </c>
      <c r="E67" s="214">
        <f t="shared" ref="E67:H67" si="22">$G51*E59</f>
        <v>1.2856308555084128</v>
      </c>
      <c r="F67" s="214">
        <f t="shared" si="22"/>
        <v>0</v>
      </c>
      <c r="G67" s="214">
        <f t="shared" si="22"/>
        <v>0</v>
      </c>
      <c r="H67" s="214">
        <f t="shared" si="22"/>
        <v>6.9493559757211512E-2</v>
      </c>
      <c r="I67" s="214"/>
    </row>
    <row r="68" spans="2:12">
      <c r="B68" s="318"/>
      <c r="C68" s="204">
        <f t="shared" si="18"/>
        <v>2045</v>
      </c>
      <c r="D68" s="214">
        <f>$H51*D60</f>
        <v>5.4856625211877938</v>
      </c>
      <c r="E68" s="214">
        <f t="shared" ref="E68:H68" si="23">$H51*E60</f>
        <v>0.88478427761093459</v>
      </c>
      <c r="F68" s="214">
        <f t="shared" si="23"/>
        <v>0</v>
      </c>
      <c r="G68" s="214">
        <f t="shared" si="23"/>
        <v>0</v>
      </c>
      <c r="H68" s="214">
        <f t="shared" si="23"/>
        <v>6.4347947462613422E-2</v>
      </c>
      <c r="I68" s="214"/>
    </row>
    <row r="69" spans="2:12">
      <c r="B69" s="318"/>
      <c r="C69" s="204">
        <f t="shared" si="18"/>
        <v>2050</v>
      </c>
      <c r="D69" s="214">
        <f>$I51*D61</f>
        <v>5.3351183039539114</v>
      </c>
      <c r="E69" s="214">
        <f t="shared" ref="E69:H69" si="24">$I51*E61</f>
        <v>0.53351183039539107</v>
      </c>
      <c r="F69" s="214">
        <f t="shared" si="24"/>
        <v>0</v>
      </c>
      <c r="G69" s="214">
        <f t="shared" si="24"/>
        <v>0</v>
      </c>
      <c r="H69" s="214">
        <f t="shared" si="24"/>
        <v>5.9279092266154569E-2</v>
      </c>
      <c r="I69" s="214"/>
    </row>
    <row r="71" spans="2:12" ht="15" thickBot="1"/>
    <row r="72" spans="2:12">
      <c r="B72" s="312" t="s">
        <v>132</v>
      </c>
      <c r="C72" s="313"/>
      <c r="D72" s="313"/>
      <c r="E72" s="313"/>
      <c r="F72" s="313"/>
      <c r="G72" s="313"/>
      <c r="H72" s="313"/>
      <c r="I72" s="313"/>
      <c r="J72" s="313"/>
      <c r="K72" s="313"/>
      <c r="L72" s="314"/>
    </row>
    <row r="74" spans="2:12">
      <c r="C74" s="244">
        <v>2020</v>
      </c>
      <c r="D74" s="244">
        <f t="shared" ref="D74:I74" si="25">C74+5</f>
        <v>2025</v>
      </c>
      <c r="E74" s="244">
        <f t="shared" si="25"/>
        <v>2030</v>
      </c>
      <c r="F74" s="244">
        <f t="shared" si="25"/>
        <v>2035</v>
      </c>
      <c r="G74" s="244">
        <f t="shared" si="25"/>
        <v>2040</v>
      </c>
      <c r="H74" s="244">
        <f t="shared" si="25"/>
        <v>2045</v>
      </c>
      <c r="I74" s="244">
        <f t="shared" si="25"/>
        <v>2050</v>
      </c>
    </row>
    <row r="75" spans="2:12">
      <c r="B75" s="204" t="s">
        <v>149</v>
      </c>
      <c r="C75" s="215">
        <v>71.7</v>
      </c>
      <c r="D75" s="205">
        <f>(C75+E75)/2</f>
        <v>60.269857707176271</v>
      </c>
      <c r="E75" s="205">
        <f>$C75*(1-$F$17*0.4)</f>
        <v>48.839715414352547</v>
      </c>
      <c r="F75" s="205">
        <f>(E75+G75)/2</f>
        <v>45.982179841146618</v>
      </c>
      <c r="G75" s="205">
        <f>$C75*(1-$F$17*0.5)</f>
        <v>43.124644267940688</v>
      </c>
      <c r="H75" s="205">
        <f>(G75+I75)/2</f>
        <v>40.267108694734759</v>
      </c>
      <c r="I75" s="205">
        <f>$C75*(1-$F$17*0.6)</f>
        <v>37.40957312152883</v>
      </c>
    </row>
    <row r="76" spans="2:12" ht="15.5">
      <c r="B76" s="206" t="s">
        <v>136</v>
      </c>
      <c r="C76" s="207">
        <f>C23</f>
        <v>1004.6700170267724</v>
      </c>
      <c r="D76" s="207">
        <f t="shared" ref="D76:I76" si="26">D23</f>
        <v>1007.6768052104567</v>
      </c>
      <c r="E76" s="207">
        <f t="shared" si="26"/>
        <v>1010.683593394141</v>
      </c>
      <c r="F76" s="207">
        <f t="shared" si="26"/>
        <v>1012.1029801626714</v>
      </c>
      <c r="G76" s="207">
        <f t="shared" si="26"/>
        <v>1013.522366931202</v>
      </c>
      <c r="H76" s="207">
        <f t="shared" si="26"/>
        <v>1005.0751973955067</v>
      </c>
      <c r="I76" s="207">
        <f t="shared" si="26"/>
        <v>996.62802785981148</v>
      </c>
    </row>
    <row r="78" spans="2:12">
      <c r="B78" s="209" t="s">
        <v>137</v>
      </c>
      <c r="C78" s="210">
        <f t="shared" ref="C78:I78" si="27">C76*C75/1000</f>
        <v>72.034840220819575</v>
      </c>
      <c r="D78" s="210">
        <f t="shared" si="27"/>
        <v>60.732537664856203</v>
      </c>
      <c r="E78" s="210">
        <f t="shared" si="27"/>
        <v>49.361499075325042</v>
      </c>
      <c r="F78" s="210">
        <f t="shared" si="27"/>
        <v>46.538701251600401</v>
      </c>
      <c r="G78" s="210">
        <f t="shared" si="27"/>
        <v>43.707791531509343</v>
      </c>
      <c r="H78" s="210">
        <f t="shared" si="27"/>
        <v>40.471472219906865</v>
      </c>
      <c r="I78" s="210">
        <f t="shared" si="27"/>
        <v>37.283429083186689</v>
      </c>
    </row>
    <row r="81" spans="2:12" ht="15" thickBot="1"/>
    <row r="82" spans="2:12">
      <c r="B82" s="312" t="s">
        <v>133</v>
      </c>
      <c r="C82" s="313"/>
      <c r="D82" s="313"/>
      <c r="E82" s="313"/>
      <c r="F82" s="313"/>
      <c r="G82" s="313"/>
      <c r="H82" s="313"/>
      <c r="I82" s="313"/>
      <c r="J82" s="313"/>
      <c r="K82" s="313"/>
      <c r="L82" s="314"/>
    </row>
    <row r="84" spans="2:12">
      <c r="B84" t="s">
        <v>201</v>
      </c>
    </row>
    <row r="85" spans="2:12" ht="15" thickBot="1"/>
    <row r="86" spans="2:12">
      <c r="B86" s="216" t="s">
        <v>151</v>
      </c>
      <c r="C86" s="217"/>
      <c r="D86" s="218">
        <v>2006</v>
      </c>
      <c r="E86" s="218">
        <v>2015</v>
      </c>
      <c r="F86" s="218">
        <v>2020</v>
      </c>
      <c r="G86" s="218">
        <v>2030</v>
      </c>
      <c r="H86" s="218">
        <v>2040</v>
      </c>
      <c r="I86" s="219">
        <v>2050</v>
      </c>
    </row>
    <row r="87" spans="2:12">
      <c r="B87" s="220" t="s">
        <v>152</v>
      </c>
      <c r="C87" s="221"/>
      <c r="D87" s="222"/>
      <c r="E87" s="222"/>
      <c r="F87" s="222">
        <v>3.1948068674499273</v>
      </c>
      <c r="G87" s="222">
        <v>2.3007850515687069</v>
      </c>
      <c r="H87" s="222">
        <v>1.845092054749095</v>
      </c>
      <c r="I87" s="223">
        <v>1.75575483083293</v>
      </c>
    </row>
    <row r="88" spans="2:12">
      <c r="B88" s="224" t="s">
        <v>153</v>
      </c>
      <c r="C88" s="225"/>
      <c r="D88" s="226"/>
      <c r="E88" s="226"/>
      <c r="F88" s="226">
        <v>0.90642131916452451</v>
      </c>
      <c r="G88" s="226">
        <v>0.68892377147259842</v>
      </c>
      <c r="H88" s="226">
        <v>0.6018981712928706</v>
      </c>
      <c r="I88" s="227">
        <v>0.61368785502201761</v>
      </c>
    </row>
    <row r="89" spans="2:12">
      <c r="B89" s="220" t="s">
        <v>154</v>
      </c>
      <c r="C89" s="221"/>
      <c r="D89" s="222"/>
      <c r="E89" s="222"/>
      <c r="F89" s="222">
        <v>1.3712899722102905</v>
      </c>
      <c r="G89" s="222">
        <v>1.0102265553187142</v>
      </c>
      <c r="H89" s="222">
        <v>0.87654371393122299</v>
      </c>
      <c r="I89" s="223">
        <v>0.88147435001443686</v>
      </c>
    </row>
    <row r="90" spans="2:12">
      <c r="B90" s="224" t="s">
        <v>155</v>
      </c>
      <c r="C90" s="225"/>
      <c r="D90" s="226"/>
      <c r="E90" s="226"/>
      <c r="F90" s="226">
        <v>0.1714143473755961</v>
      </c>
      <c r="G90" s="226">
        <v>0.1211015618632594</v>
      </c>
      <c r="H90" s="226">
        <v>0.11258567108136026</v>
      </c>
      <c r="I90" s="227">
        <v>0.11877212824718282</v>
      </c>
    </row>
    <row r="91" spans="2:12">
      <c r="B91" s="220" t="s">
        <v>156</v>
      </c>
      <c r="C91" s="221"/>
      <c r="D91" s="222"/>
      <c r="E91" s="222"/>
      <c r="F91" s="222">
        <v>0.97008721791894292</v>
      </c>
      <c r="G91" s="222">
        <v>0.70955446993267113</v>
      </c>
      <c r="H91" s="222">
        <v>0.59033033594160611</v>
      </c>
      <c r="I91" s="223">
        <v>0.56598241245844472</v>
      </c>
    </row>
    <row r="92" spans="2:12">
      <c r="B92" s="224" t="s">
        <v>157</v>
      </c>
      <c r="C92" s="225"/>
      <c r="D92" s="226"/>
      <c r="E92" s="226"/>
      <c r="F92" s="226">
        <v>1.1908877510776446</v>
      </c>
      <c r="G92" s="226">
        <v>0.88455509405089328</v>
      </c>
      <c r="H92" s="226">
        <v>0.74869800184582558</v>
      </c>
      <c r="I92" s="227">
        <v>0.73291205483325439</v>
      </c>
    </row>
    <row r="93" spans="2:12">
      <c r="B93" s="220" t="s">
        <v>158</v>
      </c>
      <c r="C93" s="221"/>
      <c r="D93" s="222"/>
      <c r="E93" s="222"/>
      <c r="F93" s="222">
        <v>0.36110142911649884</v>
      </c>
      <c r="G93" s="222">
        <v>0.26976344925704315</v>
      </c>
      <c r="H93" s="222">
        <v>0.22103054653601245</v>
      </c>
      <c r="I93" s="223">
        <v>0.20239115841799912</v>
      </c>
    </row>
    <row r="94" spans="2:12">
      <c r="B94" s="224" t="s">
        <v>159</v>
      </c>
      <c r="C94" s="225"/>
      <c r="D94" s="226"/>
      <c r="E94" s="226"/>
      <c r="F94" s="226">
        <v>2.2967304223455329</v>
      </c>
      <c r="G94" s="226">
        <v>1.7547315797434109</v>
      </c>
      <c r="H94" s="226">
        <v>1.3620995976477868</v>
      </c>
      <c r="I94" s="227">
        <v>1.1843662036668436</v>
      </c>
    </row>
    <row r="95" spans="2:12">
      <c r="B95" s="220" t="s">
        <v>160</v>
      </c>
      <c r="C95" s="221"/>
      <c r="D95" s="222"/>
      <c r="E95" s="222"/>
      <c r="F95" s="222">
        <v>0.21097527959120022</v>
      </c>
      <c r="G95" s="222">
        <v>0.14236913259456621</v>
      </c>
      <c r="H95" s="222">
        <v>0.10322177806923001</v>
      </c>
      <c r="I95" s="223">
        <v>8.9832650717423149E-2</v>
      </c>
    </row>
    <row r="96" spans="2:12">
      <c r="B96" s="224" t="s">
        <v>161</v>
      </c>
      <c r="C96" s="225"/>
      <c r="D96" s="226"/>
      <c r="E96" s="226"/>
      <c r="F96" s="226">
        <v>0.20162401689799292</v>
      </c>
      <c r="G96" s="226">
        <v>0.13626131302245031</v>
      </c>
      <c r="H96" s="226">
        <v>9.8717885709241823E-2</v>
      </c>
      <c r="I96" s="227">
        <v>8.6016367610053393E-2</v>
      </c>
    </row>
    <row r="97" spans="2:12">
      <c r="B97" s="220" t="s">
        <v>162</v>
      </c>
      <c r="C97" s="221"/>
      <c r="D97" s="222"/>
      <c r="E97" s="222"/>
      <c r="F97" s="222">
        <v>0.1477063433194972</v>
      </c>
      <c r="G97" s="222">
        <v>9.977238997180464E-2</v>
      </c>
      <c r="H97" s="222">
        <v>7.2351918987535999E-2</v>
      </c>
      <c r="I97" s="223">
        <v>6.2499535048332021E-2</v>
      </c>
    </row>
    <row r="98" spans="2:12">
      <c r="B98" s="224" t="s">
        <v>163</v>
      </c>
      <c r="C98" s="225"/>
      <c r="D98" s="226"/>
      <c r="E98" s="226"/>
      <c r="F98" s="226">
        <v>3.2094865616157889E-2</v>
      </c>
      <c r="G98" s="226">
        <v>2.1880278938455337E-2</v>
      </c>
      <c r="H98" s="226">
        <v>1.5821206563474455E-2</v>
      </c>
      <c r="I98" s="227">
        <v>1.3785188971711416E-2</v>
      </c>
    </row>
    <row r="99" spans="2:12" ht="15" thickBot="1">
      <c r="B99" s="228" t="s">
        <v>164</v>
      </c>
      <c r="C99" s="229"/>
      <c r="D99" s="230"/>
      <c r="E99" s="230"/>
      <c r="F99" s="230">
        <v>0.44960618397765512</v>
      </c>
      <c r="G99" s="230">
        <v>0.30383904802065897</v>
      </c>
      <c r="H99" s="230">
        <v>0.22037419694620469</v>
      </c>
      <c r="I99" s="245">
        <v>0.19223391048428412</v>
      </c>
    </row>
    <row r="100" spans="2:12" ht="15" thickBot="1">
      <c r="B100" s="319" t="s">
        <v>165</v>
      </c>
      <c r="C100" s="319"/>
      <c r="D100" s="231"/>
      <c r="E100" s="231"/>
      <c r="F100" s="231">
        <v>11.504746016061461</v>
      </c>
      <c r="G100" s="231">
        <v>8.4437636957552336</v>
      </c>
      <c r="H100" s="231">
        <v>6.8687650793014674</v>
      </c>
      <c r="I100" s="231">
        <v>6.4997086463249136</v>
      </c>
    </row>
    <row r="104" spans="2:12">
      <c r="B104" t="s">
        <v>166</v>
      </c>
      <c r="D104">
        <v>2020</v>
      </c>
      <c r="E104">
        <v>2030</v>
      </c>
      <c r="F104">
        <v>2040</v>
      </c>
      <c r="G104">
        <v>2050</v>
      </c>
    </row>
    <row r="105" spans="2:12">
      <c r="B105" t="s">
        <v>167</v>
      </c>
      <c r="D105" s="232">
        <f>SUM(F87:F94)</f>
        <v>10.462739326658959</v>
      </c>
      <c r="E105" s="232">
        <f>SUM(G87:G94)</f>
        <v>7.7396415332072976</v>
      </c>
      <c r="F105" s="232">
        <f>SUM(H87:H94)</f>
        <v>6.3582780930257803</v>
      </c>
      <c r="G105" s="232">
        <f>SUM(I87:I94)</f>
        <v>6.0553409934931093</v>
      </c>
    </row>
    <row r="106" spans="2:12">
      <c r="B106" t="s">
        <v>168</v>
      </c>
      <c r="D106" s="232">
        <f>SUM(F95:F99)</f>
        <v>1.0420066894025033</v>
      </c>
      <c r="E106" s="232">
        <f>SUM(G95:G99)</f>
        <v>0.70412216254793547</v>
      </c>
      <c r="F106" s="232">
        <f>SUM(H95:H99)</f>
        <v>0.510486986275687</v>
      </c>
      <c r="G106" s="232">
        <f>SUM(I95:I99)</f>
        <v>0.44436765283180413</v>
      </c>
    </row>
    <row r="110" spans="2:12" ht="15" thickBot="1"/>
    <row r="111" spans="2:12">
      <c r="B111" s="312" t="s">
        <v>134</v>
      </c>
      <c r="C111" s="313"/>
      <c r="D111" s="313"/>
      <c r="E111" s="313"/>
      <c r="F111" s="313"/>
      <c r="G111" s="313"/>
      <c r="H111" s="313"/>
      <c r="I111" s="313"/>
      <c r="J111" s="313"/>
      <c r="K111" s="313"/>
      <c r="L111" s="314"/>
    </row>
    <row r="114" spans="2:10">
      <c r="B114" s="233" t="s">
        <v>202</v>
      </c>
    </row>
    <row r="115" spans="2:10">
      <c r="B115" t="s">
        <v>170</v>
      </c>
      <c r="C115" s="212">
        <v>2020</v>
      </c>
      <c r="D115" s="212">
        <v>2025</v>
      </c>
      <c r="E115" s="212">
        <v>2030</v>
      </c>
      <c r="F115" s="212">
        <v>2035</v>
      </c>
      <c r="G115" s="212">
        <v>2040</v>
      </c>
      <c r="H115" s="212">
        <v>2045</v>
      </c>
      <c r="I115" s="212">
        <v>2050</v>
      </c>
    </row>
    <row r="116" spans="2:10">
      <c r="B116" s="212" t="s">
        <v>171</v>
      </c>
      <c r="C116" s="234">
        <v>6.5</v>
      </c>
      <c r="D116" s="234">
        <v>5.5</v>
      </c>
      <c r="E116" s="234">
        <v>4</v>
      </c>
      <c r="F116" s="234">
        <v>3.5</v>
      </c>
      <c r="G116" s="234">
        <v>3</v>
      </c>
      <c r="H116" s="234">
        <v>2.5</v>
      </c>
      <c r="I116" s="234">
        <v>2</v>
      </c>
      <c r="J116" t="s">
        <v>203</v>
      </c>
    </row>
    <row r="117" spans="2:10">
      <c r="B117" s="212" t="s">
        <v>173</v>
      </c>
      <c r="C117" s="234">
        <v>7.7</v>
      </c>
      <c r="D117" s="234">
        <v>7.1</v>
      </c>
      <c r="E117" s="234">
        <v>6.5</v>
      </c>
      <c r="F117" s="234">
        <v>5.95</v>
      </c>
      <c r="G117" s="234">
        <v>5.4</v>
      </c>
      <c r="H117" s="234">
        <v>4.6500000000000004</v>
      </c>
      <c r="I117" s="234">
        <v>3.9</v>
      </c>
      <c r="J117" t="s">
        <v>204</v>
      </c>
    </row>
    <row r="118" spans="2:10">
      <c r="B118" s="212" t="s">
        <v>175</v>
      </c>
      <c r="C118" s="234">
        <v>1.27</v>
      </c>
      <c r="D118" s="234">
        <v>1.2953999999999999</v>
      </c>
      <c r="E118" s="234">
        <v>1.3208</v>
      </c>
      <c r="F118" s="234">
        <v>1.3462000000000001</v>
      </c>
      <c r="G118" s="234">
        <v>1.3716000000000002</v>
      </c>
      <c r="H118" s="234">
        <v>1.3843000000000001</v>
      </c>
      <c r="I118" s="234">
        <v>1.3970000000000002</v>
      </c>
      <c r="J118" s="235" t="s">
        <v>176</v>
      </c>
    </row>
    <row r="119" spans="2:10">
      <c r="B119" s="212" t="s">
        <v>177</v>
      </c>
      <c r="C119" s="234">
        <v>1.3640000000000001</v>
      </c>
      <c r="D119" s="234">
        <v>1.3640000000000001</v>
      </c>
      <c r="E119" s="234">
        <v>1.3640000000000001</v>
      </c>
      <c r="F119" s="234">
        <v>1.3640000000000001</v>
      </c>
      <c r="G119" s="234">
        <v>1.3640000000000001</v>
      </c>
      <c r="H119" s="234">
        <v>1.3640000000000001</v>
      </c>
      <c r="I119" s="234">
        <v>1.3640000000000001</v>
      </c>
      <c r="J119" t="s">
        <v>205</v>
      </c>
    </row>
    <row r="120" spans="2:10">
      <c r="B120" s="212" t="s">
        <v>179</v>
      </c>
      <c r="C120" s="234">
        <v>6.2960000000000003</v>
      </c>
      <c r="D120" s="234">
        <v>6.6</v>
      </c>
      <c r="E120" s="234">
        <v>7</v>
      </c>
      <c r="F120" s="234">
        <v>7</v>
      </c>
      <c r="G120" s="234">
        <v>7</v>
      </c>
      <c r="H120" s="234">
        <v>7</v>
      </c>
      <c r="I120" s="234">
        <v>7</v>
      </c>
      <c r="J120" t="s">
        <v>206</v>
      </c>
    </row>
    <row r="121" spans="2:10">
      <c r="B121" s="212" t="s">
        <v>181</v>
      </c>
      <c r="C121" s="234">
        <v>6.3630000000000004</v>
      </c>
      <c r="D121" s="234">
        <v>6.3630000000000004</v>
      </c>
      <c r="E121" s="234">
        <v>6.3630000000000004</v>
      </c>
      <c r="F121" s="234">
        <v>6.3630000000000004</v>
      </c>
      <c r="G121" s="234">
        <v>6.3630000000000004</v>
      </c>
      <c r="H121" s="234">
        <v>6.3630000000000004</v>
      </c>
      <c r="I121" s="234">
        <v>6.3630000000000004</v>
      </c>
      <c r="J121" t="s">
        <v>207</v>
      </c>
    </row>
    <row r="122" spans="2:10">
      <c r="B122" s="212" t="s">
        <v>182</v>
      </c>
      <c r="C122" s="234">
        <v>1.92</v>
      </c>
      <c r="D122" s="234">
        <v>1.92</v>
      </c>
      <c r="E122" s="234">
        <v>1.92</v>
      </c>
      <c r="F122" s="234">
        <v>1.92</v>
      </c>
      <c r="G122" s="234">
        <v>1.92</v>
      </c>
      <c r="H122" s="234">
        <v>1.92</v>
      </c>
      <c r="I122" s="234">
        <v>1.92</v>
      </c>
      <c r="J122" s="246" t="s">
        <v>208</v>
      </c>
    </row>
    <row r="123" spans="2:10">
      <c r="B123" t="s">
        <v>184</v>
      </c>
      <c r="C123" s="236"/>
    </row>
    <row r="124" spans="2:10">
      <c r="B124" s="233" t="s">
        <v>17</v>
      </c>
      <c r="C124" s="237">
        <v>31.412999999999997</v>
      </c>
      <c r="D124" s="237">
        <v>30.142400000000002</v>
      </c>
      <c r="E124" s="237">
        <v>28.467800000000004</v>
      </c>
      <c r="F124" s="237">
        <v>27.443199999999997</v>
      </c>
      <c r="G124" s="237">
        <v>26.418600000000005</v>
      </c>
      <c r="H124" s="237">
        <v>25.1813</v>
      </c>
      <c r="I124" s="237">
        <v>23.944000000000003</v>
      </c>
    </row>
  </sheetData>
  <mergeCells count="13">
    <mergeCell ref="B36:B42"/>
    <mergeCell ref="A1:M1"/>
    <mergeCell ref="C3:H3"/>
    <mergeCell ref="C13:H13"/>
    <mergeCell ref="B19:L19"/>
    <mergeCell ref="B28:B34"/>
    <mergeCell ref="B111:L111"/>
    <mergeCell ref="B45:L45"/>
    <mergeCell ref="B55:B61"/>
    <mergeCell ref="B63:B69"/>
    <mergeCell ref="B72:L72"/>
    <mergeCell ref="B82:L82"/>
    <mergeCell ref="B100:C10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C2"/>
  <sheetViews>
    <sheetView zoomScaleNormal="100" workbookViewId="0">
      <selection activeCell="B41" sqref="B41"/>
    </sheetView>
  </sheetViews>
  <sheetFormatPr baseColWidth="10" defaultRowHeight="14.5"/>
  <sheetData>
    <row r="2" spans="3:3">
      <c r="C2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0"/>
  <sheetViews>
    <sheetView zoomScaleNormal="100" workbookViewId="0">
      <pane ySplit="1" topLeftCell="A50" activePane="bottomLeft" state="frozen"/>
      <selection pane="bottomLeft" activeCell="J19" sqref="J19:L19"/>
    </sheetView>
  </sheetViews>
  <sheetFormatPr baseColWidth="10" defaultRowHeight="14.5"/>
  <cols>
    <col min="1" max="1" width="23.6328125" customWidth="1"/>
    <col min="2" max="2" width="16.7265625" customWidth="1"/>
    <col min="3" max="3" width="17.90625" customWidth="1"/>
    <col min="4" max="4" width="19" customWidth="1"/>
    <col min="7" max="7" width="17.54296875" customWidth="1"/>
    <col min="8" max="8" width="17.26953125" bestFit="1" customWidth="1"/>
  </cols>
  <sheetData>
    <row r="1" spans="1:12" ht="43.5">
      <c r="A1" t="s">
        <v>52</v>
      </c>
      <c r="B1" s="104" t="s">
        <v>44</v>
      </c>
      <c r="C1" s="104" t="s">
        <v>43</v>
      </c>
      <c r="D1" s="104" t="s">
        <v>50</v>
      </c>
    </row>
    <row r="2" spans="1:12">
      <c r="A2" s="289" t="s">
        <v>0</v>
      </c>
      <c r="B2" s="289"/>
      <c r="C2" s="289"/>
      <c r="D2" s="289"/>
    </row>
    <row r="3" spans="1:12">
      <c r="A3" s="6" t="s">
        <v>15</v>
      </c>
      <c r="B3" s="55">
        <v>8.9924733284390393E-2</v>
      </c>
      <c r="C3" s="55">
        <v>2.5832473286687414E-3</v>
      </c>
      <c r="D3" s="128">
        <v>126.80599367448798</v>
      </c>
      <c r="E3" s="129"/>
    </row>
    <row r="4" spans="1:12">
      <c r="A4" s="6" t="s">
        <v>16</v>
      </c>
      <c r="B4" s="55">
        <v>0.42450974789018903</v>
      </c>
      <c r="C4" s="55">
        <v>0.18262447255667691</v>
      </c>
      <c r="D4" s="128">
        <v>124.25601947418849</v>
      </c>
      <c r="E4" s="129"/>
    </row>
    <row r="5" spans="1:12">
      <c r="A5" s="6" t="s">
        <v>75</v>
      </c>
      <c r="B5" s="55">
        <v>8.0340172710777702E-2</v>
      </c>
      <c r="C5" s="55">
        <v>0.13911656645249823</v>
      </c>
      <c r="D5" s="128">
        <v>113.59911502134896</v>
      </c>
      <c r="E5" s="129"/>
      <c r="H5" s="16" t="s">
        <v>222</v>
      </c>
      <c r="I5" t="s">
        <v>18</v>
      </c>
    </row>
    <row r="6" spans="1:12">
      <c r="A6" s="6" t="s">
        <v>22</v>
      </c>
      <c r="B6" s="55">
        <v>1.3267227564659348E-2</v>
      </c>
      <c r="C6" s="55">
        <v>2.2541262662018457E-2</v>
      </c>
      <c r="D6" s="128">
        <v>96.970830162240034</v>
      </c>
      <c r="E6" s="129"/>
      <c r="H6" t="s">
        <v>223</v>
      </c>
      <c r="I6">
        <v>2020</v>
      </c>
      <c r="J6">
        <v>2030</v>
      </c>
      <c r="K6">
        <v>2040</v>
      </c>
      <c r="L6">
        <v>2050</v>
      </c>
    </row>
    <row r="7" spans="1:12">
      <c r="A7" s="6" t="s">
        <v>42</v>
      </c>
      <c r="B7" s="55">
        <v>1.2451501862338604E-2</v>
      </c>
      <c r="C7" s="55">
        <v>2.2378153328661055E-2</v>
      </c>
      <c r="D7" s="128">
        <v>71.071263953618569</v>
      </c>
      <c r="E7" s="129"/>
      <c r="H7" s="6" t="s">
        <v>15</v>
      </c>
      <c r="I7">
        <v>300</v>
      </c>
      <c r="J7">
        <v>300</v>
      </c>
      <c r="K7">
        <v>300</v>
      </c>
      <c r="L7">
        <v>300</v>
      </c>
    </row>
    <row r="8" spans="1:12">
      <c r="A8" s="6" t="s">
        <v>25</v>
      </c>
      <c r="B8" s="55">
        <v>0.30626447562213699</v>
      </c>
      <c r="C8" s="55">
        <v>0.17192765066376023</v>
      </c>
      <c r="D8" s="128">
        <v>66.263082459656104</v>
      </c>
      <c r="E8" s="129"/>
      <c r="H8" s="6" t="s">
        <v>16</v>
      </c>
      <c r="I8">
        <v>234</v>
      </c>
      <c r="J8" s="273">
        <f>I8*0.85</f>
        <v>198.9</v>
      </c>
      <c r="K8" s="273">
        <f>J8+(M8-J8)*(K6-J6)/30</f>
        <v>132.60000000000002</v>
      </c>
      <c r="L8">
        <v>0</v>
      </c>
    </row>
    <row r="9" spans="1:12">
      <c r="A9" s="6" t="s">
        <v>26</v>
      </c>
      <c r="B9" s="55">
        <v>7.3242141065507804E-2</v>
      </c>
      <c r="C9" s="55">
        <v>0.45882864700771653</v>
      </c>
      <c r="D9" s="128">
        <v>54.986857686150131</v>
      </c>
      <c r="E9" s="129"/>
      <c r="H9" s="6" t="s">
        <v>75</v>
      </c>
      <c r="I9">
        <v>150</v>
      </c>
      <c r="J9" s="273">
        <f>I9+(L9-I9)*(J6-I6)/30</f>
        <v>116.66666666666666</v>
      </c>
      <c r="K9" s="273">
        <f>J9+(M9-J9)*(K6-J6)/30</f>
        <v>77.777777777777771</v>
      </c>
      <c r="L9">
        <v>50</v>
      </c>
    </row>
    <row r="10" spans="1:12">
      <c r="B10" s="55">
        <f>SUM(B3:B9)</f>
        <v>0.99999999999999978</v>
      </c>
      <c r="C10" s="55">
        <f>SUM(C3:C9)</f>
        <v>1</v>
      </c>
      <c r="H10" s="6" t="s">
        <v>22</v>
      </c>
      <c r="I10">
        <v>234</v>
      </c>
      <c r="J10">
        <v>234</v>
      </c>
      <c r="K10">
        <v>234</v>
      </c>
      <c r="L10">
        <v>234</v>
      </c>
    </row>
    <row r="11" spans="1:12">
      <c r="A11" s="289" t="s">
        <v>51</v>
      </c>
      <c r="B11" s="289"/>
      <c r="C11" s="289"/>
      <c r="D11" s="289"/>
      <c r="H11" s="6" t="s">
        <v>42</v>
      </c>
      <c r="I11">
        <v>3</v>
      </c>
      <c r="J11">
        <v>3</v>
      </c>
      <c r="K11">
        <v>3</v>
      </c>
      <c r="L11">
        <v>3</v>
      </c>
    </row>
    <row r="12" spans="1:12">
      <c r="A12" s="6" t="s">
        <v>15</v>
      </c>
      <c r="B12" s="55">
        <v>7.9577911246311389E-2</v>
      </c>
      <c r="C12" s="55">
        <v>0</v>
      </c>
      <c r="D12" s="54">
        <v>127.68929254901445</v>
      </c>
      <c r="H12" s="6" t="s">
        <v>25</v>
      </c>
      <c r="I12">
        <v>79</v>
      </c>
      <c r="J12" s="273">
        <f>I12+(L12-I12)*(J6-I6)/30</f>
        <v>69.333333333333329</v>
      </c>
      <c r="K12" s="273">
        <f>J12+(M12-J12)*(K6-J6)/30</f>
        <v>46.222222222222221</v>
      </c>
      <c r="L12">
        <v>50</v>
      </c>
    </row>
    <row r="13" spans="1:12">
      <c r="A13" s="6" t="s">
        <v>16</v>
      </c>
      <c r="B13" s="55">
        <v>0.34462030283054329</v>
      </c>
      <c r="C13" s="55">
        <v>0.38923402073260943</v>
      </c>
      <c r="D13" s="54">
        <v>144.03200509684046</v>
      </c>
      <c r="H13" s="6" t="s">
        <v>26</v>
      </c>
      <c r="I13">
        <v>79</v>
      </c>
      <c r="J13" s="273">
        <f>I13+(L13-I13)*(J6-I6)/30</f>
        <v>69.333333333333329</v>
      </c>
      <c r="K13" s="273">
        <f>J13+(M13-J13)*(K6-J6)/30</f>
        <v>46.222222222222221</v>
      </c>
      <c r="L13">
        <v>50</v>
      </c>
    </row>
    <row r="14" spans="1:12">
      <c r="A14" s="6" t="s">
        <v>75</v>
      </c>
      <c r="B14" s="55">
        <v>6.6086937326922057E-2</v>
      </c>
      <c r="C14" s="55">
        <v>6.6076657693018501E-2</v>
      </c>
      <c r="D14" s="54">
        <v>144.61486250606305</v>
      </c>
      <c r="H14" t="s">
        <v>224</v>
      </c>
    </row>
    <row r="15" spans="1:12">
      <c r="A15" s="6" t="s">
        <v>22</v>
      </c>
      <c r="B15" s="55">
        <v>1.4148263803273525E-2</v>
      </c>
      <c r="C15" s="55">
        <v>1.4740928196769911E-2</v>
      </c>
      <c r="D15" s="54">
        <v>116.3659935943368</v>
      </c>
    </row>
    <row r="16" spans="1:12">
      <c r="A16" s="6" t="s">
        <v>42</v>
      </c>
      <c r="B16" s="55">
        <v>2.6562983479710957E-2</v>
      </c>
      <c r="C16" s="55">
        <v>2.5736644706610589E-2</v>
      </c>
      <c r="D16" s="54">
        <v>58.704221538153881</v>
      </c>
      <c r="H16" s="16" t="s">
        <v>222</v>
      </c>
      <c r="I16" t="s">
        <v>19</v>
      </c>
    </row>
    <row r="17" spans="1:12">
      <c r="A17" s="6" t="s">
        <v>25</v>
      </c>
      <c r="B17" s="55">
        <v>0.36221493246354636</v>
      </c>
      <c r="C17" s="55">
        <v>8.0042733231366181E-2</v>
      </c>
      <c r="D17" s="54">
        <v>46.142235229911599</v>
      </c>
      <c r="H17" t="s">
        <v>223</v>
      </c>
      <c r="I17">
        <v>2020</v>
      </c>
      <c r="J17">
        <v>2030</v>
      </c>
      <c r="K17">
        <v>2040</v>
      </c>
      <c r="L17">
        <v>2050</v>
      </c>
    </row>
    <row r="18" spans="1:12">
      <c r="A18" s="6" t="s">
        <v>26</v>
      </c>
      <c r="B18" s="55">
        <v>0.10678866884969246</v>
      </c>
      <c r="C18" s="55">
        <v>0.42416901543962537</v>
      </c>
      <c r="D18" s="54">
        <v>45.931455677006653</v>
      </c>
      <c r="H18" s="6" t="s">
        <v>15</v>
      </c>
      <c r="I18">
        <v>300</v>
      </c>
      <c r="J18">
        <v>300</v>
      </c>
      <c r="K18">
        <v>300</v>
      </c>
      <c r="L18">
        <v>300</v>
      </c>
    </row>
    <row r="19" spans="1:12">
      <c r="B19" s="55">
        <f>SUM(B12:B18)</f>
        <v>1</v>
      </c>
      <c r="C19" s="55">
        <f>SUM(C12:C18)</f>
        <v>1</v>
      </c>
      <c r="H19" s="6" t="s">
        <v>16</v>
      </c>
      <c r="I19">
        <v>234</v>
      </c>
      <c r="J19" s="273">
        <f>I19*0.85</f>
        <v>198.9</v>
      </c>
      <c r="K19" s="273">
        <f t="shared" ref="K19:L19" si="0">J19*0.85</f>
        <v>169.065</v>
      </c>
      <c r="L19" s="273">
        <f t="shared" si="0"/>
        <v>143.70525000000001</v>
      </c>
    </row>
    <row r="20" spans="1:12">
      <c r="A20" s="289" t="s">
        <v>3</v>
      </c>
      <c r="B20" s="289"/>
      <c r="C20" s="289"/>
      <c r="D20" s="289"/>
      <c r="H20" s="6" t="s">
        <v>75</v>
      </c>
      <c r="I20">
        <v>150</v>
      </c>
      <c r="J20" s="273">
        <f>I20+(L20-I20)*(J17-I17)/30</f>
        <v>116.66666666666666</v>
      </c>
      <c r="K20" s="273">
        <f>J20+(M20-J20)*(K17-J17)/30</f>
        <v>77.777777777777771</v>
      </c>
      <c r="L20">
        <f>I20/3</f>
        <v>50</v>
      </c>
    </row>
    <row r="21" spans="1:12">
      <c r="A21" s="6" t="s">
        <v>15</v>
      </c>
      <c r="B21" s="55">
        <v>0.1836452867363588</v>
      </c>
      <c r="C21" s="55">
        <v>4.1021151124009851E-5</v>
      </c>
      <c r="D21" s="54">
        <v>91.387943319825126</v>
      </c>
      <c r="H21" s="6" t="s">
        <v>22</v>
      </c>
      <c r="I21">
        <v>234</v>
      </c>
      <c r="J21">
        <v>234</v>
      </c>
      <c r="K21">
        <v>234</v>
      </c>
      <c r="L21">
        <v>234</v>
      </c>
    </row>
    <row r="22" spans="1:12">
      <c r="A22" s="6" t="s">
        <v>16</v>
      </c>
      <c r="B22" s="55">
        <v>0.39294128743187395</v>
      </c>
      <c r="C22" s="55">
        <v>0.24387457929202933</v>
      </c>
      <c r="D22" s="54">
        <v>97.665572578470474</v>
      </c>
      <c r="H22" s="6" t="s">
        <v>42</v>
      </c>
      <c r="I22">
        <v>3</v>
      </c>
      <c r="J22">
        <v>3</v>
      </c>
      <c r="K22">
        <v>3</v>
      </c>
      <c r="L22">
        <v>3</v>
      </c>
    </row>
    <row r="23" spans="1:12">
      <c r="A23" s="6" t="s">
        <v>75</v>
      </c>
      <c r="B23" s="55">
        <v>4.1639881083029275E-2</v>
      </c>
      <c r="C23" s="55">
        <v>3.8798739172946649E-2</v>
      </c>
      <c r="D23" s="54">
        <v>52.026493036636026</v>
      </c>
      <c r="H23" s="6" t="s">
        <v>25</v>
      </c>
      <c r="I23">
        <v>79</v>
      </c>
      <c r="J23" s="273">
        <f>I23+(L23-I23)*(J17-I17)/30</f>
        <v>66</v>
      </c>
      <c r="K23" s="273">
        <f>J23+(M23-J23)*(K17-J17)/30</f>
        <v>44</v>
      </c>
      <c r="L23">
        <v>40</v>
      </c>
    </row>
    <row r="24" spans="1:12">
      <c r="A24" s="6" t="s">
        <v>22</v>
      </c>
      <c r="B24" s="55">
        <v>1.8191868324415598E-2</v>
      </c>
      <c r="C24" s="55">
        <v>1.4755157309534661E-2</v>
      </c>
      <c r="D24" s="54">
        <v>40.861716132828043</v>
      </c>
      <c r="H24" s="6" t="s">
        <v>26</v>
      </c>
      <c r="I24">
        <v>79</v>
      </c>
      <c r="J24" s="273">
        <f>I24+(L24-I24)*(J17-I17)/30</f>
        <v>66</v>
      </c>
      <c r="K24" s="273">
        <f>J24+(M24-J24)*(K17-J17)/30</f>
        <v>44</v>
      </c>
      <c r="L24">
        <v>40</v>
      </c>
    </row>
    <row r="25" spans="1:12">
      <c r="A25" s="6" t="s">
        <v>42</v>
      </c>
      <c r="B25" s="55">
        <v>1.3815793734488184E-2</v>
      </c>
      <c r="C25" s="55">
        <v>1.1548604741342878E-2</v>
      </c>
      <c r="D25" s="54">
        <v>34.599084101185987</v>
      </c>
    </row>
    <row r="26" spans="1:12">
      <c r="A26" s="6" t="s">
        <v>25</v>
      </c>
      <c r="B26" s="55">
        <v>0.26215626418619603</v>
      </c>
      <c r="C26" s="55">
        <v>0.37540666329243721</v>
      </c>
      <c r="D26" s="54">
        <v>59.677359985528099</v>
      </c>
    </row>
    <row r="27" spans="1:12">
      <c r="A27" s="6" t="s">
        <v>26</v>
      </c>
      <c r="B27" s="55">
        <v>8.7609618503638187E-2</v>
      </c>
      <c r="C27" s="55">
        <v>0.31557523504058516</v>
      </c>
      <c r="D27" s="54">
        <v>50.826110034128334</v>
      </c>
    </row>
    <row r="28" spans="1:12">
      <c r="B28" s="55">
        <f>SUM(B21:B27)</f>
        <v>1</v>
      </c>
      <c r="C28" s="55">
        <f>SUM(C21:C27)</f>
        <v>0.99999999999999989</v>
      </c>
    </row>
    <row r="29" spans="1:12">
      <c r="A29" s="289" t="s">
        <v>45</v>
      </c>
      <c r="B29" s="289"/>
      <c r="C29" s="289"/>
      <c r="D29" s="289"/>
    </row>
    <row r="30" spans="1:12">
      <c r="A30" s="6" t="s">
        <v>15</v>
      </c>
      <c r="B30" s="55">
        <v>0.20223518285214698</v>
      </c>
      <c r="C30" s="55">
        <v>5.6584972145073235E-2</v>
      </c>
      <c r="D30" s="54">
        <v>89.038529688212606</v>
      </c>
    </row>
    <row r="31" spans="1:12">
      <c r="A31" s="6" t="s">
        <v>16</v>
      </c>
      <c r="B31" s="55">
        <v>0.58817685192014335</v>
      </c>
      <c r="C31" s="55">
        <v>0.5881912261494745</v>
      </c>
      <c r="D31" s="54">
        <v>75.196694999878517</v>
      </c>
    </row>
    <row r="32" spans="1:12">
      <c r="A32" s="6" t="s">
        <v>75</v>
      </c>
      <c r="B32" s="55">
        <v>8.4009548274215404E-2</v>
      </c>
      <c r="C32" s="55">
        <v>8.0741361547576412E-2</v>
      </c>
      <c r="D32" s="54">
        <v>87.455212719158936</v>
      </c>
    </row>
    <row r="33" spans="1:4">
      <c r="A33" s="6" t="s">
        <v>22</v>
      </c>
      <c r="B33" s="55">
        <v>1.3320407248410885E-2</v>
      </c>
      <c r="C33" s="55">
        <v>1.2731783152525081E-2</v>
      </c>
      <c r="D33" s="54">
        <v>96.831534611881665</v>
      </c>
    </row>
    <row r="34" spans="1:4">
      <c r="A34" s="6" t="s">
        <v>42</v>
      </c>
      <c r="B34" s="55">
        <v>9.3630592275931179E-3</v>
      </c>
      <c r="C34" s="55">
        <v>9.0821371602788342E-3</v>
      </c>
      <c r="D34" s="54">
        <v>58.941313133082552</v>
      </c>
    </row>
    <row r="35" spans="1:4">
      <c r="A35" s="6" t="s">
        <v>25</v>
      </c>
      <c r="B35" s="55">
        <v>8.9833717887786435E-2</v>
      </c>
      <c r="C35" s="55">
        <v>2.1278159067402536E-2</v>
      </c>
      <c r="D35" s="54">
        <v>48.43647093235009</v>
      </c>
    </row>
    <row r="36" spans="1:4">
      <c r="A36" s="6" t="s">
        <v>26</v>
      </c>
      <c r="B36" s="55">
        <v>1.3061232589703731E-2</v>
      </c>
      <c r="C36" s="55">
        <v>0.23139036077766945</v>
      </c>
      <c r="D36" s="54">
        <v>53.47295056078152</v>
      </c>
    </row>
    <row r="37" spans="1:4">
      <c r="B37" s="55">
        <f>SUM(B30:B36)</f>
        <v>0.99999999999999978</v>
      </c>
      <c r="C37" s="55">
        <f>SUM(C30:C36)</f>
        <v>1</v>
      </c>
    </row>
    <row r="38" spans="1:4">
      <c r="A38" s="289" t="s">
        <v>242</v>
      </c>
      <c r="B38" s="289"/>
      <c r="C38" s="289"/>
      <c r="D38" s="289"/>
    </row>
    <row r="39" spans="1:4">
      <c r="A39" s="6" t="s">
        <v>15</v>
      </c>
      <c r="B39" s="55">
        <v>0.2</v>
      </c>
      <c r="C39" s="55">
        <v>7.0000000000000007E-2</v>
      </c>
      <c r="D39" s="54">
        <v>127</v>
      </c>
    </row>
    <row r="40" spans="1:4">
      <c r="A40" s="6" t="s">
        <v>16</v>
      </c>
      <c r="B40" s="55">
        <v>0.5</v>
      </c>
      <c r="C40" s="55">
        <v>0.5</v>
      </c>
      <c r="D40" s="54">
        <v>101</v>
      </c>
    </row>
    <row r="41" spans="1:4">
      <c r="A41" s="6" t="s">
        <v>75</v>
      </c>
      <c r="B41" s="55">
        <v>0.06</v>
      </c>
      <c r="C41" s="55">
        <v>0.04</v>
      </c>
      <c r="D41" s="54">
        <v>50</v>
      </c>
    </row>
    <row r="42" spans="1:4">
      <c r="A42" s="6" t="s">
        <v>22</v>
      </c>
      <c r="B42" s="55">
        <v>0.01</v>
      </c>
      <c r="C42" s="55">
        <v>0</v>
      </c>
      <c r="D42" s="54">
        <v>50</v>
      </c>
    </row>
    <row r="43" spans="1:4">
      <c r="A43" s="6" t="s">
        <v>42</v>
      </c>
      <c r="B43" s="55">
        <v>0.03</v>
      </c>
      <c r="C43" s="55">
        <v>0.01</v>
      </c>
      <c r="D43" s="54">
        <v>50</v>
      </c>
    </row>
    <row r="44" spans="1:4">
      <c r="A44" s="6" t="s">
        <v>25</v>
      </c>
      <c r="B44" s="55">
        <v>0.17</v>
      </c>
      <c r="C44" s="55">
        <v>0.3</v>
      </c>
      <c r="D44" s="54">
        <v>81</v>
      </c>
    </row>
    <row r="45" spans="1:4">
      <c r="A45" s="6" t="s">
        <v>26</v>
      </c>
      <c r="B45" s="55">
        <v>0.03</v>
      </c>
      <c r="C45" s="55">
        <v>0.08</v>
      </c>
      <c r="D45" s="54">
        <v>45</v>
      </c>
    </row>
    <row r="46" spans="1:4">
      <c r="B46" s="55">
        <f>SUM(B39:B45)</f>
        <v>1</v>
      </c>
      <c r="C46" s="55">
        <f>SUM(C39:C45)</f>
        <v>1.0000000000000002</v>
      </c>
    </row>
    <row r="47" spans="1:4">
      <c r="A47" s="289" t="s">
        <v>47</v>
      </c>
      <c r="B47" s="289"/>
      <c r="C47" s="289"/>
      <c r="D47" s="289"/>
    </row>
    <row r="48" spans="1:4">
      <c r="A48" s="6" t="s">
        <v>15</v>
      </c>
      <c r="B48" s="55">
        <v>0.15758395350413734</v>
      </c>
      <c r="C48" s="55">
        <v>1.1068404808735261E-2</v>
      </c>
      <c r="D48" s="54">
        <v>121.54623268705149</v>
      </c>
    </row>
    <row r="49" spans="1:4">
      <c r="A49" s="6" t="s">
        <v>16</v>
      </c>
      <c r="B49" s="55">
        <v>0.52707670990322253</v>
      </c>
      <c r="C49" s="55">
        <v>0.44151844048973238</v>
      </c>
      <c r="D49" s="54">
        <v>96.63015104729925</v>
      </c>
    </row>
    <row r="50" spans="1:4">
      <c r="A50" s="6" t="s">
        <v>75</v>
      </c>
      <c r="B50" s="55">
        <v>8.5504311043289719E-2</v>
      </c>
      <c r="C50" s="55">
        <v>0.19276276753541544</v>
      </c>
      <c r="D50" s="54">
        <v>115.87395260863727</v>
      </c>
    </row>
    <row r="51" spans="1:4">
      <c r="A51" s="6" t="s">
        <v>22</v>
      </c>
      <c r="B51" s="55">
        <v>1.5048165554765945E-2</v>
      </c>
      <c r="C51" s="55">
        <v>3.6575030316210601E-2</v>
      </c>
      <c r="D51" s="54">
        <v>91.998382538431869</v>
      </c>
    </row>
    <row r="52" spans="1:4">
      <c r="A52" s="6" t="s">
        <v>42</v>
      </c>
      <c r="B52" s="55">
        <v>1.3459722901950799E-2</v>
      </c>
      <c r="C52" s="55">
        <v>3.1736685713051743E-2</v>
      </c>
      <c r="D52" s="54">
        <v>85.010024790635853</v>
      </c>
    </row>
    <row r="53" spans="1:4">
      <c r="A53" s="6" t="s">
        <v>25</v>
      </c>
      <c r="B53" s="55">
        <v>0.16942946687247459</v>
      </c>
      <c r="C53" s="55">
        <v>8.5410409228175652E-2</v>
      </c>
      <c r="D53" s="54">
        <v>69.636966699890323</v>
      </c>
    </row>
    <row r="54" spans="1:4">
      <c r="A54" s="6" t="s">
        <v>26</v>
      </c>
      <c r="B54" s="55">
        <v>3.1897670220158943E-2</v>
      </c>
      <c r="C54" s="55">
        <v>0.20092826190867891</v>
      </c>
      <c r="D54" s="54">
        <v>45.552332808253411</v>
      </c>
    </row>
    <row r="55" spans="1:4">
      <c r="B55" s="55">
        <f>SUM(B48:B54)</f>
        <v>0.99999999999999989</v>
      </c>
      <c r="C55" s="55">
        <f>SUM(C48:C54)</f>
        <v>1</v>
      </c>
    </row>
    <row r="56" spans="1:4">
      <c r="A56" s="289" t="s">
        <v>46</v>
      </c>
      <c r="B56" s="289"/>
      <c r="C56" s="289"/>
      <c r="D56" s="289"/>
    </row>
    <row r="57" spans="1:4">
      <c r="A57" s="6" t="s">
        <v>15</v>
      </c>
      <c r="B57" s="55">
        <v>0.11535851755011599</v>
      </c>
      <c r="C57" s="55">
        <v>1.9344819899405983E-2</v>
      </c>
      <c r="D57" s="54">
        <v>101.99892608460068</v>
      </c>
    </row>
    <row r="58" spans="1:4">
      <c r="A58" s="6" t="s">
        <v>16</v>
      </c>
      <c r="B58" s="55">
        <v>0.47397594912324764</v>
      </c>
      <c r="C58" s="55">
        <v>0.52399466367463399</v>
      </c>
      <c r="D58" s="54">
        <v>139.23204252303717</v>
      </c>
    </row>
    <row r="59" spans="1:4">
      <c r="A59" s="6" t="s">
        <v>75</v>
      </c>
      <c r="B59" s="55">
        <v>7.5347621054706812E-2</v>
      </c>
      <c r="C59" s="55">
        <v>6.7035227617333368E-2</v>
      </c>
      <c r="D59" s="54">
        <v>38.81409900935455</v>
      </c>
    </row>
    <row r="60" spans="1:4">
      <c r="A60" s="6" t="s">
        <v>22</v>
      </c>
      <c r="B60" s="55">
        <v>8.5578093947910449E-3</v>
      </c>
      <c r="C60" s="55">
        <v>7.5158331919586794E-3</v>
      </c>
      <c r="D60" s="54">
        <v>42.697182251063232</v>
      </c>
    </row>
    <row r="61" spans="1:4">
      <c r="A61" s="6" t="s">
        <v>42</v>
      </c>
      <c r="B61" s="55">
        <v>7.8229288904559831E-3</v>
      </c>
      <c r="C61" s="55">
        <v>6.8921199229294077E-3</v>
      </c>
      <c r="D61" s="54">
        <v>44.980484696426807</v>
      </c>
    </row>
    <row r="62" spans="1:4">
      <c r="A62" s="6" t="s">
        <v>25</v>
      </c>
      <c r="B62" s="55">
        <v>0.25511815548729244</v>
      </c>
      <c r="C62" s="55">
        <v>0.16762986130287999</v>
      </c>
      <c r="D62" s="54">
        <v>56.611833927297141</v>
      </c>
    </row>
    <row r="63" spans="1:4">
      <c r="A63" s="6" t="s">
        <v>26</v>
      </c>
      <c r="B63" s="55">
        <v>6.3819018499390159E-2</v>
      </c>
      <c r="C63" s="55">
        <v>0.20758747439085867</v>
      </c>
      <c r="D63" s="54">
        <v>44.724355838793251</v>
      </c>
    </row>
    <row r="64" spans="1:4">
      <c r="B64" s="55">
        <f>SUM(B57:B63)</f>
        <v>1</v>
      </c>
      <c r="C64" s="55">
        <f>SUM(C57:C63)</f>
        <v>1</v>
      </c>
    </row>
    <row r="65" spans="1:16">
      <c r="A65" s="289" t="s">
        <v>4</v>
      </c>
      <c r="B65" s="289"/>
      <c r="C65" s="289"/>
      <c r="D65" s="289"/>
    </row>
    <row r="66" spans="1:16">
      <c r="A66" s="6" t="s">
        <v>15</v>
      </c>
      <c r="B66" s="55">
        <v>0.19595605807562935</v>
      </c>
      <c r="C66" s="55">
        <v>8.566654622007622E-4</v>
      </c>
      <c r="D66" s="54">
        <v>128.16020625688986</v>
      </c>
    </row>
    <row r="67" spans="1:16">
      <c r="A67" s="6" t="s">
        <v>16</v>
      </c>
      <c r="B67" s="55">
        <v>0.40960771079475461</v>
      </c>
      <c r="C67" s="55">
        <v>0.12133733261175747</v>
      </c>
      <c r="D67" s="54">
        <v>123.98136038694778</v>
      </c>
    </row>
    <row r="68" spans="1:16">
      <c r="A68" s="6" t="s">
        <v>75</v>
      </c>
      <c r="B68" s="55">
        <v>6.1629340994289197E-2</v>
      </c>
      <c r="C68" s="55">
        <v>0.13508370055286556</v>
      </c>
      <c r="D68" s="54">
        <v>118.15251060350229</v>
      </c>
    </row>
    <row r="69" spans="1:16">
      <c r="A69" s="6" t="s">
        <v>22</v>
      </c>
      <c r="B69" s="55">
        <v>1.720027863130175E-2</v>
      </c>
      <c r="C69" s="55">
        <v>2.0851083900283521E-2</v>
      </c>
      <c r="D69" s="54">
        <v>115.11840157068453</v>
      </c>
    </row>
    <row r="70" spans="1:16">
      <c r="A70" s="6" t="s">
        <v>42</v>
      </c>
      <c r="B70" s="55">
        <v>1.3962097437388757E-2</v>
      </c>
      <c r="C70" s="55">
        <v>2.1412462228474215E-2</v>
      </c>
      <c r="D70" s="54">
        <v>74.250762204893817</v>
      </c>
    </row>
    <row r="71" spans="1:16">
      <c r="A71" s="6" t="s">
        <v>25</v>
      </c>
      <c r="B71" s="55">
        <v>0.23589207259794331</v>
      </c>
      <c r="C71" s="55">
        <v>0.23233774569965782</v>
      </c>
      <c r="D71" s="54">
        <v>58.717424395056483</v>
      </c>
    </row>
    <row r="72" spans="1:16">
      <c r="A72" s="6" t="s">
        <v>26</v>
      </c>
      <c r="B72" s="55">
        <v>6.5752441468692954E-2</v>
      </c>
      <c r="C72" s="55">
        <v>0.46812100954476071</v>
      </c>
      <c r="D72" s="54">
        <v>47.342013862569921</v>
      </c>
    </row>
    <row r="73" spans="1:16">
      <c r="B73" s="55">
        <f>SUM(B66:B72)</f>
        <v>1</v>
      </c>
      <c r="C73" s="55">
        <f>SUM(C66:C72)</f>
        <v>1</v>
      </c>
    </row>
    <row r="75" spans="1:16">
      <c r="A75" s="289" t="s">
        <v>88</v>
      </c>
      <c r="B75" s="290"/>
      <c r="C75" s="290"/>
      <c r="D75" s="290"/>
    </row>
    <row r="76" spans="1:16" ht="26">
      <c r="B76" s="135">
        <v>1990</v>
      </c>
      <c r="C76" s="136">
        <v>1995</v>
      </c>
      <c r="D76" s="136">
        <v>2000</v>
      </c>
      <c r="E76" s="136">
        <v>2005</v>
      </c>
      <c r="F76" s="136">
        <v>2010</v>
      </c>
      <c r="G76" s="136">
        <v>2015</v>
      </c>
      <c r="H76" s="137">
        <v>2020</v>
      </c>
      <c r="I76" s="150" t="s">
        <v>93</v>
      </c>
      <c r="J76" s="151" t="s">
        <v>81</v>
      </c>
      <c r="K76" s="151" t="s">
        <v>82</v>
      </c>
      <c r="L76" s="151" t="s">
        <v>87</v>
      </c>
      <c r="M76" s="133"/>
      <c r="N76" s="133"/>
      <c r="O76" s="133"/>
      <c r="P76" s="133"/>
    </row>
    <row r="77" spans="1:16">
      <c r="A77" s="134" t="s">
        <v>83</v>
      </c>
      <c r="B77" s="138">
        <v>155.67567874468344</v>
      </c>
      <c r="C77" s="139">
        <v>144.20029880566577</v>
      </c>
      <c r="D77" s="139">
        <v>146.2666517582841</v>
      </c>
      <c r="E77" s="139">
        <v>136.57421239289641</v>
      </c>
      <c r="F77" s="139">
        <v>128.44733116483138</v>
      </c>
      <c r="G77" s="139">
        <v>119.12615737447211</v>
      </c>
      <c r="H77" s="140">
        <v>106.21213396312017</v>
      </c>
      <c r="I77" s="144">
        <f>H77/D77-1</f>
        <v>-0.27384586516246257</v>
      </c>
      <c r="J77" s="145">
        <f>1+I77</f>
        <v>0.72615413483753743</v>
      </c>
      <c r="K77" s="146">
        <f>J77^0.1</f>
        <v>0.96850726199502613</v>
      </c>
      <c r="L77" s="152">
        <f>K77-1</f>
        <v>-3.1492738004973875E-2</v>
      </c>
      <c r="M77" s="133"/>
      <c r="N77" s="133"/>
      <c r="O77" s="133"/>
      <c r="P77" s="133"/>
    </row>
    <row r="78" spans="1:16">
      <c r="A78" s="134" t="s">
        <v>84</v>
      </c>
      <c r="B78" s="138">
        <v>172.69278962269081</v>
      </c>
      <c r="C78" s="139">
        <v>168.53255767943179</v>
      </c>
      <c r="D78" s="139">
        <v>172.66010876844641</v>
      </c>
      <c r="E78" s="139">
        <v>166.38819521289994</v>
      </c>
      <c r="F78" s="139">
        <v>151.95478449153515</v>
      </c>
      <c r="G78" s="139">
        <v>135.1534989915672</v>
      </c>
      <c r="H78" s="140">
        <v>121.74809106277199</v>
      </c>
      <c r="I78" s="144">
        <f t="shared" ref="I78:I80" si="1">H78/D78-1</f>
        <v>-0.2948684445342975</v>
      </c>
      <c r="J78" s="145">
        <f t="shared" ref="J78:J80" si="2">1+I78</f>
        <v>0.7051315554657025</v>
      </c>
      <c r="K78" s="146">
        <f t="shared" ref="K78:K80" si="3">J78^0.1</f>
        <v>0.96566616536299088</v>
      </c>
      <c r="L78" s="152">
        <f t="shared" ref="L78:L80" si="4">K78-1</f>
        <v>-3.433383463700912E-2</v>
      </c>
      <c r="M78" s="133"/>
      <c r="N78" s="133"/>
      <c r="O78" s="133"/>
      <c r="P78" s="133"/>
    </row>
    <row r="79" spans="1:16">
      <c r="A79" s="134" t="s">
        <v>85</v>
      </c>
      <c r="B79" s="138">
        <v>142.50282984737828</v>
      </c>
      <c r="C79" s="139">
        <v>131.49727536036906</v>
      </c>
      <c r="D79" s="139">
        <v>129.25631328722389</v>
      </c>
      <c r="E79" s="139">
        <v>121.23847603268428</v>
      </c>
      <c r="F79" s="139">
        <v>116.16490775888079</v>
      </c>
      <c r="G79" s="139">
        <v>109.392662901202</v>
      </c>
      <c r="H79" s="140">
        <v>102.77327280480316</v>
      </c>
      <c r="I79" s="144">
        <f t="shared" si="1"/>
        <v>-0.20488779084679654</v>
      </c>
      <c r="J79" s="145">
        <f t="shared" si="2"/>
        <v>0.79511220915320346</v>
      </c>
      <c r="K79" s="146">
        <f t="shared" si="3"/>
        <v>0.97733362807153989</v>
      </c>
      <c r="L79" s="152">
        <f t="shared" si="4"/>
        <v>-2.2666371928460105E-2</v>
      </c>
      <c r="M79" s="133"/>
      <c r="N79" s="133"/>
      <c r="O79" s="133"/>
      <c r="P79" s="133"/>
    </row>
    <row r="80" spans="1:16">
      <c r="A80" s="134" t="s">
        <v>86</v>
      </c>
      <c r="B80" s="141">
        <v>96.931239928014833</v>
      </c>
      <c r="C80" s="142">
        <v>87.004717391657124</v>
      </c>
      <c r="D80" s="142">
        <v>87.395910050408347</v>
      </c>
      <c r="E80" s="142">
        <v>80.416397613434597</v>
      </c>
      <c r="F80" s="142">
        <v>74.878682749879246</v>
      </c>
      <c r="G80" s="142">
        <v>67.802754050118168</v>
      </c>
      <c r="H80" s="143">
        <v>55.958701433044055</v>
      </c>
      <c r="I80" s="147">
        <f t="shared" si="1"/>
        <v>-0.35971029535858012</v>
      </c>
      <c r="J80" s="148">
        <f t="shared" si="2"/>
        <v>0.64028970464141988</v>
      </c>
      <c r="K80" s="149">
        <f t="shared" si="3"/>
        <v>0.95639578156152427</v>
      </c>
      <c r="L80" s="153">
        <f t="shared" si="4"/>
        <v>-4.3604218438475728E-2</v>
      </c>
      <c r="M80" s="133"/>
      <c r="N80" s="133"/>
      <c r="O80" s="133"/>
      <c r="P80" s="133"/>
    </row>
  </sheetData>
  <mergeCells count="9">
    <mergeCell ref="A75:D75"/>
    <mergeCell ref="A65:D65"/>
    <mergeCell ref="A2:D2"/>
    <mergeCell ref="A11:D11"/>
    <mergeCell ref="A20:D20"/>
    <mergeCell ref="A29:D29"/>
    <mergeCell ref="A47:D47"/>
    <mergeCell ref="A56:D56"/>
    <mergeCell ref="A38:D3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T51"/>
  <sheetViews>
    <sheetView topLeftCell="A16" zoomScaleNormal="100" workbookViewId="0">
      <selection activeCell="C4" sqref="C4:C11"/>
    </sheetView>
  </sheetViews>
  <sheetFormatPr baseColWidth="10" defaultRowHeight="14.5"/>
  <cols>
    <col min="2" max="2" width="29.26953125" customWidth="1"/>
    <col min="3" max="3" width="11" bestFit="1" customWidth="1"/>
    <col min="4" max="6" width="12.453125" bestFit="1" customWidth="1"/>
    <col min="8" max="8" width="22.81640625" customWidth="1"/>
    <col min="13" max="13" width="15.54296875" customWidth="1"/>
    <col min="18" max="18" width="11.453125" bestFit="1" customWidth="1"/>
  </cols>
  <sheetData>
    <row r="2" spans="2:20">
      <c r="B2" s="16" t="s">
        <v>58</v>
      </c>
      <c r="H2" s="114" t="s">
        <v>60</v>
      </c>
      <c r="I2" s="109"/>
      <c r="J2" s="109"/>
      <c r="K2" s="110"/>
      <c r="M2" s="16" t="s">
        <v>127</v>
      </c>
    </row>
    <row r="3" spans="2:20">
      <c r="C3" t="s">
        <v>53</v>
      </c>
      <c r="D3">
        <v>2030</v>
      </c>
      <c r="E3">
        <v>2040</v>
      </c>
      <c r="F3">
        <v>2050</v>
      </c>
      <c r="H3" s="109"/>
      <c r="I3" s="113" t="s">
        <v>5</v>
      </c>
      <c r="J3" s="113" t="s">
        <v>6</v>
      </c>
      <c r="K3" s="113" t="s">
        <v>7</v>
      </c>
      <c r="M3" t="s">
        <v>53</v>
      </c>
      <c r="N3" s="113" t="s">
        <v>5</v>
      </c>
      <c r="O3" s="113" t="s">
        <v>6</v>
      </c>
      <c r="P3" s="113" t="s">
        <v>7</v>
      </c>
    </row>
    <row r="4" spans="2:20">
      <c r="B4" t="s">
        <v>54</v>
      </c>
      <c r="C4" s="107">
        <v>239113.67300849396</v>
      </c>
      <c r="D4" s="107">
        <v>236512.58811040022</v>
      </c>
      <c r="E4" s="107">
        <v>229021.26149924967</v>
      </c>
      <c r="F4" s="107">
        <v>216659.89739814011</v>
      </c>
      <c r="H4" s="111" t="s">
        <v>54</v>
      </c>
      <c r="I4" s="113">
        <v>2.16E-3</v>
      </c>
      <c r="J4" s="113">
        <v>2.16E-3</v>
      </c>
      <c r="K4" s="113">
        <v>2.16E-3</v>
      </c>
      <c r="M4" s="111" t="s">
        <v>54</v>
      </c>
      <c r="N4" s="107">
        <f>IF(D4&gt;C4,D4-C4,0)+C4*I4*10</f>
        <v>5164.8553369834699</v>
      </c>
      <c r="O4" s="107">
        <f t="shared" ref="O4:P4" si="0">IF(E4&gt;D4,E4-D4,0)+D4*J4*10</f>
        <v>5108.6719031846442</v>
      </c>
      <c r="P4" s="107">
        <f t="shared" si="0"/>
        <v>4946.8592483837929</v>
      </c>
      <c r="R4" s="116"/>
      <c r="S4" s="202"/>
      <c r="T4" s="115"/>
    </row>
    <row r="5" spans="2:20">
      <c r="B5" t="s">
        <v>39</v>
      </c>
      <c r="C5" s="107">
        <v>67389.90174661066</v>
      </c>
      <c r="D5" s="107">
        <v>68391.959360319597</v>
      </c>
      <c r="E5" s="107">
        <v>69224.825652015963</v>
      </c>
      <c r="F5" s="107">
        <v>68495.508265298835</v>
      </c>
      <c r="H5" s="112" t="s">
        <v>39</v>
      </c>
      <c r="I5" s="113">
        <v>2.8800000000000002E-3</v>
      </c>
      <c r="J5" s="113">
        <v>2.8800000000000002E-3</v>
      </c>
      <c r="K5" s="113">
        <v>2.8800000000000002E-3</v>
      </c>
      <c r="M5" s="112" t="s">
        <v>39</v>
      </c>
      <c r="N5" s="107">
        <f t="shared" ref="N5:N11" si="1">IF(D5&gt;C5,D5-C5,0)+C5*I5*10</f>
        <v>2942.8867840113244</v>
      </c>
      <c r="O5" s="107">
        <f t="shared" ref="O5:O11" si="2">IF(E5&gt;D5,E5-D5,0)+D5*J5*10</f>
        <v>2802.5547212735701</v>
      </c>
      <c r="P5" s="107">
        <f t="shared" ref="P5:P7" si="3">IF(F5&gt;E5,F5-E5,0)+E5*K5*10</f>
        <v>1993.67497877806</v>
      </c>
      <c r="R5" s="115"/>
      <c r="S5" s="115"/>
      <c r="T5" s="115"/>
    </row>
    <row r="6" spans="2:20">
      <c r="B6" t="s">
        <v>3</v>
      </c>
      <c r="C6" s="107">
        <v>215959</v>
      </c>
      <c r="D6" s="107">
        <v>214926.68264629776</v>
      </c>
      <c r="E6" s="107">
        <v>213221.04959260757</v>
      </c>
      <c r="F6" s="107">
        <v>206669.62872520174</v>
      </c>
      <c r="H6" s="112" t="s">
        <v>3</v>
      </c>
      <c r="I6" s="113">
        <v>4.64E-3</v>
      </c>
      <c r="J6" s="113">
        <v>4.64E-3</v>
      </c>
      <c r="K6" s="113">
        <v>4.64E-3</v>
      </c>
      <c r="M6" s="112" t="s">
        <v>3</v>
      </c>
      <c r="N6" s="107">
        <f t="shared" si="1"/>
        <v>10020.497600000001</v>
      </c>
      <c r="O6" s="107">
        <f t="shared" si="2"/>
        <v>9972.5980747882168</v>
      </c>
      <c r="P6" s="107">
        <f t="shared" si="3"/>
        <v>9893.4567010969913</v>
      </c>
      <c r="R6" s="115"/>
      <c r="S6" s="115"/>
      <c r="T6" s="115"/>
    </row>
    <row r="7" spans="2:20">
      <c r="B7" t="s">
        <v>55</v>
      </c>
      <c r="C7" s="107">
        <v>190850</v>
      </c>
      <c r="D7" s="107">
        <v>186167.04793852463</v>
      </c>
      <c r="E7" s="107">
        <v>180821.7672052508</v>
      </c>
      <c r="F7" s="107">
        <v>171384.52862687272</v>
      </c>
      <c r="H7" s="112" t="s">
        <v>55</v>
      </c>
      <c r="I7" s="113">
        <v>2.0122074695686078E-3</v>
      </c>
      <c r="J7" s="113">
        <v>2.0122074695686078E-3</v>
      </c>
      <c r="K7" s="113">
        <v>2.0122074695686078E-3</v>
      </c>
      <c r="M7" s="112" t="s">
        <v>55</v>
      </c>
      <c r="N7" s="107">
        <f t="shared" si="1"/>
        <v>3840.2979556716878</v>
      </c>
      <c r="O7" s="107">
        <f t="shared" si="2"/>
        <v>3746.0672444943634</v>
      </c>
      <c r="P7" s="107">
        <f t="shared" si="3"/>
        <v>3638.5091063100158</v>
      </c>
      <c r="R7" s="115"/>
      <c r="S7" s="115"/>
      <c r="T7" s="115"/>
    </row>
    <row r="8" spans="2:20">
      <c r="B8" t="s">
        <v>1</v>
      </c>
      <c r="C8" s="107">
        <v>72592</v>
      </c>
      <c r="D8" s="107">
        <v>80864.731484243006</v>
      </c>
      <c r="E8" s="107">
        <v>89173.42370429248</v>
      </c>
      <c r="F8" s="107">
        <v>95523.463120492786</v>
      </c>
      <c r="H8" t="s">
        <v>240</v>
      </c>
      <c r="I8" s="113">
        <v>2.0122074695686078E-3</v>
      </c>
      <c r="J8" s="113">
        <v>2.0122074695686078E-3</v>
      </c>
      <c r="K8" s="113">
        <v>2.0122074695686078E-3</v>
      </c>
      <c r="M8" t="s">
        <v>240</v>
      </c>
      <c r="N8" s="107">
        <f t="shared" ref="N8" si="4">IF(D8&gt;C8,D8-C8,0)+C8*I8*10</f>
        <v>9733.4331305522501</v>
      </c>
      <c r="O8" s="107">
        <f t="shared" ref="O8" si="5">IF(E8&gt;D8,E8-D8,0)+D8*J8*10</f>
        <v>9935.8583872220097</v>
      </c>
      <c r="P8" s="107">
        <f t="shared" ref="P8" si="6">IF(F8&gt;E8,F8-E8,0)+E8*K8*10</f>
        <v>8144.3937088481434</v>
      </c>
      <c r="R8" s="115"/>
      <c r="S8" s="115"/>
      <c r="T8" s="115"/>
    </row>
    <row r="9" spans="2:20">
      <c r="B9" t="s">
        <v>56</v>
      </c>
      <c r="C9" s="107">
        <v>118445.13907375958</v>
      </c>
      <c r="D9" s="107">
        <v>129216.86060168703</v>
      </c>
      <c r="E9" s="107">
        <v>146426.25427887274</v>
      </c>
      <c r="F9" s="107">
        <v>161598.59468230139</v>
      </c>
      <c r="H9" s="112" t="s">
        <v>56</v>
      </c>
      <c r="I9" s="113">
        <v>2.5858544720225763E-3</v>
      </c>
      <c r="J9" s="113">
        <v>2.5858544720225763E-3</v>
      </c>
      <c r="K9" s="113">
        <v>2.5858544720225763E-3</v>
      </c>
      <c r="M9" s="112" t="s">
        <v>56</v>
      </c>
      <c r="N9" s="107">
        <f t="shared" si="1"/>
        <v>13834.540453559624</v>
      </c>
      <c r="O9" s="107">
        <f t="shared" si="2"/>
        <v>20550.753645661614</v>
      </c>
      <c r="P9" s="107">
        <f>IF(F9&gt;E9,F9-E9,0)+E9*K9*10</f>
        <v>18958.71024791403</v>
      </c>
      <c r="R9" s="115"/>
      <c r="S9" s="115"/>
      <c r="T9" s="115"/>
    </row>
    <row r="10" spans="2:20">
      <c r="B10" t="s">
        <v>46</v>
      </c>
      <c r="C10" s="107">
        <v>74481</v>
      </c>
      <c r="D10" s="107">
        <v>75588.499064285381</v>
      </c>
      <c r="E10" s="107">
        <v>76509.003660138405</v>
      </c>
      <c r="F10" s="107">
        <v>75702.943896402183</v>
      </c>
      <c r="H10" s="112" t="s">
        <v>46</v>
      </c>
      <c r="I10" s="113">
        <v>2.0122074695686078E-3</v>
      </c>
      <c r="J10" s="113">
        <v>2.0122074695686078E-3</v>
      </c>
      <c r="K10" s="113">
        <v>2.0122074695686078E-3</v>
      </c>
      <c r="M10" s="112" t="s">
        <v>46</v>
      </c>
      <c r="N10" s="107">
        <f t="shared" si="1"/>
        <v>2606.2113096947755</v>
      </c>
      <c r="O10" s="107">
        <f t="shared" si="2"/>
        <v>2441.502020159372</v>
      </c>
      <c r="P10" s="107">
        <f>IF(F10&gt;E10,F10-E10,0)+E10*K10*10</f>
        <v>1539.5198865418247</v>
      </c>
      <c r="R10" s="115"/>
      <c r="S10" s="115"/>
      <c r="T10" s="115"/>
    </row>
    <row r="11" spans="2:20">
      <c r="B11" t="s">
        <v>4</v>
      </c>
      <c r="C11" s="107">
        <v>25839.303197908266</v>
      </c>
      <c r="D11" s="107">
        <v>26223.522047191575</v>
      </c>
      <c r="E11" s="107">
        <v>26542.867885020201</v>
      </c>
      <c r="F11" s="107">
        <v>26263.225793334874</v>
      </c>
      <c r="H11" s="112" t="s">
        <v>4</v>
      </c>
      <c r="I11" s="113">
        <v>2.5999999999999999E-3</v>
      </c>
      <c r="J11" s="113">
        <v>2.5999999999999999E-3</v>
      </c>
      <c r="K11" s="113">
        <v>2.5999999999999999E-3</v>
      </c>
      <c r="M11" s="112" t="s">
        <v>4</v>
      </c>
      <c r="N11" s="107">
        <f t="shared" si="1"/>
        <v>1056.0407324289231</v>
      </c>
      <c r="O11" s="107">
        <f t="shared" si="2"/>
        <v>1001.1574110556077</v>
      </c>
      <c r="P11" s="107">
        <f>IF(F11&gt;E11,F11-E11,0)+E11*K11*10</f>
        <v>690.11456501052521</v>
      </c>
      <c r="R11" s="115"/>
      <c r="S11" s="115"/>
      <c r="T11" s="115"/>
    </row>
    <row r="12" spans="2:20" ht="29">
      <c r="B12" s="16" t="s">
        <v>57</v>
      </c>
      <c r="C12" s="108">
        <v>1004670.0170267724</v>
      </c>
      <c r="D12" s="108">
        <v>1017891.8912529491</v>
      </c>
      <c r="E12" s="108">
        <v>1030940.453477448</v>
      </c>
      <c r="F12" s="108">
        <v>1022297.7905080445</v>
      </c>
      <c r="H12" s="270" t="s">
        <v>128</v>
      </c>
      <c r="I12" s="108">
        <f>SUMPRODUCT(C4:C11,I4:I11)</f>
        <v>2766.0534763453975</v>
      </c>
      <c r="J12" s="108">
        <f>SUMPRODUCT(D4:D11,J4:J11)</f>
        <v>2796.83607852262</v>
      </c>
      <c r="K12" s="108">
        <f>SUMPRODUCT(E4:E11,K4:K11)</f>
        <v>2828.2858623254428</v>
      </c>
      <c r="M12" s="117" t="s">
        <v>57</v>
      </c>
      <c r="N12" s="108">
        <f>SUM(N4:N11)</f>
        <v>49198.763302902058</v>
      </c>
      <c r="O12" s="108">
        <f t="shared" ref="O12:P12" si="7">SUM(O4:O11)</f>
        <v>55559.163407839398</v>
      </c>
      <c r="P12" s="108">
        <f t="shared" si="7"/>
        <v>49805.23844288339</v>
      </c>
      <c r="R12" s="116"/>
      <c r="S12" s="116"/>
      <c r="T12" s="116"/>
    </row>
    <row r="13" spans="2:20">
      <c r="B13" t="s">
        <v>229</v>
      </c>
      <c r="D13" s="272">
        <f>(D12-C12)/10</f>
        <v>1322.1874226176762</v>
      </c>
      <c r="E13" s="272">
        <f t="shared" ref="E13:F13" si="8">(E12-D12)/10</f>
        <v>1304.8562224498833</v>
      </c>
      <c r="F13" s="272">
        <f t="shared" si="8"/>
        <v>-864.26629694034341</v>
      </c>
      <c r="M13" s="112" t="s">
        <v>228</v>
      </c>
      <c r="N13" s="271">
        <f>N12/10/1000</f>
        <v>4.9198763302902062</v>
      </c>
      <c r="O13" s="271">
        <f t="shared" ref="O13:P13" si="9">O12/10/1000</f>
        <v>5.5559163407839396</v>
      </c>
      <c r="P13" s="271">
        <f t="shared" si="9"/>
        <v>4.9805238442883395</v>
      </c>
    </row>
    <row r="14" spans="2:20">
      <c r="C14" s="107"/>
      <c r="N14" s="171">
        <f>N12/D12</f>
        <v>4.8333977041846797E-2</v>
      </c>
      <c r="O14" s="171">
        <f t="shared" ref="O14:P14" si="10">O12/E12</f>
        <v>5.3891728877680289E-2</v>
      </c>
      <c r="P14" s="171">
        <f t="shared" si="10"/>
        <v>4.8718914298085308E-2</v>
      </c>
    </row>
    <row r="15" spans="2:20">
      <c r="C15" s="202"/>
      <c r="N15" s="107"/>
      <c r="O15" s="107"/>
      <c r="P15" s="107"/>
    </row>
    <row r="16" spans="2:20">
      <c r="N16" s="107"/>
      <c r="O16" s="107"/>
      <c r="P16" s="107"/>
    </row>
    <row r="17" spans="2:16">
      <c r="C17" s="118"/>
      <c r="D17" s="118"/>
      <c r="E17" s="118"/>
      <c r="F17" s="118"/>
      <c r="G17" s="118"/>
      <c r="N17" s="107"/>
      <c r="O17" s="107"/>
      <c r="P17" s="107"/>
    </row>
    <row r="18" spans="2:16">
      <c r="B18" s="16" t="s">
        <v>59</v>
      </c>
      <c r="C18" s="118"/>
      <c r="D18" s="118"/>
      <c r="E18" s="118"/>
      <c r="F18" s="118"/>
      <c r="G18" s="118"/>
      <c r="H18" s="114" t="s">
        <v>61</v>
      </c>
      <c r="M18" s="16" t="s">
        <v>62</v>
      </c>
      <c r="N18" s="107"/>
      <c r="O18" s="107"/>
      <c r="P18" s="107"/>
    </row>
    <row r="19" spans="2:16">
      <c r="C19" s="118" t="s">
        <v>53</v>
      </c>
      <c r="D19" s="118">
        <v>2030</v>
      </c>
      <c r="E19" s="118">
        <v>2040</v>
      </c>
      <c r="F19" s="118">
        <v>2050</v>
      </c>
      <c r="G19" s="118"/>
      <c r="I19" t="s">
        <v>5</v>
      </c>
      <c r="J19" t="s">
        <v>6</v>
      </c>
      <c r="K19" t="s">
        <v>7</v>
      </c>
      <c r="M19" t="s">
        <v>53</v>
      </c>
      <c r="N19" s="107">
        <v>2030</v>
      </c>
      <c r="O19" s="107">
        <v>2040</v>
      </c>
      <c r="P19" s="107">
        <v>2050</v>
      </c>
    </row>
    <row r="20" spans="2:16">
      <c r="B20" t="s">
        <v>54</v>
      </c>
      <c r="C20" s="119">
        <v>239113.67300849396</v>
      </c>
      <c r="D20" s="120">
        <v>234661.72765775505</v>
      </c>
      <c r="E20" s="120">
        <v>221662.94208994892</v>
      </c>
      <c r="F20" s="120">
        <v>204781.41312389844</v>
      </c>
      <c r="G20" s="118"/>
      <c r="H20" t="s">
        <v>54</v>
      </c>
      <c r="I20" s="113">
        <v>2.16E-3</v>
      </c>
      <c r="J20" s="113">
        <v>2.16E-3</v>
      </c>
      <c r="K20" s="113">
        <v>2.16E-3</v>
      </c>
      <c r="M20" s="111" t="s">
        <v>54</v>
      </c>
      <c r="N20" s="107">
        <f>IF(D20&gt;C20,D20-C20,0)+C20*I20*10</f>
        <v>5164.8553369834699</v>
      </c>
      <c r="O20" s="107">
        <f t="shared" ref="O20:P20" si="11">IF(E20&gt;D20,E20-D20,0)+D20*J20*10</f>
        <v>5068.6933174075093</v>
      </c>
      <c r="P20" s="107">
        <f t="shared" si="11"/>
        <v>4787.9195491428964</v>
      </c>
    </row>
    <row r="21" spans="2:16">
      <c r="B21" t="s">
        <v>39</v>
      </c>
      <c r="C21" s="119">
        <v>67389.90174661066</v>
      </c>
      <c r="D21" s="120">
        <v>67993.007594168201</v>
      </c>
      <c r="E21" s="120">
        <v>68495.555606426802</v>
      </c>
      <c r="F21" s="120">
        <v>67525.740469328957</v>
      </c>
      <c r="G21" s="118"/>
      <c r="H21" t="s">
        <v>39</v>
      </c>
      <c r="I21" s="113">
        <v>2.8800000000000002E-3</v>
      </c>
      <c r="J21" s="113">
        <v>2.8800000000000002E-3</v>
      </c>
      <c r="K21" s="113">
        <v>2.8800000000000002E-3</v>
      </c>
      <c r="M21" s="112" t="s">
        <v>39</v>
      </c>
      <c r="N21" s="107">
        <f t="shared" ref="N21:N27" si="12">IF(D21&gt;C21,D21-C21,0)+C21*I21*10</f>
        <v>2543.9350178599279</v>
      </c>
      <c r="O21" s="107">
        <f t="shared" ref="O21:O27" si="13">IF(E21&gt;D21,E21-D21,0)+D21*J21*10</f>
        <v>2460.746630970646</v>
      </c>
      <c r="P21" s="107">
        <f t="shared" ref="P21:P27" si="14">IF(F21&gt;E21,F21-E21,0)+E21*K21*10</f>
        <v>1972.6720014650919</v>
      </c>
    </row>
    <row r="22" spans="2:16">
      <c r="B22" t="s">
        <v>3</v>
      </c>
      <c r="C22" s="119">
        <v>215959</v>
      </c>
      <c r="D22" s="120">
        <v>213033.84630526791</v>
      </c>
      <c r="E22" s="120">
        <v>209714.63216949347</v>
      </c>
      <c r="F22" s="120">
        <v>201920.83002246858</v>
      </c>
      <c r="G22" s="118"/>
      <c r="H22" t="s">
        <v>3</v>
      </c>
      <c r="I22" s="113">
        <v>4.64E-3</v>
      </c>
      <c r="J22" s="113">
        <v>4.64E-3</v>
      </c>
      <c r="K22" s="113">
        <v>4.64E-3</v>
      </c>
      <c r="M22" s="112" t="s">
        <v>3</v>
      </c>
      <c r="N22" s="107">
        <f t="shared" si="12"/>
        <v>10020.497600000001</v>
      </c>
      <c r="O22" s="107">
        <f t="shared" si="13"/>
        <v>9884.7704685644312</v>
      </c>
      <c r="P22" s="107">
        <f t="shared" si="14"/>
        <v>9730.7589326644975</v>
      </c>
    </row>
    <row r="23" spans="2:16">
      <c r="B23" t="s">
        <v>55</v>
      </c>
      <c r="C23" s="119">
        <v>190850</v>
      </c>
      <c r="D23" s="120">
        <v>185081.07711287579</v>
      </c>
      <c r="E23" s="120">
        <v>178916.84513182924</v>
      </c>
      <c r="F23" s="120">
        <v>168958.04547784527</v>
      </c>
      <c r="G23" s="118"/>
      <c r="H23" t="s">
        <v>55</v>
      </c>
      <c r="I23" s="113">
        <v>2.0122074695686078E-3</v>
      </c>
      <c r="J23" s="113">
        <v>2.0122074695686078E-3</v>
      </c>
      <c r="K23" s="113">
        <v>2.0122074695686078E-3</v>
      </c>
      <c r="M23" s="112" t="s">
        <v>55</v>
      </c>
      <c r="N23" s="107">
        <f t="shared" si="12"/>
        <v>3840.2979556716878</v>
      </c>
      <c r="O23" s="107">
        <f t="shared" si="13"/>
        <v>3724.2152584233218</v>
      </c>
      <c r="P23" s="107">
        <f t="shared" si="14"/>
        <v>3600.1781220591656</v>
      </c>
    </row>
    <row r="24" spans="2:16">
      <c r="B24" t="s">
        <v>1</v>
      </c>
      <c r="C24" s="119">
        <v>72592</v>
      </c>
      <c r="D24" s="120">
        <v>80232.71699441805</v>
      </c>
      <c r="E24" s="120">
        <v>87882.469539088037</v>
      </c>
      <c r="F24" s="120">
        <v>93608.816612008814</v>
      </c>
      <c r="G24" s="118"/>
      <c r="H24" t="s">
        <v>1</v>
      </c>
      <c r="I24" s="113">
        <v>2.0122074695686078E-3</v>
      </c>
      <c r="J24" s="113">
        <v>2.0122074695686078E-3</v>
      </c>
      <c r="K24" s="113">
        <v>2.0122074695686078E-3</v>
      </c>
      <c r="M24" t="s">
        <v>1</v>
      </c>
      <c r="N24" s="107">
        <f t="shared" ref="N24" si="15">IF(D24&gt;C24,D24-C24,0)+C24*I24*10</f>
        <v>9101.4186407272937</v>
      </c>
      <c r="O24" s="107">
        <f t="shared" ref="O24" si="16">IF(E24&gt;D24,E24-D24,0)+D24*J24*10</f>
        <v>9264.2012690695083</v>
      </c>
      <c r="P24" s="107">
        <f t="shared" ref="P24" si="17">IF(F24&gt;E24,F24-E24,0)+E24*K24*10</f>
        <v>7494.7246894276623</v>
      </c>
    </row>
    <row r="25" spans="2:16">
      <c r="B25" t="s">
        <v>56</v>
      </c>
      <c r="C25" s="119">
        <v>118445.13907375958</v>
      </c>
      <c r="D25" s="120">
        <v>128463.09809457729</v>
      </c>
      <c r="E25" s="120">
        <v>144883.68223007926</v>
      </c>
      <c r="F25" s="120">
        <v>159310.66198473098</v>
      </c>
      <c r="G25" s="118"/>
      <c r="H25" t="s">
        <v>56</v>
      </c>
      <c r="I25" s="113">
        <v>2.5858544720225763E-3</v>
      </c>
      <c r="J25" s="113">
        <v>2.5858544720225763E-3</v>
      </c>
      <c r="K25" s="113">
        <v>2.5858544720225763E-3</v>
      </c>
      <c r="M25" s="112" t="s">
        <v>56</v>
      </c>
      <c r="N25" s="107">
        <f t="shared" si="12"/>
        <v>13080.777946449882</v>
      </c>
      <c r="O25" s="107">
        <f t="shared" si="13"/>
        <v>19742.452902479341</v>
      </c>
      <c r="P25" s="107">
        <f t="shared" si="14"/>
        <v>18173.460930829206</v>
      </c>
    </row>
    <row r="26" spans="2:16">
      <c r="B26" t="s">
        <v>46</v>
      </c>
      <c r="C26" s="119">
        <v>74481</v>
      </c>
      <c r="D26" s="120">
        <v>75147.567623155672</v>
      </c>
      <c r="E26" s="120">
        <v>75702.996218997418</v>
      </c>
      <c r="F26" s="120">
        <v>74631.132343935227</v>
      </c>
      <c r="G26" s="118"/>
      <c r="H26" t="s">
        <v>46</v>
      </c>
      <c r="I26" s="113">
        <v>2.0122074695686078E-3</v>
      </c>
      <c r="J26" s="113">
        <v>2.0122074695686078E-3</v>
      </c>
      <c r="K26" s="113">
        <v>2.0122074695686078E-3</v>
      </c>
      <c r="M26" s="112" t="s">
        <v>46</v>
      </c>
      <c r="N26" s="107">
        <f t="shared" si="12"/>
        <v>2165.2798685650664</v>
      </c>
      <c r="O26" s="107">
        <f t="shared" si="13"/>
        <v>2067.5535647540046</v>
      </c>
      <c r="P26" s="107">
        <f t="shared" si="14"/>
        <v>1523.3013446059067</v>
      </c>
    </row>
    <row r="27" spans="2:16">
      <c r="B27" t="s">
        <v>4</v>
      </c>
      <c r="C27" s="119">
        <v>25839.303197908266</v>
      </c>
      <c r="D27" s="120">
        <v>26070.552011922962</v>
      </c>
      <c r="E27" s="120">
        <v>26263.243945338785</v>
      </c>
      <c r="F27" s="120">
        <v>25891.387825595255</v>
      </c>
      <c r="G27" s="118"/>
      <c r="H27" t="s">
        <v>4</v>
      </c>
      <c r="I27" s="113">
        <v>2.5999999999999999E-3</v>
      </c>
      <c r="J27" s="113">
        <v>2.5999999999999999E-3</v>
      </c>
      <c r="K27" s="113">
        <v>2.5999999999999999E-3</v>
      </c>
      <c r="M27" s="112" t="s">
        <v>4</v>
      </c>
      <c r="N27" s="203">
        <f t="shared" si="12"/>
        <v>903.07069716031094</v>
      </c>
      <c r="O27" s="203">
        <f t="shared" si="13"/>
        <v>870.52628572581989</v>
      </c>
      <c r="P27" s="203">
        <f t="shared" si="14"/>
        <v>682.84434257880832</v>
      </c>
    </row>
    <row r="28" spans="2:16" ht="29">
      <c r="B28" s="16" t="s">
        <v>57</v>
      </c>
      <c r="C28" s="121">
        <v>1004670.0170267724</v>
      </c>
      <c r="D28" s="121">
        <v>1010683.5933941409</v>
      </c>
      <c r="E28" s="121">
        <v>1013522.366931202</v>
      </c>
      <c r="F28" s="121">
        <v>996628.02785981144</v>
      </c>
      <c r="G28" s="118"/>
      <c r="H28" s="270" t="s">
        <v>128</v>
      </c>
      <c r="I28" s="108">
        <f>SUMPRODUCT(C20:C27,I20:I27)</f>
        <v>2766.0534763453975</v>
      </c>
      <c r="J28" s="108">
        <f>SUMPRODUCT(D20:D27,J20:J27)</f>
        <v>2776.2154475706461</v>
      </c>
      <c r="K28" s="108">
        <f>SUMPRODUCT(E20:E27,K20:K27)</f>
        <v>2781.2533085200739</v>
      </c>
      <c r="M28" s="117" t="s">
        <v>57</v>
      </c>
      <c r="N28" s="108">
        <f>SUM(N20:N27)</f>
        <v>46820.133063417641</v>
      </c>
      <c r="O28" s="108">
        <f t="shared" ref="O28" si="18">SUM(O20:O27)</f>
        <v>53083.159697394578</v>
      </c>
      <c r="P28" s="108">
        <f t="shared" ref="P28" si="19">SUM(P20:P27)</f>
        <v>47965.85991277323</v>
      </c>
    </row>
    <row r="29" spans="2:16">
      <c r="C29" s="118"/>
      <c r="D29" s="272">
        <f>(D28-C28)/10</f>
        <v>601.35763673685722</v>
      </c>
      <c r="E29" s="272">
        <f t="shared" ref="E29" si="20">(E28-D28)/10</f>
        <v>283.87735370610608</v>
      </c>
      <c r="F29" s="272">
        <f t="shared" ref="F29" si="21">(F28-E28)/10</f>
        <v>-1689.4339071390568</v>
      </c>
      <c r="G29" s="118"/>
      <c r="M29" s="112" t="s">
        <v>227</v>
      </c>
      <c r="N29" s="271">
        <f>N28/10/1000</f>
        <v>4.6820133063417639</v>
      </c>
      <c r="O29" s="271">
        <f t="shared" ref="O29" si="22">O28/10/1000</f>
        <v>5.308315969739458</v>
      </c>
      <c r="P29" s="271">
        <f t="shared" ref="P29" si="23">P28/10/1000</f>
        <v>4.7965859912773228</v>
      </c>
    </row>
    <row r="30" spans="2:16">
      <c r="C30" s="118"/>
      <c r="G30" s="118"/>
      <c r="N30" s="171">
        <f>N28/D28</f>
        <v>4.6325213320405588E-2</v>
      </c>
      <c r="O30" s="171">
        <f t="shared" ref="O30" si="24">O28/E28</f>
        <v>5.2374926720288026E-2</v>
      </c>
      <c r="P30" s="171">
        <f t="shared" ref="P30" si="25">P28/F28</f>
        <v>4.8128146682545683E-2</v>
      </c>
    </row>
    <row r="31" spans="2:16">
      <c r="C31" s="118"/>
      <c r="D31" s="118"/>
      <c r="E31" s="118"/>
      <c r="F31" s="118"/>
      <c r="G31" s="118"/>
    </row>
    <row r="32" spans="2:16">
      <c r="C32" s="118"/>
      <c r="D32" s="118"/>
      <c r="E32" s="118"/>
      <c r="F32" s="118"/>
      <c r="G32" s="118"/>
    </row>
    <row r="35" spans="2:3">
      <c r="B35" t="s">
        <v>125</v>
      </c>
    </row>
    <row r="36" spans="2:3">
      <c r="B36" t="s">
        <v>126</v>
      </c>
    </row>
    <row r="42" spans="2:3">
      <c r="B42" s="16" t="s">
        <v>241</v>
      </c>
      <c r="C42" s="16">
        <v>2020</v>
      </c>
    </row>
    <row r="43" spans="2:3">
      <c r="B43" t="s">
        <v>54</v>
      </c>
      <c r="C43" s="107">
        <v>239113.67300849396</v>
      </c>
    </row>
    <row r="44" spans="2:3">
      <c r="B44" t="s">
        <v>39</v>
      </c>
      <c r="C44" s="107">
        <v>67389.90174661066</v>
      </c>
    </row>
    <row r="45" spans="2:3">
      <c r="B45" t="s">
        <v>3</v>
      </c>
      <c r="C45" s="107">
        <v>215959</v>
      </c>
    </row>
    <row r="46" spans="2:3">
      <c r="B46" t="s">
        <v>55</v>
      </c>
      <c r="C46" s="107">
        <v>190850</v>
      </c>
    </row>
    <row r="47" spans="2:3">
      <c r="B47" t="s">
        <v>239</v>
      </c>
      <c r="C47" s="107">
        <v>72592</v>
      </c>
    </row>
    <row r="48" spans="2:3">
      <c r="B48" t="s">
        <v>56</v>
      </c>
      <c r="C48" s="107">
        <v>118445.13907375958</v>
      </c>
    </row>
    <row r="49" spans="2:3">
      <c r="B49" t="s">
        <v>46</v>
      </c>
      <c r="C49" s="107">
        <v>74481</v>
      </c>
    </row>
    <row r="50" spans="2:3">
      <c r="B50" t="s">
        <v>4</v>
      </c>
      <c r="C50" s="107">
        <v>25839.303197908266</v>
      </c>
    </row>
    <row r="51" spans="2:3">
      <c r="C51" s="272">
        <f>SUM(C43:C50)</f>
        <v>1004670.0170267724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GB1589"/>
  <sheetViews>
    <sheetView showGridLines="0" topLeftCell="A25" zoomScale="121" zoomScaleNormal="115" workbookViewId="0">
      <selection activeCell="I47" sqref="I47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7" si="0">H34</f>
        <v>239113.67300849396</v>
      </c>
      <c r="I7" s="10">
        <f t="shared" si="0"/>
        <v>236512.58811040022</v>
      </c>
      <c r="J7" s="10">
        <f t="shared" si="0"/>
        <v>229021.26149924967</v>
      </c>
      <c r="K7" s="10">
        <f t="shared" si="0"/>
        <v>216659.89739814011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5164.8553369834699</v>
      </c>
      <c r="J8" s="76">
        <f t="shared" ref="J8:K8" si="1">J35</f>
        <v>5108.6719031846442</v>
      </c>
      <c r="K8" s="76">
        <f t="shared" si="1"/>
        <v>4946.8592483837929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2">H36</f>
        <v>239113.67300849396</v>
      </c>
      <c r="I9" s="96">
        <f t="shared" si="2"/>
        <v>231347.73277341673</v>
      </c>
      <c r="J9" s="96">
        <f t="shared" si="2"/>
        <v>223912.58959606502</v>
      </c>
      <c r="K9" s="96">
        <f t="shared" si="2"/>
        <v>211713.03814975632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2726.6120560153458</v>
      </c>
      <c r="I13" s="86">
        <f t="shared" ref="I13:K13" si="3">I129+I163</f>
        <v>1822.9306446054445</v>
      </c>
      <c r="J13" s="86">
        <f t="shared" si="3"/>
        <v>1287.0326096909776</v>
      </c>
      <c r="K13" s="86">
        <f t="shared" si="3"/>
        <v>841.41655833600737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4" si="4">H130+H164</f>
        <v>12612.742080216069</v>
      </c>
      <c r="I14" s="86">
        <f t="shared" si="4"/>
        <v>9043.1509964051402</v>
      </c>
      <c r="J14" s="86">
        <f t="shared" si="4"/>
        <v>6951.5521748241044</v>
      </c>
      <c r="K14" s="86">
        <f t="shared" si="4"/>
        <v>5105.3275046244971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ref="H15:K15" si="5">H131+H165</f>
        <v>2182.2882773806514</v>
      </c>
      <c r="I15" s="86">
        <f>I131+I165</f>
        <v>2383.0879622570192</v>
      </c>
      <c r="J15" s="86">
        <f t="shared" si="5"/>
        <v>2617.5338540067828</v>
      </c>
      <c r="K15" s="86">
        <f t="shared" si="5"/>
        <v>2681.0387785707289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ref="H16:K16" si="6">H132+H166</f>
        <v>307.62788714260142</v>
      </c>
      <c r="I16" s="86">
        <f t="shared" si="6"/>
        <v>233.23565955833934</v>
      </c>
      <c r="J16" s="86">
        <f t="shared" si="6"/>
        <v>188.06857433110244</v>
      </c>
      <c r="K16" s="86">
        <f t="shared" si="6"/>
        <v>145.96378510952809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ref="H17:K17" si="7">H133+H167</f>
        <v>211.60220438310148</v>
      </c>
      <c r="I17" s="86">
        <f t="shared" si="7"/>
        <v>209.23594376573703</v>
      </c>
      <c r="J17" s="86">
        <f t="shared" si="7"/>
        <v>215.21986078519123</v>
      </c>
      <c r="K17" s="86">
        <f t="shared" si="7"/>
        <v>210.44077159258543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ref="H18:K18" si="8">H134+H168</f>
        <v>4852.5796236647593</v>
      </c>
      <c r="I18" s="86">
        <f t="shared" si="8"/>
        <v>3555.463363061876</v>
      </c>
      <c r="J18" s="86">
        <f t="shared" si="8"/>
        <v>2813.0272330815337</v>
      </c>
      <c r="K18" s="86">
        <f t="shared" si="8"/>
        <v>2148.4776629363482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ref="H19:K19" si="9">H135+H169</f>
        <v>962.99569136854961</v>
      </c>
      <c r="I19" s="86">
        <f t="shared" si="9"/>
        <v>1220.4905079587174</v>
      </c>
      <c r="J19" s="86">
        <f t="shared" si="9"/>
        <v>1381.5822158990377</v>
      </c>
      <c r="K19" s="86">
        <f t="shared" si="9"/>
        <v>1410.5726375533377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23856.447820171074</v>
      </c>
      <c r="I20" s="13">
        <f t="shared" ref="I20:K20" si="10">SUM(I13:I19)</f>
        <v>18467.595077612277</v>
      </c>
      <c r="J20" s="13">
        <f t="shared" si="10"/>
        <v>15454.016522618729</v>
      </c>
      <c r="K20" s="13">
        <f t="shared" si="10"/>
        <v>12543.237698723033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-0.41948681596673409</v>
      </c>
      <c r="J23" s="193">
        <f t="shared" ref="J23:K23" si="11">J114/$G114-1</f>
        <v>-0.53178631155042511</v>
      </c>
      <c r="K23" s="193">
        <f t="shared" si="11"/>
        <v>-0.64583700214878847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-0.17348311168326291</v>
      </c>
      <c r="J24" s="193">
        <f t="shared" ref="J24:K24" si="12">J125/$G125-1</f>
        <v>-0.30225124049589025</v>
      </c>
      <c r="K24" s="193">
        <f t="shared" si="12"/>
        <v>-0.42394930557416977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239113.67300849396</v>
      </c>
      <c r="H34" s="127">
        <f>'Init. parc'!C4</f>
        <v>239113.67300849396</v>
      </c>
      <c r="I34" s="127">
        <f>'Init. parc'!D4</f>
        <v>236512.58811040022</v>
      </c>
      <c r="J34" s="127">
        <f>'Init. parc'!E4</f>
        <v>229021.26149924967</v>
      </c>
      <c r="K34" s="127">
        <f>'Init. parc'!F4</f>
        <v>216659.89739814011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124</v>
      </c>
      <c r="F35" s="55"/>
      <c r="G35" s="200"/>
      <c r="H35" s="127">
        <v>0</v>
      </c>
      <c r="I35" s="127">
        <f>'Init. parc'!N4</f>
        <v>5164.8553369834699</v>
      </c>
      <c r="J35" s="127">
        <f>'Init. parc'!O4</f>
        <v>5108.6719031846442</v>
      </c>
      <c r="K35" s="127">
        <f>'Init. parc'!P4</f>
        <v>4946.8592483837929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123</v>
      </c>
      <c r="F36" s="55"/>
      <c r="G36" s="200">
        <f>G34-G35</f>
        <v>239113.67300849396</v>
      </c>
      <c r="H36" s="127">
        <f>H34-H35</f>
        <v>239113.67300849396</v>
      </c>
      <c r="I36" s="127">
        <f>I34-I35</f>
        <v>231347.73277341673</v>
      </c>
      <c r="J36" s="127">
        <f>J34-J35</f>
        <v>223912.58959606502</v>
      </c>
      <c r="K36" s="127">
        <f>K34-K35</f>
        <v>211713.03814975632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8.9924733284390393E-2</v>
      </c>
      <c r="H45" s="55">
        <f>'Init. énergie'!B3</f>
        <v>8.9924733284390393E-2</v>
      </c>
      <c r="I45" s="47">
        <f>H45+((K45-H45)/3)</f>
        <v>7.6616488856260268E-2</v>
      </c>
      <c r="J45" s="47">
        <f>H45+((K45-H45)/3*2)</f>
        <v>6.3308244428130128E-2</v>
      </c>
      <c r="K45" s="47">
        <v>0.05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13">H46</f>
        <v>0.42450974789018903</v>
      </c>
      <c r="H46" s="55">
        <f>'Init. énergie'!B4</f>
        <v>0.42450974789018903</v>
      </c>
      <c r="I46" s="47">
        <f t="shared" ref="I46:I51" si="14">H46+((K46-H46)/3)</f>
        <v>0.38300649859345937</v>
      </c>
      <c r="J46" s="47">
        <f t="shared" ref="J46:J51" si="15">H46+((K46-H46)/3*2)</f>
        <v>0.34150324929672965</v>
      </c>
      <c r="K46" s="47">
        <v>0.3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13"/>
        <v>8.0340172710777702E-2</v>
      </c>
      <c r="H47" s="55">
        <f>'Init. énergie'!B5</f>
        <v>8.0340172710777702E-2</v>
      </c>
      <c r="I47" s="47">
        <f t="shared" si="14"/>
        <v>0.10689344847385181</v>
      </c>
      <c r="J47" s="47">
        <f t="shared" si="15"/>
        <v>0.13344672423692591</v>
      </c>
      <c r="K47" s="47">
        <v>0.16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13"/>
        <v>1.3267227564659348E-2</v>
      </c>
      <c r="H48" s="55">
        <f>'Init. énergie'!B6</f>
        <v>1.3267227564659348E-2</v>
      </c>
      <c r="I48" s="47">
        <f t="shared" si="14"/>
        <v>1.2178151709772898E-2</v>
      </c>
      <c r="J48" s="47">
        <f t="shared" si="15"/>
        <v>1.108907585488645E-2</v>
      </c>
      <c r="K48" s="47">
        <v>0.01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13"/>
        <v>1.2451501862338604E-2</v>
      </c>
      <c r="H49" s="55">
        <f>'Init. énergie'!B7</f>
        <v>1.2451501862338604E-2</v>
      </c>
      <c r="I49" s="47">
        <f t="shared" si="14"/>
        <v>1.4967667908225736E-2</v>
      </c>
      <c r="J49" s="47">
        <f t="shared" si="15"/>
        <v>1.7483833954112869E-2</v>
      </c>
      <c r="K49" s="47">
        <v>0.02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13"/>
        <v>0.30626447562213699</v>
      </c>
      <c r="H50" s="55">
        <f>'Init. énergie'!B8</f>
        <v>0.30626447562213699</v>
      </c>
      <c r="I50" s="47">
        <f t="shared" si="14"/>
        <v>0.29084298374809125</v>
      </c>
      <c r="J50" s="47">
        <f t="shared" si="15"/>
        <v>0.27542149187404558</v>
      </c>
      <c r="K50" s="47">
        <f>1-K45-K46-K47-K48-K49-K51</f>
        <v>0.25999999999999984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13"/>
        <v>7.3242141065507804E-2</v>
      </c>
      <c r="H51" s="55">
        <f>'Init. énergie'!B9</f>
        <v>7.3242141065507804E-2</v>
      </c>
      <c r="I51" s="47">
        <f t="shared" si="14"/>
        <v>0.11549476071033854</v>
      </c>
      <c r="J51" s="47">
        <f t="shared" si="15"/>
        <v>0.15774738035516928</v>
      </c>
      <c r="K51" s="125">
        <v>0.2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I52" si="16">SUM(G45:G51)</f>
        <v>0.99999999999999978</v>
      </c>
      <c r="H52" s="164">
        <f t="shared" si="16"/>
        <v>0.99999999999999978</v>
      </c>
      <c r="I52" s="170">
        <f t="shared" si="16"/>
        <v>1</v>
      </c>
      <c r="J52" s="170">
        <f t="shared" ref="J52" si="17">SUM(J45:J51)</f>
        <v>1</v>
      </c>
      <c r="K52" s="170">
        <f>SUM(K45:K51)</f>
        <v>0.99999999999999978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8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-2.4591314950324319E-2</v>
      </c>
      <c r="J55" s="157">
        <f t="shared" si="18"/>
        <v>-2.5211293816880424E-2</v>
      </c>
      <c r="K55" s="157">
        <f t="shared" si="18"/>
        <v>-2.5863342134520302E-2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/>
      <c r="G58" s="4">
        <v>2010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8.9924733284390393E-2</v>
      </c>
      <c r="H59" s="55">
        <f>H45</f>
        <v>8.9924733284390393E-2</v>
      </c>
      <c r="I59" s="47">
        <f>H59+((K59-H59)/3)</f>
        <v>7.6616488856260268E-2</v>
      </c>
      <c r="J59" s="47">
        <f>H59+((K59-H59)/3*2)</f>
        <v>6.3308244428130128E-2</v>
      </c>
      <c r="K59" s="47">
        <v>0.05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9">H60</f>
        <v>0.42450974789018903</v>
      </c>
      <c r="H60" s="55">
        <f t="shared" ref="H60:H65" si="20">H46</f>
        <v>0.42450974789018903</v>
      </c>
      <c r="I60" s="47">
        <f t="shared" ref="I60:I65" si="21">H60+((K60-H60)/3)</f>
        <v>0.38300649859345937</v>
      </c>
      <c r="J60" s="47">
        <f t="shared" ref="J60:J65" si="22">H60+((K60-H60)/3*2)</f>
        <v>0.34150324929672965</v>
      </c>
      <c r="K60" s="47">
        <v>0.3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9"/>
        <v>8.0340172710777702E-2</v>
      </c>
      <c r="H61" s="55">
        <f t="shared" si="20"/>
        <v>8.0340172710777702E-2</v>
      </c>
      <c r="I61" s="47">
        <f t="shared" si="21"/>
        <v>0.10689344847385181</v>
      </c>
      <c r="J61" s="47">
        <f t="shared" si="22"/>
        <v>0.13344672423692591</v>
      </c>
      <c r="K61" s="47">
        <v>0.16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9"/>
        <v>1.3267227564659348E-2</v>
      </c>
      <c r="H62" s="55">
        <f t="shared" si="20"/>
        <v>1.3267227564659348E-2</v>
      </c>
      <c r="I62" s="47">
        <f t="shared" si="21"/>
        <v>1.2178151709772898E-2</v>
      </c>
      <c r="J62" s="47">
        <f t="shared" si="22"/>
        <v>1.108907585488645E-2</v>
      </c>
      <c r="K62" s="47">
        <v>0.01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9"/>
        <v>1.2451501862338604E-2</v>
      </c>
      <c r="H63" s="55">
        <f t="shared" si="20"/>
        <v>1.2451501862338604E-2</v>
      </c>
      <c r="I63" s="47">
        <f t="shared" si="21"/>
        <v>1.4967667908225736E-2</v>
      </c>
      <c r="J63" s="47">
        <f t="shared" si="22"/>
        <v>1.7483833954112869E-2</v>
      </c>
      <c r="K63" s="47">
        <v>0.02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9"/>
        <v>0.30626447562213699</v>
      </c>
      <c r="H64" s="55">
        <f t="shared" si="20"/>
        <v>0.30626447562213699</v>
      </c>
      <c r="I64" s="47">
        <f t="shared" si="21"/>
        <v>0.29084298374809125</v>
      </c>
      <c r="J64" s="47">
        <f t="shared" si="22"/>
        <v>0.27542149187404558</v>
      </c>
      <c r="K64" s="47">
        <f>1-K59-K60-K61-K62-K63-K65</f>
        <v>0.25999999999999984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9"/>
        <v>7.3242141065507804E-2</v>
      </c>
      <c r="H65" s="55">
        <f t="shared" si="20"/>
        <v>7.3242141065507804E-2</v>
      </c>
      <c r="I65" s="47">
        <f t="shared" si="21"/>
        <v>0.11549476071033854</v>
      </c>
      <c r="J65" s="47">
        <f t="shared" si="22"/>
        <v>0.15774738035516928</v>
      </c>
      <c r="K65" s="125">
        <v>0.2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23">SUM(G59:G65)</f>
        <v>0.99999999999999978</v>
      </c>
      <c r="H66" s="164">
        <v>1</v>
      </c>
      <c r="I66" s="47">
        <f t="shared" ref="I66:J66" si="24">SUM(I59:I65)</f>
        <v>1</v>
      </c>
      <c r="J66" s="47">
        <f t="shared" si="24"/>
        <v>1</v>
      </c>
      <c r="K66" s="47">
        <f>SUM(K59:K65)</f>
        <v>0.99999999999999978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-2.4591314950324319E-2</v>
      </c>
      <c r="J69" s="157">
        <f t="shared" ref="J69:K69" si="25">(I$97*(J59-I59)+I$98*(J60-I60)+I$99*(J61-I61)+I$100*(J62-I62)+I$101*(J63-I63)+I$102*(J64-I64)+I$103*(J65-I65))/(I$97*I59+I$98*I60+I$99*I61+I$100*I62+I$101*I63+I$102*I64+I$103*I65)</f>
        <v>-2.4799726408542801E-2</v>
      </c>
      <c r="K69" s="157">
        <f t="shared" si="25"/>
        <v>-2.4925059892390376E-2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22" t="s">
        <v>92</v>
      </c>
      <c r="G72" s="123" t="s">
        <v>91</v>
      </c>
      <c r="H72" s="88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bord'!E10</f>
        <v>0.65</v>
      </c>
      <c r="G73" s="92">
        <f>'Tableau de bord'!E22</f>
        <v>0.47000000000000003</v>
      </c>
      <c r="H73" s="92">
        <f>'Tableau de bord'!E25</f>
        <v>0.30550000000000005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129.37023550396006</v>
      </c>
      <c r="H77" s="54">
        <f>'Init. énergie'!D3</f>
        <v>126.80599367448798</v>
      </c>
      <c r="I77" s="81">
        <f>G77*60%/(1+I$55)</f>
        <v>79.579095913445641</v>
      </c>
      <c r="J77" s="81">
        <f>G77*50%/(1+I$55)/(1+J$55)</f>
        <v>68.031064414842419</v>
      </c>
      <c r="K77" s="81">
        <f>G77*40%/(1+I$55)/(1+J$55)/(1+K$55)</f>
        <v>55.869832114858738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26">H78/0.998^10</f>
        <v>126.76869630804003</v>
      </c>
      <c r="H78" s="54">
        <f>'Init. énergie'!D4</f>
        <v>124.25601947418849</v>
      </c>
      <c r="I78" s="81">
        <f t="shared" ref="I78:I83" si="27">G78*60%/(1+I$55)</f>
        <v>77.978819494466947</v>
      </c>
      <c r="J78" s="81">
        <f t="shared" ref="J78:J83" si="28">G78*50%/(1+I$55)/(1+J$55)</f>
        <v>66.663010318581954</v>
      </c>
      <c r="K78" s="81">
        <f t="shared" ref="K78:K83" si="29">G78*40%/(1+I$55)/(1+J$55)/(1+K$55)</f>
        <v>54.746331353264878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26"/>
        <v>115.89629036841112</v>
      </c>
      <c r="H79" s="54">
        <f>'Init. énergie'!D5</f>
        <v>113.59911502134896</v>
      </c>
      <c r="I79" s="81">
        <f t="shared" si="27"/>
        <v>71.290911478305361</v>
      </c>
      <c r="J79" s="81">
        <f t="shared" si="28"/>
        <v>60.94561059412549</v>
      </c>
      <c r="K79" s="81">
        <f t="shared" si="29"/>
        <v>50.05097393843613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26"/>
        <v>98.931752132371443</v>
      </c>
      <c r="H80" s="54">
        <f>'Init. énergie'!D6</f>
        <v>96.970830162240034</v>
      </c>
      <c r="I80" s="81">
        <f t="shared" si="27"/>
        <v>60.855569761919661</v>
      </c>
      <c r="J80" s="81">
        <f t="shared" si="28"/>
        <v>52.024581819552807</v>
      </c>
      <c r="K80" s="81">
        <f t="shared" si="29"/>
        <v>42.724668166003447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26"/>
        <v>72.508450813816523</v>
      </c>
      <c r="H81" s="54">
        <f>'Init. énergie'!D7</f>
        <v>71.071263953618569</v>
      </c>
      <c r="I81" s="81">
        <f t="shared" si="27"/>
        <v>44.601889602894275</v>
      </c>
      <c r="J81" s="81">
        <f t="shared" si="28"/>
        <v>38.129536277950038</v>
      </c>
      <c r="K81" s="81">
        <f t="shared" si="29"/>
        <v>31.313500807165326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26"/>
        <v>67.603039372331537</v>
      </c>
      <c r="H82" s="54">
        <f>'Init. énergie'!D8</f>
        <v>66.263082459656104</v>
      </c>
      <c r="I82" s="81">
        <f t="shared" si="27"/>
        <v>41.584439676516908</v>
      </c>
      <c r="J82" s="81">
        <f t="shared" si="28"/>
        <v>35.549960222785828</v>
      </c>
      <c r="K82" s="81">
        <f t="shared" si="29"/>
        <v>29.195049738243181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26"/>
        <v>56.098789358023637</v>
      </c>
      <c r="H83" s="54">
        <f>'Init. énergie'!D9</f>
        <v>54.986857686150131</v>
      </c>
      <c r="I83" s="81">
        <f t="shared" si="27"/>
        <v>34.507867451580033</v>
      </c>
      <c r="J83" s="81">
        <f t="shared" si="28"/>
        <v>29.500296861510769</v>
      </c>
      <c r="K83" s="81">
        <f t="shared" si="29"/>
        <v>24.226824130529351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30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30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30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30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30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30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129.37023550396006</v>
      </c>
      <c r="H97" s="54">
        <f>H77</f>
        <v>126.80599367448798</v>
      </c>
      <c r="I97" s="81">
        <f>$H97*(1+$G87)^(I$96-$H$96)</f>
        <v>113.01858322599372</v>
      </c>
      <c r="J97" s="81">
        <f>$H97*(1+$G87)^(J$96-$H$96)</f>
        <v>100.73025559974539</v>
      </c>
      <c r="K97" s="81">
        <f>$H97*(1+$G87)^(K$96-$H$96)</f>
        <v>89.778017946843022</v>
      </c>
      <c r="L97" s="67"/>
      <c r="M97" s="79">
        <f>(K97-G97)/H97</f>
        <v>-0.31222670482556669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G103" si="31">G78</f>
        <v>126.76869630804003</v>
      </c>
      <c r="H98" s="54">
        <f t="shared" ref="H98:H103" si="32">H78</f>
        <v>124.25601947418849</v>
      </c>
      <c r="I98" s="81">
        <f t="shared" ref="I98:K98" si="33">$H98*(1+$G88)^(I$96-$H$96)</f>
        <v>111.81139005384371</v>
      </c>
      <c r="J98" s="81">
        <f t="shared" si="33"/>
        <v>100.61312923652569</v>
      </c>
      <c r="K98" s="81">
        <f t="shared" si="33"/>
        <v>90.536409304016402</v>
      </c>
      <c r="L98" s="67"/>
      <c r="M98" s="79">
        <f t="shared" ref="M98:M103" si="34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31"/>
        <v>115.89629036841112</v>
      </c>
      <c r="H99" s="54">
        <f t="shared" si="32"/>
        <v>113.59911502134896</v>
      </c>
      <c r="I99" s="81">
        <f t="shared" ref="I99:K99" si="35">$H99*(1+$G89)^(I$96-$H$96)</f>
        <v>105.30219586157602</v>
      </c>
      <c r="J99" s="81">
        <f t="shared" si="35"/>
        <v>97.611257369265758</v>
      </c>
      <c r="K99" s="81">
        <f t="shared" si="35"/>
        <v>90.482040637917223</v>
      </c>
      <c r="L99" s="67"/>
      <c r="M99" s="79">
        <f t="shared" si="34"/>
        <v>-0.22371872990135291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31"/>
        <v>98.931752132371443</v>
      </c>
      <c r="H100" s="54">
        <f t="shared" si="32"/>
        <v>96.970830162240034</v>
      </c>
      <c r="I100" s="81">
        <f t="shared" ref="I100:K100" si="36">$H100*(1+$G90)^(I$96-$H$96)</f>
        <v>89.888388203418657</v>
      </c>
      <c r="J100" s="81">
        <f t="shared" si="36"/>
        <v>83.323225348180799</v>
      </c>
      <c r="K100" s="81">
        <f t="shared" si="36"/>
        <v>77.237561170995292</v>
      </c>
      <c r="L100" s="67"/>
      <c r="M100" s="79">
        <f t="shared" si="34"/>
        <v>-0.22371872990135297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31"/>
        <v>72.508450813816523</v>
      </c>
      <c r="H101" s="54">
        <f t="shared" si="32"/>
        <v>71.071263953618569</v>
      </c>
      <c r="I101" s="81">
        <f t="shared" ref="I101" si="37">$H101*(1+$G91)^(I$96-$H$96)</f>
        <v>65.880444188031134</v>
      </c>
      <c r="J101" s="81">
        <f>$H101*(1+$G91)^(J$96-$H$96)</f>
        <v>61.068745439010925</v>
      </c>
      <c r="K101" s="81">
        <f>$H101*(1+$G91)^(K$96-$H$96)</f>
        <v>56.608477909629173</v>
      </c>
      <c r="L101" s="67"/>
      <c r="M101" s="79">
        <f t="shared" si="34"/>
        <v>-0.22371872990135289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31"/>
        <v>67.603039372331537</v>
      </c>
      <c r="H102" s="54">
        <f t="shared" si="32"/>
        <v>66.263082459656104</v>
      </c>
      <c r="I102" s="81">
        <f t="shared" ref="I102:K102" si="38">$H102*(1+$G92)^(I$96-$H$96)</f>
        <v>57.238049610665335</v>
      </c>
      <c r="J102" s="81">
        <f t="shared" si="38"/>
        <v>49.442226374356757</v>
      </c>
      <c r="K102" s="81">
        <f t="shared" si="38"/>
        <v>42.70819438259899</v>
      </c>
      <c r="L102" s="67"/>
      <c r="M102" s="79">
        <f t="shared" si="34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31"/>
        <v>56.098789358023637</v>
      </c>
      <c r="H103" s="54">
        <f t="shared" si="32"/>
        <v>54.986857686150131</v>
      </c>
      <c r="I103" s="81">
        <f t="shared" ref="I103:K103" si="39">$H103*(1+$G93)^(I$96-$H$96)</f>
        <v>47.497646824545114</v>
      </c>
      <c r="J103" s="81">
        <f t="shared" si="39"/>
        <v>41.02846659734584</v>
      </c>
      <c r="K103" s="81">
        <f t="shared" si="39"/>
        <v>35.44038881647576</v>
      </c>
      <c r="L103" s="67"/>
      <c r="M103" s="79">
        <f t="shared" si="34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849.82431399892027</v>
      </c>
      <c r="H107" s="54">
        <f>H$36*H45*$H$73*H77/1000</f>
        <v>832.97998311268839</v>
      </c>
      <c r="I107" s="127">
        <f>I$36*I45*$H$73*I77/1000</f>
        <v>430.92104927051867</v>
      </c>
      <c r="J107" s="127">
        <f>J$36*J45*$H$73*J77/1000</f>
        <v>294.61663423061452</v>
      </c>
      <c r="K107" s="127">
        <f>K$36*K45*$H$73*K77/1000</f>
        <v>180.67838074124077</v>
      </c>
      <c r="L107" s="46"/>
      <c r="M107" s="79">
        <f>(K107-G107)/H107</f>
        <v>-0.80331574206286205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G113" si="40">G$36*G46*$H$73*G78/1000</f>
        <v>3931.1110879591179</v>
      </c>
      <c r="H108" s="54">
        <f t="shared" ref="H108:K108" si="41">H$36*H46*$H$73*H78/1000</f>
        <v>3853.1927055060091</v>
      </c>
      <c r="I108" s="127">
        <f t="shared" si="41"/>
        <v>2110.8591791151885</v>
      </c>
      <c r="J108" s="127">
        <f t="shared" si="41"/>
        <v>1557.2899783773476</v>
      </c>
      <c r="K108" s="127">
        <f t="shared" si="41"/>
        <v>1062.2704374800496</v>
      </c>
      <c r="L108" s="46"/>
      <c r="M108" s="79">
        <f t="shared" ref="M108:M114" si="42">(K108-G108)/H108</f>
        <v>-0.74453599125204573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40"/>
        <v>680.17070275231686</v>
      </c>
      <c r="H109" s="54">
        <f t="shared" ref="H109:K109" si="43">H$36*H47*$H$73*H79/1000</f>
        <v>666.68906873978915</v>
      </c>
      <c r="I109" s="127">
        <f t="shared" si="43"/>
        <v>538.59425629091936</v>
      </c>
      <c r="J109" s="127">
        <f t="shared" si="43"/>
        <v>556.3397322987903</v>
      </c>
      <c r="K109" s="127">
        <f t="shared" si="43"/>
        <v>517.95417073758563</v>
      </c>
      <c r="L109" s="46"/>
      <c r="M109" s="79">
        <f t="shared" si="42"/>
        <v>-0.24331662182696573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40"/>
        <v>95.880768069349116</v>
      </c>
      <c r="H110" s="54">
        <f t="shared" ref="H110:K110" si="44">H$36*H48*$H$73*H80/1000</f>
        <v>93.980319522064761</v>
      </c>
      <c r="I110" s="127">
        <f t="shared" si="44"/>
        <v>52.379117277979923</v>
      </c>
      <c r="J110" s="127">
        <f t="shared" si="44"/>
        <v>39.463325490081552</v>
      </c>
      <c r="K110" s="127">
        <f t="shared" si="44"/>
        <v>27.633603215669368</v>
      </c>
      <c r="L110" s="46"/>
      <c r="M110" s="79">
        <f t="shared" si="42"/>
        <v>-0.72618570782424963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40"/>
        <v>65.951699209943058</v>
      </c>
      <c r="H111" s="54">
        <f t="shared" ref="H111:K111" si="45">H$36*H49*$H$73*H81/1000</f>
        <v>64.644473439037512</v>
      </c>
      <c r="I111" s="127">
        <f t="shared" si="45"/>
        <v>47.182816250525065</v>
      </c>
      <c r="J111" s="127">
        <f t="shared" si="45"/>
        <v>45.602423564531314</v>
      </c>
      <c r="K111" s="127">
        <f t="shared" si="45"/>
        <v>40.506100748947794</v>
      </c>
      <c r="L111" s="46"/>
      <c r="M111" s="79">
        <f t="shared" si="42"/>
        <v>-0.39362372539071799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40"/>
        <v>1512.4411045965217</v>
      </c>
      <c r="H112" s="54">
        <f t="shared" ref="H112:K112" si="46">H$36*H50*$H$73*H82/1000</f>
        <v>1482.4630750295844</v>
      </c>
      <c r="I112" s="127">
        <f t="shared" si="46"/>
        <v>854.80274423625963</v>
      </c>
      <c r="J112" s="127">
        <f t="shared" si="46"/>
        <v>669.77151422261625</v>
      </c>
      <c r="K112" s="127">
        <f t="shared" si="46"/>
        <v>490.95465989429727</v>
      </c>
      <c r="L112" s="46"/>
      <c r="M112" s="79">
        <f t="shared" si="42"/>
        <v>-0.68904680454306722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40"/>
        <v>300.14433149582885</v>
      </c>
      <c r="H113" s="54">
        <f t="shared" ref="H113:K113" si="47">H$36*H51*$H$73*H83/1000</f>
        <v>294.19518371309192</v>
      </c>
      <c r="I113" s="127">
        <f t="shared" si="47"/>
        <v>281.68055444608103</v>
      </c>
      <c r="J113" s="127">
        <f t="shared" si="47"/>
        <v>318.33051319545706</v>
      </c>
      <c r="K113" s="127">
        <f t="shared" si="47"/>
        <v>313.3901204791855</v>
      </c>
      <c r="L113" s="46"/>
      <c r="M113" s="79">
        <f t="shared" si="42"/>
        <v>4.502381315757481E-2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7435.5240080819976</v>
      </c>
      <c r="H114" s="161">
        <f>SUM(H107:H113)</f>
        <v>7288.1448090622653</v>
      </c>
      <c r="I114" s="159">
        <f t="shared" ref="I114:J114" si="48">SUM(I107:I113)</f>
        <v>4316.4197168874716</v>
      </c>
      <c r="J114" s="159">
        <f t="shared" si="48"/>
        <v>3481.4141213794383</v>
      </c>
      <c r="K114" s="159">
        <f>SUM(K107:K113)</f>
        <v>2633.3874732969762</v>
      </c>
      <c r="L114" s="21"/>
      <c r="M114" s="79">
        <f t="shared" si="42"/>
        <v>-0.65889697043531881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1931.9246679942714</v>
      </c>
      <c r="H118" s="162">
        <f>H$36*H45*(1-$H$73)*H97/1000</f>
        <v>1893.6320729026575</v>
      </c>
      <c r="I118" s="158">
        <f t="shared" ref="I118:K118" si="49">I$36*I45*(1-$H$73)*I97/1000</f>
        <v>1391.2641745175795</v>
      </c>
      <c r="J118" s="158">
        <f t="shared" si="49"/>
        <v>991.67866335050394</v>
      </c>
      <c r="K118" s="158">
        <f t="shared" si="49"/>
        <v>660.02421919251981</v>
      </c>
      <c r="L118" s="46"/>
      <c r="M118" s="79">
        <f>(K118-G118)/H118</f>
        <v>-0.67167242623437229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G124" si="50">G$36*G46*(1-$H$73)*G98/1000</f>
        <v>8936.6829806468304</v>
      </c>
      <c r="H119" s="162">
        <f t="shared" ref="H119:K119" si="51">H$36*H46*(1-$H$73)*H98/1000</f>
        <v>8759.5493747100591</v>
      </c>
      <c r="I119" s="158">
        <f t="shared" si="51"/>
        <v>6880.6534909131669</v>
      </c>
      <c r="J119" s="158">
        <f t="shared" si="51"/>
        <v>5343.185593158456</v>
      </c>
      <c r="K119" s="158">
        <f t="shared" si="51"/>
        <v>3993.5982699969436</v>
      </c>
      <c r="L119" s="46"/>
      <c r="M119" s="79">
        <f t="shared" ref="M119:M125" si="52">(K119-G119)/H119</f>
        <v>-0.56430810526865749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50"/>
        <v>1546.2473095302255</v>
      </c>
      <c r="H120" s="162">
        <f t="shared" ref="H120:K120" si="53">H$36*H47*(1-$H$73)*H99/1000</f>
        <v>1515.5992086408623</v>
      </c>
      <c r="I120" s="158">
        <f t="shared" si="53"/>
        <v>1808.5312332925489</v>
      </c>
      <c r="J120" s="158">
        <f t="shared" si="53"/>
        <v>2025.62284976919</v>
      </c>
      <c r="K120" s="158">
        <f t="shared" si="53"/>
        <v>2128.6400244067645</v>
      </c>
      <c r="L120" s="46"/>
      <c r="M120" s="79">
        <f t="shared" si="52"/>
        <v>0.38426564988695722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50"/>
        <v>217.96789991542698</v>
      </c>
      <c r="H121" s="162">
        <f t="shared" ref="H121:K121" si="54">H$36*H48*(1-$H$73)*H100/1000</f>
        <v>213.64756762053668</v>
      </c>
      <c r="I121" s="158">
        <f t="shared" si="54"/>
        <v>175.88243554968858</v>
      </c>
      <c r="J121" s="158">
        <f t="shared" si="54"/>
        <v>143.68525057573336</v>
      </c>
      <c r="K121" s="158">
        <f t="shared" si="54"/>
        <v>113.56602021311004</v>
      </c>
      <c r="L121" s="46"/>
      <c r="M121" s="79">
        <f t="shared" si="52"/>
        <v>-0.48866402208588222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50"/>
        <v>149.92947660001781</v>
      </c>
      <c r="H122" s="162">
        <f t="shared" ref="H122:K122" si="55">H$36*H49*(1-$H$73)*H101/1000</f>
        <v>146.95773094406397</v>
      </c>
      <c r="I122" s="158">
        <f t="shared" si="55"/>
        <v>158.43391545134921</v>
      </c>
      <c r="J122" s="158">
        <f t="shared" si="55"/>
        <v>166.03759504193951</v>
      </c>
      <c r="K122" s="158">
        <f t="shared" si="55"/>
        <v>166.46821699317252</v>
      </c>
      <c r="L122" s="46"/>
      <c r="M122" s="79">
        <f t="shared" si="52"/>
        <v>0.1125407985473714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50"/>
        <v>3438.2662754248245</v>
      </c>
      <c r="H123" s="162">
        <f t="shared" ref="H123:K123" si="56">H$36*H50*(1-$H$73)*H102/1000</f>
        <v>3370.1165486351751</v>
      </c>
      <c r="I123" s="158">
        <f t="shared" si="56"/>
        <v>2674.7359563983118</v>
      </c>
      <c r="J123" s="158">
        <f t="shared" si="56"/>
        <v>2117.6130655993843</v>
      </c>
      <c r="K123" s="158">
        <f t="shared" si="56"/>
        <v>1632.6925580978482</v>
      </c>
      <c r="L123" s="46"/>
      <c r="M123" s="79">
        <f t="shared" si="52"/>
        <v>-0.5357600223227279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50"/>
        <v>682.32483870328349</v>
      </c>
      <c r="H124" s="162">
        <f t="shared" ref="H124:K124" si="57">H$36*H51*(1-$H$73)*H103/1000</f>
        <v>668.80050765545764</v>
      </c>
      <c r="I124" s="158">
        <f t="shared" si="57"/>
        <v>881.39762334093132</v>
      </c>
      <c r="J124" s="158">
        <f t="shared" si="57"/>
        <v>1006.4639053872959</v>
      </c>
      <c r="K124" s="158">
        <f t="shared" si="57"/>
        <v>1042.1934229077629</v>
      </c>
      <c r="L124" s="46"/>
      <c r="M124" s="79">
        <f t="shared" si="52"/>
        <v>0.53808060861979923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16903.343448814881</v>
      </c>
      <c r="H125" s="163">
        <f>SUM(H118:H124)</f>
        <v>16568.303011108812</v>
      </c>
      <c r="I125" s="160">
        <f t="shared" ref="I125" si="58">SUM(I118:I124)</f>
        <v>13970.898829463578</v>
      </c>
      <c r="J125" s="160">
        <f t="shared" ref="J125" si="59">SUM(J118:J124)</f>
        <v>11794.286922882504</v>
      </c>
      <c r="K125" s="160">
        <f t="shared" ref="K125" si="60">SUM(K118:K124)</f>
        <v>9737.1827318081214</v>
      </c>
      <c r="L125" s="21"/>
      <c r="M125" s="79">
        <f t="shared" si="52"/>
        <v>-0.43252231156093363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2726.6120560153458</v>
      </c>
      <c r="I129" s="158">
        <f t="shared" ref="I129:K129" si="61">I107+I118</f>
        <v>1822.185223788098</v>
      </c>
      <c r="J129" s="158">
        <f t="shared" si="61"/>
        <v>1286.2952975811186</v>
      </c>
      <c r="K129" s="158">
        <f t="shared" si="61"/>
        <v>840.70259993376055</v>
      </c>
      <c r="L129" s="46"/>
      <c r="M129" s="79">
        <f>(K129-G129)/H129</f>
        <v>0.30833231228440988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0" si="62">H108+H119</f>
        <v>12612.742080216069</v>
      </c>
      <c r="I130" s="158">
        <f t="shared" si="62"/>
        <v>8991.5126700283545</v>
      </c>
      <c r="J130" s="158">
        <f t="shared" si="62"/>
        <v>6900.4755715358033</v>
      </c>
      <c r="K130" s="158">
        <f t="shared" si="62"/>
        <v>5055.8687074769932</v>
      </c>
      <c r="L130" s="46"/>
      <c r="M130" s="79">
        <f t="shared" ref="M130:M136" si="63">(K130-G130)/H130</f>
        <v>0.40085404706780314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ref="H131:K131" si="64">H109+H120</f>
        <v>2182.2882773806514</v>
      </c>
      <c r="I131" s="158">
        <f>I109+I120</f>
        <v>2347.1254895834682</v>
      </c>
      <c r="J131" s="158">
        <f t="shared" si="64"/>
        <v>2581.9625820679803</v>
      </c>
      <c r="K131" s="158">
        <f t="shared" si="64"/>
        <v>2646.5941951443501</v>
      </c>
      <c r="L131" s="46"/>
      <c r="M131" s="79">
        <f t="shared" si="63"/>
        <v>1.2127610373827393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ref="H132:K132" si="65">H110+H121</f>
        <v>307.62788714260142</v>
      </c>
      <c r="I132" s="158">
        <f t="shared" si="65"/>
        <v>228.26155282766851</v>
      </c>
      <c r="J132" s="158">
        <f t="shared" si="65"/>
        <v>183.14857606581492</v>
      </c>
      <c r="K132" s="158">
        <f t="shared" si="65"/>
        <v>141.1996234287794</v>
      </c>
      <c r="L132" s="46"/>
      <c r="M132" s="79">
        <f t="shared" si="63"/>
        <v>0.4589948744254323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ref="H133:K133" si="66">H111+H122</f>
        <v>211.60220438310148</v>
      </c>
      <c r="I133" s="158">
        <f t="shared" si="66"/>
        <v>205.61673170187427</v>
      </c>
      <c r="J133" s="158">
        <f t="shared" si="66"/>
        <v>211.64001860647082</v>
      </c>
      <c r="K133" s="158">
        <f t="shared" si="66"/>
        <v>206.97431774212032</v>
      </c>
      <c r="L133" s="46"/>
      <c r="M133" s="79">
        <f t="shared" si="63"/>
        <v>0.9781293079886707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ref="H134:K134" si="67">H112+H123</f>
        <v>4852.5796236647593</v>
      </c>
      <c r="I134" s="158">
        <f t="shared" si="67"/>
        <v>3529.5387006345713</v>
      </c>
      <c r="J134" s="158">
        <f t="shared" si="67"/>
        <v>2787.3845798220004</v>
      </c>
      <c r="K134" s="158">
        <f t="shared" si="67"/>
        <v>2123.6472179921457</v>
      </c>
      <c r="L134" s="46"/>
      <c r="M134" s="79">
        <f t="shared" si="63"/>
        <v>0.43763263721334417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ref="H135:K135" si="68">H113+H124</f>
        <v>962.99569136854961</v>
      </c>
      <c r="I135" s="158">
        <f t="shared" si="68"/>
        <v>1163.0781777870125</v>
      </c>
      <c r="J135" s="158">
        <f t="shared" si="68"/>
        <v>1324.794418582753</v>
      </c>
      <c r="K135" s="158">
        <f t="shared" si="68"/>
        <v>1355.5835433869483</v>
      </c>
      <c r="L135" s="46"/>
      <c r="M135" s="79">
        <f t="shared" si="63"/>
        <v>1.4076735291104754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23856.447820171074</v>
      </c>
      <c r="I136" s="160">
        <f t="shared" ref="I136:K136" si="69">SUM(I129:I135)</f>
        <v>18287.318546351045</v>
      </c>
      <c r="J136" s="160">
        <f t="shared" si="69"/>
        <v>15275.701044261941</v>
      </c>
      <c r="K136" s="160">
        <f t="shared" si="69"/>
        <v>12370.570205105099</v>
      </c>
      <c r="L136" s="21"/>
      <c r="M136" s="79">
        <f t="shared" si="63"/>
        <v>0.51854200165732767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énergie'!C3</f>
        <v>2.5832473286687414E-3</v>
      </c>
      <c r="I142" s="47">
        <f>H142</f>
        <v>2.5832473286687414E-3</v>
      </c>
      <c r="J142" s="47">
        <f>I142</f>
        <v>2.5832473286687414E-3</v>
      </c>
      <c r="K142" s="47">
        <f>J142</f>
        <v>2.5832473286687414E-3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énergie'!C4</f>
        <v>0.18262447255667691</v>
      </c>
      <c r="I143" s="47">
        <f t="shared" ref="I143:K143" si="70">H143</f>
        <v>0.18262447255667691</v>
      </c>
      <c r="J143" s="47">
        <f t="shared" si="70"/>
        <v>0.18262447255667691</v>
      </c>
      <c r="K143" s="47">
        <f t="shared" si="70"/>
        <v>0.18262447255667691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énergie'!C5</f>
        <v>0.13911656645249823</v>
      </c>
      <c r="I144" s="47">
        <f t="shared" ref="I144:K144" si="71">H144</f>
        <v>0.13911656645249823</v>
      </c>
      <c r="J144" s="47">
        <f t="shared" si="71"/>
        <v>0.13911656645249823</v>
      </c>
      <c r="K144" s="47">
        <f t="shared" si="71"/>
        <v>0.13911656645249823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énergie'!C6</f>
        <v>2.2541262662018457E-2</v>
      </c>
      <c r="I145" s="47">
        <f t="shared" ref="I145:K145" si="72">H145</f>
        <v>2.2541262662018457E-2</v>
      </c>
      <c r="J145" s="47">
        <f t="shared" si="72"/>
        <v>2.2541262662018457E-2</v>
      </c>
      <c r="K145" s="47">
        <f t="shared" si="72"/>
        <v>2.2541262662018457E-2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énergie'!C7</f>
        <v>2.2378153328661055E-2</v>
      </c>
      <c r="I146" s="47">
        <f t="shared" ref="I146:K146" si="73">H146</f>
        <v>2.2378153328661055E-2</v>
      </c>
      <c r="J146" s="47">
        <f t="shared" si="73"/>
        <v>2.2378153328661055E-2</v>
      </c>
      <c r="K146" s="47">
        <f t="shared" si="73"/>
        <v>2.2378153328661055E-2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énergie'!C8</f>
        <v>0.17192765066376023</v>
      </c>
      <c r="I147" s="47">
        <f t="shared" ref="I147:K147" si="74">H147</f>
        <v>0.17192765066376023</v>
      </c>
      <c r="J147" s="47">
        <f t="shared" si="74"/>
        <v>0.17192765066376023</v>
      </c>
      <c r="K147" s="47">
        <f t="shared" si="74"/>
        <v>0.17192765066376023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énergie'!C9</f>
        <v>0.45882864700771653</v>
      </c>
      <c r="I148" s="47">
        <f t="shared" ref="I148:K148" si="75">H148</f>
        <v>0.45882864700771653</v>
      </c>
      <c r="J148" s="47">
        <f t="shared" si="75"/>
        <v>0.45882864700771653</v>
      </c>
      <c r="K148" s="47">
        <f t="shared" si="75"/>
        <v>0.45882864700771653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76">SUM(I142:I148)</f>
        <v>1</v>
      </c>
      <c r="J149" s="15">
        <f t="shared" si="76"/>
        <v>1</v>
      </c>
      <c r="K149" s="15">
        <f t="shared" si="76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55.869832114858738</v>
      </c>
      <c r="J153" s="45">
        <f>K153</f>
        <v>55.869832114858738</v>
      </c>
      <c r="K153" s="45">
        <f t="shared" ref="K153:K159" si="77">K77</f>
        <v>55.869832114858738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I159" si="78">J154</f>
        <v>54.746331353264878</v>
      </c>
      <c r="J154" s="45">
        <f>K154</f>
        <v>54.746331353264878</v>
      </c>
      <c r="K154" s="45">
        <f t="shared" si="77"/>
        <v>54.746331353264878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78"/>
        <v>50.05097393843613</v>
      </c>
      <c r="J155" s="45">
        <f t="shared" ref="J155:J159" si="79">K155</f>
        <v>50.05097393843613</v>
      </c>
      <c r="K155" s="45">
        <f t="shared" si="77"/>
        <v>50.05097393843613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78"/>
        <v>42.724668166003447</v>
      </c>
      <c r="J156" s="45">
        <f t="shared" si="79"/>
        <v>42.724668166003447</v>
      </c>
      <c r="K156" s="45">
        <f t="shared" si="77"/>
        <v>42.724668166003447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78"/>
        <v>31.313500807165326</v>
      </c>
      <c r="J157" s="45">
        <f t="shared" si="79"/>
        <v>31.313500807165326</v>
      </c>
      <c r="K157" s="45">
        <f t="shared" si="77"/>
        <v>31.313500807165326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78"/>
        <v>29.195049738243181</v>
      </c>
      <c r="J158" s="45">
        <f t="shared" si="79"/>
        <v>29.195049738243181</v>
      </c>
      <c r="K158" s="45">
        <f t="shared" si="77"/>
        <v>29.195049738243181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78"/>
        <v>24.226824130529351</v>
      </c>
      <c r="J159" s="45">
        <f t="shared" si="79"/>
        <v>24.226824130529351</v>
      </c>
      <c r="K159" s="45">
        <f t="shared" si="77"/>
        <v>24.226824130529351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80">I$35*I142*I153/1000</f>
        <v>0.74542081734656751</v>
      </c>
      <c r="J163" s="10">
        <f t="shared" si="80"/>
        <v>0.7373121098589116</v>
      </c>
      <c r="K163" s="10">
        <f t="shared" si="80"/>
        <v>0.71395840224681884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4" si="81">H$35*H143*H154/1000</f>
        <v>0</v>
      </c>
      <c r="I164" s="10">
        <f t="shared" si="81"/>
        <v>51.638326376786523</v>
      </c>
      <c r="J164" s="10">
        <f t="shared" si="81"/>
        <v>51.076603288300795</v>
      </c>
      <c r="K164" s="10">
        <f t="shared" si="81"/>
        <v>49.458797147503667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ref="H165:K165" si="82">H$35*H144*H155/1000</f>
        <v>0</v>
      </c>
      <c r="I165" s="10">
        <f t="shared" si="82"/>
        <v>35.962472673550863</v>
      </c>
      <c r="J165" s="10">
        <f t="shared" si="82"/>
        <v>35.571271938802582</v>
      </c>
      <c r="K165" s="10">
        <f t="shared" si="82"/>
        <v>34.444583426378721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ref="H166:K166" si="83">H$35*H145*H156/1000</f>
        <v>0</v>
      </c>
      <c r="I166" s="10">
        <f t="shared" si="83"/>
        <v>4.9741067306708215</v>
      </c>
      <c r="J166" s="10">
        <f t="shared" si="83"/>
        <v>4.9199982652875187</v>
      </c>
      <c r="K166" s="10">
        <f t="shared" si="83"/>
        <v>4.7641616807486935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ref="H167:K167" si="84">H$35*H146*H157/1000</f>
        <v>0</v>
      </c>
      <c r="I167" s="10">
        <f t="shared" si="84"/>
        <v>3.6192120638627649</v>
      </c>
      <c r="J167" s="10">
        <f t="shared" si="84"/>
        <v>3.5798421787204049</v>
      </c>
      <c r="K167" s="10">
        <f t="shared" si="84"/>
        <v>3.4664538504651272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ref="H168:K168" si="85">H$35*H147*H158/1000</f>
        <v>0</v>
      </c>
      <c r="I168" s="10">
        <f t="shared" si="85"/>
        <v>25.924662427304426</v>
      </c>
      <c r="J168" s="10">
        <f t="shared" si="85"/>
        <v>25.642653259533226</v>
      </c>
      <c r="K168" s="10">
        <f t="shared" si="85"/>
        <v>24.830444944202544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ref="H169:K169" si="86">H$35*H148*H159/1000</f>
        <v>0</v>
      </c>
      <c r="I169" s="10">
        <f t="shared" si="86"/>
        <v>57.412330171704888</v>
      </c>
      <c r="J169" s="10">
        <f t="shared" si="86"/>
        <v>56.787797316284731</v>
      </c>
      <c r="K169" s="10">
        <f t="shared" si="86"/>
        <v>54.989094166389265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87">SUM(I163:I169)</f>
        <v>180.27653126122686</v>
      </c>
      <c r="J170" s="11">
        <f t="shared" si="87"/>
        <v>178.31547835678816</v>
      </c>
      <c r="K170" s="11">
        <f t="shared" si="87"/>
        <v>172.66749361793484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57:K57"/>
    <mergeCell ref="M59:M65"/>
    <mergeCell ref="F54:K54"/>
    <mergeCell ref="C1:O1"/>
    <mergeCell ref="C3:O3"/>
    <mergeCell ref="F5:K5"/>
    <mergeCell ref="F11:K11"/>
    <mergeCell ref="C27:O27"/>
    <mergeCell ref="D29:N29"/>
    <mergeCell ref="E41:M41"/>
    <mergeCell ref="F43:K43"/>
    <mergeCell ref="D39:N39"/>
    <mergeCell ref="F32:K32"/>
    <mergeCell ref="F22:K22"/>
    <mergeCell ref="F68:K68"/>
    <mergeCell ref="F161:K161"/>
    <mergeCell ref="M45:M51"/>
    <mergeCell ref="M142:M149"/>
    <mergeCell ref="M153:M159"/>
    <mergeCell ref="F151:K151"/>
    <mergeCell ref="E138:M138"/>
    <mergeCell ref="F140:K140"/>
    <mergeCell ref="F85:G85"/>
    <mergeCell ref="F95:K95"/>
    <mergeCell ref="F105:K105"/>
    <mergeCell ref="M87:M93"/>
    <mergeCell ref="F75:K75"/>
    <mergeCell ref="M77:M83"/>
    <mergeCell ref="F116:K116"/>
    <mergeCell ref="F127:K127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GB1589"/>
  <sheetViews>
    <sheetView showGridLines="0" topLeftCell="E133" zoomScale="115" zoomScaleNormal="115" workbookViewId="0">
      <selection activeCell="M164" sqref="M164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67389.90174661066</v>
      </c>
      <c r="I7" s="10">
        <f t="shared" si="0"/>
        <v>68391.959360319597</v>
      </c>
      <c r="J7" s="10">
        <f t="shared" si="0"/>
        <v>69224.825652015963</v>
      </c>
      <c r="K7" s="10">
        <f t="shared" si="0"/>
        <v>68495.508265298835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2942.8867840113244</v>
      </c>
      <c r="J8" s="76">
        <f t="shared" si="0"/>
        <v>2802.5547212735701</v>
      </c>
      <c r="K8" s="76">
        <f t="shared" si="0"/>
        <v>1993.67497877806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67389.90174661066</v>
      </c>
      <c r="I9" s="96">
        <f t="shared" si="1"/>
        <v>65449.072576308274</v>
      </c>
      <c r="J9" s="96">
        <f t="shared" si="1"/>
        <v>66422.270930742394</v>
      </c>
      <c r="K9" s="96">
        <f t="shared" si="1"/>
        <v>66501.833286520778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684.76544972812997</v>
      </c>
      <c r="I13" s="86">
        <f t="shared" ref="I13:K13" si="2">I129+I163</f>
        <v>477.91512587083434</v>
      </c>
      <c r="J13" s="86">
        <f t="shared" si="2"/>
        <v>370.63569843400876</v>
      </c>
      <c r="K13" s="86">
        <f t="shared" si="2"/>
        <v>273.58880732313168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3344.988966135586</v>
      </c>
      <c r="I14" s="86">
        <f t="shared" si="3"/>
        <v>2389.8244763196012</v>
      </c>
      <c r="J14" s="86">
        <f t="shared" si="3"/>
        <v>1836.4090308314294</v>
      </c>
      <c r="K14" s="86">
        <f t="shared" si="3"/>
        <v>1317.2071942490843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644.05562556936843</v>
      </c>
      <c r="I15" s="86">
        <f t="shared" si="3"/>
        <v>553.09619091748743</v>
      </c>
      <c r="J15" s="86">
        <f t="shared" si="3"/>
        <v>525.16205161917094</v>
      </c>
      <c r="K15" s="86">
        <f t="shared" si="3"/>
        <v>485.29512172707689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110.94916911207363</v>
      </c>
      <c r="I16" s="86">
        <f t="shared" si="3"/>
        <v>84.677644754640056</v>
      </c>
      <c r="J16" s="86">
        <f t="shared" si="3"/>
        <v>70.627009307561508</v>
      </c>
      <c r="K16" s="86">
        <f t="shared" si="3"/>
        <v>56.388728887002877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105.085067784548</v>
      </c>
      <c r="I17" s="86">
        <f t="shared" si="3"/>
        <v>146.334914621481</v>
      </c>
      <c r="J17" s="86">
        <f t="shared" si="3"/>
        <v>190.23534484360349</v>
      </c>
      <c r="K17" s="86">
        <f t="shared" si="3"/>
        <v>222.28316716403666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1126.3148298057915</v>
      </c>
      <c r="I18" s="86">
        <f t="shared" si="3"/>
        <v>903.71728065379205</v>
      </c>
      <c r="J18" s="86">
        <f t="shared" si="3"/>
        <v>817.16688814546376</v>
      </c>
      <c r="K18" s="86">
        <f t="shared" si="3"/>
        <v>721.01896406291746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330.54470576018718</v>
      </c>
      <c r="I19" s="86">
        <f t="shared" si="3"/>
        <v>360.00097457915791</v>
      </c>
      <c r="J19" s="86">
        <f t="shared" si="3"/>
        <v>385.4515862876234</v>
      </c>
      <c r="K19" s="86">
        <f t="shared" si="3"/>
        <v>385.27259312084527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6346.703813895685</v>
      </c>
      <c r="I20" s="13">
        <f t="shared" ref="I20:K20" si="4">SUM(I13:I19)</f>
        <v>4915.5666077169935</v>
      </c>
      <c r="J20" s="13">
        <f t="shared" si="4"/>
        <v>4195.6876094688614</v>
      </c>
      <c r="K20" s="13">
        <f t="shared" si="4"/>
        <v>3461.0545765340948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-0.41727999999999998</v>
      </c>
      <c r="J23" s="193">
        <f t="shared" ref="J23:K23" si="5">J114/$G114-1</f>
        <v>-0.50717934579802915</v>
      </c>
      <c r="K23" s="193">
        <f t="shared" si="5"/>
        <v>-0.6052712257301045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-0.19689622851154487</v>
      </c>
      <c r="J24" s="193">
        <f t="shared" ref="J24:K24" si="6">J125/$G125-1</f>
        <v>-0.31548798906495701</v>
      </c>
      <c r="K24" s="193">
        <f t="shared" si="6"/>
        <v>-0.42732643245574786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67389.90174661066</v>
      </c>
      <c r="H34" s="127">
        <f>'Init. parc'!C5</f>
        <v>67389.90174661066</v>
      </c>
      <c r="I34" s="127">
        <f>'Init. parc'!D5</f>
        <v>68391.959360319597</v>
      </c>
      <c r="J34" s="127">
        <f>'Init. parc'!E5</f>
        <v>69224.825652015963</v>
      </c>
      <c r="K34" s="127">
        <f>'Init. parc'!F5</f>
        <v>68495.508265298835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parc'!N5</f>
        <v>2942.8867840113244</v>
      </c>
      <c r="J35" s="127">
        <f>'Init. parc'!O5</f>
        <v>2802.5547212735701</v>
      </c>
      <c r="K35" s="127">
        <f>'Init. parc'!P5</f>
        <v>1993.67497877806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67389.90174661066</v>
      </c>
      <c r="H36" s="127">
        <f>H34-H35</f>
        <v>67389.90174661066</v>
      </c>
      <c r="I36" s="127">
        <f>I34-I35</f>
        <v>65449.072576308274</v>
      </c>
      <c r="J36" s="127">
        <f>J34-J35</f>
        <v>66422.270930742394</v>
      </c>
      <c r="K36" s="127">
        <f>K34-K35</f>
        <v>66501.833286520778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7.9577911246311389E-2</v>
      </c>
      <c r="H45" s="55">
        <f>'Init. énergie'!B12</f>
        <v>7.9577911246311389E-2</v>
      </c>
      <c r="I45" s="47">
        <f>H45+((K45-H45)/3)</f>
        <v>6.9718607497540927E-2</v>
      </c>
      <c r="J45" s="47">
        <f>H45+((K45-H45)/3*2)</f>
        <v>5.9859303748770465E-2</v>
      </c>
      <c r="K45" s="47">
        <v>0.05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0.34462030283054329</v>
      </c>
      <c r="H46" s="55">
        <f>'Init. énergie'!B13</f>
        <v>0.34462030283054329</v>
      </c>
      <c r="I46" s="47">
        <f t="shared" ref="I46:I51" si="8">H46+((K46-H46)/3)</f>
        <v>0.29641353522036218</v>
      </c>
      <c r="J46" s="47">
        <f t="shared" ref="J46:J51" si="9">H46+((K46-H46)/3*2)</f>
        <v>0.24820676761018112</v>
      </c>
      <c r="K46" s="47">
        <v>0.2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6.6086937326922057E-2</v>
      </c>
      <c r="H47" s="55">
        <f>'Init. énergie'!B14</f>
        <v>6.6086937326922057E-2</v>
      </c>
      <c r="I47" s="47">
        <f t="shared" si="8"/>
        <v>6.7391291551281374E-2</v>
      </c>
      <c r="J47" s="47">
        <f t="shared" si="9"/>
        <v>6.869564577564069E-2</v>
      </c>
      <c r="K47" s="47">
        <v>7.0000000000000007E-2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1.4148263803273525E-2</v>
      </c>
      <c r="H48" s="55">
        <f>'Init. énergie'!B15</f>
        <v>1.4148263803273525E-2</v>
      </c>
      <c r="I48" s="47">
        <f t="shared" si="8"/>
        <v>1.276550920218235E-2</v>
      </c>
      <c r="J48" s="47">
        <f t="shared" si="9"/>
        <v>1.1382754601091175E-2</v>
      </c>
      <c r="K48" s="47">
        <v>0.01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2.6562983479710957E-2</v>
      </c>
      <c r="H49" s="55">
        <f>'Init. énergie'!B16</f>
        <v>2.6562983479710957E-2</v>
      </c>
      <c r="I49" s="47">
        <f t="shared" si="8"/>
        <v>4.43753223198073E-2</v>
      </c>
      <c r="J49" s="47">
        <f t="shared" si="9"/>
        <v>6.2187661159903651E-2</v>
      </c>
      <c r="K49" s="47">
        <v>0.08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0.36221493246354636</v>
      </c>
      <c r="H50" s="55">
        <f>'Init. énergie'!B17</f>
        <v>0.36221493246354636</v>
      </c>
      <c r="I50" s="47">
        <f t="shared" si="8"/>
        <v>0.37147662164236422</v>
      </c>
      <c r="J50" s="47">
        <f t="shared" si="9"/>
        <v>0.38073831082118209</v>
      </c>
      <c r="K50" s="47">
        <f>1-K45-K46-K47-K48-K49-K51</f>
        <v>0.38999999999999996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0.10678866884969246</v>
      </c>
      <c r="H51" s="55">
        <f>'Init. énergie'!B18</f>
        <v>0.10678866884969246</v>
      </c>
      <c r="I51" s="47">
        <f t="shared" si="8"/>
        <v>0.13785911256646163</v>
      </c>
      <c r="J51" s="47">
        <f t="shared" si="9"/>
        <v>0.16892955628323084</v>
      </c>
      <c r="K51" s="125">
        <v>0.2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0">SUM(G45:G51)</f>
        <v>1</v>
      </c>
      <c r="H52" s="164">
        <f t="shared" si="10"/>
        <v>1</v>
      </c>
      <c r="I52" s="170">
        <f t="shared" si="10"/>
        <v>1</v>
      </c>
      <c r="J52" s="170">
        <f t="shared" si="10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1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-5.600403898064428E-2</v>
      </c>
      <c r="J55" s="157">
        <f t="shared" si="11"/>
        <v>-5.9326566313026692E-2</v>
      </c>
      <c r="K55" s="157">
        <f t="shared" si="11"/>
        <v>-6.3068185183561609E-2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7.9577911246311389E-2</v>
      </c>
      <c r="H59" s="55">
        <f>H45</f>
        <v>7.9577911246311389E-2</v>
      </c>
      <c r="I59" s="47">
        <f>H59+((K59-H59)/3)</f>
        <v>6.9718607497540927E-2</v>
      </c>
      <c r="J59" s="47">
        <f>H59+((K59-H59)/3*2)</f>
        <v>5.9859303748770465E-2</v>
      </c>
      <c r="K59" s="47">
        <v>0.05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2">H60</f>
        <v>0.34462030283054329</v>
      </c>
      <c r="H60" s="55">
        <f t="shared" ref="H60:H65" si="13">H46</f>
        <v>0.34462030283054329</v>
      </c>
      <c r="I60" s="47">
        <f t="shared" ref="I60:I65" si="14">H60+((K60-H60)/3)</f>
        <v>0.29641353522036218</v>
      </c>
      <c r="J60" s="47">
        <f t="shared" ref="J60:J65" si="15">H60+((K60-H60)/3*2)</f>
        <v>0.24820676761018112</v>
      </c>
      <c r="K60" s="47">
        <v>0.2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2"/>
        <v>6.6086937326922057E-2</v>
      </c>
      <c r="H61" s="55">
        <f t="shared" si="13"/>
        <v>6.6086937326922057E-2</v>
      </c>
      <c r="I61" s="47">
        <f t="shared" si="14"/>
        <v>6.7391291551281374E-2</v>
      </c>
      <c r="J61" s="47">
        <f t="shared" si="15"/>
        <v>6.869564577564069E-2</v>
      </c>
      <c r="K61" s="47">
        <v>7.0000000000000007E-2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2"/>
        <v>1.4148263803273525E-2</v>
      </c>
      <c r="H62" s="55">
        <f t="shared" si="13"/>
        <v>1.4148263803273525E-2</v>
      </c>
      <c r="I62" s="47">
        <f t="shared" si="14"/>
        <v>1.276550920218235E-2</v>
      </c>
      <c r="J62" s="47">
        <f t="shared" si="15"/>
        <v>1.1382754601091175E-2</v>
      </c>
      <c r="K62" s="47">
        <v>0.01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2"/>
        <v>2.6562983479710957E-2</v>
      </c>
      <c r="H63" s="55">
        <f t="shared" si="13"/>
        <v>2.6562983479710957E-2</v>
      </c>
      <c r="I63" s="47">
        <f t="shared" si="14"/>
        <v>4.43753223198073E-2</v>
      </c>
      <c r="J63" s="47">
        <f t="shared" si="15"/>
        <v>6.2187661159903651E-2</v>
      </c>
      <c r="K63" s="47">
        <v>0.08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2"/>
        <v>0.36221493246354636</v>
      </c>
      <c r="H64" s="55">
        <f t="shared" si="13"/>
        <v>0.36221493246354636</v>
      </c>
      <c r="I64" s="47">
        <f t="shared" si="14"/>
        <v>0.37147662164236422</v>
      </c>
      <c r="J64" s="47">
        <f t="shared" si="15"/>
        <v>0.38073831082118209</v>
      </c>
      <c r="K64" s="47">
        <f>1-K59-K60-K61-K62-K63-K65</f>
        <v>0.38999999999999996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2"/>
        <v>0.10678866884969246</v>
      </c>
      <c r="H65" s="55">
        <f t="shared" si="13"/>
        <v>0.10678866884969246</v>
      </c>
      <c r="I65" s="47">
        <f t="shared" si="14"/>
        <v>0.13785911256646163</v>
      </c>
      <c r="J65" s="47">
        <f t="shared" si="15"/>
        <v>0.16892955628323084</v>
      </c>
      <c r="K65" s="125">
        <v>0.2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6">SUM(G59:G65)</f>
        <v>1</v>
      </c>
      <c r="H66" s="164">
        <v>1</v>
      </c>
      <c r="I66" s="47">
        <f t="shared" ref="I66:J66" si="17">SUM(I59:I65)</f>
        <v>1</v>
      </c>
      <c r="J66" s="47">
        <f t="shared" si="17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-5.600403898064428E-2</v>
      </c>
      <c r="J69" s="157">
        <f t="shared" ref="J69:K69" si="18">(I$97*(J59-I59)+I$98*(J60-I60)+I$99*(J61-I61)+I$100*(J62-I62)+I$101*(J63-I63)+I$102*(J64-I64)+I$103*(J65-I65))/(I$97*I59+I$98*I60+I$99*I61+I$100*I62+I$101*I63+I$102*I64+I$103*I65)</f>
        <v>-6.0074350332620909E-2</v>
      </c>
      <c r="K69" s="157">
        <f t="shared" si="18"/>
        <v>-6.4683114601292141E-2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32" t="s">
        <v>92</v>
      </c>
      <c r="G72" s="131" t="s">
        <v>91</v>
      </c>
      <c r="H72" s="131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bord'!F10</f>
        <v>0.65</v>
      </c>
      <c r="G73" s="92">
        <f>'Tableau de bord'!F22</f>
        <v>0.45</v>
      </c>
      <c r="H73" s="92">
        <f>'Tableau de bord'!F25</f>
        <v>0.29250000000000004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130.27139624649729</v>
      </c>
      <c r="H77" s="54">
        <f>'Init. énergie'!D12</f>
        <v>127.68929254901445</v>
      </c>
      <c r="I77" s="81">
        <f>G77*60%/(1+I$55)</f>
        <v>82.79997052476341</v>
      </c>
      <c r="J77" s="81">
        <f>G77*50%/(1+I$55)/(1+J$55)</f>
        <v>73.351678665843863</v>
      </c>
      <c r="K77" s="81">
        <f>G77*40%/(1+I$55)/(1+J$55)/(1+K$55)</f>
        <v>62.631391105202049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19">H78/0.998^10</f>
        <v>146.94458739322729</v>
      </c>
      <c r="H78" s="54">
        <f>'Init. énergie'!D13</f>
        <v>144.03200509684046</v>
      </c>
      <c r="I78" s="81">
        <f t="shared" ref="I78:I83" si="20">G78*60%/(1+I$55)</f>
        <v>93.397383120931181</v>
      </c>
      <c r="J78" s="81">
        <f t="shared" ref="J78:J83" si="21">G78*50%/(1+I$55)/(1+J$55)</f>
        <v>82.73982214605175</v>
      </c>
      <c r="K78" s="81">
        <f t="shared" ref="K78:K83" si="22">G78*40%/(1+I$55)/(1+J$55)/(1+K$55)</f>
        <v>70.647465130437027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19"/>
        <v>147.53923121179881</v>
      </c>
      <c r="H79" s="54">
        <f>'Init. énergie'!D14</f>
        <v>144.61486250606305</v>
      </c>
      <c r="I79" s="81">
        <f t="shared" si="20"/>
        <v>93.775336317635151</v>
      </c>
      <c r="J79" s="81">
        <f t="shared" si="21"/>
        <v>83.074647161805444</v>
      </c>
      <c r="K79" s="81">
        <f t="shared" si="22"/>
        <v>70.933355745279059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19"/>
        <v>118.71912012768229</v>
      </c>
      <c r="H80" s="54">
        <f>'Init. énergie'!D15</f>
        <v>116.3659935943368</v>
      </c>
      <c r="I80" s="81">
        <f t="shared" si="20"/>
        <v>75.457390728336847</v>
      </c>
      <c r="J80" s="81">
        <f t="shared" si="21"/>
        <v>66.846959516883302</v>
      </c>
      <c r="K80" s="81">
        <f t="shared" si="22"/>
        <v>57.077331314641981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19"/>
        <v>59.891324892441268</v>
      </c>
      <c r="H81" s="54">
        <f>'Init. énergie'!D16</f>
        <v>58.704221538153881</v>
      </c>
      <c r="I81" s="81">
        <f t="shared" si="20"/>
        <v>38.06668293014863</v>
      </c>
      <c r="J81" s="81">
        <f t="shared" si="21"/>
        <v>33.722899615425973</v>
      </c>
      <c r="K81" s="81">
        <f t="shared" si="22"/>
        <v>28.794325548253813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19"/>
        <v>47.075312967432488</v>
      </c>
      <c r="H82" s="54">
        <f>'Init. énergie'!D17</f>
        <v>46.142235229911599</v>
      </c>
      <c r="I82" s="81">
        <f t="shared" si="20"/>
        <v>29.920877786340817</v>
      </c>
      <c r="J82" s="81">
        <f t="shared" si="21"/>
        <v>26.506611039520394</v>
      </c>
      <c r="K82" s="81">
        <f t="shared" si="22"/>
        <v>22.632691617768163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19"/>
        <v>46.860271078570904</v>
      </c>
      <c r="H83" s="54">
        <f>'Init. énergie'!D18</f>
        <v>45.931455677006653</v>
      </c>
      <c r="I83" s="81">
        <f t="shared" si="20"/>
        <v>29.784198034896093</v>
      </c>
      <c r="J83" s="81">
        <f t="shared" si="21"/>
        <v>26.385527793420657</v>
      </c>
      <c r="K83" s="81">
        <f t="shared" si="22"/>
        <v>22.529304588586356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3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3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3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3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3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3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130.27139624649729</v>
      </c>
      <c r="H97" s="54">
        <f>H77</f>
        <v>127.68929254901445</v>
      </c>
      <c r="I97" s="81">
        <f>$H97*(1+$G87)^(I$96-$H$96)</f>
        <v>113.8058424435695</v>
      </c>
      <c r="J97" s="81">
        <f>$H97*(1+$G87)^(J$96-$H$96)</f>
        <v>101.4319173968243</v>
      </c>
      <c r="K97" s="81">
        <f>$H97*(1+$G87)^(K$96-$H$96)</f>
        <v>90.403389192410728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4">G78</f>
        <v>146.94458739322729</v>
      </c>
      <c r="H98" s="54">
        <f t="shared" si="24"/>
        <v>144.03200509684046</v>
      </c>
      <c r="I98" s="81">
        <f t="shared" ref="I98:K103" si="25">$H98*(1+$G88)^(I$96-$H$96)</f>
        <v>129.60674879389148</v>
      </c>
      <c r="J98" s="81">
        <f t="shared" si="25"/>
        <v>116.62622707799389</v>
      </c>
      <c r="K98" s="81">
        <f t="shared" si="25"/>
        <v>104.94574525650673</v>
      </c>
      <c r="L98" s="67"/>
      <c r="M98" s="79">
        <f t="shared" ref="M98:M103" si="26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4"/>
        <v>147.53923121179881</v>
      </c>
      <c r="H99" s="54">
        <f t="shared" si="24"/>
        <v>144.61486250606305</v>
      </c>
      <c r="I99" s="81">
        <f t="shared" si="25"/>
        <v>134.05265149509705</v>
      </c>
      <c r="J99" s="81">
        <f t="shared" si="25"/>
        <v>124.26187088559131</v>
      </c>
      <c r="K99" s="81">
        <f t="shared" si="25"/>
        <v>115.1861778470836</v>
      </c>
      <c r="L99" s="67"/>
      <c r="M99" s="79">
        <f t="shared" si="26"/>
        <v>-0.22371872990135291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4"/>
        <v>118.71912012768229</v>
      </c>
      <c r="H100" s="54">
        <f t="shared" si="24"/>
        <v>116.3659935943368</v>
      </c>
      <c r="I100" s="81">
        <f t="shared" si="25"/>
        <v>107.86699039684336</v>
      </c>
      <c r="J100" s="81">
        <f t="shared" si="25"/>
        <v>99.98872744415732</v>
      </c>
      <c r="K100" s="81">
        <f t="shared" si="25"/>
        <v>92.685867837048292</v>
      </c>
      <c r="L100" s="67"/>
      <c r="M100" s="79">
        <f t="shared" si="26"/>
        <v>-0.22371872990135289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4"/>
        <v>59.891324892441268</v>
      </c>
      <c r="H101" s="54">
        <f t="shared" si="24"/>
        <v>58.704221538153881</v>
      </c>
      <c r="I101" s="81">
        <f t="shared" si="25"/>
        <v>54.41665133703102</v>
      </c>
      <c r="J101" s="81">
        <f>$H101*(1+$G91)^(J$96-$H$96)</f>
        <v>50.442231668321035</v>
      </c>
      <c r="K101" s="81">
        <f>$H101*(1+$G91)^(K$96-$H$96)</f>
        <v>46.758091010077834</v>
      </c>
      <c r="L101" s="67"/>
      <c r="M101" s="79">
        <f t="shared" si="26"/>
        <v>-0.22371872990135294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4"/>
        <v>47.075312967432488</v>
      </c>
      <c r="H102" s="54">
        <f t="shared" si="24"/>
        <v>46.142235229911599</v>
      </c>
      <c r="I102" s="81">
        <f t="shared" si="25"/>
        <v>39.857662082724318</v>
      </c>
      <c r="J102" s="81">
        <f t="shared" si="25"/>
        <v>34.429047894732498</v>
      </c>
      <c r="K102" s="81">
        <f t="shared" si="25"/>
        <v>29.739811042543813</v>
      </c>
      <c r="L102" s="67"/>
      <c r="M102" s="79">
        <f t="shared" si="26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4"/>
        <v>46.860271078570904</v>
      </c>
      <c r="H103" s="54">
        <f t="shared" si="24"/>
        <v>45.931455677006653</v>
      </c>
      <c r="I103" s="81">
        <f t="shared" si="25"/>
        <v>39.675590708163185</v>
      </c>
      <c r="J103" s="81">
        <f t="shared" si="25"/>
        <v>34.271774644183715</v>
      </c>
      <c r="K103" s="81">
        <f t="shared" si="25"/>
        <v>29.603958411135931</v>
      </c>
      <c r="L103" s="67"/>
      <c r="M103" s="79">
        <f t="shared" si="26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204.34419140458934</v>
      </c>
      <c r="H107" s="54">
        <f>H$36*H45*$H$73*H77/1000</f>
        <v>200.29389404547803</v>
      </c>
      <c r="I107" s="127">
        <f>I$36*I45*$H$73*I77/1000</f>
        <v>110.51169849476858</v>
      </c>
      <c r="J107" s="127">
        <f>J$36*J45*$H$73*J77/1000</f>
        <v>85.306339824877924</v>
      </c>
      <c r="K107" s="127">
        <f>K$36*K45*$H$73*K77/1000</f>
        <v>60.914621573047533</v>
      </c>
      <c r="L107" s="46"/>
      <c r="M107" s="79">
        <f>(K107-G107)/H107</f>
        <v>-0.71609556804050756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7">G$36*G46*$H$73*G78/1000</f>
        <v>998.19444134284026</v>
      </c>
      <c r="H108" s="54">
        <f t="shared" si="27"/>
        <v>978.40927259465889</v>
      </c>
      <c r="I108" s="127">
        <f t="shared" si="27"/>
        <v>529.98320408391032</v>
      </c>
      <c r="J108" s="127">
        <f t="shared" si="27"/>
        <v>398.99531109394468</v>
      </c>
      <c r="K108" s="127">
        <f t="shared" si="27"/>
        <v>274.84387797084742</v>
      </c>
      <c r="L108" s="46"/>
      <c r="M108" s="79">
        <f t="shared" ref="M108:M114" si="28">(K108-G108)/H108</f>
        <v>-0.7393128659274949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7"/>
        <v>192.1957745952308</v>
      </c>
      <c r="H109" s="54">
        <f t="shared" si="27"/>
        <v>188.38627047904026</v>
      </c>
      <c r="I109" s="127">
        <f t="shared" si="27"/>
        <v>120.98228349732818</v>
      </c>
      <c r="J109" s="127">
        <f t="shared" si="27"/>
        <v>110.87593776999498</v>
      </c>
      <c r="K109" s="127">
        <f t="shared" si="27"/>
        <v>96.58463310867775</v>
      </c>
      <c r="L109" s="46"/>
      <c r="M109" s="79">
        <f t="shared" si="28"/>
        <v>-0.50752712097026564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7"/>
        <v>33.108881673599392</v>
      </c>
      <c r="H110" s="54">
        <f t="shared" si="27"/>
        <v>32.45263196528154</v>
      </c>
      <c r="I110" s="127">
        <f t="shared" si="27"/>
        <v>18.440355692603184</v>
      </c>
      <c r="J110" s="127">
        <f t="shared" si="27"/>
        <v>14.783205761628288</v>
      </c>
      <c r="K110" s="127">
        <f t="shared" si="27"/>
        <v>11.102560476713062</v>
      </c>
      <c r="L110" s="46"/>
      <c r="M110" s="79">
        <f t="shared" si="28"/>
        <v>-0.67810589971343838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7"/>
        <v>31.358946649039435</v>
      </c>
      <c r="H111" s="54">
        <f t="shared" si="27"/>
        <v>30.737382326980292</v>
      </c>
      <c r="I111" s="127">
        <f t="shared" si="27"/>
        <v>32.338205954687993</v>
      </c>
      <c r="J111" s="127">
        <f t="shared" si="27"/>
        <v>40.744474743338479</v>
      </c>
      <c r="K111" s="127">
        <f t="shared" si="27"/>
        <v>44.80808523066208</v>
      </c>
      <c r="L111" s="46"/>
      <c r="M111" s="79">
        <f t="shared" si="28"/>
        <v>0.4375499005918087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7"/>
        <v>336.10909144881668</v>
      </c>
      <c r="H112" s="54">
        <f t="shared" si="27"/>
        <v>329.44708771819404</v>
      </c>
      <c r="I112" s="127">
        <f t="shared" si="27"/>
        <v>212.78214609287144</v>
      </c>
      <c r="J112" s="127">
        <f t="shared" si="27"/>
        <v>196.074164998208</v>
      </c>
      <c r="K112" s="127">
        <f t="shared" si="27"/>
        <v>171.69604892742549</v>
      </c>
      <c r="L112" s="46"/>
      <c r="M112" s="79">
        <f t="shared" si="28"/>
        <v>-0.49905750771738061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7"/>
        <v>98.639454792075838</v>
      </c>
      <c r="H113" s="54">
        <f t="shared" si="27"/>
        <v>96.684326434854754</v>
      </c>
      <c r="I113" s="127">
        <f t="shared" si="27"/>
        <v>78.605105816206461</v>
      </c>
      <c r="J113" s="127">
        <f t="shared" si="27"/>
        <v>86.598629173351227</v>
      </c>
      <c r="K113" s="127">
        <f t="shared" si="27"/>
        <v>87.647043381967933</v>
      </c>
      <c r="L113" s="46"/>
      <c r="M113" s="79">
        <f t="shared" si="28"/>
        <v>-0.1136938303801963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1893.9507819061919</v>
      </c>
      <c r="H114" s="161">
        <f>SUM(H107:H113)</f>
        <v>1856.4108655644877</v>
      </c>
      <c r="I114" s="159">
        <f t="shared" ref="I114:J114" si="29">SUM(I107:I113)</f>
        <v>1103.6429996323761</v>
      </c>
      <c r="J114" s="159">
        <f t="shared" si="29"/>
        <v>933.37806336534356</v>
      </c>
      <c r="K114" s="159">
        <f>SUM(K107:K113)</f>
        <v>747.59687066934123</v>
      </c>
      <c r="L114" s="21"/>
      <c r="M114" s="79">
        <f t="shared" si="28"/>
        <v>-0.61751088215499828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494.26842878204087</v>
      </c>
      <c r="H118" s="162">
        <f>H$36*H45*(1-$H$73)*H97/1000</f>
        <v>484.47155568265197</v>
      </c>
      <c r="I118" s="158">
        <f t="shared" ref="I118:K118" si="30">I$36*I45*(1-$H$73)*I97/1000</f>
        <v>367.40342737606574</v>
      </c>
      <c r="J118" s="158">
        <f t="shared" si="30"/>
        <v>285.32935860913085</v>
      </c>
      <c r="K118" s="158">
        <f t="shared" si="30"/>
        <v>212.67418575008415</v>
      </c>
      <c r="L118" s="46"/>
      <c r="M118" s="79">
        <f>(K118-G118)/H118</f>
        <v>-0.58123999175797236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1">G$36*G46*(1-$H$73)*G98/1000</f>
        <v>2414.4361273506306</v>
      </c>
      <c r="H119" s="162">
        <f t="shared" si="31"/>
        <v>2366.5796935409271</v>
      </c>
      <c r="I119" s="158">
        <f t="shared" si="31"/>
        <v>1778.9166033957388</v>
      </c>
      <c r="J119" s="158">
        <f t="shared" si="31"/>
        <v>1360.3479576575137</v>
      </c>
      <c r="K119" s="158">
        <f t="shared" si="31"/>
        <v>987.5404504076713</v>
      </c>
      <c r="L119" s="46"/>
      <c r="M119" s="79">
        <f t="shared" ref="M119:M125" si="32">(K119-G119)/H119</f>
        <v>-0.60293582372795884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1"/>
        <v>464.88379667051549</v>
      </c>
      <c r="H120" s="162">
        <f t="shared" si="31"/>
        <v>455.66935509032811</v>
      </c>
      <c r="I120" s="158">
        <f t="shared" si="31"/>
        <v>418.32048209492353</v>
      </c>
      <c r="J120" s="158">
        <f t="shared" si="31"/>
        <v>401.15043038428831</v>
      </c>
      <c r="K120" s="158">
        <f t="shared" si="31"/>
        <v>379.36605610676764</v>
      </c>
      <c r="L120" s="46"/>
      <c r="M120" s="79">
        <f t="shared" si="32"/>
        <v>-0.18767498759444889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1"/>
        <v>80.083876184860046</v>
      </c>
      <c r="H121" s="162">
        <f t="shared" si="31"/>
        <v>78.496537146792093</v>
      </c>
      <c r="I121" s="158">
        <f t="shared" si="31"/>
        <v>63.761224043204557</v>
      </c>
      <c r="J121" s="158">
        <f t="shared" si="31"/>
        <v>53.485810113630627</v>
      </c>
      <c r="K121" s="158">
        <f t="shared" si="31"/>
        <v>43.608744426229876</v>
      </c>
      <c r="L121" s="46"/>
      <c r="M121" s="79">
        <f t="shared" si="32"/>
        <v>-0.4646718579498611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1"/>
        <v>75.851127364770591</v>
      </c>
      <c r="H122" s="162">
        <f t="shared" si="31"/>
        <v>74.347685457567707</v>
      </c>
      <c r="I122" s="158">
        <f t="shared" si="31"/>
        <v>111.8158255406773</v>
      </c>
      <c r="J122" s="158">
        <f t="shared" si="31"/>
        <v>147.41398276132688</v>
      </c>
      <c r="K122" s="158">
        <f t="shared" si="31"/>
        <v>175.99763056018597</v>
      </c>
      <c r="L122" s="46"/>
      <c r="M122" s="79">
        <f t="shared" si="32"/>
        <v>1.3470022984450776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1"/>
        <v>812.9818194873086</v>
      </c>
      <c r="H123" s="162">
        <f t="shared" si="31"/>
        <v>796.86774208759755</v>
      </c>
      <c r="I123" s="158">
        <f t="shared" si="31"/>
        <v>685.60385237097341</v>
      </c>
      <c r="J123" s="158">
        <f t="shared" si="31"/>
        <v>616.01566406599807</v>
      </c>
      <c r="K123" s="158">
        <f t="shared" si="31"/>
        <v>545.71120843829613</v>
      </c>
      <c r="L123" s="46"/>
      <c r="M123" s="79">
        <f t="shared" si="32"/>
        <v>-0.33540146869144083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1"/>
        <v>238.58945047997827</v>
      </c>
      <c r="H124" s="162">
        <f t="shared" si="31"/>
        <v>233.86037932533242</v>
      </c>
      <c r="I124" s="158">
        <f t="shared" si="31"/>
        <v>253.2729571215873</v>
      </c>
      <c r="J124" s="158">
        <f t="shared" si="31"/>
        <v>272.07109135420581</v>
      </c>
      <c r="K124" s="158">
        <f t="shared" si="31"/>
        <v>278.5735272233016</v>
      </c>
      <c r="L124" s="46"/>
      <c r="M124" s="79">
        <f t="shared" si="32"/>
        <v>0.17097413789661181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4581.094626320104</v>
      </c>
      <c r="H125" s="163">
        <f>SUM(H118:H124)</f>
        <v>4490.2929483311973</v>
      </c>
      <c r="I125" s="160">
        <f t="shared" ref="I125:K125" si="33">SUM(I118:I124)</f>
        <v>3679.0943719431707</v>
      </c>
      <c r="J125" s="160">
        <f t="shared" si="33"/>
        <v>3135.8142949460939</v>
      </c>
      <c r="K125" s="160">
        <f t="shared" si="33"/>
        <v>2623.4718029125365</v>
      </c>
      <c r="L125" s="21"/>
      <c r="M125" s="79">
        <f t="shared" si="32"/>
        <v>-0.43596772993065219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684.76544972812997</v>
      </c>
      <c r="I129" s="158">
        <f t="shared" ref="I129:K129" si="34">I107+I118</f>
        <v>477.91512587083434</v>
      </c>
      <c r="J129" s="158">
        <f t="shared" si="34"/>
        <v>370.63569843400876</v>
      </c>
      <c r="K129" s="158">
        <f t="shared" si="34"/>
        <v>273.58880732313168</v>
      </c>
      <c r="L129" s="46"/>
      <c r="M129" s="79">
        <f>(K129-G129)/H129</f>
        <v>0.39953652368377185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5">H108+H119</f>
        <v>3344.988966135586</v>
      </c>
      <c r="I130" s="158">
        <f t="shared" si="35"/>
        <v>2308.8998074796491</v>
      </c>
      <c r="J130" s="158">
        <f t="shared" si="35"/>
        <v>1759.3432687514583</v>
      </c>
      <c r="K130" s="158">
        <f t="shared" si="35"/>
        <v>1262.3843283785186</v>
      </c>
      <c r="L130" s="46"/>
      <c r="M130" s="79">
        <f t="shared" ref="M130:M136" si="36">(K130-G130)/H130</f>
        <v>0.37739566293306243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5"/>
        <v>644.05562556936843</v>
      </c>
      <c r="I131" s="158">
        <f t="shared" si="35"/>
        <v>539.30276559225172</v>
      </c>
      <c r="J131" s="158">
        <f t="shared" si="35"/>
        <v>512.02636815428332</v>
      </c>
      <c r="K131" s="158">
        <f t="shared" si="35"/>
        <v>475.95068921544538</v>
      </c>
      <c r="L131" s="46"/>
      <c r="M131" s="79">
        <f t="shared" si="36"/>
        <v>0.73899003489751025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5"/>
        <v>110.94916911207363</v>
      </c>
      <c r="I132" s="158">
        <f t="shared" si="35"/>
        <v>82.201579735807741</v>
      </c>
      <c r="J132" s="158">
        <f t="shared" si="35"/>
        <v>68.269015875258916</v>
      </c>
      <c r="K132" s="158">
        <f t="shared" si="35"/>
        <v>54.711304902942942</v>
      </c>
      <c r="L132" s="46"/>
      <c r="M132" s="79">
        <f t="shared" si="36"/>
        <v>0.49312045633867829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5"/>
        <v>105.085067784548</v>
      </c>
      <c r="I133" s="158">
        <f t="shared" si="35"/>
        <v>144.1540314953653</v>
      </c>
      <c r="J133" s="158">
        <f t="shared" si="35"/>
        <v>188.15845750466536</v>
      </c>
      <c r="K133" s="158">
        <f t="shared" si="35"/>
        <v>220.80571579084804</v>
      </c>
      <c r="L133" s="46"/>
      <c r="M133" s="79">
        <f t="shared" si="36"/>
        <v>2.1012092435773821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5"/>
        <v>1126.3148298057915</v>
      </c>
      <c r="I134" s="158">
        <f t="shared" si="35"/>
        <v>898.38599846384489</v>
      </c>
      <c r="J134" s="158">
        <f t="shared" si="35"/>
        <v>812.08982906420601</v>
      </c>
      <c r="K134" s="158">
        <f t="shared" si="35"/>
        <v>717.40725736572165</v>
      </c>
      <c r="L134" s="46"/>
      <c r="M134" s="79">
        <f t="shared" si="36"/>
        <v>0.63695091139785753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5"/>
        <v>330.54470576018718</v>
      </c>
      <c r="I135" s="158">
        <f t="shared" si="35"/>
        <v>331.87806293779374</v>
      </c>
      <c r="J135" s="158">
        <f t="shared" si="35"/>
        <v>358.66972052755705</v>
      </c>
      <c r="K135" s="158">
        <f t="shared" si="35"/>
        <v>366.22057060526953</v>
      </c>
      <c r="L135" s="46"/>
      <c r="M135" s="79">
        <f t="shared" si="36"/>
        <v>1.1079305286800312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6346.703813895685</v>
      </c>
      <c r="I136" s="160">
        <f t="shared" ref="I136:K136" si="37">SUM(I129:I135)</f>
        <v>4782.7373715755466</v>
      </c>
      <c r="J136" s="160">
        <f t="shared" si="37"/>
        <v>4069.1923583114376</v>
      </c>
      <c r="K136" s="160">
        <f t="shared" si="37"/>
        <v>3371.0686735818781</v>
      </c>
      <c r="L136" s="21"/>
      <c r="M136" s="79">
        <f t="shared" si="36"/>
        <v>0.53115266954811224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énergie'!C12</f>
        <v>0</v>
      </c>
      <c r="I142" s="47">
        <f>H142</f>
        <v>0</v>
      </c>
      <c r="J142" s="47">
        <f>I142</f>
        <v>0</v>
      </c>
      <c r="K142" s="47">
        <f>J142</f>
        <v>0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énergie'!C13</f>
        <v>0.38923402073260943</v>
      </c>
      <c r="I143" s="47">
        <f t="shared" ref="I143:K143" si="38">H143</f>
        <v>0.38923402073260943</v>
      </c>
      <c r="J143" s="47">
        <f t="shared" si="38"/>
        <v>0.38923402073260943</v>
      </c>
      <c r="K143" s="47">
        <f t="shared" si="38"/>
        <v>0.38923402073260943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énergie'!C14</f>
        <v>6.6076657693018501E-2</v>
      </c>
      <c r="I144" s="47">
        <f t="shared" ref="I144:K144" si="39">H144</f>
        <v>6.6076657693018501E-2</v>
      </c>
      <c r="J144" s="47">
        <f t="shared" si="39"/>
        <v>6.6076657693018501E-2</v>
      </c>
      <c r="K144" s="47">
        <f t="shared" si="39"/>
        <v>6.6076657693018501E-2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énergie'!C15</f>
        <v>1.4740928196769911E-2</v>
      </c>
      <c r="I145" s="47">
        <f t="shared" ref="I145:K145" si="40">H145</f>
        <v>1.4740928196769911E-2</v>
      </c>
      <c r="J145" s="47">
        <f t="shared" si="40"/>
        <v>1.4740928196769911E-2</v>
      </c>
      <c r="K145" s="47">
        <f t="shared" si="40"/>
        <v>1.4740928196769911E-2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énergie'!C16</f>
        <v>2.5736644706610589E-2</v>
      </c>
      <c r="I146" s="47">
        <f t="shared" ref="I146:K146" si="41">H146</f>
        <v>2.5736644706610589E-2</v>
      </c>
      <c r="J146" s="47">
        <f t="shared" si="41"/>
        <v>2.5736644706610589E-2</v>
      </c>
      <c r="K146" s="47">
        <f t="shared" si="41"/>
        <v>2.5736644706610589E-2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énergie'!C17</f>
        <v>8.0042733231366181E-2</v>
      </c>
      <c r="I147" s="47">
        <f t="shared" ref="I147:K147" si="42">H147</f>
        <v>8.0042733231366181E-2</v>
      </c>
      <c r="J147" s="47">
        <f t="shared" si="42"/>
        <v>8.0042733231366181E-2</v>
      </c>
      <c r="K147" s="47">
        <f t="shared" si="42"/>
        <v>8.0042733231366181E-2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énergie'!C18</f>
        <v>0.42416901543962537</v>
      </c>
      <c r="I148" s="47">
        <f t="shared" ref="I148:K148" si="43">H148</f>
        <v>0.42416901543962537</v>
      </c>
      <c r="J148" s="47">
        <f t="shared" si="43"/>
        <v>0.42416901543962537</v>
      </c>
      <c r="K148" s="47">
        <f t="shared" si="43"/>
        <v>0.42416901543962537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4">SUM(I142:I148)</f>
        <v>1</v>
      </c>
      <c r="J149" s="15">
        <f t="shared" si="44"/>
        <v>1</v>
      </c>
      <c r="K149" s="15">
        <f t="shared" si="44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62.631391105202049</v>
      </c>
      <c r="J153" s="45">
        <f>K153</f>
        <v>62.631391105202049</v>
      </c>
      <c r="K153" s="45">
        <f t="shared" ref="K153:K159" si="45">K77</f>
        <v>62.631391105202049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6">J154</f>
        <v>70.647465130437027</v>
      </c>
      <c r="J154" s="45">
        <f t="shared" si="46"/>
        <v>70.647465130437027</v>
      </c>
      <c r="K154" s="45">
        <f t="shared" si="45"/>
        <v>70.647465130437027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6"/>
        <v>70.933355745279059</v>
      </c>
      <c r="J155" s="45">
        <f t="shared" si="46"/>
        <v>70.933355745279059</v>
      </c>
      <c r="K155" s="45">
        <f t="shared" si="45"/>
        <v>70.933355745279059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6"/>
        <v>57.077331314641981</v>
      </c>
      <c r="J156" s="45">
        <f t="shared" si="46"/>
        <v>57.077331314641981</v>
      </c>
      <c r="K156" s="45">
        <f t="shared" si="45"/>
        <v>57.077331314641981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6"/>
        <v>28.794325548253813</v>
      </c>
      <c r="J157" s="45">
        <f t="shared" si="46"/>
        <v>28.794325548253813</v>
      </c>
      <c r="K157" s="45">
        <f t="shared" si="45"/>
        <v>28.794325548253813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6"/>
        <v>22.632691617768163</v>
      </c>
      <c r="J158" s="45">
        <f t="shared" si="46"/>
        <v>22.632691617768163</v>
      </c>
      <c r="K158" s="45">
        <f t="shared" si="45"/>
        <v>22.632691617768163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6"/>
        <v>22.529304588586356</v>
      </c>
      <c r="J159" s="45">
        <f t="shared" si="46"/>
        <v>22.529304588586356</v>
      </c>
      <c r="K159" s="45">
        <f t="shared" si="45"/>
        <v>22.529304588586356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7">I$35*I142*I153/1000</f>
        <v>0</v>
      </c>
      <c r="J163" s="10">
        <f t="shared" si="47"/>
        <v>0</v>
      </c>
      <c r="K163" s="10">
        <f t="shared" si="47"/>
        <v>0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8">H$35*H143*H154/1000</f>
        <v>0</v>
      </c>
      <c r="I164" s="10">
        <f t="shared" si="48"/>
        <v>80.92466883995229</v>
      </c>
      <c r="J164" s="10">
        <f t="shared" si="48"/>
        <v>77.06576207997125</v>
      </c>
      <c r="K164" s="10">
        <f t="shared" si="48"/>
        <v>54.822865870565735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8"/>
        <v>0</v>
      </c>
      <c r="I165" s="10">
        <f t="shared" si="48"/>
        <v>13.793425325235768</v>
      </c>
      <c r="J165" s="10">
        <f t="shared" si="48"/>
        <v>13.135683464887643</v>
      </c>
      <c r="K165" s="10">
        <f t="shared" si="48"/>
        <v>9.3444325116315277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8"/>
        <v>0</v>
      </c>
      <c r="I166" s="10">
        <f t="shared" si="48"/>
        <v>2.4760650188323101</v>
      </c>
      <c r="J166" s="10">
        <f t="shared" si="48"/>
        <v>2.3579934323025995</v>
      </c>
      <c r="K166" s="10">
        <f t="shared" si="48"/>
        <v>1.6774239840599341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8"/>
        <v>0</v>
      </c>
      <c r="I167" s="10">
        <f t="shared" si="48"/>
        <v>2.1808831261157149</v>
      </c>
      <c r="J167" s="10">
        <f t="shared" si="48"/>
        <v>2.0768873389381262</v>
      </c>
      <c r="K167" s="10">
        <f t="shared" si="48"/>
        <v>1.4774513731886214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8"/>
        <v>0</v>
      </c>
      <c r="I168" s="10">
        <f t="shared" si="48"/>
        <v>5.3312821899471441</v>
      </c>
      <c r="J168" s="10">
        <f t="shared" si="48"/>
        <v>5.0770590812577359</v>
      </c>
      <c r="K168" s="10">
        <f t="shared" si="48"/>
        <v>3.6117066971958041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8"/>
        <v>0</v>
      </c>
      <c r="I169" s="10">
        <f t="shared" si="48"/>
        <v>28.12291164136418</v>
      </c>
      <c r="J169" s="10">
        <f t="shared" si="48"/>
        <v>26.781865760066335</v>
      </c>
      <c r="K169" s="10">
        <f t="shared" si="48"/>
        <v>19.052022515575725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9">SUM(I163:I169)</f>
        <v>132.82923614144741</v>
      </c>
      <c r="J170" s="11">
        <f t="shared" si="49"/>
        <v>126.4952511574237</v>
      </c>
      <c r="K170" s="11">
        <f t="shared" si="49"/>
        <v>89.98590295221733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GB1589"/>
  <sheetViews>
    <sheetView showGridLines="0" topLeftCell="A117" zoomScaleNormal="100" workbookViewId="0">
      <selection activeCell="M164" sqref="M164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215959</v>
      </c>
      <c r="I7" s="10">
        <f t="shared" si="0"/>
        <v>214926.68264629776</v>
      </c>
      <c r="J7" s="10">
        <f t="shared" si="0"/>
        <v>213221.04959260757</v>
      </c>
      <c r="K7" s="10">
        <f t="shared" si="0"/>
        <v>206669.62872520174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10020.497600000001</v>
      </c>
      <c r="J8" s="76">
        <f t="shared" si="0"/>
        <v>9972.5980747882168</v>
      </c>
      <c r="K8" s="76">
        <f t="shared" si="0"/>
        <v>9893.4567010969913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215959</v>
      </c>
      <c r="I9" s="96">
        <f t="shared" si="1"/>
        <v>204906.18504629776</v>
      </c>
      <c r="J9" s="96">
        <f t="shared" si="1"/>
        <v>203248.45151781934</v>
      </c>
      <c r="K9" s="96">
        <f t="shared" si="1"/>
        <v>196776.17202410474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3624.4323503592609</v>
      </c>
      <c r="I13" s="86">
        <f t="shared" ref="I13:K13" si="2">I129+I163</f>
        <v>2156.4877368786329</v>
      </c>
      <c r="J13" s="86">
        <f t="shared" si="2"/>
        <v>1288.9272440805923</v>
      </c>
      <c r="K13" s="86">
        <f t="shared" si="2"/>
        <v>581.00246910683779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8287.8230883102497</v>
      </c>
      <c r="I14" s="86">
        <f t="shared" si="3"/>
        <v>6153.1694975526843</v>
      </c>
      <c r="J14" s="86">
        <f t="shared" si="3"/>
        <v>5006.7084921072119</v>
      </c>
      <c r="K14" s="86">
        <f t="shared" si="3"/>
        <v>3922.836696454026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467.84860691760434</v>
      </c>
      <c r="I15" s="86">
        <f t="shared" si="3"/>
        <v>414.09378537947174</v>
      </c>
      <c r="J15" s="86">
        <f t="shared" si="3"/>
        <v>400.01311867559497</v>
      </c>
      <c r="K15" s="86">
        <f t="shared" si="3"/>
        <v>373.99198562086804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160.53332984064485</v>
      </c>
      <c r="I16" s="86">
        <f t="shared" si="3"/>
        <v>137.27683923298457</v>
      </c>
      <c r="J16" s="86">
        <f t="shared" si="3"/>
        <v>128.854036379397</v>
      </c>
      <c r="K16" s="86">
        <f t="shared" si="3"/>
        <v>117.3520780502875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103.23138425216302</v>
      </c>
      <c r="I17" s="86">
        <f t="shared" si="3"/>
        <v>77.849087283310581</v>
      </c>
      <c r="J17" s="86">
        <f t="shared" si="3"/>
        <v>63.872194441213843</v>
      </c>
      <c r="K17" s="86">
        <f t="shared" si="3"/>
        <v>50.337196399193544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3378.6340135212163</v>
      </c>
      <c r="I18" s="86">
        <f t="shared" si="3"/>
        <v>3111.2646537067244</v>
      </c>
      <c r="J18" s="86">
        <f t="shared" si="3"/>
        <v>3041.9134010236116</v>
      </c>
      <c r="K18" s="86">
        <f t="shared" si="3"/>
        <v>2842.0449180024248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961.63435268409216</v>
      </c>
      <c r="I19" s="86">
        <f t="shared" si="3"/>
        <v>1069.0762724489668</v>
      </c>
      <c r="J19" s="86">
        <f t="shared" si="3"/>
        <v>1148.5702150249494</v>
      </c>
      <c r="K19" s="86">
        <f t="shared" si="3"/>
        <v>1149.9450195108213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16984.13712588523</v>
      </c>
      <c r="I20" s="13">
        <f t="shared" ref="I20:K20" si="4">SUM(I13:I19)</f>
        <v>13119.217872482775</v>
      </c>
      <c r="J20" s="13">
        <f t="shared" si="4"/>
        <v>11078.858701732572</v>
      </c>
      <c r="K20" s="13">
        <f t="shared" si="4"/>
        <v>9037.5103631444599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-0.43070809261119625</v>
      </c>
      <c r="J23" s="193">
        <f t="shared" ref="J23:K23" si="5">J114/$G114-1</f>
        <v>-0.52942815183016378</v>
      </c>
      <c r="K23" s="193">
        <f t="shared" si="5"/>
        <v>-0.63553049972614295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-0.20407554088647373</v>
      </c>
      <c r="J24" s="193">
        <f t="shared" ref="J24:K24" si="6">J125/$G125-1</f>
        <v>-0.32797743750658659</v>
      </c>
      <c r="K24" s="193">
        <f t="shared" si="6"/>
        <v>-0.44945547265847041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215959</v>
      </c>
      <c r="H34" s="127">
        <f>'Init. parc'!C6</f>
        <v>215959</v>
      </c>
      <c r="I34" s="127">
        <f>'Init. parc'!D6</f>
        <v>214926.68264629776</v>
      </c>
      <c r="J34" s="127">
        <f>'Init. parc'!E6</f>
        <v>213221.04959260757</v>
      </c>
      <c r="K34" s="127">
        <f>'Init. parc'!F6</f>
        <v>206669.62872520174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parc'!N6</f>
        <v>10020.497600000001</v>
      </c>
      <c r="J35" s="127">
        <f>'Init. parc'!O6</f>
        <v>9972.5980747882168</v>
      </c>
      <c r="K35" s="127">
        <f>'Init. parc'!P6</f>
        <v>9893.4567010969913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215959</v>
      </c>
      <c r="H36" s="127">
        <f>H34-H35</f>
        <v>215959</v>
      </c>
      <c r="I36" s="127">
        <f>I34-I35</f>
        <v>204906.18504629776</v>
      </c>
      <c r="J36" s="127">
        <f>J34-J35</f>
        <v>203248.45151781934</v>
      </c>
      <c r="K36" s="127">
        <f>K34-K35</f>
        <v>196776.17202410474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0.1836452867363588</v>
      </c>
      <c r="H45" s="55">
        <f>'Init. énergie'!B21</f>
        <v>0.1836452867363588</v>
      </c>
      <c r="I45" s="47">
        <f>H45+((K45-H45)/3)</f>
        <v>0.1390968578242392</v>
      </c>
      <c r="J45" s="47">
        <f>H45+((K45-H45)/3*2)</f>
        <v>9.4548428912119606E-2</v>
      </c>
      <c r="K45" s="47">
        <v>0.05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0.39294128743187395</v>
      </c>
      <c r="H46" s="55">
        <f>'Init. énergie'!B22</f>
        <v>0.39294128743187395</v>
      </c>
      <c r="I46" s="47">
        <f t="shared" ref="I46:I51" si="8">H46+((K46-H46)/3)</f>
        <v>0.36196085828791597</v>
      </c>
      <c r="J46" s="47">
        <f t="shared" ref="J46:J51" si="9">H46+((K46-H46)/3*2)</f>
        <v>0.33098042914395798</v>
      </c>
      <c r="K46" s="47">
        <v>0.3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4.1639881083029275E-2</v>
      </c>
      <c r="H47" s="55">
        <f>'Init. énergie'!B23</f>
        <v>4.1639881083029275E-2</v>
      </c>
      <c r="I47" s="47">
        <f t="shared" si="8"/>
        <v>4.4426587388686184E-2</v>
      </c>
      <c r="J47" s="47">
        <f t="shared" si="9"/>
        <v>4.7213293694343093E-2</v>
      </c>
      <c r="K47" s="47">
        <v>0.05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1.8191868324415598E-2</v>
      </c>
      <c r="H48" s="55">
        <f>'Init. énergie'!B24</f>
        <v>1.8191868324415598E-2</v>
      </c>
      <c r="I48" s="47">
        <f t="shared" si="8"/>
        <v>1.8794578882943731E-2</v>
      </c>
      <c r="J48" s="47">
        <f t="shared" si="9"/>
        <v>1.9397289441471868E-2</v>
      </c>
      <c r="K48" s="47">
        <v>0.02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1.3815793734488184E-2</v>
      </c>
      <c r="H49" s="55">
        <f>'Init. énergie'!B25</f>
        <v>1.3815793734488184E-2</v>
      </c>
      <c r="I49" s="47">
        <f t="shared" si="8"/>
        <v>1.2543862489658789E-2</v>
      </c>
      <c r="J49" s="47">
        <f t="shared" si="9"/>
        <v>1.1271931244829395E-2</v>
      </c>
      <c r="K49" s="47">
        <v>0.01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0.26215626418619603</v>
      </c>
      <c r="H50" s="55">
        <f>'Init. énergie'!B26</f>
        <v>0.26215626418619603</v>
      </c>
      <c r="I50" s="47">
        <f t="shared" si="8"/>
        <v>0.3047708427907973</v>
      </c>
      <c r="J50" s="47">
        <f t="shared" si="9"/>
        <v>0.34738542139539857</v>
      </c>
      <c r="K50" s="47">
        <f>1-K45-K46-K47-K48-K49-K51</f>
        <v>0.38999999999999985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8.7609618503638187E-2</v>
      </c>
      <c r="H51" s="55">
        <f>'Init. énergie'!B27</f>
        <v>8.7609618503638187E-2</v>
      </c>
      <c r="I51" s="47">
        <f t="shared" si="8"/>
        <v>0.11840641233575878</v>
      </c>
      <c r="J51" s="47">
        <f t="shared" si="9"/>
        <v>0.14920320616787938</v>
      </c>
      <c r="K51" s="125">
        <v>0.18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0">SUM(G45:G51)</f>
        <v>1</v>
      </c>
      <c r="H52" s="164">
        <f t="shared" si="10"/>
        <v>1</v>
      </c>
      <c r="I52" s="170">
        <f t="shared" si="10"/>
        <v>1.0000000000000002</v>
      </c>
      <c r="J52" s="170">
        <f t="shared" si="10"/>
        <v>1</v>
      </c>
      <c r="K52" s="170">
        <f>SUM(K45:K51)</f>
        <v>0.99999999999999978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1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-3.6402748709768888E-2</v>
      </c>
      <c r="J55" s="157">
        <f t="shared" si="11"/>
        <v>-3.7777970683318757E-2</v>
      </c>
      <c r="K55" s="157">
        <f t="shared" si="11"/>
        <v>-3.926117832715454E-2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0.1836452867363588</v>
      </c>
      <c r="H59" s="55">
        <f>H45</f>
        <v>0.1836452867363588</v>
      </c>
      <c r="I59" s="47">
        <f>H59+((K59-H59)/3)</f>
        <v>0.1390968578242392</v>
      </c>
      <c r="J59" s="47">
        <f>H59+((K59-H59)/3*2)</f>
        <v>9.4548428912119606E-2</v>
      </c>
      <c r="K59" s="47">
        <v>0.05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2">H60</f>
        <v>0.39294128743187395</v>
      </c>
      <c r="H60" s="55">
        <f t="shared" ref="H60:H65" si="13">H46</f>
        <v>0.39294128743187395</v>
      </c>
      <c r="I60" s="47">
        <f t="shared" ref="I60:I65" si="14">H60+((K60-H60)/3)</f>
        <v>0.36196085828791597</v>
      </c>
      <c r="J60" s="47">
        <f t="shared" ref="J60:J65" si="15">H60+((K60-H60)/3*2)</f>
        <v>0.33098042914395798</v>
      </c>
      <c r="K60" s="47">
        <v>0.3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2"/>
        <v>4.1639881083029275E-2</v>
      </c>
      <c r="H61" s="55">
        <f t="shared" si="13"/>
        <v>4.1639881083029275E-2</v>
      </c>
      <c r="I61" s="47">
        <f t="shared" si="14"/>
        <v>4.4426587388686184E-2</v>
      </c>
      <c r="J61" s="47">
        <f t="shared" si="15"/>
        <v>4.7213293694343093E-2</v>
      </c>
      <c r="K61" s="47">
        <v>0.05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2"/>
        <v>1.8191868324415598E-2</v>
      </c>
      <c r="H62" s="55">
        <f t="shared" si="13"/>
        <v>1.8191868324415598E-2</v>
      </c>
      <c r="I62" s="47">
        <f t="shared" si="14"/>
        <v>1.8794578882943731E-2</v>
      </c>
      <c r="J62" s="47">
        <f t="shared" si="15"/>
        <v>1.9397289441471868E-2</v>
      </c>
      <c r="K62" s="47">
        <v>0.02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2"/>
        <v>1.3815793734488184E-2</v>
      </c>
      <c r="H63" s="55">
        <f t="shared" si="13"/>
        <v>1.3815793734488184E-2</v>
      </c>
      <c r="I63" s="47">
        <f t="shared" si="14"/>
        <v>1.2543862489658789E-2</v>
      </c>
      <c r="J63" s="47">
        <f t="shared" si="15"/>
        <v>1.1271931244829395E-2</v>
      </c>
      <c r="K63" s="47">
        <v>0.01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2"/>
        <v>0.26215626418619603</v>
      </c>
      <c r="H64" s="55">
        <f t="shared" si="13"/>
        <v>0.26215626418619603</v>
      </c>
      <c r="I64" s="47">
        <f t="shared" si="14"/>
        <v>0.3047708427907973</v>
      </c>
      <c r="J64" s="47">
        <f t="shared" si="15"/>
        <v>0.34738542139539857</v>
      </c>
      <c r="K64" s="47">
        <f>1-K59-K60-K61-K62-K63-K65</f>
        <v>0.38999999999999985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2"/>
        <v>8.7609618503638187E-2</v>
      </c>
      <c r="H65" s="55">
        <f t="shared" si="13"/>
        <v>8.7609618503638187E-2</v>
      </c>
      <c r="I65" s="47">
        <f t="shared" si="14"/>
        <v>0.11840641233575878</v>
      </c>
      <c r="J65" s="47">
        <f t="shared" si="15"/>
        <v>0.14920320616787938</v>
      </c>
      <c r="K65" s="125">
        <v>0.18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6">SUM(G59:G65)</f>
        <v>1</v>
      </c>
      <c r="H66" s="164">
        <v>1</v>
      </c>
      <c r="I66" s="47">
        <f t="shared" ref="I66:J66" si="17">SUM(I59:I65)</f>
        <v>1.0000000000000002</v>
      </c>
      <c r="J66" s="47">
        <f t="shared" si="17"/>
        <v>1</v>
      </c>
      <c r="K66" s="47">
        <f>SUM(K59:K65)</f>
        <v>0.99999999999999978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-3.6402748709768888E-2</v>
      </c>
      <c r="J69" s="157">
        <f t="shared" ref="J69:K69" si="18">(I$97*(J59-I59)+I$98*(J60-I60)+I$99*(J61-I61)+I$100*(J62-I62)+I$101*(J63-I63)+I$102*(J64-I64)+I$103*(J65-I65))/(I$97*I59+I$98*I60+I$99*I61+I$100*I62+I$101*I63+I$102*I64+I$103*I65)</f>
        <v>-3.9906455864641581E-2</v>
      </c>
      <c r="K69" s="157">
        <f t="shared" si="18"/>
        <v>-4.3820989499279053E-2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32" t="s">
        <v>92</v>
      </c>
      <c r="G72" s="131" t="s">
        <v>91</v>
      </c>
      <c r="H72" s="131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bord'!G10</f>
        <v>0.55000000000000004</v>
      </c>
      <c r="G73" s="92">
        <f>'Tableau de bord'!G22</f>
        <v>0.45</v>
      </c>
      <c r="H73" s="92">
        <f>'Tableau de bord'!G25</f>
        <v>0.24750000000000003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93.235969427894389</v>
      </c>
      <c r="H77" s="54">
        <f>'Init. énergie'!D21</f>
        <v>91.387943319825126</v>
      </c>
      <c r="I77" s="81">
        <f>G77*60%/(1+I$55)</f>
        <v>58.054941088543309</v>
      </c>
      <c r="J77" s="81">
        <f>G77*50%/(1+I$55)/(1+J$55)</f>
        <v>50.27853873616089</v>
      </c>
      <c r="K77" s="81">
        <f>G77*40%/(1+I$55)/(1+J$55)/(1+K$55)</f>
        <v>41.866561526984441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19">H78/0.998^10</f>
        <v>99.640543470997301</v>
      </c>
      <c r="H78" s="54">
        <f>'Init. énergie'!D22</f>
        <v>97.665572578470474</v>
      </c>
      <c r="I78" s="81">
        <f t="shared" ref="I78:I83" si="20">G78*60%/(1+I$55)</f>
        <v>62.042856600668749</v>
      </c>
      <c r="J78" s="81">
        <f t="shared" ref="J78:J83" si="21">G78*50%/(1+I$55)/(1+J$55)</f>
        <v>53.732276881328069</v>
      </c>
      <c r="K78" s="81">
        <f t="shared" ref="K78:K83" si="22">G78*40%/(1+I$55)/(1+J$55)/(1+K$55)</f>
        <v>44.742463336929838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19"/>
        <v>53.078560890997394</v>
      </c>
      <c r="H79" s="54">
        <f>'Init. énergie'!D23</f>
        <v>52.026493036636026</v>
      </c>
      <c r="I79" s="81">
        <f t="shared" si="20"/>
        <v>33.050256724950145</v>
      </c>
      <c r="J79" s="81">
        <f t="shared" si="21"/>
        <v>28.62320728998888</v>
      </c>
      <c r="K79" s="81">
        <f t="shared" si="22"/>
        <v>23.834329700677603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19"/>
        <v>41.68801241974316</v>
      </c>
      <c r="H80" s="54">
        <f>'Init. énergie'!D24</f>
        <v>40.861716132828043</v>
      </c>
      <c r="I80" s="81">
        <f t="shared" si="20"/>
        <v>25.957740558469226</v>
      </c>
      <c r="J80" s="81">
        <f t="shared" si="21"/>
        <v>22.480726699587752</v>
      </c>
      <c r="K80" s="81">
        <f t="shared" si="22"/>
        <v>18.719532253682971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19"/>
        <v>35.298738874141193</v>
      </c>
      <c r="H81" s="54">
        <f>'Init. énergie'!D25</f>
        <v>34.599084101185987</v>
      </c>
      <c r="I81" s="81">
        <f t="shared" si="20"/>
        <v>21.979352157891974</v>
      </c>
      <c r="J81" s="81">
        <f t="shared" si="21"/>
        <v>19.035239518731917</v>
      </c>
      <c r="K81" s="81">
        <f t="shared" si="22"/>
        <v>15.850500959740648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19"/>
        <v>60.884141923140419</v>
      </c>
      <c r="H82" s="54">
        <f>'Init. énergie'!D26</f>
        <v>59.677359985528099</v>
      </c>
      <c r="I82" s="81">
        <f t="shared" si="20"/>
        <v>37.910532751075102</v>
      </c>
      <c r="J82" s="81">
        <f t="shared" si="21"/>
        <v>32.832454114910412</v>
      </c>
      <c r="K82" s="81">
        <f t="shared" si="22"/>
        <v>27.339337913080112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19"/>
        <v>51.853904017695243</v>
      </c>
      <c r="H83" s="54">
        <f>'Init. énergie'!D27</f>
        <v>50.826110034128334</v>
      </c>
      <c r="I83" s="81">
        <f t="shared" si="20"/>
        <v>32.287703570094813</v>
      </c>
      <c r="J83" s="81">
        <f t="shared" si="21"/>
        <v>27.962797381445512</v>
      </c>
      <c r="K83" s="81">
        <f t="shared" si="22"/>
        <v>23.284411330651952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3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3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3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3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3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3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93.235969427894389</v>
      </c>
      <c r="H97" s="54">
        <f>H77</f>
        <v>91.387943319825126</v>
      </c>
      <c r="I97" s="81">
        <f>$H97*(1+$G87)^(I$96-$H$96)</f>
        <v>81.451480159979582</v>
      </c>
      <c r="J97" s="81">
        <f>$H97*(1+$G87)^(J$96-$H$96)</f>
        <v>72.595392556693355</v>
      </c>
      <c r="K97" s="81">
        <f>$H97*(1+$G87)^(K$96-$H$96)</f>
        <v>64.702213024359722</v>
      </c>
      <c r="L97" s="67"/>
      <c r="M97" s="79">
        <f>(K97-G97)/H97</f>
        <v>-0.3122267048255668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4">G78</f>
        <v>99.640543470997301</v>
      </c>
      <c r="H98" s="54">
        <f t="shared" si="24"/>
        <v>97.665572578470474</v>
      </c>
      <c r="I98" s="81">
        <f t="shared" ref="I98:K103" si="25">$H98*(1+$G88)^(I$96-$H$96)</f>
        <v>87.884059674644291</v>
      </c>
      <c r="J98" s="81">
        <f t="shared" si="25"/>
        <v>79.082195915974609</v>
      </c>
      <c r="K98" s="81">
        <f t="shared" si="25"/>
        <v>71.161866373100082</v>
      </c>
      <c r="L98" s="67"/>
      <c r="M98" s="79">
        <f t="shared" ref="M98:M103" si="26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4"/>
        <v>53.078560890997394</v>
      </c>
      <c r="H99" s="54">
        <f t="shared" si="24"/>
        <v>52.026493036636026</v>
      </c>
      <c r="I99" s="81">
        <f t="shared" si="25"/>
        <v>48.226642951445342</v>
      </c>
      <c r="J99" s="81">
        <f t="shared" si="25"/>
        <v>44.70432186786843</v>
      </c>
      <c r="K99" s="81">
        <f t="shared" si="25"/>
        <v>41.439259947619597</v>
      </c>
      <c r="L99" s="67"/>
      <c r="M99" s="79">
        <f t="shared" si="26"/>
        <v>-0.223718729901353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4"/>
        <v>41.68801241974316</v>
      </c>
      <c r="H100" s="54">
        <f t="shared" si="24"/>
        <v>40.861716132828043</v>
      </c>
      <c r="I100" s="81">
        <f t="shared" si="25"/>
        <v>37.877305951287894</v>
      </c>
      <c r="J100" s="81">
        <f t="shared" si="25"/>
        <v>35.110867626405152</v>
      </c>
      <c r="K100" s="81">
        <f t="shared" si="25"/>
        <v>32.546481184917248</v>
      </c>
      <c r="L100" s="67"/>
      <c r="M100" s="79">
        <f t="shared" si="26"/>
        <v>-0.22371872990135291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4"/>
        <v>35.298738874141193</v>
      </c>
      <c r="H101" s="54">
        <f t="shared" si="24"/>
        <v>34.599084101185987</v>
      </c>
      <c r="I101" s="81">
        <f t="shared" si="25"/>
        <v>32.072076705610975</v>
      </c>
      <c r="J101" s="81">
        <f>$H101*(1+$G91)^(J$96-$H$96)</f>
        <v>29.729633917544511</v>
      </c>
      <c r="K101" s="81">
        <f>$H101*(1+$G91)^(K$96-$H$96)</f>
        <v>27.55827572327377</v>
      </c>
      <c r="L101" s="67"/>
      <c r="M101" s="79">
        <f t="shared" si="26"/>
        <v>-0.22371872990135297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4"/>
        <v>60.884141923140419</v>
      </c>
      <c r="H102" s="54">
        <f t="shared" si="24"/>
        <v>59.677359985528099</v>
      </c>
      <c r="I102" s="81">
        <f t="shared" si="25"/>
        <v>51.549302638688616</v>
      </c>
      <c r="J102" s="81">
        <f t="shared" si="25"/>
        <v>44.528286827358272</v>
      </c>
      <c r="K102" s="81">
        <f t="shared" si="25"/>
        <v>38.463533477393504</v>
      </c>
      <c r="L102" s="67"/>
      <c r="M102" s="79">
        <f t="shared" si="26"/>
        <v>-0.37569705582123547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4"/>
        <v>51.853904017695243</v>
      </c>
      <c r="H103" s="54">
        <f t="shared" si="24"/>
        <v>50.826110034128334</v>
      </c>
      <c r="I103" s="81">
        <f t="shared" si="25"/>
        <v>43.903593066649364</v>
      </c>
      <c r="J103" s="81">
        <f t="shared" si="25"/>
        <v>37.923923016490178</v>
      </c>
      <c r="K103" s="81">
        <f t="shared" si="25"/>
        <v>32.758684119027073</v>
      </c>
      <c r="L103" s="67"/>
      <c r="M103" s="79">
        <f t="shared" si="26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915.18688631237922</v>
      </c>
      <c r="H107" s="54">
        <f>H$36*H45*$H$73*H77/1000</f>
        <v>897.04700671391709</v>
      </c>
      <c r="I107" s="127">
        <f>I$36*I45*$H$73*I77/1000</f>
        <v>409.53099741297558</v>
      </c>
      <c r="J107" s="127">
        <f>J$36*J45*$H$73*J77/1000</f>
        <v>239.13294514073522</v>
      </c>
      <c r="K107" s="127">
        <f>K$36*K45*$H$73*K77/1000</f>
        <v>101.94947869950924</v>
      </c>
      <c r="L107" s="46"/>
      <c r="M107" s="79">
        <f>(K107-G107)/H107</f>
        <v>-0.90657167520344306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7">G$36*G46*$H$73*G78/1000</f>
        <v>2092.7158443850312</v>
      </c>
      <c r="H108" s="54">
        <f t="shared" si="27"/>
        <v>2051.2362143567871</v>
      </c>
      <c r="I108" s="127">
        <f t="shared" si="27"/>
        <v>1138.8949463536967</v>
      </c>
      <c r="J108" s="127">
        <f t="shared" si="27"/>
        <v>894.62289329076339</v>
      </c>
      <c r="K108" s="127">
        <f t="shared" si="27"/>
        <v>653.71561168096548</v>
      </c>
      <c r="L108" s="46"/>
      <c r="M108" s="79">
        <f t="shared" ref="M108:M114" si="28">(K108-G108)/H108</f>
        <v>-0.70152828944437184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7"/>
        <v>118.13406029997101</v>
      </c>
      <c r="H109" s="54">
        <f t="shared" si="27"/>
        <v>115.7925302121071</v>
      </c>
      <c r="I109" s="127">
        <f t="shared" si="27"/>
        <v>74.464291655115105</v>
      </c>
      <c r="J109" s="127">
        <f t="shared" si="27"/>
        <v>67.980607815937489</v>
      </c>
      <c r="K109" s="127">
        <f t="shared" si="27"/>
        <v>58.039098495589599</v>
      </c>
      <c r="L109" s="46"/>
      <c r="M109" s="79">
        <f t="shared" si="28"/>
        <v>-0.51898824297474389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7"/>
        <v>40.535450543491336</v>
      </c>
      <c r="H110" s="54">
        <f t="shared" si="27"/>
        <v>39.731999135559604</v>
      </c>
      <c r="I110" s="127">
        <f t="shared" si="27"/>
        <v>24.741712588405512</v>
      </c>
      <c r="J110" s="127">
        <f t="shared" si="27"/>
        <v>21.935818344521291</v>
      </c>
      <c r="K110" s="127">
        <f t="shared" si="27"/>
        <v>18.233611599859415</v>
      </c>
      <c r="L110" s="46"/>
      <c r="M110" s="79">
        <f t="shared" si="28"/>
        <v>-0.56130674088513399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7"/>
        <v>26.066429164856451</v>
      </c>
      <c r="H111" s="54">
        <f t="shared" si="27"/>
        <v>25.549767602410352</v>
      </c>
      <c r="I111" s="127">
        <f t="shared" si="27"/>
        <v>13.982230035320084</v>
      </c>
      <c r="J111" s="127">
        <f t="shared" si="27"/>
        <v>10.793421213159224</v>
      </c>
      <c r="K111" s="127">
        <f t="shared" si="27"/>
        <v>7.7195272362173535</v>
      </c>
      <c r="L111" s="46"/>
      <c r="M111" s="79">
        <f t="shared" si="28"/>
        <v>-0.71808488492506917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7"/>
        <v>853.12160468854813</v>
      </c>
      <c r="H112" s="54">
        <f t="shared" si="27"/>
        <v>836.21191834650108</v>
      </c>
      <c r="I112" s="127">
        <f t="shared" si="27"/>
        <v>585.95406908013376</v>
      </c>
      <c r="J112" s="127">
        <f t="shared" si="27"/>
        <v>573.7429781557654</v>
      </c>
      <c r="K112" s="127">
        <f t="shared" si="27"/>
        <v>519.2784633667103</v>
      </c>
      <c r="L112" s="46"/>
      <c r="M112" s="79">
        <f t="shared" si="28"/>
        <v>-0.39923269926834898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7"/>
        <v>242.81737495162236</v>
      </c>
      <c r="H113" s="54">
        <f t="shared" si="27"/>
        <v>238.00450228931282</v>
      </c>
      <c r="I113" s="127">
        <f t="shared" si="27"/>
        <v>193.88430342476457</v>
      </c>
      <c r="J113" s="127">
        <f t="shared" si="27"/>
        <v>209.87524698224178</v>
      </c>
      <c r="K113" s="127">
        <f t="shared" si="27"/>
        <v>204.11996202835107</v>
      </c>
      <c r="L113" s="46"/>
      <c r="M113" s="79">
        <f t="shared" si="28"/>
        <v>-0.16259109618116213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4288.5776503459001</v>
      </c>
      <c r="H114" s="161">
        <f>SUM(H107:H113)</f>
        <v>4203.5739386565956</v>
      </c>
      <c r="I114" s="159">
        <f t="shared" ref="I114:J114" si="29">SUM(I107:I113)</f>
        <v>2441.4525505504116</v>
      </c>
      <c r="J114" s="159">
        <f t="shared" si="29"/>
        <v>2018.0839109431238</v>
      </c>
      <c r="K114" s="159">
        <f>SUM(K107:K113)</f>
        <v>1563.0557531072022</v>
      </c>
      <c r="L114" s="21"/>
      <c r="M114" s="79">
        <f t="shared" si="28"/>
        <v>-0.64838205227567314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2782.5379068689504</v>
      </c>
      <c r="H118" s="162">
        <f>H$36*H45*(1-$H$73)*H97/1000</f>
        <v>2727.3853436453437</v>
      </c>
      <c r="I118" s="158">
        <f t="shared" ref="I118:K118" si="30">I$36*I45*(1-$H$73)*I97/1000</f>
        <v>1746.9395301173065</v>
      </c>
      <c r="J118" s="158">
        <f t="shared" si="30"/>
        <v>1049.7771718548477</v>
      </c>
      <c r="K118" s="158">
        <f t="shared" si="30"/>
        <v>479.03599924086564</v>
      </c>
      <c r="L118" s="46"/>
      <c r="M118" s="79">
        <f>(K118-G118)/H118</f>
        <v>-0.84458249106424077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1">G$36*G46*(1-$H$73)*G98/1000</f>
        <v>6362.7017086858004</v>
      </c>
      <c r="H119" s="162">
        <f t="shared" si="31"/>
        <v>6236.5868739534626</v>
      </c>
      <c r="I119" s="158">
        <f t="shared" si="31"/>
        <v>4904.935396395711</v>
      </c>
      <c r="J119" s="158">
        <f t="shared" si="31"/>
        <v>4003.2691020498482</v>
      </c>
      <c r="K119" s="158">
        <f t="shared" si="31"/>
        <v>3161.1681430168787</v>
      </c>
      <c r="L119" s="46"/>
      <c r="M119" s="79">
        <f t="shared" ref="M119:M125" si="32">(K119-G119)/H119</f>
        <v>-0.51334706472859948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1"/>
        <v>359.17527424536632</v>
      </c>
      <c r="H120" s="162">
        <f t="shared" si="31"/>
        <v>352.05607670549728</v>
      </c>
      <c r="I120" s="158">
        <f t="shared" si="31"/>
        <v>330.36311931975212</v>
      </c>
      <c r="J120" s="158">
        <f t="shared" si="31"/>
        <v>322.81043115499034</v>
      </c>
      <c r="K120" s="158">
        <f t="shared" si="31"/>
        <v>306.80399276816507</v>
      </c>
      <c r="L120" s="46"/>
      <c r="M120" s="79">
        <f t="shared" si="32"/>
        <v>-0.14875835113339342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1"/>
        <v>123.24414761202921</v>
      </c>
      <c r="H121" s="162">
        <f t="shared" si="31"/>
        <v>120.80133070508525</v>
      </c>
      <c r="I121" s="158">
        <f t="shared" si="31"/>
        <v>109.76736857815735</v>
      </c>
      <c r="J121" s="158">
        <f t="shared" si="31"/>
        <v>104.16369027922045</v>
      </c>
      <c r="K121" s="158">
        <f t="shared" si="31"/>
        <v>96.3857983053596</v>
      </c>
      <c r="L121" s="46"/>
      <c r="M121" s="79">
        <f t="shared" si="32"/>
        <v>-0.22233487950757302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1"/>
        <v>79.252476551735256</v>
      </c>
      <c r="H122" s="162">
        <f t="shared" si="31"/>
        <v>77.681616649752669</v>
      </c>
      <c r="I122" s="158">
        <f t="shared" si="31"/>
        <v>62.032593432954101</v>
      </c>
      <c r="J122" s="158">
        <f t="shared" si="31"/>
        <v>51.253277477176375</v>
      </c>
      <c r="K122" s="158">
        <f t="shared" si="31"/>
        <v>40.806660333189981</v>
      </c>
      <c r="L122" s="46"/>
      <c r="M122" s="79">
        <f t="shared" si="32"/>
        <v>-0.4949152434853154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1"/>
        <v>2593.8343738510398</v>
      </c>
      <c r="H123" s="162">
        <f t="shared" si="31"/>
        <v>2542.4220951747152</v>
      </c>
      <c r="I123" s="158">
        <f t="shared" si="31"/>
        <v>2422.4665139556769</v>
      </c>
      <c r="J123" s="158">
        <f t="shared" si="31"/>
        <v>2365.8179627289269</v>
      </c>
      <c r="K123" s="158">
        <f t="shared" si="31"/>
        <v>2221.2262516674264</v>
      </c>
      <c r="L123" s="46"/>
      <c r="M123" s="79">
        <f t="shared" si="32"/>
        <v>-0.14655635777032838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1"/>
        <v>738.26292788321541</v>
      </c>
      <c r="H124" s="162">
        <f t="shared" si="31"/>
        <v>723.62985039477928</v>
      </c>
      <c r="I124" s="158">
        <f t="shared" si="31"/>
        <v>801.56151721148319</v>
      </c>
      <c r="J124" s="158">
        <f t="shared" si="31"/>
        <v>865.41648115466035</v>
      </c>
      <c r="K124" s="158">
        <f t="shared" si="31"/>
        <v>873.12810010868225</v>
      </c>
      <c r="L124" s="46"/>
      <c r="M124" s="79">
        <f t="shared" si="32"/>
        <v>0.18637314664657709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13039.008815698136</v>
      </c>
      <c r="H125" s="163">
        <f>SUM(H118:H124)</f>
        <v>12780.563187228638</v>
      </c>
      <c r="I125" s="160">
        <f t="shared" ref="I125:K125" si="33">SUM(I118:I124)</f>
        <v>10378.066039011041</v>
      </c>
      <c r="J125" s="160">
        <f t="shared" si="33"/>
        <v>8762.5081166996697</v>
      </c>
      <c r="K125" s="160">
        <f t="shared" si="33"/>
        <v>7178.5549454405682</v>
      </c>
      <c r="L125" s="21"/>
      <c r="M125" s="79">
        <f t="shared" si="32"/>
        <v>-0.4585442585279656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3624.4323503592609</v>
      </c>
      <c r="I129" s="158">
        <f t="shared" ref="I129:K129" si="34">I107+I118</f>
        <v>2156.4705275302822</v>
      </c>
      <c r="J129" s="158">
        <f t="shared" si="34"/>
        <v>1288.9101169955829</v>
      </c>
      <c r="K129" s="158">
        <f t="shared" si="34"/>
        <v>580.98547794037484</v>
      </c>
      <c r="L129" s="46"/>
      <c r="M129" s="79">
        <f>(K129-G129)/H129</f>
        <v>0.16029695736569244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5">H108+H119</f>
        <v>8287.8230883102497</v>
      </c>
      <c r="I130" s="158">
        <f t="shared" si="35"/>
        <v>6043.8303427494075</v>
      </c>
      <c r="J130" s="158">
        <f t="shared" si="35"/>
        <v>4897.8919953406112</v>
      </c>
      <c r="K130" s="158">
        <f t="shared" si="35"/>
        <v>3814.8837546978443</v>
      </c>
      <c r="L130" s="46"/>
      <c r="M130" s="79">
        <f t="shared" ref="M130:M136" si="36">(K130-G130)/H130</f>
        <v>0.46029985365863257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5"/>
        <v>467.84860691760434</v>
      </c>
      <c r="I131" s="158">
        <f t="shared" si="35"/>
        <v>404.82741097486723</v>
      </c>
      <c r="J131" s="158">
        <f t="shared" si="35"/>
        <v>390.79103897092784</v>
      </c>
      <c r="K131" s="158">
        <f t="shared" si="35"/>
        <v>364.84309126375467</v>
      </c>
      <c r="L131" s="46"/>
      <c r="M131" s="79">
        <f t="shared" si="36"/>
        <v>0.77983152214025808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5"/>
        <v>160.53332984064485</v>
      </c>
      <c r="I132" s="158">
        <f t="shared" si="35"/>
        <v>134.50908116656285</v>
      </c>
      <c r="J132" s="158">
        <f t="shared" si="35"/>
        <v>126.09950862374174</v>
      </c>
      <c r="K132" s="158">
        <f t="shared" si="35"/>
        <v>114.61940990521902</v>
      </c>
      <c r="L132" s="46"/>
      <c r="M132" s="79">
        <f t="shared" si="36"/>
        <v>0.7139913563058663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5"/>
        <v>103.23138425216302</v>
      </c>
      <c r="I133" s="158">
        <f t="shared" si="35"/>
        <v>76.014823468274187</v>
      </c>
      <c r="J133" s="158">
        <f t="shared" si="35"/>
        <v>62.046698690335603</v>
      </c>
      <c r="K133" s="158">
        <f t="shared" si="35"/>
        <v>48.526187569407334</v>
      </c>
      <c r="L133" s="46"/>
      <c r="M133" s="79">
        <f t="shared" si="36"/>
        <v>0.47007204176273126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5"/>
        <v>3378.6340135212163</v>
      </c>
      <c r="I134" s="158">
        <f t="shared" si="35"/>
        <v>3008.4205830358105</v>
      </c>
      <c r="J134" s="158">
        <f t="shared" si="35"/>
        <v>2939.5609408846922</v>
      </c>
      <c r="K134" s="158">
        <f t="shared" si="35"/>
        <v>2740.5047150341366</v>
      </c>
      <c r="L134" s="46"/>
      <c r="M134" s="79">
        <f t="shared" si="36"/>
        <v>0.81112801921329725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5"/>
        <v>961.63435268409216</v>
      </c>
      <c r="I135" s="158">
        <f t="shared" si="35"/>
        <v>995.44582063624773</v>
      </c>
      <c r="J135" s="158">
        <f t="shared" si="35"/>
        <v>1075.2917281369021</v>
      </c>
      <c r="K135" s="158">
        <f t="shared" si="35"/>
        <v>1077.2480621370332</v>
      </c>
      <c r="L135" s="46"/>
      <c r="M135" s="79">
        <f t="shared" si="36"/>
        <v>1.1202262680510973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16984.13712588523</v>
      </c>
      <c r="I136" s="160">
        <f t="shared" ref="I136:K136" si="37">SUM(I129:I135)</f>
        <v>12819.518589561452</v>
      </c>
      <c r="J136" s="160">
        <f t="shared" si="37"/>
        <v>10780.592027642795</v>
      </c>
      <c r="K136" s="160">
        <f t="shared" si="37"/>
        <v>8741.6106985477709</v>
      </c>
      <c r="L136" s="21"/>
      <c r="M136" s="79">
        <f t="shared" si="36"/>
        <v>0.51469265902386252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énergie'!C21</f>
        <v>4.1021151124009851E-5</v>
      </c>
      <c r="I142" s="47">
        <f>H142</f>
        <v>4.1021151124009851E-5</v>
      </c>
      <c r="J142" s="47">
        <f>I142</f>
        <v>4.1021151124009851E-5</v>
      </c>
      <c r="K142" s="47">
        <f>J142</f>
        <v>4.1021151124009851E-5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énergie'!C22</f>
        <v>0.24387457929202933</v>
      </c>
      <c r="I143" s="47">
        <f t="shared" ref="I143:K143" si="38">H143</f>
        <v>0.24387457929202933</v>
      </c>
      <c r="J143" s="47">
        <f t="shared" si="38"/>
        <v>0.24387457929202933</v>
      </c>
      <c r="K143" s="47">
        <f t="shared" si="38"/>
        <v>0.24387457929202933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énergie'!C23</f>
        <v>3.8798739172946649E-2</v>
      </c>
      <c r="I144" s="47">
        <f t="shared" ref="I144:K144" si="39">H144</f>
        <v>3.8798739172946649E-2</v>
      </c>
      <c r="J144" s="47">
        <f t="shared" si="39"/>
        <v>3.8798739172946649E-2</v>
      </c>
      <c r="K144" s="47">
        <f t="shared" si="39"/>
        <v>3.8798739172946649E-2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énergie'!C24</f>
        <v>1.4755157309534661E-2</v>
      </c>
      <c r="I145" s="47">
        <f t="shared" ref="I145:K145" si="40">H145</f>
        <v>1.4755157309534661E-2</v>
      </c>
      <c r="J145" s="47">
        <f t="shared" si="40"/>
        <v>1.4755157309534661E-2</v>
      </c>
      <c r="K145" s="47">
        <f t="shared" si="40"/>
        <v>1.4755157309534661E-2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énergie'!C25</f>
        <v>1.1548604741342878E-2</v>
      </c>
      <c r="I146" s="47">
        <f t="shared" ref="I146:K146" si="41">H146</f>
        <v>1.1548604741342878E-2</v>
      </c>
      <c r="J146" s="47">
        <f t="shared" si="41"/>
        <v>1.1548604741342878E-2</v>
      </c>
      <c r="K146" s="47">
        <f t="shared" si="41"/>
        <v>1.1548604741342878E-2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énergie'!C26</f>
        <v>0.37540666329243721</v>
      </c>
      <c r="I147" s="47">
        <f t="shared" ref="I147:K147" si="42">H147</f>
        <v>0.37540666329243721</v>
      </c>
      <c r="J147" s="47">
        <f t="shared" si="42"/>
        <v>0.37540666329243721</v>
      </c>
      <c r="K147" s="47">
        <f t="shared" si="42"/>
        <v>0.37540666329243721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énergie'!C27</f>
        <v>0.31557523504058516</v>
      </c>
      <c r="I148" s="47">
        <f t="shared" ref="I148:K148" si="43">H148</f>
        <v>0.31557523504058516</v>
      </c>
      <c r="J148" s="47">
        <f t="shared" si="43"/>
        <v>0.31557523504058516</v>
      </c>
      <c r="K148" s="47">
        <f t="shared" si="43"/>
        <v>0.31557523504058516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0.99999999999999989</v>
      </c>
      <c r="I149" s="15">
        <f t="shared" ref="I149:K149" si="44">SUM(I142:I148)</f>
        <v>0.99999999999999989</v>
      </c>
      <c r="J149" s="15">
        <f t="shared" si="44"/>
        <v>0.99999999999999989</v>
      </c>
      <c r="K149" s="15">
        <f t="shared" si="44"/>
        <v>0.99999999999999989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41.866561526984441</v>
      </c>
      <c r="J153" s="45">
        <f>K153</f>
        <v>41.866561526984441</v>
      </c>
      <c r="K153" s="45">
        <f t="shared" ref="K153:K159" si="45">K77</f>
        <v>41.866561526984441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6">J154</f>
        <v>44.742463336929838</v>
      </c>
      <c r="J154" s="45">
        <f t="shared" si="46"/>
        <v>44.742463336929838</v>
      </c>
      <c r="K154" s="45">
        <f t="shared" si="45"/>
        <v>44.742463336929838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6"/>
        <v>23.834329700677603</v>
      </c>
      <c r="J155" s="45">
        <f t="shared" si="46"/>
        <v>23.834329700677603</v>
      </c>
      <c r="K155" s="45">
        <f t="shared" si="45"/>
        <v>23.834329700677603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6"/>
        <v>18.719532253682971</v>
      </c>
      <c r="J156" s="45">
        <f t="shared" si="46"/>
        <v>18.719532253682971</v>
      </c>
      <c r="K156" s="45">
        <f t="shared" si="45"/>
        <v>18.719532253682971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6"/>
        <v>15.850500959740648</v>
      </c>
      <c r="J157" s="45">
        <f t="shared" si="46"/>
        <v>15.850500959740648</v>
      </c>
      <c r="K157" s="45">
        <f t="shared" si="45"/>
        <v>15.850500959740648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6"/>
        <v>27.339337913080112</v>
      </c>
      <c r="J158" s="45">
        <f t="shared" si="46"/>
        <v>27.339337913080112</v>
      </c>
      <c r="K158" s="45">
        <f t="shared" si="45"/>
        <v>27.339337913080112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6"/>
        <v>23.284411330651952</v>
      </c>
      <c r="J159" s="45">
        <f t="shared" si="46"/>
        <v>23.284411330651952</v>
      </c>
      <c r="K159" s="45">
        <f t="shared" si="45"/>
        <v>23.284411330651952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7">I$35*I142*I153/1000</f>
        <v>1.7209348350838483E-2</v>
      </c>
      <c r="J163" s="10">
        <f t="shared" si="47"/>
        <v>1.7127085009424243E-2</v>
      </c>
      <c r="K163" s="10">
        <f t="shared" si="47"/>
        <v>1.6991166462942464E-2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8">H$35*H143*H154/1000</f>
        <v>0</v>
      </c>
      <c r="I164" s="10">
        <f t="shared" si="48"/>
        <v>109.33915480327654</v>
      </c>
      <c r="J164" s="10">
        <f t="shared" si="48"/>
        <v>108.81649676660034</v>
      </c>
      <c r="K164" s="10">
        <f t="shared" si="48"/>
        <v>107.9529417561816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8"/>
        <v>0</v>
      </c>
      <c r="I165" s="10">
        <f t="shared" si="48"/>
        <v>9.2663744046044805</v>
      </c>
      <c r="J165" s="10">
        <f t="shared" si="48"/>
        <v>9.2220797046671077</v>
      </c>
      <c r="K165" s="10">
        <f t="shared" si="48"/>
        <v>9.1488943571133472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8"/>
        <v>0</v>
      </c>
      <c r="I166" s="10">
        <f t="shared" si="48"/>
        <v>2.7677580664217203</v>
      </c>
      <c r="J166" s="10">
        <f t="shared" si="48"/>
        <v>2.7545277556552481</v>
      </c>
      <c r="K166" s="10">
        <f t="shared" si="48"/>
        <v>2.732668145068486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8"/>
        <v>0</v>
      </c>
      <c r="I167" s="10">
        <f t="shared" si="48"/>
        <v>1.8342638150363924</v>
      </c>
      <c r="J167" s="10">
        <f t="shared" si="48"/>
        <v>1.8254957508782412</v>
      </c>
      <c r="K167" s="10">
        <f t="shared" si="48"/>
        <v>1.8110088297862101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8"/>
        <v>0</v>
      </c>
      <c r="I168" s="10">
        <f t="shared" si="48"/>
        <v>102.84407067091396</v>
      </c>
      <c r="J168" s="10">
        <f t="shared" si="48"/>
        <v>102.35246013891961</v>
      </c>
      <c r="K168" s="10">
        <f t="shared" si="48"/>
        <v>101.54020296828834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8"/>
        <v>0</v>
      </c>
      <c r="I169" s="10">
        <f t="shared" si="48"/>
        <v>73.63045181271923</v>
      </c>
      <c r="J169" s="10">
        <f t="shared" si="48"/>
        <v>73.278486888047382</v>
      </c>
      <c r="K169" s="10">
        <f t="shared" si="48"/>
        <v>72.696957373788109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9">SUM(I163:I169)</f>
        <v>299.69928292132317</v>
      </c>
      <c r="J170" s="11">
        <f t="shared" si="49"/>
        <v>298.26667408977733</v>
      </c>
      <c r="K170" s="11">
        <f t="shared" si="49"/>
        <v>295.89966459668904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GB1589"/>
  <sheetViews>
    <sheetView showGridLines="0" topLeftCell="A130" zoomScaleNormal="100" workbookViewId="0">
      <selection activeCell="M164" sqref="M164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64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190850</v>
      </c>
      <c r="I7" s="10">
        <f t="shared" si="0"/>
        <v>186167.04793852463</v>
      </c>
      <c r="J7" s="10">
        <f t="shared" si="0"/>
        <v>180821.7672052508</v>
      </c>
      <c r="K7" s="10">
        <f t="shared" si="0"/>
        <v>171384.52862687272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3840.2979556716878</v>
      </c>
      <c r="J8" s="76">
        <f t="shared" si="0"/>
        <v>3746.0672444943634</v>
      </c>
      <c r="K8" s="76">
        <f t="shared" si="0"/>
        <v>3638.5091063100158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190850</v>
      </c>
      <c r="I9" s="96">
        <f t="shared" si="1"/>
        <v>182326.74998285295</v>
      </c>
      <c r="J9" s="96">
        <f t="shared" si="1"/>
        <v>177075.69996075644</v>
      </c>
      <c r="K9" s="96">
        <f t="shared" si="1"/>
        <v>167746.0195205627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3436.583147985104</v>
      </c>
      <c r="I13" s="86">
        <f t="shared" ref="I13:K13" si="2">I129+I163</f>
        <v>2222.8219998647151</v>
      </c>
      <c r="J13" s="86">
        <f t="shared" si="2"/>
        <v>1602.5242110127806</v>
      </c>
      <c r="K13" s="86">
        <f t="shared" si="2"/>
        <v>1075.6317456410218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8441.0961266061222</v>
      </c>
      <c r="I14" s="86">
        <f t="shared" si="3"/>
        <v>6090.1909443031745</v>
      </c>
      <c r="J14" s="86">
        <f t="shared" si="3"/>
        <v>4970.8681626568005</v>
      </c>
      <c r="K14" s="86">
        <f t="shared" si="3"/>
        <v>3902.8682718950272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1402.1888657823201</v>
      </c>
      <c r="I15" s="86">
        <f t="shared" si="3"/>
        <v>1067.6705849259295</v>
      </c>
      <c r="J15" s="86">
        <f t="shared" si="3"/>
        <v>922.90314531647414</v>
      </c>
      <c r="K15" s="86">
        <f t="shared" si="3"/>
        <v>770.41993277938911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246.16510050277407</v>
      </c>
      <c r="I16" s="86">
        <f t="shared" si="3"/>
        <v>174.77386809494479</v>
      </c>
      <c r="J16" s="86">
        <f t="shared" si="3"/>
        <v>139.81082168362209</v>
      </c>
      <c r="K16" s="86">
        <f t="shared" si="3"/>
        <v>107.03807744699493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105.32458146020576</v>
      </c>
      <c r="I17" s="86">
        <f t="shared" si="3"/>
        <v>83.314917671983821</v>
      </c>
      <c r="J17" s="86">
        <f t="shared" si="3"/>
        <v>74.786949493306238</v>
      </c>
      <c r="K17" s="86">
        <f t="shared" si="3"/>
        <v>64.808295996053545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830.43191441660838</v>
      </c>
      <c r="I18" s="86">
        <f t="shared" si="3"/>
        <v>923.48537821967943</v>
      </c>
      <c r="J18" s="86">
        <f t="shared" si="3"/>
        <v>1036.1311031405571</v>
      </c>
      <c r="K18" s="86">
        <f t="shared" si="3"/>
        <v>1046.1736068386126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133.29396170895052</v>
      </c>
      <c r="I19" s="86">
        <f t="shared" si="3"/>
        <v>210.071076818515</v>
      </c>
      <c r="J19" s="86">
        <f t="shared" si="3"/>
        <v>255.29853653355531</v>
      </c>
      <c r="K19" s="86">
        <f t="shared" si="3"/>
        <v>270.56607253434271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14595.083698462084</v>
      </c>
      <c r="I20" s="13">
        <f t="shared" ref="I20:K20" si="4">SUM(I13:I19)</f>
        <v>10772.328769898939</v>
      </c>
      <c r="J20" s="13">
        <f t="shared" si="4"/>
        <v>9002.322929837097</v>
      </c>
      <c r="K20" s="13">
        <f t="shared" si="4"/>
        <v>7237.5060031314424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-0.42679565108875162</v>
      </c>
      <c r="J23" s="193">
        <f t="shared" ref="J23:K23" si="5">J114/$G114-1</f>
        <v>-0.53608671742007741</v>
      </c>
      <c r="K23" s="193">
        <f t="shared" si="5"/>
        <v>-0.64842332822517634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-0.18093763194669132</v>
      </c>
      <c r="J24" s="193">
        <f t="shared" ref="J24:K24" si="6">J125/$G125-1</f>
        <v>-0.30645674382402843</v>
      </c>
      <c r="K24" s="193">
        <f t="shared" si="6"/>
        <v>-0.42910022481718435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190850</v>
      </c>
      <c r="H34" s="127">
        <f>'Init. parc'!C7</f>
        <v>190850</v>
      </c>
      <c r="I34" s="127">
        <f>'Init. parc'!D7</f>
        <v>186167.04793852463</v>
      </c>
      <c r="J34" s="127">
        <f>'Init. parc'!E7</f>
        <v>180821.7672052508</v>
      </c>
      <c r="K34" s="127">
        <f>'Init. parc'!F7</f>
        <v>171384.52862687272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parc'!N7</f>
        <v>3840.2979556716878</v>
      </c>
      <c r="J35" s="127">
        <f>'Init. parc'!O7</f>
        <v>3746.0672444943634</v>
      </c>
      <c r="K35" s="127">
        <f>'Init. parc'!P7</f>
        <v>3638.5091063100158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190850</v>
      </c>
      <c r="H36" s="127">
        <f>H34-H35</f>
        <v>190850</v>
      </c>
      <c r="I36" s="127">
        <f>I34-I35</f>
        <v>182326.74998285295</v>
      </c>
      <c r="J36" s="127">
        <f>J34-J35</f>
        <v>177075.69996075644</v>
      </c>
      <c r="K36" s="127">
        <f>K34-K35</f>
        <v>167746.0195205627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0.20223518285214698</v>
      </c>
      <c r="H45" s="55">
        <f>'Init. énergie'!B30</f>
        <v>0.20223518285214698</v>
      </c>
      <c r="I45" s="47">
        <f>H45+((K45-H45)/3)</f>
        <v>0.17482345523476464</v>
      </c>
      <c r="J45" s="47">
        <f>H45+((K45-H45)/3*2)</f>
        <v>0.14741172761738233</v>
      </c>
      <c r="K45" s="47">
        <v>0.12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0.58817685192014335</v>
      </c>
      <c r="H46" s="55">
        <f>'Init. énergie'!B31</f>
        <v>0.58817685192014335</v>
      </c>
      <c r="I46" s="47">
        <f t="shared" ref="I46:I51" si="8">H46+((K46-H46)/3)</f>
        <v>0.55878456794676223</v>
      </c>
      <c r="J46" s="47">
        <f t="shared" ref="J46:J51" si="9">H46+((K46-H46)/3*2)</f>
        <v>0.52939228397338112</v>
      </c>
      <c r="K46" s="47">
        <v>0.5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8.4009548274215404E-2</v>
      </c>
      <c r="H47" s="55">
        <f>'Init. énergie'!B32</f>
        <v>8.4009548274215404E-2</v>
      </c>
      <c r="I47" s="47">
        <f t="shared" si="8"/>
        <v>8.2673032182810274E-2</v>
      </c>
      <c r="J47" s="47">
        <f t="shared" si="9"/>
        <v>8.1336516091405131E-2</v>
      </c>
      <c r="K47" s="47">
        <v>0.08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1.3320407248410885E-2</v>
      </c>
      <c r="H48" s="55">
        <f>'Init. énergie'!B33</f>
        <v>1.3320407248410885E-2</v>
      </c>
      <c r="I48" s="47">
        <f t="shared" si="8"/>
        <v>1.2213604832273923E-2</v>
      </c>
      <c r="J48" s="47">
        <f t="shared" si="9"/>
        <v>1.1106802416136962E-2</v>
      </c>
      <c r="K48" s="47">
        <v>0.01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9.3630592275931179E-3</v>
      </c>
      <c r="H49" s="55">
        <f>'Init. énergie'!B34</f>
        <v>9.3630592275931179E-3</v>
      </c>
      <c r="I49" s="47">
        <f t="shared" si="8"/>
        <v>9.5753728183954126E-3</v>
      </c>
      <c r="J49" s="47">
        <f t="shared" si="9"/>
        <v>9.7876864091977055E-3</v>
      </c>
      <c r="K49" s="47">
        <v>0.01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8.9833717887786435E-2</v>
      </c>
      <c r="H50" s="55">
        <f>'Init. énergie'!B35</f>
        <v>8.9833717887786435E-2</v>
      </c>
      <c r="I50" s="47">
        <f t="shared" si="8"/>
        <v>0.13655581192519095</v>
      </c>
      <c r="J50" s="47">
        <f t="shared" si="9"/>
        <v>0.18327790596259547</v>
      </c>
      <c r="K50" s="47">
        <f>1-K45-K46-K47-K48-K49-K51</f>
        <v>0.22999999999999998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1.3061232589703731E-2</v>
      </c>
      <c r="H51" s="55">
        <f>'Init. énergie'!B36</f>
        <v>1.3061232589703731E-2</v>
      </c>
      <c r="I51" s="47">
        <f t="shared" si="8"/>
        <v>2.5374155059802488E-2</v>
      </c>
      <c r="J51" s="47">
        <f t="shared" si="9"/>
        <v>3.7687077529901247E-2</v>
      </c>
      <c r="K51" s="125">
        <v>0.05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0">SUM(G45:G51)</f>
        <v>0.99999999999999978</v>
      </c>
      <c r="H52" s="164">
        <f t="shared" si="10"/>
        <v>0.99999999999999978</v>
      </c>
      <c r="I52" s="170">
        <f t="shared" si="10"/>
        <v>0.99999999999999989</v>
      </c>
      <c r="J52" s="170">
        <f t="shared" si="10"/>
        <v>0.99999999999999978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1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-2.538094986605478E-2</v>
      </c>
      <c r="J55" s="157">
        <f t="shared" si="11"/>
        <v>-2.6041918493760773E-2</v>
      </c>
      <c r="K55" s="157">
        <f t="shared" si="11"/>
        <v>-2.6738233388326749E-2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0.20223518285214698</v>
      </c>
      <c r="H59" s="55">
        <f>H45</f>
        <v>0.20223518285214698</v>
      </c>
      <c r="I59" s="47">
        <f>H59+((K59-H59)/3)</f>
        <v>0.17482345523476464</v>
      </c>
      <c r="J59" s="47">
        <f>H59+((K59-H59)/3*2)</f>
        <v>0.14741172761738233</v>
      </c>
      <c r="K59" s="47">
        <v>0.12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2">H60</f>
        <v>0.58817685192014335</v>
      </c>
      <c r="H60" s="55">
        <f t="shared" ref="H60:H65" si="13">H46</f>
        <v>0.58817685192014335</v>
      </c>
      <c r="I60" s="47">
        <f t="shared" ref="I60:I65" si="14">H60+((K60-H60)/3)</f>
        <v>0.55878456794676223</v>
      </c>
      <c r="J60" s="47">
        <f t="shared" ref="J60:J65" si="15">H60+((K60-H60)/3*2)</f>
        <v>0.52939228397338112</v>
      </c>
      <c r="K60" s="47">
        <v>0.5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2"/>
        <v>8.4009548274215404E-2</v>
      </c>
      <c r="H61" s="55">
        <f t="shared" si="13"/>
        <v>8.4009548274215404E-2</v>
      </c>
      <c r="I61" s="47">
        <f t="shared" si="14"/>
        <v>8.2673032182810274E-2</v>
      </c>
      <c r="J61" s="47">
        <f t="shared" si="15"/>
        <v>8.1336516091405131E-2</v>
      </c>
      <c r="K61" s="47">
        <v>0.08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2"/>
        <v>1.3320407248410885E-2</v>
      </c>
      <c r="H62" s="55">
        <f t="shared" si="13"/>
        <v>1.3320407248410885E-2</v>
      </c>
      <c r="I62" s="47">
        <f t="shared" si="14"/>
        <v>1.2213604832273923E-2</v>
      </c>
      <c r="J62" s="47">
        <f t="shared" si="15"/>
        <v>1.1106802416136962E-2</v>
      </c>
      <c r="K62" s="47">
        <v>0.01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2"/>
        <v>9.3630592275931179E-3</v>
      </c>
      <c r="H63" s="55">
        <f t="shared" si="13"/>
        <v>9.3630592275931179E-3</v>
      </c>
      <c r="I63" s="47">
        <f t="shared" si="14"/>
        <v>9.5753728183954126E-3</v>
      </c>
      <c r="J63" s="47">
        <f t="shared" si="15"/>
        <v>9.7876864091977055E-3</v>
      </c>
      <c r="K63" s="47">
        <v>0.01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2"/>
        <v>8.9833717887786435E-2</v>
      </c>
      <c r="H64" s="55">
        <f t="shared" si="13"/>
        <v>8.9833717887786435E-2</v>
      </c>
      <c r="I64" s="47">
        <f t="shared" si="14"/>
        <v>0.13655581192519095</v>
      </c>
      <c r="J64" s="47">
        <f t="shared" si="15"/>
        <v>0.18327790596259547</v>
      </c>
      <c r="K64" s="47">
        <f>1-K59-K60-K61-K62-K63-K65</f>
        <v>0.22999999999999998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2"/>
        <v>1.3061232589703731E-2</v>
      </c>
      <c r="H65" s="55">
        <f t="shared" si="13"/>
        <v>1.3061232589703731E-2</v>
      </c>
      <c r="I65" s="47">
        <f t="shared" si="14"/>
        <v>2.5374155059802488E-2</v>
      </c>
      <c r="J65" s="47">
        <f t="shared" si="15"/>
        <v>3.7687077529901247E-2</v>
      </c>
      <c r="K65" s="125">
        <v>0.05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6">SUM(G59:G65)</f>
        <v>0.99999999999999978</v>
      </c>
      <c r="H66" s="164">
        <v>1</v>
      </c>
      <c r="I66" s="47">
        <f t="shared" ref="I66:J66" si="17">SUM(I59:I65)</f>
        <v>0.99999999999999989</v>
      </c>
      <c r="J66" s="47">
        <f t="shared" si="17"/>
        <v>0.99999999999999978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-2.538094986605478E-2</v>
      </c>
      <c r="J69" s="157">
        <f t="shared" ref="J69:K69" si="18">(I$97*(J59-I59)+I$98*(J60-I60)+I$99*(J61-I61)+I$100*(J62-I62)+I$101*(J63-I63)+I$102*(J64-I64)+I$103*(J65-I65))/(I$97*I59+I$98*I60+I$99*I61+I$100*I62+I$101*I63+I$102*I64+I$103*I65)</f>
        <v>-2.7458189219099649E-2</v>
      </c>
      <c r="K69" s="157">
        <f t="shared" si="18"/>
        <v>-2.9670626771586928E-2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132" t="s">
        <v>92</v>
      </c>
      <c r="G72" s="131" t="s">
        <v>91</v>
      </c>
      <c r="H72" s="131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bord'!H10</f>
        <v>0.85</v>
      </c>
      <c r="G73" s="92">
        <f>'Tableau de bord'!H22</f>
        <v>0.49649999999999994</v>
      </c>
      <c r="H73" s="92">
        <f>'Tableau de bord'!H25</f>
        <v>0.42202499999999993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90.839046490654098</v>
      </c>
      <c r="H77" s="54">
        <f>'Init. énergie'!D30</f>
        <v>89.038529688212606</v>
      </c>
      <c r="I77" s="81">
        <f>G77*60%/(1+I$55)</f>
        <v>55.922801721248796</v>
      </c>
      <c r="J77" s="81">
        <f>G77*50%/(1+I$55)/(1+J$55)</f>
        <v>47.848398871167227</v>
      </c>
      <c r="K77" s="81">
        <f>G77*40%/(1+I$55)/(1+J$55)/(1+K$55)</f>
        <v>39.330342986962108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19">H78/0.998^10</f>
        <v>76.717305384051045</v>
      </c>
      <c r="H78" s="54">
        <f>'Init. énergie'!D31</f>
        <v>75.196694999878517</v>
      </c>
      <c r="I78" s="81">
        <f t="shared" ref="I78:I83" si="20">G78*60%/(1+I$55)</f>
        <v>47.229102718754071</v>
      </c>
      <c r="J78" s="81">
        <f t="shared" ref="J78:J83" si="21">G78*50%/(1+I$55)/(1+J$55)</f>
        <v>40.409937908307811</v>
      </c>
      <c r="K78" s="81">
        <f t="shared" ref="K78:K83" si="22">G78*40%/(1+I$55)/(1+J$55)/(1+K$55)</f>
        <v>33.216089890382953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19"/>
        <v>89.223712047633214</v>
      </c>
      <c r="H79" s="54">
        <f>'Init. énergie'!D32</f>
        <v>87.455212719158936</v>
      </c>
      <c r="I79" s="81">
        <f t="shared" si="20"/>
        <v>54.928361210693076</v>
      </c>
      <c r="J79" s="81">
        <f t="shared" si="21"/>
        <v>46.997540460319087</v>
      </c>
      <c r="K79" s="81">
        <f t="shared" si="22"/>
        <v>38.630955882659983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19"/>
        <v>98.789639779222156</v>
      </c>
      <c r="H80" s="54">
        <f>'Init. énergie'!D33</f>
        <v>96.831534611881665</v>
      </c>
      <c r="I80" s="81">
        <f t="shared" si="20"/>
        <v>60.817386915828386</v>
      </c>
      <c r="J80" s="81">
        <f t="shared" si="21"/>
        <v>52.036280334376649</v>
      </c>
      <c r="K80" s="81">
        <f t="shared" si="22"/>
        <v>42.77269044732865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19"/>
        <v>60.1332108994282</v>
      </c>
      <c r="H81" s="54">
        <f>'Init. énergie'!D34</f>
        <v>58.941313133082552</v>
      </c>
      <c r="I81" s="81">
        <f t="shared" si="20"/>
        <v>37.019517045863537</v>
      </c>
      <c r="J81" s="81">
        <f t="shared" si="21"/>
        <v>31.674461277132487</v>
      </c>
      <c r="K81" s="81">
        <f t="shared" si="22"/>
        <v>26.035718129484845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19"/>
        <v>49.415942180022896</v>
      </c>
      <c r="H82" s="54">
        <f>'Init. énergie'!D35</f>
        <v>48.43647093235009</v>
      </c>
      <c r="I82" s="81">
        <f t="shared" si="20"/>
        <v>30.421696871140465</v>
      </c>
      <c r="J82" s="81">
        <f t="shared" si="21"/>
        <v>26.029266085124959</v>
      </c>
      <c r="K82" s="81">
        <f t="shared" si="22"/>
        <v>21.395490486177096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19"/>
        <v>54.554268348686961</v>
      </c>
      <c r="H83" s="54">
        <f>'Init. énergie'!D36</f>
        <v>53.47295056078152</v>
      </c>
      <c r="I83" s="81">
        <f t="shared" si="20"/>
        <v>33.584979695106135</v>
      </c>
      <c r="J83" s="81">
        <f t="shared" si="21"/>
        <v>28.735818933780081</v>
      </c>
      <c r="K83" s="81">
        <f t="shared" si="22"/>
        <v>23.620218049926159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3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3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3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3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3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3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90.839046490654098</v>
      </c>
      <c r="H97" s="54">
        <f>H77</f>
        <v>89.038529688212606</v>
      </c>
      <c r="I97" s="81">
        <f>$H97*(1+$G87)^(I$96-$H$96)</f>
        <v>79.357514469853797</v>
      </c>
      <c r="J97" s="81">
        <f>$H97*(1+$G87)^(J$96-$H$96)</f>
        <v>70.729100366835553</v>
      </c>
      <c r="K97" s="81">
        <f>$H97*(1+$G87)^(K$96-$H$96)</f>
        <v>63.038839763590097</v>
      </c>
      <c r="L97" s="67"/>
      <c r="M97" s="79">
        <f>(K97-G97)/H97</f>
        <v>-0.31222670482556653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4">G78</f>
        <v>76.717305384051045</v>
      </c>
      <c r="H98" s="54">
        <f t="shared" si="24"/>
        <v>75.196694999878517</v>
      </c>
      <c r="I98" s="81">
        <f t="shared" ref="I98:K103" si="25">$H98*(1+$G88)^(I$96-$H$96)</f>
        <v>67.665510540017621</v>
      </c>
      <c r="J98" s="81">
        <f t="shared" si="25"/>
        <v>60.888597785429702</v>
      </c>
      <c r="K98" s="81">
        <f t="shared" si="25"/>
        <v>54.790414063058797</v>
      </c>
      <c r="L98" s="67"/>
      <c r="M98" s="79">
        <f t="shared" ref="M98:M103" si="26">(K98-G98)/H98</f>
        <v>-0.2915938170025647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4"/>
        <v>89.223712047633214</v>
      </c>
      <c r="H99" s="54">
        <f t="shared" si="24"/>
        <v>87.455212719158936</v>
      </c>
      <c r="I99" s="81">
        <f t="shared" si="25"/>
        <v>81.067761286150471</v>
      </c>
      <c r="J99" s="81">
        <f t="shared" si="25"/>
        <v>75.146829052404158</v>
      </c>
      <c r="K99" s="81">
        <f t="shared" si="25"/>
        <v>69.658342934850324</v>
      </c>
      <c r="L99" s="67"/>
      <c r="M99" s="79">
        <f t="shared" si="26"/>
        <v>-0.223718729901353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4"/>
        <v>98.789639779222156</v>
      </c>
      <c r="H100" s="54">
        <f t="shared" si="24"/>
        <v>96.831534611881665</v>
      </c>
      <c r="I100" s="81">
        <f t="shared" si="25"/>
        <v>89.759266358378525</v>
      </c>
      <c r="J100" s="81">
        <f t="shared" si="25"/>
        <v>83.203534153281367</v>
      </c>
      <c r="K100" s="81">
        <f t="shared" si="25"/>
        <v>77.126611841453084</v>
      </c>
      <c r="L100" s="67"/>
      <c r="M100" s="79">
        <f t="shared" si="26"/>
        <v>-0.22371872990135305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4"/>
        <v>60.1332108994282</v>
      </c>
      <c r="H101" s="54">
        <f t="shared" si="24"/>
        <v>58.941313133082552</v>
      </c>
      <c r="I101" s="81">
        <f t="shared" si="25"/>
        <v>54.636426513638867</v>
      </c>
      <c r="J101" s="81">
        <f>$H101*(1+$G91)^(J$96-$H$96)</f>
        <v>50.64595516289512</v>
      </c>
      <c r="K101" s="81">
        <f>$H101*(1+$G91)^(K$96-$H$96)</f>
        <v>46.946935186577036</v>
      </c>
      <c r="L101" s="67"/>
      <c r="M101" s="79">
        <f t="shared" si="26"/>
        <v>-0.22371872990135294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4"/>
        <v>49.415942180022896</v>
      </c>
      <c r="H102" s="54">
        <f t="shared" si="24"/>
        <v>48.43647093235009</v>
      </c>
      <c r="I102" s="81">
        <f t="shared" si="25"/>
        <v>41.839422847244833</v>
      </c>
      <c r="J102" s="81">
        <f t="shared" si="25"/>
        <v>36.140892812679951</v>
      </c>
      <c r="K102" s="81">
        <f t="shared" si="25"/>
        <v>31.218502656368116</v>
      </c>
      <c r="L102" s="67"/>
      <c r="M102" s="79">
        <f t="shared" si="26"/>
        <v>-0.37569705582123541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4"/>
        <v>54.554268348686961</v>
      </c>
      <c r="H103" s="54">
        <f t="shared" si="24"/>
        <v>53.47295056078152</v>
      </c>
      <c r="I103" s="81">
        <f t="shared" si="25"/>
        <v>46.189933872909535</v>
      </c>
      <c r="J103" s="81">
        <f t="shared" si="25"/>
        <v>39.898864169813152</v>
      </c>
      <c r="K103" s="81">
        <f t="shared" si="25"/>
        <v>34.464638256926861</v>
      </c>
      <c r="L103" s="67"/>
      <c r="M103" s="79">
        <f t="shared" si="26"/>
        <v>-0.37569705582123547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1479.6521236249796</v>
      </c>
      <c r="H107" s="54">
        <f>H$36*H45*$H$73*H77/1000</f>
        <v>1450.324003028413</v>
      </c>
      <c r="I107" s="127">
        <f>I$36*I45*$H$73*I77/1000</f>
        <v>752.27597109331271</v>
      </c>
      <c r="J107" s="127">
        <f>J$36*J45*$H$73*J77/1000</f>
        <v>527.10433932790943</v>
      </c>
      <c r="K107" s="127">
        <f>K$36*K45*$H$73*K77/1000</f>
        <v>334.11762207627839</v>
      </c>
      <c r="L107" s="46"/>
      <c r="M107" s="79">
        <f>(K107-G107)/H107</f>
        <v>-0.7898473025039352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7">G$36*G46*$H$73*G78/1000</f>
        <v>3634.3906932030031</v>
      </c>
      <c r="H108" s="54">
        <f t="shared" si="27"/>
        <v>3562.3535928309479</v>
      </c>
      <c r="I108" s="127">
        <f t="shared" si="27"/>
        <v>2030.6854988390019</v>
      </c>
      <c r="J108" s="127">
        <f t="shared" si="27"/>
        <v>1598.6851318109384</v>
      </c>
      <c r="K108" s="127">
        <f t="shared" si="27"/>
        <v>1175.7335564602165</v>
      </c>
      <c r="L108" s="46"/>
      <c r="M108" s="79">
        <f t="shared" ref="M108:M114" si="28">(K108-G108)/H108</f>
        <v>-0.69017773577858943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7"/>
        <v>603.72516643298889</v>
      </c>
      <c r="H109" s="54">
        <f t="shared" si="27"/>
        <v>591.75875608178353</v>
      </c>
      <c r="I109" s="127">
        <f t="shared" si="27"/>
        <v>349.42106065388475</v>
      </c>
      <c r="J109" s="127">
        <f t="shared" si="27"/>
        <v>285.66553213548013</v>
      </c>
      <c r="K109" s="127">
        <f t="shared" si="27"/>
        <v>218.78414370514045</v>
      </c>
      <c r="L109" s="46"/>
      <c r="M109" s="79">
        <f t="shared" si="28"/>
        <v>-0.65050329846686372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7"/>
        <v>105.98862243005594</v>
      </c>
      <c r="H110" s="54">
        <f t="shared" si="27"/>
        <v>103.88782653968322</v>
      </c>
      <c r="I110" s="127">
        <f t="shared" si="27"/>
        <v>57.155784470854123</v>
      </c>
      <c r="J110" s="127">
        <f t="shared" si="27"/>
        <v>43.190918165495404</v>
      </c>
      <c r="K110" s="127">
        <f t="shared" si="27"/>
        <v>30.280076688719394</v>
      </c>
      <c r="L110" s="46"/>
      <c r="M110" s="79">
        <f t="shared" si="28"/>
        <v>-0.72875281217301524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7"/>
        <v>45.348456276659</v>
      </c>
      <c r="H111" s="54">
        <f t="shared" si="27"/>
        <v>44.449606490743328</v>
      </c>
      <c r="I111" s="127">
        <f t="shared" si="27"/>
        <v>27.275643793943598</v>
      </c>
      <c r="J111" s="127">
        <f t="shared" si="27"/>
        <v>23.16788715751273</v>
      </c>
      <c r="K111" s="127">
        <f t="shared" si="27"/>
        <v>18.431469551289823</v>
      </c>
      <c r="L111" s="46"/>
      <c r="M111" s="79">
        <f t="shared" si="28"/>
        <v>-0.60556186770685283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7"/>
        <v>357.55001196840476</v>
      </c>
      <c r="H112" s="54">
        <f t="shared" si="27"/>
        <v>350.46302868166907</v>
      </c>
      <c r="I112" s="127">
        <f t="shared" si="27"/>
        <v>319.65550829526683</v>
      </c>
      <c r="J112" s="127">
        <f t="shared" si="27"/>
        <v>356.50792047941337</v>
      </c>
      <c r="K112" s="127">
        <f t="shared" si="27"/>
        <v>348.36978868037079</v>
      </c>
      <c r="L112" s="46"/>
      <c r="M112" s="79">
        <f t="shared" si="28"/>
        <v>-2.6194555592831188E-2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7"/>
        <v>57.390927271662882</v>
      </c>
      <c r="H113" s="54">
        <f t="shared" si="27"/>
        <v>56.253384190219833</v>
      </c>
      <c r="I113" s="127">
        <f t="shared" si="27"/>
        <v>65.573029504361116</v>
      </c>
      <c r="J113" s="127">
        <f t="shared" si="27"/>
        <v>80.930679226775524</v>
      </c>
      <c r="K113" s="127">
        <f t="shared" si="27"/>
        <v>83.607321222495955</v>
      </c>
      <c r="L113" s="46"/>
      <c r="M113" s="79">
        <f t="shared" si="28"/>
        <v>0.46604118717876236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6284.0460012077547</v>
      </c>
      <c r="H114" s="161">
        <f>SUM(H107:H113)</f>
        <v>6159.49019784346</v>
      </c>
      <c r="I114" s="159">
        <f t="shared" ref="I114:J114" si="29">SUM(I107:I113)</f>
        <v>3602.0424966506253</v>
      </c>
      <c r="J114" s="159">
        <f t="shared" si="29"/>
        <v>2915.2524083035255</v>
      </c>
      <c r="K114" s="159">
        <f>SUM(K107:K113)</f>
        <v>2209.3239783845115</v>
      </c>
      <c r="L114" s="21"/>
      <c r="M114" s="79">
        <f t="shared" si="28"/>
        <v>-0.66153559660665928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2026.4248235345012</v>
      </c>
      <c r="H118" s="162">
        <f>H$36*H45*(1-$H$73)*H97/1000</f>
        <v>1986.2591449566908</v>
      </c>
      <c r="I118" s="158">
        <f t="shared" ref="I118:K118" si="30">I$36*I45*(1-$H$73)*I97/1000</f>
        <v>1461.9994212376453</v>
      </c>
      <c r="J118" s="158">
        <f t="shared" si="30"/>
        <v>1067.0829751983704</v>
      </c>
      <c r="K118" s="158">
        <f t="shared" si="30"/>
        <v>733.41659839909664</v>
      </c>
      <c r="L118" s="46"/>
      <c r="M118" s="79">
        <f>(K118-G118)/H118</f>
        <v>-0.65097660011710001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1">G$36*G46*(1-$H$73)*G98/1000</f>
        <v>4977.3993505219041</v>
      </c>
      <c r="H119" s="162">
        <f t="shared" si="31"/>
        <v>4878.7425337751747</v>
      </c>
      <c r="I119" s="158">
        <f t="shared" si="31"/>
        <v>3984.4759596416861</v>
      </c>
      <c r="J119" s="158">
        <f t="shared" si="31"/>
        <v>3298.9945693110567</v>
      </c>
      <c r="K119" s="158">
        <f t="shared" si="31"/>
        <v>2656.0476616285582</v>
      </c>
      <c r="L119" s="46"/>
      <c r="M119" s="79">
        <f t="shared" ref="M119:M125" si="32">(K119-G119)/H119</f>
        <v>-0.47580942688055361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1"/>
        <v>826.81844219917514</v>
      </c>
      <c r="H120" s="162">
        <f t="shared" si="31"/>
        <v>810.4301097005366</v>
      </c>
      <c r="I120" s="158">
        <f t="shared" si="31"/>
        <v>706.27118956648383</v>
      </c>
      <c r="J120" s="158">
        <f t="shared" si="31"/>
        <v>625.55319499208201</v>
      </c>
      <c r="K120" s="158">
        <f t="shared" si="31"/>
        <v>540.28685719248028</v>
      </c>
      <c r="L120" s="46"/>
      <c r="M120" s="79">
        <f t="shared" si="32"/>
        <v>-0.35355495998608888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1"/>
        <v>145.15437248743939</v>
      </c>
      <c r="H121" s="162">
        <f t="shared" si="31"/>
        <v>142.27727396309086</v>
      </c>
      <c r="I121" s="158">
        <f t="shared" si="31"/>
        <v>115.52676250622821</v>
      </c>
      <c r="J121" s="158">
        <f t="shared" si="31"/>
        <v>94.579897865499248</v>
      </c>
      <c r="K121" s="158">
        <f t="shared" si="31"/>
        <v>74.776568322721175</v>
      </c>
      <c r="L121" s="46"/>
      <c r="M121" s="79">
        <f t="shared" si="32"/>
        <v>-0.49465246419449538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1"/>
        <v>62.105974803630112</v>
      </c>
      <c r="H122" s="162">
        <f t="shared" si="31"/>
        <v>60.874974969462436</v>
      </c>
      <c r="I122" s="158">
        <f t="shared" si="31"/>
        <v>55.13119716507866</v>
      </c>
      <c r="J122" s="158">
        <f t="shared" si="31"/>
        <v>50.733267413321542</v>
      </c>
      <c r="K122" s="158">
        <f t="shared" si="31"/>
        <v>45.516464715679916</v>
      </c>
      <c r="L122" s="46"/>
      <c r="M122" s="79">
        <f t="shared" si="32"/>
        <v>-0.27251773156822195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1"/>
        <v>489.67470687148585</v>
      </c>
      <c r="H123" s="162">
        <f t="shared" si="31"/>
        <v>479.96888573493931</v>
      </c>
      <c r="I123" s="158">
        <f t="shared" si="31"/>
        <v>602.08154874253421</v>
      </c>
      <c r="J123" s="158">
        <f t="shared" si="31"/>
        <v>677.9177606371527</v>
      </c>
      <c r="K123" s="158">
        <f t="shared" si="31"/>
        <v>696.14736269190917</v>
      </c>
      <c r="L123" s="46"/>
      <c r="M123" s="79">
        <f t="shared" si="32"/>
        <v>0.43017925110763727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1"/>
        <v>78.598474473880387</v>
      </c>
      <c r="H124" s="162">
        <f t="shared" si="31"/>
        <v>77.040577518730686</v>
      </c>
      <c r="I124" s="158">
        <f t="shared" si="31"/>
        <v>123.50893425949513</v>
      </c>
      <c r="J124" s="158">
        <f t="shared" si="31"/>
        <v>153.89376133489733</v>
      </c>
      <c r="K124" s="158">
        <f t="shared" si="31"/>
        <v>167.07251335211819</v>
      </c>
      <c r="L124" s="46"/>
      <c r="M124" s="79">
        <f t="shared" si="32"/>
        <v>1.1484083028418022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8606.176144892017</v>
      </c>
      <c r="H125" s="163">
        <f>SUM(H118:H124)</f>
        <v>8435.5935006186246</v>
      </c>
      <c r="I125" s="160">
        <f t="shared" ref="I125:K125" si="33">SUM(I118:I124)</f>
        <v>7048.9950131191508</v>
      </c>
      <c r="J125" s="160">
        <f t="shared" si="33"/>
        <v>5968.7554267523792</v>
      </c>
      <c r="K125" s="160">
        <f t="shared" si="33"/>
        <v>4913.2640263025633</v>
      </c>
      <c r="L125" s="21"/>
      <c r="M125" s="79">
        <f t="shared" si="32"/>
        <v>-0.4377773915159181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3436.583147985104</v>
      </c>
      <c r="I129" s="158">
        <f t="shared" ref="I129:K129" si="34">I107+I118</f>
        <v>2214.2753923309579</v>
      </c>
      <c r="J129" s="158">
        <f t="shared" si="34"/>
        <v>1594.1873145262798</v>
      </c>
      <c r="K129" s="158">
        <f t="shared" si="34"/>
        <v>1067.5342204753752</v>
      </c>
      <c r="L129" s="46"/>
      <c r="M129" s="79">
        <f>(K129-G129)/H129</f>
        <v>0.31063826321248156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5">H108+H119</f>
        <v>8441.0961266061222</v>
      </c>
      <c r="I130" s="158">
        <f t="shared" si="35"/>
        <v>6015.1614584806885</v>
      </c>
      <c r="J130" s="158">
        <f t="shared" si="35"/>
        <v>4897.6797011219951</v>
      </c>
      <c r="K130" s="158">
        <f t="shared" si="35"/>
        <v>3831.7812180887749</v>
      </c>
      <c r="L130" s="46"/>
      <c r="M130" s="79">
        <f t="shared" ref="M130:M136" si="36">(K130-G130)/H130</f>
        <v>0.45394355906113865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5"/>
        <v>1402.1888657823201</v>
      </c>
      <c r="I131" s="158">
        <f t="shared" si="35"/>
        <v>1055.6922502203686</v>
      </c>
      <c r="J131" s="158">
        <f t="shared" si="35"/>
        <v>911.21872712756215</v>
      </c>
      <c r="K131" s="158">
        <f t="shared" si="35"/>
        <v>759.07100089762071</v>
      </c>
      <c r="L131" s="46"/>
      <c r="M131" s="79">
        <f t="shared" si="36"/>
        <v>0.54134718897094791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5"/>
        <v>246.16510050277407</v>
      </c>
      <c r="I132" s="158">
        <f t="shared" si="35"/>
        <v>172.68254697708232</v>
      </c>
      <c r="J132" s="158">
        <f t="shared" si="35"/>
        <v>137.77081603099464</v>
      </c>
      <c r="K132" s="158">
        <f t="shared" si="35"/>
        <v>105.05664501144057</v>
      </c>
      <c r="L132" s="46"/>
      <c r="M132" s="79">
        <f t="shared" si="36"/>
        <v>0.42677310795425555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5"/>
        <v>105.32458146020576</v>
      </c>
      <c r="I133" s="158">
        <f t="shared" si="35"/>
        <v>82.406840959022261</v>
      </c>
      <c r="J133" s="158">
        <f t="shared" si="35"/>
        <v>73.901154570834279</v>
      </c>
      <c r="K133" s="158">
        <f t="shared" si="35"/>
        <v>63.947934266969739</v>
      </c>
      <c r="L133" s="46"/>
      <c r="M133" s="79">
        <f t="shared" si="36"/>
        <v>0.60715108838225818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5"/>
        <v>830.43191441660838</v>
      </c>
      <c r="I134" s="158">
        <f t="shared" si="35"/>
        <v>921.73705703780104</v>
      </c>
      <c r="J134" s="158">
        <f t="shared" si="35"/>
        <v>1034.425681116566</v>
      </c>
      <c r="K134" s="158">
        <f t="shared" si="35"/>
        <v>1044.5171513722798</v>
      </c>
      <c r="L134" s="46"/>
      <c r="M134" s="79">
        <f t="shared" si="36"/>
        <v>1.2577998668392576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5"/>
        <v>133.29396170895052</v>
      </c>
      <c r="I135" s="158">
        <f t="shared" si="35"/>
        <v>189.08196376385627</v>
      </c>
      <c r="J135" s="158">
        <f t="shared" si="35"/>
        <v>234.82444056167287</v>
      </c>
      <c r="K135" s="158">
        <f t="shared" si="35"/>
        <v>250.67983457461415</v>
      </c>
      <c r="L135" s="46"/>
      <c r="M135" s="79">
        <f t="shared" si="36"/>
        <v>1.8806540923584936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14595.083698462084</v>
      </c>
      <c r="I136" s="160">
        <f t="shared" ref="I136:K136" si="37">SUM(I129:I135)</f>
        <v>10651.037509769776</v>
      </c>
      <c r="J136" s="160">
        <f t="shared" si="37"/>
        <v>8884.007835055907</v>
      </c>
      <c r="K136" s="160">
        <f t="shared" si="37"/>
        <v>7122.5880046870743</v>
      </c>
      <c r="L136" s="21"/>
      <c r="M136" s="79">
        <f t="shared" si="36"/>
        <v>0.48801282348504771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énergie'!C30</f>
        <v>5.6584972145073235E-2</v>
      </c>
      <c r="I142" s="47">
        <f>H142</f>
        <v>5.6584972145073235E-2</v>
      </c>
      <c r="J142" s="47">
        <f>I142</f>
        <v>5.6584972145073235E-2</v>
      </c>
      <c r="K142" s="47">
        <f>J142</f>
        <v>5.6584972145073235E-2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énergie'!C31</f>
        <v>0.5881912261494745</v>
      </c>
      <c r="I143" s="47">
        <f t="shared" ref="I143:K143" si="38">H143</f>
        <v>0.5881912261494745</v>
      </c>
      <c r="J143" s="47">
        <f t="shared" si="38"/>
        <v>0.5881912261494745</v>
      </c>
      <c r="K143" s="47">
        <f t="shared" si="38"/>
        <v>0.5881912261494745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énergie'!C32</f>
        <v>8.0741361547576412E-2</v>
      </c>
      <c r="I144" s="47">
        <f t="shared" ref="I144:K144" si="39">H144</f>
        <v>8.0741361547576412E-2</v>
      </c>
      <c r="J144" s="47">
        <f t="shared" si="39"/>
        <v>8.0741361547576412E-2</v>
      </c>
      <c r="K144" s="47">
        <f t="shared" si="39"/>
        <v>8.0741361547576412E-2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énergie'!C33</f>
        <v>1.2731783152525081E-2</v>
      </c>
      <c r="I145" s="47">
        <f t="shared" ref="I145:K145" si="40">H145</f>
        <v>1.2731783152525081E-2</v>
      </c>
      <c r="J145" s="47">
        <f t="shared" si="40"/>
        <v>1.2731783152525081E-2</v>
      </c>
      <c r="K145" s="47">
        <f t="shared" si="40"/>
        <v>1.2731783152525081E-2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énergie'!C34</f>
        <v>9.0821371602788342E-3</v>
      </c>
      <c r="I146" s="47">
        <f t="shared" ref="I146:K146" si="41">H146</f>
        <v>9.0821371602788342E-3</v>
      </c>
      <c r="J146" s="47">
        <f t="shared" si="41"/>
        <v>9.0821371602788342E-3</v>
      </c>
      <c r="K146" s="47">
        <f t="shared" si="41"/>
        <v>9.0821371602788342E-3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énergie'!C35</f>
        <v>2.1278159067402536E-2</v>
      </c>
      <c r="I147" s="47">
        <f t="shared" ref="I147:K147" si="42">H147</f>
        <v>2.1278159067402536E-2</v>
      </c>
      <c r="J147" s="47">
        <f t="shared" si="42"/>
        <v>2.1278159067402536E-2</v>
      </c>
      <c r="K147" s="47">
        <f t="shared" si="42"/>
        <v>2.1278159067402536E-2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énergie'!C36</f>
        <v>0.23139036077766945</v>
      </c>
      <c r="I148" s="47">
        <f t="shared" ref="I148:K148" si="43">H148</f>
        <v>0.23139036077766945</v>
      </c>
      <c r="J148" s="47">
        <f t="shared" si="43"/>
        <v>0.23139036077766945</v>
      </c>
      <c r="K148" s="47">
        <f t="shared" si="43"/>
        <v>0.23139036077766945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44">SUM(I142:I148)</f>
        <v>1</v>
      </c>
      <c r="J149" s="15">
        <f t="shared" si="44"/>
        <v>1</v>
      </c>
      <c r="K149" s="15">
        <f t="shared" si="44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39.330342986962108</v>
      </c>
      <c r="J153" s="45">
        <f>K153</f>
        <v>39.330342986962108</v>
      </c>
      <c r="K153" s="45">
        <f t="shared" ref="K153:K159" si="45">K77</f>
        <v>39.330342986962108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6">J154</f>
        <v>33.216089890382953</v>
      </c>
      <c r="J154" s="45">
        <f t="shared" si="46"/>
        <v>33.216089890382953</v>
      </c>
      <c r="K154" s="45">
        <f t="shared" si="45"/>
        <v>33.216089890382953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6"/>
        <v>38.630955882659983</v>
      </c>
      <c r="J155" s="45">
        <f t="shared" si="46"/>
        <v>38.630955882659983</v>
      </c>
      <c r="K155" s="45">
        <f t="shared" si="45"/>
        <v>38.630955882659983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6"/>
        <v>42.77269044732865</v>
      </c>
      <c r="J156" s="45">
        <f t="shared" si="46"/>
        <v>42.77269044732865</v>
      </c>
      <c r="K156" s="45">
        <f t="shared" si="45"/>
        <v>42.77269044732865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6"/>
        <v>26.035718129484845</v>
      </c>
      <c r="J157" s="45">
        <f t="shared" si="46"/>
        <v>26.035718129484845</v>
      </c>
      <c r="K157" s="45">
        <f t="shared" si="45"/>
        <v>26.035718129484845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6"/>
        <v>21.395490486177096</v>
      </c>
      <c r="J158" s="45">
        <f t="shared" si="46"/>
        <v>21.395490486177096</v>
      </c>
      <c r="K158" s="45">
        <f t="shared" si="45"/>
        <v>21.395490486177096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6"/>
        <v>23.620218049926159</v>
      </c>
      <c r="J159" s="45">
        <f t="shared" si="46"/>
        <v>23.620218049926159</v>
      </c>
      <c r="K159" s="45">
        <f t="shared" si="45"/>
        <v>23.620218049926159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7">I$35*I142*I153/1000</f>
        <v>8.5466075337570082</v>
      </c>
      <c r="J163" s="10">
        <f t="shared" si="47"/>
        <v>8.3368964865008977</v>
      </c>
      <c r="K163" s="10">
        <f t="shared" si="47"/>
        <v>8.0975251656465943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8">H$35*H143*H154/1000</f>
        <v>0</v>
      </c>
      <c r="I164" s="10">
        <f t="shared" si="48"/>
        <v>75.029485822485924</v>
      </c>
      <c r="J164" s="10">
        <f t="shared" si="48"/>
        <v>73.188461534805299</v>
      </c>
      <c r="K164" s="10">
        <f t="shared" si="48"/>
        <v>71.087053806252115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8"/>
        <v>0</v>
      </c>
      <c r="I165" s="10">
        <f t="shared" si="48"/>
        <v>11.978334705560897</v>
      </c>
      <c r="J165" s="10">
        <f t="shared" si="48"/>
        <v>11.684418188911968</v>
      </c>
      <c r="K165" s="10">
        <f t="shared" si="48"/>
        <v>11.348931881768454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8"/>
        <v>0</v>
      </c>
      <c r="I166" s="10">
        <f t="shared" si="48"/>
        <v>2.0913211178624658</v>
      </c>
      <c r="J166" s="10">
        <f t="shared" si="48"/>
        <v>2.040005652627459</v>
      </c>
      <c r="K166" s="10">
        <f t="shared" si="48"/>
        <v>1.9814324355543709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8"/>
        <v>0</v>
      </c>
      <c r="I167" s="10">
        <f t="shared" si="48"/>
        <v>0.90807671296156256</v>
      </c>
      <c r="J167" s="10">
        <f t="shared" si="48"/>
        <v>0.88579492247195746</v>
      </c>
      <c r="K167" s="10">
        <f t="shared" si="48"/>
        <v>0.86036172908380937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8"/>
        <v>0</v>
      </c>
      <c r="I168" s="10">
        <f t="shared" si="48"/>
        <v>1.7483211818784079</v>
      </c>
      <c r="J168" s="10">
        <f t="shared" si="48"/>
        <v>1.7054220239910693</v>
      </c>
      <c r="K168" s="10">
        <f t="shared" si="48"/>
        <v>1.6564554663328606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8"/>
        <v>0</v>
      </c>
      <c r="I169" s="10">
        <f t="shared" si="48"/>
        <v>20.989113054658727</v>
      </c>
      <c r="J169" s="10">
        <f t="shared" si="48"/>
        <v>20.474095971882441</v>
      </c>
      <c r="K169" s="10">
        <f t="shared" si="48"/>
        <v>19.886237959728536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9">SUM(I163:I169)</f>
        <v>121.291260129165</v>
      </c>
      <c r="J170" s="11">
        <f t="shared" si="49"/>
        <v>118.31509478119111</v>
      </c>
      <c r="K170" s="11">
        <f t="shared" si="49"/>
        <v>114.91799844436672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C27:O27"/>
    <mergeCell ref="C1:O1"/>
    <mergeCell ref="C3:O3"/>
    <mergeCell ref="F5:K5"/>
    <mergeCell ref="F11:K11"/>
    <mergeCell ref="F22:K22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GB1589"/>
  <sheetViews>
    <sheetView showGridLines="0" zoomScaleNormal="100" workbookViewId="0">
      <selection activeCell="C2" sqref="C2"/>
    </sheetView>
  </sheetViews>
  <sheetFormatPr baseColWidth="10" defaultColWidth="11.453125" defaultRowHeight="10.5"/>
  <cols>
    <col min="1" max="1" width="2.81640625" style="56" customWidth="1"/>
    <col min="2" max="4" width="2.81640625" style="17" customWidth="1"/>
    <col min="5" max="5" width="21.453125" style="1" customWidth="1"/>
    <col min="6" max="6" width="11.81640625" style="1" customWidth="1"/>
    <col min="7" max="7" width="12.81640625" style="1" customWidth="1"/>
    <col min="8" max="11" width="11.81640625" style="1" customWidth="1"/>
    <col min="12" max="12" width="2.1796875" style="17" customWidth="1"/>
    <col min="13" max="13" width="35" style="72" customWidth="1"/>
    <col min="14" max="15" width="2.81640625" style="17" customWidth="1"/>
    <col min="16" max="16" width="11.453125" style="17"/>
    <col min="17" max="27" width="7.1796875" style="17" customWidth="1"/>
    <col min="28" max="184" width="11.453125" style="17"/>
    <col min="185" max="16384" width="11.453125" style="1"/>
  </cols>
  <sheetData>
    <row r="1" spans="1:15" s="56" customFormat="1" ht="18.5">
      <c r="C1" s="301" t="s">
        <v>244</v>
      </c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15" s="17" customFormat="1" ht="11" thickBot="1">
      <c r="A2" s="56"/>
      <c r="M2" s="65"/>
    </row>
    <row r="3" spans="1:15" ht="15.5">
      <c r="C3" s="302" t="s">
        <v>65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/>
    </row>
    <row r="4" spans="1:15" s="17" customFormat="1" ht="13">
      <c r="A4" s="56"/>
      <c r="C4" s="22"/>
      <c r="E4" s="28"/>
      <c r="F4" s="28"/>
      <c r="G4" s="103"/>
      <c r="H4" s="28"/>
      <c r="I4" s="28"/>
      <c r="J4" s="28"/>
      <c r="K4" s="28"/>
      <c r="L4" s="28"/>
      <c r="M4" s="65"/>
      <c r="O4" s="23"/>
    </row>
    <row r="5" spans="1:15">
      <c r="C5" s="22"/>
      <c r="E5" s="58"/>
      <c r="F5" s="305" t="s">
        <v>66</v>
      </c>
      <c r="G5" s="305"/>
      <c r="H5" s="305"/>
      <c r="I5" s="305"/>
      <c r="J5" s="305"/>
      <c r="K5" s="305"/>
      <c r="L5" s="62"/>
      <c r="M5" s="65"/>
      <c r="O5" s="23"/>
    </row>
    <row r="6" spans="1:15">
      <c r="C6" s="22"/>
      <c r="E6" s="8" t="s">
        <v>27</v>
      </c>
      <c r="F6" s="9"/>
      <c r="G6" s="9">
        <v>2010</v>
      </c>
      <c r="H6" s="9">
        <v>2020</v>
      </c>
      <c r="I6" s="9">
        <v>2030</v>
      </c>
      <c r="J6" s="9">
        <v>2040</v>
      </c>
      <c r="K6" s="9">
        <v>2050</v>
      </c>
      <c r="L6" s="29"/>
      <c r="M6" s="65"/>
      <c r="O6" s="23"/>
    </row>
    <row r="7" spans="1:15">
      <c r="C7" s="22"/>
      <c r="E7" s="3" t="s">
        <v>28</v>
      </c>
      <c r="F7" s="10"/>
      <c r="G7" s="10"/>
      <c r="H7" s="10">
        <f t="shared" ref="H7:K8" si="0">H34</f>
        <v>72592</v>
      </c>
      <c r="I7" s="10">
        <f t="shared" si="0"/>
        <v>80864.731484243006</v>
      </c>
      <c r="J7" s="10">
        <f t="shared" si="0"/>
        <v>89173.42370429248</v>
      </c>
      <c r="K7" s="10">
        <f t="shared" si="0"/>
        <v>95523.463120492786</v>
      </c>
      <c r="L7" s="46"/>
      <c r="M7" s="98"/>
      <c r="O7" s="23"/>
    </row>
    <row r="8" spans="1:15" s="17" customFormat="1" ht="21">
      <c r="A8" s="56"/>
      <c r="C8" s="22"/>
      <c r="E8" s="83" t="s">
        <v>29</v>
      </c>
      <c r="F8" s="94"/>
      <c r="G8" s="94"/>
      <c r="H8" s="76">
        <f>H35</f>
        <v>0</v>
      </c>
      <c r="I8" s="76">
        <f>I35</f>
        <v>3840.2979556716878</v>
      </c>
      <c r="J8" s="76">
        <f t="shared" si="0"/>
        <v>3746.0672444943634</v>
      </c>
      <c r="K8" s="76">
        <f t="shared" si="0"/>
        <v>3638.5091063100158</v>
      </c>
      <c r="M8" s="99"/>
      <c r="O8" s="23"/>
    </row>
    <row r="9" spans="1:15" s="17" customFormat="1">
      <c r="A9" s="56"/>
      <c r="C9" s="22"/>
      <c r="E9" s="83" t="s">
        <v>30</v>
      </c>
      <c r="F9" s="95"/>
      <c r="G9" s="96"/>
      <c r="H9" s="96">
        <f t="shared" ref="H9:K9" si="1">H36</f>
        <v>72592</v>
      </c>
      <c r="I9" s="96">
        <f t="shared" si="1"/>
        <v>77024.433528571317</v>
      </c>
      <c r="J9" s="96">
        <f t="shared" si="1"/>
        <v>85427.356459798117</v>
      </c>
      <c r="K9" s="96">
        <f t="shared" si="1"/>
        <v>91884.954014182775</v>
      </c>
      <c r="M9" s="100"/>
      <c r="O9" s="23"/>
    </row>
    <row r="10" spans="1:15" s="17" customFormat="1">
      <c r="A10" s="56"/>
      <c r="C10" s="22"/>
      <c r="M10" s="65"/>
      <c r="O10" s="23"/>
    </row>
    <row r="11" spans="1:15">
      <c r="C11" s="22"/>
      <c r="F11" s="306" t="s">
        <v>67</v>
      </c>
      <c r="G11" s="307"/>
      <c r="H11" s="307"/>
      <c r="I11" s="307"/>
      <c r="J11" s="307"/>
      <c r="K11" s="308"/>
      <c r="L11" s="62"/>
      <c r="M11" s="65"/>
      <c r="O11" s="23"/>
    </row>
    <row r="12" spans="1:15">
      <c r="C12" s="22"/>
      <c r="E12" s="8" t="s">
        <v>20</v>
      </c>
      <c r="F12" s="9"/>
      <c r="G12" s="9">
        <v>2010</v>
      </c>
      <c r="H12" s="9">
        <v>2020</v>
      </c>
      <c r="I12" s="9">
        <v>2030</v>
      </c>
      <c r="J12" s="9">
        <v>2040</v>
      </c>
      <c r="K12" s="9">
        <v>2050</v>
      </c>
      <c r="L12" s="29"/>
      <c r="M12" s="65"/>
      <c r="O12" s="23"/>
    </row>
    <row r="13" spans="1:15">
      <c r="C13" s="22"/>
      <c r="E13" s="126" t="s">
        <v>15</v>
      </c>
      <c r="F13" s="86"/>
      <c r="G13" s="86"/>
      <c r="H13" s="86">
        <f>H129+H163</f>
        <v>1843.8368</v>
      </c>
      <c r="I13" s="86">
        <f t="shared" ref="I13:K13" si="2">I129+I163</f>
        <v>1356.591617460489</v>
      </c>
      <c r="J13" s="86">
        <f t="shared" si="2"/>
        <v>1120.1971472449666</v>
      </c>
      <c r="K13" s="86">
        <f t="shared" si="2"/>
        <v>859.72893757031011</v>
      </c>
      <c r="L13" s="21"/>
      <c r="M13" s="65"/>
      <c r="O13" s="23"/>
    </row>
    <row r="14" spans="1:15">
      <c r="C14" s="22"/>
      <c r="E14" s="126" t="s">
        <v>16</v>
      </c>
      <c r="F14" s="86"/>
      <c r="G14" s="86"/>
      <c r="H14" s="86">
        <f t="shared" ref="H14:K19" si="3">H130+H164</f>
        <v>3665.8959999999997</v>
      </c>
      <c r="I14" s="86">
        <f t="shared" si="3"/>
        <v>3203.8185447183646</v>
      </c>
      <c r="J14" s="86">
        <f t="shared" si="3"/>
        <v>3143.1475646701028</v>
      </c>
      <c r="K14" s="86">
        <f t="shared" si="3"/>
        <v>2965.1203819505367</v>
      </c>
      <c r="L14" s="21"/>
      <c r="M14" s="65"/>
      <c r="O14" s="23"/>
    </row>
    <row r="15" spans="1:15">
      <c r="C15" s="22"/>
      <c r="E15" s="126" t="s">
        <v>21</v>
      </c>
      <c r="F15" s="86"/>
      <c r="G15" s="86"/>
      <c r="H15" s="86">
        <f t="shared" si="3"/>
        <v>217.77599999999995</v>
      </c>
      <c r="I15" s="86">
        <f t="shared" si="3"/>
        <v>216.09122506427667</v>
      </c>
      <c r="J15" s="86">
        <f t="shared" si="3"/>
        <v>237.64106700875459</v>
      </c>
      <c r="K15" s="86">
        <f t="shared" si="3"/>
        <v>249.68696132453832</v>
      </c>
      <c r="L15" s="46"/>
      <c r="M15" s="65"/>
      <c r="O15" s="23"/>
    </row>
    <row r="16" spans="1:15">
      <c r="C16" s="22"/>
      <c r="E16" s="126" t="s">
        <v>22</v>
      </c>
      <c r="F16" s="10"/>
      <c r="G16" s="10"/>
      <c r="H16" s="86">
        <f t="shared" si="3"/>
        <v>36.295999999999999</v>
      </c>
      <c r="I16" s="86">
        <f t="shared" si="3"/>
        <v>32.464647106080861</v>
      </c>
      <c r="J16" s="86">
        <f t="shared" si="3"/>
        <v>32.543512405282137</v>
      </c>
      <c r="K16" s="86">
        <f t="shared" si="3"/>
        <v>31.416212002331349</v>
      </c>
      <c r="L16" s="46"/>
      <c r="M16" s="65"/>
      <c r="O16" s="23"/>
    </row>
    <row r="17" spans="1:15">
      <c r="C17" s="22"/>
      <c r="E17" s="126" t="s">
        <v>42</v>
      </c>
      <c r="F17" s="10"/>
      <c r="G17" s="10"/>
      <c r="H17" s="86">
        <f t="shared" si="3"/>
        <v>108.88799999999998</v>
      </c>
      <c r="I17" s="86">
        <f t="shared" si="3"/>
        <v>74.057042229354209</v>
      </c>
      <c r="J17" s="86">
        <f t="shared" si="3"/>
        <v>53.266886056588604</v>
      </c>
      <c r="K17" s="86">
        <f t="shared" si="3"/>
        <v>31.132243478358717</v>
      </c>
      <c r="L17" s="46"/>
      <c r="M17" s="65"/>
      <c r="O17" s="23"/>
    </row>
    <row r="18" spans="1:15">
      <c r="C18" s="22"/>
      <c r="E18" s="126" t="s">
        <v>48</v>
      </c>
      <c r="F18" s="10"/>
      <c r="G18" s="86"/>
      <c r="H18" s="86">
        <f t="shared" si="3"/>
        <v>999.59184000000005</v>
      </c>
      <c r="I18" s="86">
        <f t="shared" si="3"/>
        <v>922.29034013060584</v>
      </c>
      <c r="J18" s="86">
        <f t="shared" si="3"/>
        <v>970.65965872177981</v>
      </c>
      <c r="K18" s="86">
        <f t="shared" si="3"/>
        <v>970.8783354247339</v>
      </c>
      <c r="L18" s="46"/>
      <c r="M18" s="65"/>
      <c r="O18" s="23"/>
    </row>
    <row r="19" spans="1:15">
      <c r="C19" s="22"/>
      <c r="E19" s="126" t="s">
        <v>49</v>
      </c>
      <c r="F19" s="10"/>
      <c r="G19" s="86"/>
      <c r="H19" s="86">
        <f t="shared" si="3"/>
        <v>97.999199999999973</v>
      </c>
      <c r="I19" s="86">
        <f t="shared" si="3"/>
        <v>115.67960342066006</v>
      </c>
      <c r="J19" s="86">
        <f t="shared" si="3"/>
        <v>127.64079156133455</v>
      </c>
      <c r="K19" s="86">
        <f t="shared" si="3"/>
        <v>133.13535768504175</v>
      </c>
      <c r="L19" s="46"/>
      <c r="M19" s="65"/>
      <c r="O19" s="23"/>
    </row>
    <row r="20" spans="1:15">
      <c r="C20" s="22"/>
      <c r="E20" s="12" t="s">
        <v>17</v>
      </c>
      <c r="F20" s="13"/>
      <c r="G20" s="13"/>
      <c r="H20" s="13">
        <f>SUM(H13:H19)</f>
        <v>6970.2838400000001</v>
      </c>
      <c r="I20" s="13">
        <f t="shared" ref="I20:K20" si="4">SUM(I13:I19)</f>
        <v>5920.9930201298312</v>
      </c>
      <c r="J20" s="13">
        <f t="shared" si="4"/>
        <v>5685.0966276688087</v>
      </c>
      <c r="K20" s="13">
        <f t="shared" si="4"/>
        <v>5241.0984294358514</v>
      </c>
      <c r="L20" s="21"/>
      <c r="M20" s="65"/>
      <c r="O20" s="23"/>
    </row>
    <row r="21" spans="1:15">
      <c r="C21" s="22"/>
      <c r="E21" s="65"/>
      <c r="F21" s="65"/>
      <c r="G21" s="65"/>
      <c r="H21" s="65"/>
      <c r="I21" s="65"/>
      <c r="J21" s="65"/>
      <c r="K21" s="65"/>
      <c r="L21" s="65"/>
      <c r="M21" s="65"/>
      <c r="O21" s="23"/>
    </row>
    <row r="22" spans="1:15">
      <c r="C22" s="22"/>
      <c r="E22" s="65"/>
      <c r="F22" s="306" t="s">
        <v>107</v>
      </c>
      <c r="G22" s="307"/>
      <c r="H22" s="307"/>
      <c r="I22" s="307"/>
      <c r="J22" s="307"/>
      <c r="K22" s="308"/>
      <c r="L22" s="65"/>
      <c r="M22" s="65"/>
      <c r="O22" s="23"/>
    </row>
    <row r="23" spans="1:15" ht="21">
      <c r="C23" s="22"/>
      <c r="E23" s="192" t="s">
        <v>108</v>
      </c>
      <c r="F23" s="65"/>
      <c r="G23" s="65"/>
      <c r="H23" s="65"/>
      <c r="I23" s="193">
        <f>I114/$G114-1</f>
        <v>-0.36336428095185713</v>
      </c>
      <c r="J23" s="193">
        <f t="shared" ref="J23:K23" si="5">J114/$G114-1</f>
        <v>-0.41159248636352419</v>
      </c>
      <c r="K23" s="193">
        <f t="shared" si="5"/>
        <v>-0.49369101821587635</v>
      </c>
      <c r="L23" s="65"/>
      <c r="M23" s="65"/>
      <c r="O23" s="23"/>
    </row>
    <row r="24" spans="1:15" ht="21">
      <c r="C24" s="22"/>
      <c r="E24" s="192" t="s">
        <v>109</v>
      </c>
      <c r="F24" s="65"/>
      <c r="G24" s="65"/>
      <c r="H24" s="65"/>
      <c r="I24" s="193">
        <f>I125/$G125-1</f>
        <v>-8.5657906315261934E-2</v>
      </c>
      <c r="J24" s="193">
        <f t="shared" ref="J24:K24" si="6">J125/$G125-1</f>
        <v>-0.1094661478319453</v>
      </c>
      <c r="K24" s="193">
        <f t="shared" si="6"/>
        <v>-0.15979607331722245</v>
      </c>
      <c r="L24" s="65"/>
      <c r="M24" s="65"/>
      <c r="O24" s="23"/>
    </row>
    <row r="25" spans="1:15" s="17" customFormat="1" ht="11" thickBot="1">
      <c r="A25" s="56"/>
      <c r="C25" s="24"/>
      <c r="D25" s="44"/>
      <c r="E25" s="25"/>
      <c r="F25" s="26"/>
      <c r="G25" s="26"/>
      <c r="H25" s="26"/>
      <c r="I25" s="26"/>
      <c r="J25" s="26"/>
      <c r="K25" s="26"/>
      <c r="L25" s="26"/>
      <c r="M25" s="70"/>
      <c r="N25" s="44"/>
      <c r="O25" s="27"/>
    </row>
    <row r="26" spans="1:15" s="17" customFormat="1" ht="11" thickBot="1">
      <c r="A26" s="56"/>
      <c r="M26" s="65"/>
    </row>
    <row r="27" spans="1:15" ht="15.5">
      <c r="C27" s="309" t="s">
        <v>68</v>
      </c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1"/>
    </row>
    <row r="28" spans="1:15" s="17" customFormat="1" ht="13.5" thickBot="1">
      <c r="A28" s="56"/>
      <c r="C28" s="40"/>
      <c r="E28" s="41"/>
      <c r="F28" s="41"/>
      <c r="G28" s="41"/>
      <c r="H28" s="41"/>
      <c r="I28" s="41"/>
      <c r="J28" s="41"/>
      <c r="K28" s="41"/>
      <c r="L28" s="41"/>
      <c r="M28" s="65"/>
      <c r="O28" s="42"/>
    </row>
    <row r="29" spans="1:15" ht="15" customHeight="1">
      <c r="C29" s="40"/>
      <c r="D29" s="312" t="s">
        <v>31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4"/>
      <c r="O29" s="42"/>
    </row>
    <row r="30" spans="1:15" s="17" customFormat="1">
      <c r="A30" s="56"/>
      <c r="C30" s="40"/>
      <c r="D30" s="32"/>
      <c r="E30" s="37"/>
      <c r="M30" s="65"/>
      <c r="N30" s="33"/>
      <c r="O30" s="42"/>
    </row>
    <row r="31" spans="1:15" s="17" customFormat="1">
      <c r="A31" s="56"/>
      <c r="C31" s="40"/>
      <c r="D31" s="32"/>
      <c r="E31" s="37"/>
      <c r="M31" s="65"/>
      <c r="N31" s="33"/>
      <c r="O31" s="42"/>
    </row>
    <row r="32" spans="1:15" s="17" customFormat="1">
      <c r="A32" s="56"/>
      <c r="C32" s="40"/>
      <c r="D32" s="32"/>
      <c r="E32" s="58"/>
      <c r="F32" s="315" t="s">
        <v>69</v>
      </c>
      <c r="G32" s="316"/>
      <c r="H32" s="316"/>
      <c r="I32" s="316"/>
      <c r="J32" s="316"/>
      <c r="K32" s="317"/>
      <c r="M32" s="65"/>
      <c r="N32" s="33"/>
      <c r="O32" s="42"/>
    </row>
    <row r="33" spans="1:17" s="17" customFormat="1">
      <c r="A33" s="56"/>
      <c r="C33" s="40"/>
      <c r="D33" s="32"/>
      <c r="E33" s="5" t="s">
        <v>33</v>
      </c>
      <c r="F33" s="4"/>
      <c r="G33" s="4">
        <v>2010</v>
      </c>
      <c r="H33" s="4">
        <v>2020</v>
      </c>
      <c r="I33" s="4">
        <v>2030</v>
      </c>
      <c r="J33" s="4">
        <v>2040</v>
      </c>
      <c r="K33" s="4">
        <v>2050</v>
      </c>
      <c r="L33" s="65"/>
      <c r="M33" s="65"/>
      <c r="N33" s="65"/>
      <c r="O33" s="42"/>
    </row>
    <row r="34" spans="1:17" s="17" customFormat="1">
      <c r="A34" s="56"/>
      <c r="C34" s="40"/>
      <c r="D34" s="32"/>
      <c r="E34" s="60" t="s">
        <v>34</v>
      </c>
      <c r="F34" s="55"/>
      <c r="G34" s="200">
        <f>H34</f>
        <v>72592</v>
      </c>
      <c r="H34" s="127">
        <f>'Init. parc'!C8</f>
        <v>72592</v>
      </c>
      <c r="I34" s="127">
        <f>'Init. parc'!D8</f>
        <v>80864.731484243006</v>
      </c>
      <c r="J34" s="127">
        <f>'Init. parc'!E8</f>
        <v>89173.42370429248</v>
      </c>
      <c r="K34" s="127">
        <f>'Init. parc'!F8</f>
        <v>95523.463120492786</v>
      </c>
      <c r="L34" s="65"/>
      <c r="M34" s="65"/>
      <c r="N34" s="65"/>
      <c r="O34" s="42"/>
    </row>
    <row r="35" spans="1:17" s="17" customFormat="1" ht="21">
      <c r="A35" s="56"/>
      <c r="C35" s="40"/>
      <c r="D35" s="32"/>
      <c r="E35" s="83" t="s">
        <v>29</v>
      </c>
      <c r="F35" s="55"/>
      <c r="G35" s="200"/>
      <c r="H35" s="127">
        <v>0</v>
      </c>
      <c r="I35" s="127">
        <f>'Init. parc'!N7</f>
        <v>3840.2979556716878</v>
      </c>
      <c r="J35" s="127">
        <f>'Init. parc'!O7</f>
        <v>3746.0672444943634</v>
      </c>
      <c r="K35" s="127">
        <f>'Init. parc'!P7</f>
        <v>3638.5091063100158</v>
      </c>
      <c r="L35" s="65"/>
      <c r="M35" s="65"/>
      <c r="N35" s="65"/>
      <c r="O35" s="42"/>
    </row>
    <row r="36" spans="1:17" s="17" customFormat="1">
      <c r="A36" s="56"/>
      <c r="C36" s="40"/>
      <c r="D36" s="32"/>
      <c r="E36" s="83" t="s">
        <v>30</v>
      </c>
      <c r="F36" s="55"/>
      <c r="G36" s="200">
        <f>G34-G35</f>
        <v>72592</v>
      </c>
      <c r="H36" s="127">
        <f>H34-H35</f>
        <v>72592</v>
      </c>
      <c r="I36" s="127">
        <f>I34-I35</f>
        <v>77024.433528571317</v>
      </c>
      <c r="J36" s="127">
        <f>J34-J35</f>
        <v>85427.356459798117</v>
      </c>
      <c r="K36" s="127">
        <f>K34-K35</f>
        <v>91884.954014182775</v>
      </c>
      <c r="L36" s="65"/>
      <c r="M36" s="65"/>
      <c r="N36" s="65"/>
      <c r="O36" s="42"/>
    </row>
    <row r="37" spans="1:17" s="17" customFormat="1" ht="11" thickBot="1">
      <c r="A37" s="56"/>
      <c r="C37" s="40"/>
      <c r="D37" s="34"/>
      <c r="E37" s="35"/>
      <c r="F37" s="35"/>
      <c r="G37" s="35"/>
      <c r="H37" s="35"/>
      <c r="I37" s="35"/>
      <c r="J37" s="35"/>
      <c r="K37" s="35"/>
      <c r="L37" s="35"/>
      <c r="M37" s="73"/>
      <c r="N37" s="36"/>
      <c r="O37" s="42"/>
    </row>
    <row r="38" spans="1:17" s="17" customFormat="1" ht="11" thickBot="1">
      <c r="A38" s="56"/>
      <c r="C38" s="40"/>
      <c r="M38" s="65"/>
      <c r="O38" s="42"/>
    </row>
    <row r="39" spans="1:17" ht="15" customHeight="1">
      <c r="C39" s="40"/>
      <c r="D39" s="312" t="s">
        <v>24</v>
      </c>
      <c r="E39" s="313"/>
      <c r="F39" s="313"/>
      <c r="G39" s="313"/>
      <c r="H39" s="313"/>
      <c r="I39" s="313"/>
      <c r="J39" s="313"/>
      <c r="K39" s="313"/>
      <c r="L39" s="313"/>
      <c r="M39" s="313"/>
      <c r="N39" s="314"/>
      <c r="O39" s="42"/>
    </row>
    <row r="40" spans="1:17" s="17" customFormat="1">
      <c r="A40" s="56"/>
      <c r="C40" s="40"/>
      <c r="D40" s="32"/>
      <c r="M40" s="65"/>
      <c r="N40" s="38"/>
      <c r="O40" s="43"/>
      <c r="Q40" s="19"/>
    </row>
    <row r="41" spans="1:17" s="17" customFormat="1">
      <c r="A41" s="56"/>
      <c r="C41" s="40"/>
      <c r="D41" s="32"/>
      <c r="E41" s="298" t="s">
        <v>79</v>
      </c>
      <c r="F41" s="298"/>
      <c r="G41" s="298"/>
      <c r="H41" s="298"/>
      <c r="I41" s="298"/>
      <c r="J41" s="298"/>
      <c r="K41" s="298"/>
      <c r="L41" s="298"/>
      <c r="M41" s="298"/>
      <c r="N41" s="38"/>
      <c r="O41" s="43"/>
      <c r="Q41" s="19"/>
    </row>
    <row r="42" spans="1:17" s="17" customFormat="1">
      <c r="A42" s="56"/>
      <c r="C42" s="40"/>
      <c r="D42" s="32"/>
      <c r="M42" s="65"/>
      <c r="N42" s="38"/>
      <c r="O42" s="43"/>
      <c r="Q42" s="19"/>
    </row>
    <row r="43" spans="1:17" ht="22.5" customHeight="1">
      <c r="C43" s="40"/>
      <c r="D43" s="32"/>
      <c r="F43" s="299" t="s">
        <v>99</v>
      </c>
      <c r="G43" s="299"/>
      <c r="H43" s="299"/>
      <c r="I43" s="299"/>
      <c r="J43" s="299"/>
      <c r="K43" s="299"/>
      <c r="L43" s="58"/>
      <c r="M43" s="71"/>
      <c r="N43" s="38"/>
      <c r="O43" s="43"/>
      <c r="Q43" s="19"/>
    </row>
    <row r="44" spans="1:17">
      <c r="C44" s="40"/>
      <c r="D44" s="32"/>
      <c r="E44" s="5" t="s">
        <v>20</v>
      </c>
      <c r="F44" s="4"/>
      <c r="G44" s="4">
        <v>2010</v>
      </c>
      <c r="H44" s="4">
        <v>2020</v>
      </c>
      <c r="I44" s="4">
        <v>2030</v>
      </c>
      <c r="J44" s="4">
        <v>2040</v>
      </c>
      <c r="K44" s="4">
        <v>2050</v>
      </c>
      <c r="L44" s="29"/>
      <c r="M44" s="61" t="s">
        <v>32</v>
      </c>
      <c r="N44" s="33"/>
      <c r="O44" s="43"/>
      <c r="Q44" s="19"/>
    </row>
    <row r="45" spans="1:17" ht="11.25" customHeight="1">
      <c r="C45" s="40"/>
      <c r="D45" s="32"/>
      <c r="E45" s="6" t="s">
        <v>15</v>
      </c>
      <c r="F45" s="55"/>
      <c r="G45" s="55">
        <f>H45</f>
        <v>0.2</v>
      </c>
      <c r="H45" s="55">
        <f>'Init. énergie'!B39</f>
        <v>0.2</v>
      </c>
      <c r="I45" s="47">
        <f>H45+((K45-H45)/3)</f>
        <v>0.17333333333333334</v>
      </c>
      <c r="J45" s="47">
        <f>H45+((K45-H45)/3*2)</f>
        <v>0.14666666666666667</v>
      </c>
      <c r="K45" s="47">
        <v>0.12</v>
      </c>
      <c r="L45" s="64"/>
      <c r="M45" s="295"/>
      <c r="N45" s="39"/>
      <c r="O45" s="42"/>
      <c r="Q45" s="19"/>
    </row>
    <row r="46" spans="1:17">
      <c r="C46" s="40"/>
      <c r="D46" s="32"/>
      <c r="E46" s="6" t="s">
        <v>16</v>
      </c>
      <c r="F46" s="55"/>
      <c r="G46" s="55">
        <f t="shared" ref="G46:G51" si="7">H46</f>
        <v>0.5</v>
      </c>
      <c r="H46" s="55">
        <f>'Init. énergie'!B40</f>
        <v>0.5</v>
      </c>
      <c r="I46" s="47">
        <f t="shared" ref="I46:I51" si="8">H46+((K46-H46)/3)</f>
        <v>0.5</v>
      </c>
      <c r="J46" s="47">
        <f t="shared" ref="J46:J51" si="9">H46+((K46-H46)/3*2)</f>
        <v>0.5</v>
      </c>
      <c r="K46" s="47">
        <v>0.5</v>
      </c>
      <c r="L46" s="64"/>
      <c r="M46" s="296"/>
      <c r="N46" s="33"/>
      <c r="O46" s="42"/>
      <c r="Q46" s="20"/>
    </row>
    <row r="47" spans="1:17">
      <c r="C47" s="40"/>
      <c r="D47" s="32"/>
      <c r="E47" s="6" t="s">
        <v>75</v>
      </c>
      <c r="F47" s="55"/>
      <c r="G47" s="55">
        <f t="shared" si="7"/>
        <v>0.06</v>
      </c>
      <c r="H47" s="55">
        <f>'Init. énergie'!B41</f>
        <v>0.06</v>
      </c>
      <c r="I47" s="47">
        <f t="shared" si="8"/>
        <v>6.6666666666666666E-2</v>
      </c>
      <c r="J47" s="47">
        <f t="shared" si="9"/>
        <v>7.3333333333333334E-2</v>
      </c>
      <c r="K47" s="47">
        <v>0.08</v>
      </c>
      <c r="L47" s="64"/>
      <c r="M47" s="296"/>
      <c r="N47" s="33"/>
      <c r="O47" s="42"/>
    </row>
    <row r="48" spans="1:17">
      <c r="C48" s="40"/>
      <c r="D48" s="32"/>
      <c r="E48" s="6" t="s">
        <v>22</v>
      </c>
      <c r="F48" s="55"/>
      <c r="G48" s="55">
        <f t="shared" si="7"/>
        <v>0.01</v>
      </c>
      <c r="H48" s="55">
        <f>'Init. énergie'!B42</f>
        <v>0.01</v>
      </c>
      <c r="I48" s="47">
        <f t="shared" si="8"/>
        <v>0.01</v>
      </c>
      <c r="J48" s="47">
        <f t="shared" si="9"/>
        <v>0.01</v>
      </c>
      <c r="K48" s="47">
        <v>0.01</v>
      </c>
      <c r="L48" s="64"/>
      <c r="M48" s="296"/>
      <c r="N48" s="33"/>
      <c r="O48" s="42"/>
    </row>
    <row r="49" spans="1:17">
      <c r="C49" s="40"/>
      <c r="D49" s="32"/>
      <c r="E49" s="6" t="s">
        <v>42</v>
      </c>
      <c r="F49" s="55"/>
      <c r="G49" s="55">
        <f t="shared" si="7"/>
        <v>0.03</v>
      </c>
      <c r="H49" s="55">
        <f>'Init. énergie'!B43</f>
        <v>0.03</v>
      </c>
      <c r="I49" s="47">
        <f t="shared" si="8"/>
        <v>2.3333333333333334E-2</v>
      </c>
      <c r="J49" s="47">
        <f t="shared" si="9"/>
        <v>1.666666666666667E-2</v>
      </c>
      <c r="K49" s="47">
        <v>0.01</v>
      </c>
      <c r="L49" s="64"/>
      <c r="M49" s="296"/>
      <c r="N49" s="33"/>
      <c r="O49" s="42"/>
    </row>
    <row r="50" spans="1:17">
      <c r="C50" s="40"/>
      <c r="D50" s="32"/>
      <c r="E50" s="6" t="s">
        <v>25</v>
      </c>
      <c r="F50" s="55"/>
      <c r="G50" s="55">
        <f t="shared" si="7"/>
        <v>0.17</v>
      </c>
      <c r="H50" s="55">
        <f>'Init. énergie'!B44</f>
        <v>0.17</v>
      </c>
      <c r="I50" s="47">
        <f t="shared" si="8"/>
        <v>0.19</v>
      </c>
      <c r="J50" s="47">
        <f t="shared" si="9"/>
        <v>0.21</v>
      </c>
      <c r="K50" s="47">
        <f>1-K45-K46-K47-K48-K49-K51</f>
        <v>0.22999999999999998</v>
      </c>
      <c r="L50" s="64"/>
      <c r="M50" s="296"/>
      <c r="N50" s="33"/>
      <c r="O50" s="42"/>
    </row>
    <row r="51" spans="1:17">
      <c r="C51" s="40"/>
      <c r="D51" s="32"/>
      <c r="E51" s="6" t="s">
        <v>26</v>
      </c>
      <c r="F51" s="55"/>
      <c r="G51" s="55">
        <f t="shared" si="7"/>
        <v>0.03</v>
      </c>
      <c r="H51" s="55">
        <f>'Init. énergie'!B45</f>
        <v>0.03</v>
      </c>
      <c r="I51" s="47">
        <f t="shared" si="8"/>
        <v>3.6666666666666667E-2</v>
      </c>
      <c r="J51" s="47">
        <f t="shared" si="9"/>
        <v>4.3333333333333335E-2</v>
      </c>
      <c r="K51" s="125">
        <v>0.05</v>
      </c>
      <c r="L51" s="64"/>
      <c r="M51" s="297"/>
      <c r="N51" s="33"/>
      <c r="O51" s="42"/>
    </row>
    <row r="52" spans="1:17">
      <c r="C52" s="40"/>
      <c r="D52" s="32"/>
      <c r="E52" s="7" t="s">
        <v>17</v>
      </c>
      <c r="F52" s="53"/>
      <c r="G52" s="164">
        <f t="shared" ref="G52:J52" si="10">SUM(G45:G51)</f>
        <v>1</v>
      </c>
      <c r="H52" s="164">
        <f t="shared" si="10"/>
        <v>1</v>
      </c>
      <c r="I52" s="170">
        <f t="shared" si="10"/>
        <v>1</v>
      </c>
      <c r="J52" s="170">
        <f t="shared" si="10"/>
        <v>1</v>
      </c>
      <c r="K52" s="170">
        <f>SUM(K45:K51)</f>
        <v>1</v>
      </c>
      <c r="L52" s="63"/>
      <c r="N52" s="33"/>
      <c r="O52" s="42"/>
    </row>
    <row r="53" spans="1:17" s="17" customFormat="1">
      <c r="A53" s="56"/>
      <c r="C53" s="40"/>
      <c r="D53" s="32"/>
      <c r="E53" s="30"/>
      <c r="F53" s="31"/>
      <c r="G53" s="31"/>
      <c r="H53" s="31"/>
      <c r="M53" s="65"/>
      <c r="N53" s="33"/>
      <c r="O53" s="42"/>
    </row>
    <row r="54" spans="1:17" ht="10.25" customHeight="1">
      <c r="C54" s="40"/>
      <c r="D54" s="32"/>
      <c r="F54" s="299" t="s">
        <v>96</v>
      </c>
      <c r="G54" s="299"/>
      <c r="H54" s="299"/>
      <c r="I54" s="299"/>
      <c r="J54" s="299"/>
      <c r="K54" s="299"/>
      <c r="L54" s="63"/>
      <c r="M54" s="65"/>
      <c r="N54" s="33"/>
      <c r="O54" s="42"/>
    </row>
    <row r="55" spans="1:17" ht="10.25" customHeight="1">
      <c r="C55" s="40"/>
      <c r="D55" s="32"/>
      <c r="E55" s="5"/>
      <c r="F55" s="4"/>
      <c r="G55" s="4"/>
      <c r="H55" s="157">
        <f t="shared" ref="H55:K55" si="11">(G$77*(H45-G45)+G$78*(H46-G46)+G$79*(H47-G47)+G$80*(H48-G48)+G$81*(H49-G49)+G$82*(H50-G50)+G$83*(H51-G51))/(G$77*G45+G$78*G46+G$79*G47+G$80*G48+G$81*G49+G$82*G50+G$83*G51)</f>
        <v>0</v>
      </c>
      <c r="I55" s="157">
        <f>(H$77*(I45-H45)+H$78*(I46-H46)+H$79*(I47-H47)+H$80*(I48-H48)+H$81*(I49-H49)+H$82*(I50-H50)+H$83*(I51-H51))/(H$77*H45+H$78*H46+H$79*H47+H$80*H48+H$81*H49+H$82*H50+H$83*H51)</f>
        <v>-1.5274595570367294E-2</v>
      </c>
      <c r="J55" s="157">
        <f t="shared" si="11"/>
        <v>-1.5511527885496729E-2</v>
      </c>
      <c r="K55" s="157">
        <f t="shared" si="11"/>
        <v>-1.5755926376853125E-2</v>
      </c>
      <c r="L55" s="63"/>
      <c r="M55" s="65"/>
      <c r="N55" s="33"/>
      <c r="O55" s="42"/>
    </row>
    <row r="56" spans="1:17" ht="10.25" customHeight="1">
      <c r="C56" s="40"/>
      <c r="D56" s="32"/>
      <c r="E56" s="30"/>
      <c r="F56" s="30"/>
      <c r="G56" s="30"/>
      <c r="H56" s="30"/>
      <c r="I56" s="30"/>
      <c r="J56" s="30"/>
      <c r="K56" s="30"/>
      <c r="L56" s="63"/>
      <c r="M56" s="65"/>
      <c r="N56" s="33"/>
      <c r="O56" s="42"/>
    </row>
    <row r="57" spans="1:17" ht="22.5" customHeight="1">
      <c r="C57" s="40"/>
      <c r="D57" s="32"/>
      <c r="F57" s="291" t="s">
        <v>97</v>
      </c>
      <c r="G57" s="292"/>
      <c r="H57" s="292"/>
      <c r="I57" s="292"/>
      <c r="J57" s="292"/>
      <c r="K57" s="293"/>
      <c r="L57" s="58"/>
      <c r="M57" s="71"/>
      <c r="N57" s="38"/>
      <c r="O57" s="43"/>
      <c r="Q57" s="19"/>
    </row>
    <row r="58" spans="1:17">
      <c r="C58" s="40"/>
      <c r="D58" s="32"/>
      <c r="E58" s="5" t="s">
        <v>20</v>
      </c>
      <c r="F58" s="4">
        <v>2006</v>
      </c>
      <c r="G58" s="4">
        <v>2015</v>
      </c>
      <c r="H58" s="4">
        <v>2020</v>
      </c>
      <c r="I58" s="4">
        <v>2030</v>
      </c>
      <c r="J58" s="4">
        <v>2040</v>
      </c>
      <c r="K58" s="4">
        <v>2050</v>
      </c>
      <c r="L58" s="29"/>
      <c r="M58" s="61" t="s">
        <v>32</v>
      </c>
      <c r="N58" s="33"/>
      <c r="O58" s="43"/>
      <c r="Q58" s="19"/>
    </row>
    <row r="59" spans="1:17" ht="11.25" customHeight="1">
      <c r="C59" s="40"/>
      <c r="D59" s="32"/>
      <c r="E59" s="6" t="s">
        <v>15</v>
      </c>
      <c r="F59" s="55"/>
      <c r="G59" s="55">
        <f>H59</f>
        <v>0.2</v>
      </c>
      <c r="H59" s="55">
        <f>H45</f>
        <v>0.2</v>
      </c>
      <c r="I59" s="47">
        <f>H59+((K59-H59)/3)</f>
        <v>0.17333333333333334</v>
      </c>
      <c r="J59" s="47">
        <f>H59+((K59-H59)/3*2)</f>
        <v>0.14666666666666667</v>
      </c>
      <c r="K59" s="47">
        <v>0.12</v>
      </c>
      <c r="L59" s="64"/>
      <c r="M59" s="295"/>
      <c r="N59" s="39"/>
      <c r="O59" s="42"/>
      <c r="Q59" s="19"/>
    </row>
    <row r="60" spans="1:17">
      <c r="C60" s="40"/>
      <c r="D60" s="32"/>
      <c r="E60" s="6" t="s">
        <v>16</v>
      </c>
      <c r="F60" s="55"/>
      <c r="G60" s="55">
        <f t="shared" ref="G60:G65" si="12">H60</f>
        <v>0.5</v>
      </c>
      <c r="H60" s="55">
        <f t="shared" ref="H60:H65" si="13">H46</f>
        <v>0.5</v>
      </c>
      <c r="I60" s="47">
        <f t="shared" ref="I60:I65" si="14">H60+((K60-H60)/3)</f>
        <v>0.5</v>
      </c>
      <c r="J60" s="47">
        <f t="shared" ref="J60:J65" si="15">H60+((K60-H60)/3*2)</f>
        <v>0.5</v>
      </c>
      <c r="K60" s="47">
        <v>0.5</v>
      </c>
      <c r="L60" s="64"/>
      <c r="M60" s="296"/>
      <c r="N60" s="33"/>
      <c r="O60" s="42"/>
      <c r="Q60" s="20"/>
    </row>
    <row r="61" spans="1:17">
      <c r="C61" s="40"/>
      <c r="D61" s="32"/>
      <c r="E61" s="165" t="s">
        <v>75</v>
      </c>
      <c r="F61" s="55"/>
      <c r="G61" s="55">
        <f t="shared" si="12"/>
        <v>0.06</v>
      </c>
      <c r="H61" s="55">
        <f t="shared" si="13"/>
        <v>0.06</v>
      </c>
      <c r="I61" s="47">
        <f t="shared" si="14"/>
        <v>6.6666666666666666E-2</v>
      </c>
      <c r="J61" s="47">
        <f t="shared" si="15"/>
        <v>7.3333333333333334E-2</v>
      </c>
      <c r="K61" s="47">
        <v>0.08</v>
      </c>
      <c r="L61" s="64"/>
      <c r="M61" s="296"/>
      <c r="N61" s="33"/>
      <c r="O61" s="42"/>
    </row>
    <row r="62" spans="1:17">
      <c r="C62" s="40"/>
      <c r="D62" s="32"/>
      <c r="E62" s="165" t="s">
        <v>22</v>
      </c>
      <c r="F62" s="55"/>
      <c r="G62" s="55">
        <f t="shared" si="12"/>
        <v>0.01</v>
      </c>
      <c r="H62" s="55">
        <f t="shared" si="13"/>
        <v>0.01</v>
      </c>
      <c r="I62" s="47">
        <f t="shared" si="14"/>
        <v>0.01</v>
      </c>
      <c r="J62" s="47">
        <f t="shared" si="15"/>
        <v>0.01</v>
      </c>
      <c r="K62" s="47">
        <v>0.01</v>
      </c>
      <c r="L62" s="64"/>
      <c r="M62" s="296"/>
      <c r="N62" s="33"/>
      <c r="O62" s="42"/>
    </row>
    <row r="63" spans="1:17">
      <c r="C63" s="40"/>
      <c r="D63" s="32"/>
      <c r="E63" s="165" t="s">
        <v>42</v>
      </c>
      <c r="F63" s="55"/>
      <c r="G63" s="55">
        <f t="shared" si="12"/>
        <v>0.03</v>
      </c>
      <c r="H63" s="55">
        <f t="shared" si="13"/>
        <v>0.03</v>
      </c>
      <c r="I63" s="47">
        <f t="shared" si="14"/>
        <v>2.3333333333333334E-2</v>
      </c>
      <c r="J63" s="47">
        <f t="shared" si="15"/>
        <v>1.666666666666667E-2</v>
      </c>
      <c r="K63" s="47">
        <v>0.01</v>
      </c>
      <c r="L63" s="64"/>
      <c r="M63" s="296"/>
      <c r="N63" s="33"/>
      <c r="O63" s="42"/>
    </row>
    <row r="64" spans="1:17">
      <c r="C64" s="40"/>
      <c r="D64" s="32"/>
      <c r="E64" s="166" t="s">
        <v>25</v>
      </c>
      <c r="F64" s="55"/>
      <c r="G64" s="55">
        <f t="shared" si="12"/>
        <v>0.17</v>
      </c>
      <c r="H64" s="55">
        <f t="shared" si="13"/>
        <v>0.17</v>
      </c>
      <c r="I64" s="47">
        <f t="shared" si="14"/>
        <v>0.19</v>
      </c>
      <c r="J64" s="47">
        <f t="shared" si="15"/>
        <v>0.21</v>
      </c>
      <c r="K64" s="47">
        <f>1-K59-K60-K61-K62-K63-K65</f>
        <v>0.22999999999999998</v>
      </c>
      <c r="L64" s="64"/>
      <c r="M64" s="296"/>
      <c r="N64" s="33"/>
      <c r="O64" s="42"/>
    </row>
    <row r="65" spans="1:22">
      <c r="C65" s="40"/>
      <c r="D65" s="32"/>
      <c r="E65" s="166" t="s">
        <v>26</v>
      </c>
      <c r="F65" s="55"/>
      <c r="G65" s="55">
        <f t="shared" si="12"/>
        <v>0.03</v>
      </c>
      <c r="H65" s="55">
        <f t="shared" si="13"/>
        <v>0.03</v>
      </c>
      <c r="I65" s="47">
        <f t="shared" si="14"/>
        <v>3.6666666666666667E-2</v>
      </c>
      <c r="J65" s="47">
        <f t="shared" si="15"/>
        <v>4.3333333333333335E-2</v>
      </c>
      <c r="K65" s="125">
        <v>0.05</v>
      </c>
      <c r="L65" s="64"/>
      <c r="M65" s="297"/>
      <c r="N65" s="33"/>
      <c r="O65" s="42"/>
    </row>
    <row r="66" spans="1:22">
      <c r="C66" s="40"/>
      <c r="D66" s="32"/>
      <c r="E66" s="7" t="s">
        <v>17</v>
      </c>
      <c r="F66" s="53"/>
      <c r="G66" s="164">
        <f t="shared" ref="G66" si="16">SUM(G59:G65)</f>
        <v>1</v>
      </c>
      <c r="H66" s="164">
        <v>1</v>
      </c>
      <c r="I66" s="47">
        <f t="shared" ref="I66:J66" si="17">SUM(I59:I65)</f>
        <v>1</v>
      </c>
      <c r="J66" s="47">
        <f t="shared" si="17"/>
        <v>1</v>
      </c>
      <c r="K66" s="47">
        <f>SUM(K59:K65)</f>
        <v>1</v>
      </c>
      <c r="L66" s="63"/>
      <c r="N66" s="33"/>
      <c r="O66" s="42"/>
    </row>
    <row r="67" spans="1:22">
      <c r="C67" s="40"/>
      <c r="D67" s="32"/>
      <c r="E67" s="154"/>
      <c r="F67" s="167"/>
      <c r="G67" s="167"/>
      <c r="H67" s="168"/>
      <c r="I67" s="168"/>
      <c r="J67" s="168"/>
      <c r="K67" s="168"/>
      <c r="L67" s="63"/>
      <c r="N67" s="33"/>
      <c r="O67" s="42"/>
    </row>
    <row r="68" spans="1:22" ht="10.25" customHeight="1">
      <c r="C68" s="40"/>
      <c r="D68" s="32"/>
      <c r="F68" s="291" t="s">
        <v>98</v>
      </c>
      <c r="G68" s="292"/>
      <c r="H68" s="292"/>
      <c r="I68" s="292"/>
      <c r="J68" s="292"/>
      <c r="K68" s="293"/>
      <c r="L68" s="63"/>
      <c r="N68" s="33"/>
      <c r="O68" s="42"/>
    </row>
    <row r="69" spans="1:22" ht="10.25" customHeight="1">
      <c r="C69" s="40"/>
      <c r="D69" s="32"/>
      <c r="E69" s="5"/>
      <c r="F69" s="4"/>
      <c r="G69" s="4"/>
      <c r="H69" s="157">
        <f>(G97*(H59-G59)+G98*(H60-G60)+G99*(H61-H61)+G100*(H62-G62)+G101*(H63-G63)+G102*(H64-G64)+G103*(H65-G65))/(G97*G59+G98*G60+G99*G61+G100*G62+G101*G63+G102*G64+G103*G65)</f>
        <v>0</v>
      </c>
      <c r="I69" s="157">
        <f>(H$97*(I59-H59)+H$98*(I60-H60)+H$99*(I61-H61)+H$100*(I62-H62)+H$101*(I63-H63)+H$102*(I64-H64)+H$103*(I65-H65))/(H$97*H59+H$98*H60+H$99*H61+H$100*H62+H$101*H63+H$102*H64+H$103*H65)</f>
        <v>-1.5274595570367294E-2</v>
      </c>
      <c r="J69" s="157">
        <f t="shared" ref="J69:K69" si="18">(I$97*(J59-I59)+I$98*(J60-I60)+I$99*(J61-I61)+I$100*(J62-I62)+I$101*(J63-I63)+I$102*(J64-I64)+I$103*(J65-I65))/(I$97*I59+I$98*I60+I$99*I61+I$100*I62+I$101*I63+I$102*I64+I$103*I65)</f>
        <v>-1.6110007600208486E-2</v>
      </c>
      <c r="K69" s="157">
        <f t="shared" si="18"/>
        <v>-1.696516830734562E-2</v>
      </c>
      <c r="L69" s="72"/>
      <c r="M69" s="169"/>
      <c r="N69" s="33"/>
      <c r="O69" s="42"/>
    </row>
    <row r="70" spans="1:22" ht="10.25" customHeight="1">
      <c r="C70" s="40"/>
      <c r="D70" s="32"/>
      <c r="E70" s="30"/>
      <c r="F70" s="30"/>
      <c r="G70" s="30"/>
      <c r="H70" s="30"/>
      <c r="I70" s="30"/>
      <c r="J70" s="30"/>
      <c r="K70" s="30"/>
      <c r="L70" s="63"/>
      <c r="M70" s="65"/>
      <c r="N70" s="33"/>
      <c r="O70" s="42"/>
    </row>
    <row r="71" spans="1:22" ht="10.25" customHeight="1">
      <c r="C71" s="40"/>
      <c r="D71" s="32"/>
      <c r="E71" s="30"/>
      <c r="F71" s="30"/>
      <c r="G71" s="30"/>
      <c r="H71" s="30"/>
      <c r="I71" s="30"/>
      <c r="J71" s="30"/>
      <c r="K71" s="30"/>
      <c r="L71" s="63"/>
      <c r="M71" s="65"/>
      <c r="N71" s="33"/>
      <c r="O71" s="42"/>
    </row>
    <row r="72" spans="1:22" s="17" customFormat="1" ht="42">
      <c r="A72" s="56"/>
      <c r="C72" s="40"/>
      <c r="D72" s="32"/>
      <c r="E72" s="90"/>
      <c r="F72" s="274" t="s">
        <v>92</v>
      </c>
      <c r="G72" s="275" t="s">
        <v>91</v>
      </c>
      <c r="H72" s="275" t="s">
        <v>35</v>
      </c>
      <c r="M72" s="61" t="s">
        <v>32</v>
      </c>
      <c r="N72" s="33"/>
      <c r="O72" s="42"/>
    </row>
    <row r="73" spans="1:22" s="17" customFormat="1" ht="33" customHeight="1">
      <c r="A73" s="56"/>
      <c r="C73" s="40"/>
      <c r="D73" s="32"/>
      <c r="E73" s="84" t="s">
        <v>23</v>
      </c>
      <c r="F73" s="55">
        <f>'Tableau de bord'!I10</f>
        <v>0.8</v>
      </c>
      <c r="G73" s="92">
        <f>'Tableau de bord'!I22</f>
        <v>0.45500000000000002</v>
      </c>
      <c r="H73" s="92">
        <f>'Tableau de bord'!I25</f>
        <v>0.36400000000000005</v>
      </c>
      <c r="M73" s="68" t="s">
        <v>80</v>
      </c>
      <c r="N73" s="33"/>
      <c r="O73" s="42"/>
    </row>
    <row r="74" spans="1:22" s="17" customFormat="1">
      <c r="A74" s="56"/>
      <c r="C74" s="40"/>
      <c r="D74" s="32"/>
      <c r="E74" s="37"/>
      <c r="F74" s="89"/>
      <c r="G74" s="89"/>
      <c r="H74" s="89"/>
      <c r="M74" s="65"/>
      <c r="N74" s="33"/>
      <c r="O74" s="42"/>
    </row>
    <row r="75" spans="1:22" s="17" customFormat="1">
      <c r="A75" s="56"/>
      <c r="C75" s="40"/>
      <c r="D75" s="32"/>
      <c r="F75" s="294" t="s">
        <v>36</v>
      </c>
      <c r="G75" s="294"/>
      <c r="H75" s="294"/>
      <c r="I75" s="294"/>
      <c r="J75" s="294"/>
      <c r="K75" s="294"/>
      <c r="M75" s="65"/>
      <c r="N75" s="33"/>
      <c r="O75" s="42"/>
    </row>
    <row r="76" spans="1:22" s="17" customFormat="1">
      <c r="A76" s="56"/>
      <c r="C76" s="40"/>
      <c r="D76" s="32"/>
      <c r="E76" s="5" t="s">
        <v>20</v>
      </c>
      <c r="F76" s="4"/>
      <c r="G76" s="4">
        <v>2010</v>
      </c>
      <c r="H76" s="4">
        <v>2020</v>
      </c>
      <c r="I76" s="4">
        <v>2030</v>
      </c>
      <c r="J76" s="4">
        <v>2040</v>
      </c>
      <c r="K76" s="4">
        <v>2050</v>
      </c>
      <c r="M76" s="61" t="s">
        <v>32</v>
      </c>
      <c r="N76" s="33"/>
      <c r="O76" s="42"/>
    </row>
    <row r="77" spans="1:22" s="17" customFormat="1">
      <c r="A77" s="56"/>
      <c r="C77" s="40"/>
      <c r="D77" s="32"/>
      <c r="E77" s="6" t="s">
        <v>15</v>
      </c>
      <c r="F77" s="54"/>
      <c r="G77" s="81">
        <f>H77/0.998^10</f>
        <v>129.56816498105698</v>
      </c>
      <c r="H77" s="54">
        <f>'Init. énergie'!D39</f>
        <v>127</v>
      </c>
      <c r="I77" s="81">
        <f>G77*60%/(1+I$55)</f>
        <v>78.946779111139961</v>
      </c>
      <c r="J77" s="81">
        <f>G77*50%/(1+I$55)/(1+J$55)</f>
        <v>66.825548958753984</v>
      </c>
      <c r="K77" s="81">
        <f>G77*40%/(1+I$55)/(1+J$55)/(1+K$55)</f>
        <v>54.316241875053883</v>
      </c>
      <c r="M77" s="300" t="s">
        <v>40</v>
      </c>
      <c r="N77" s="33"/>
      <c r="O77" s="42"/>
      <c r="Q77" s="52"/>
      <c r="R77" s="52"/>
      <c r="V77" s="101"/>
    </row>
    <row r="78" spans="1:22" s="17" customFormat="1">
      <c r="A78" s="56"/>
      <c r="C78" s="40"/>
      <c r="D78" s="32"/>
      <c r="E78" s="6" t="s">
        <v>16</v>
      </c>
      <c r="F78" s="54"/>
      <c r="G78" s="81">
        <f t="shared" ref="G78:G83" si="19">H78/0.998^10</f>
        <v>103.04239892194296</v>
      </c>
      <c r="H78" s="54">
        <f>'Init. énergie'!D40</f>
        <v>101</v>
      </c>
      <c r="I78" s="81">
        <f t="shared" ref="I78:I83" si="20">G78*60%/(1+I$55)</f>
        <v>62.784446379725495</v>
      </c>
      <c r="J78" s="81">
        <f t="shared" ref="J78:J83" si="21">G78*50%/(1+I$55)/(1+J$55)</f>
        <v>53.144727912079944</v>
      </c>
      <c r="K78" s="81">
        <f t="shared" ref="K78:K83" si="22">G78*40%/(1+I$55)/(1+J$55)/(1+K$55)</f>
        <v>43.196381333704274</v>
      </c>
      <c r="M78" s="300"/>
      <c r="N78" s="33"/>
      <c r="O78" s="42"/>
      <c r="Q78" s="52"/>
      <c r="R78" s="52"/>
      <c r="V78" s="101"/>
    </row>
    <row r="79" spans="1:22" s="17" customFormat="1">
      <c r="A79" s="56"/>
      <c r="C79" s="40"/>
      <c r="D79" s="32"/>
      <c r="E79" s="6" t="s">
        <v>75</v>
      </c>
      <c r="F79" s="54"/>
      <c r="G79" s="81">
        <f t="shared" si="19"/>
        <v>51.011088575219283</v>
      </c>
      <c r="H79" s="54">
        <f>'Init. énergie'!D41</f>
        <v>50</v>
      </c>
      <c r="I79" s="81">
        <f t="shared" si="20"/>
        <v>31.081409098874001</v>
      </c>
      <c r="J79" s="81">
        <f t="shared" si="21"/>
        <v>26.309271243603927</v>
      </c>
      <c r="K79" s="81">
        <f t="shared" si="22"/>
        <v>21.384347194903103</v>
      </c>
      <c r="M79" s="300"/>
      <c r="N79" s="33"/>
      <c r="O79" s="42"/>
      <c r="Q79" s="52"/>
      <c r="R79" s="52"/>
      <c r="V79" s="101"/>
    </row>
    <row r="80" spans="1:22" s="17" customFormat="1">
      <c r="A80" s="56"/>
      <c r="C80" s="40"/>
      <c r="D80" s="32"/>
      <c r="E80" s="6" t="s">
        <v>22</v>
      </c>
      <c r="F80" s="54"/>
      <c r="G80" s="81">
        <f t="shared" si="19"/>
        <v>51.011088575219283</v>
      </c>
      <c r="H80" s="54">
        <f>'Init. énergie'!D42</f>
        <v>50</v>
      </c>
      <c r="I80" s="81">
        <f t="shared" si="20"/>
        <v>31.081409098874001</v>
      </c>
      <c r="J80" s="81">
        <f t="shared" si="21"/>
        <v>26.309271243603927</v>
      </c>
      <c r="K80" s="81">
        <f t="shared" si="22"/>
        <v>21.384347194903103</v>
      </c>
      <c r="M80" s="300"/>
      <c r="N80" s="33"/>
      <c r="O80" s="42"/>
      <c r="Q80" s="52"/>
      <c r="R80" s="52"/>
      <c r="V80" s="101"/>
    </row>
    <row r="81" spans="1:184" s="17" customFormat="1">
      <c r="A81" s="56"/>
      <c r="C81" s="40"/>
      <c r="D81" s="32"/>
      <c r="E81" s="6" t="s">
        <v>42</v>
      </c>
      <c r="F81" s="54"/>
      <c r="G81" s="81">
        <f t="shared" si="19"/>
        <v>51.011088575219283</v>
      </c>
      <c r="H81" s="54">
        <f>'Init. énergie'!D43</f>
        <v>50</v>
      </c>
      <c r="I81" s="81">
        <f t="shared" si="20"/>
        <v>31.081409098874001</v>
      </c>
      <c r="J81" s="81">
        <f t="shared" si="21"/>
        <v>26.309271243603927</v>
      </c>
      <c r="K81" s="81">
        <f t="shared" si="22"/>
        <v>21.384347194903103</v>
      </c>
      <c r="M81" s="300"/>
      <c r="N81" s="33"/>
      <c r="O81" s="42"/>
      <c r="Q81" s="52"/>
      <c r="R81" s="52"/>
      <c r="V81" s="101"/>
    </row>
    <row r="82" spans="1:184" s="17" customFormat="1">
      <c r="A82" s="56"/>
      <c r="C82" s="40"/>
      <c r="D82" s="32"/>
      <c r="E82" s="6" t="s">
        <v>25</v>
      </c>
      <c r="F82" s="54"/>
      <c r="G82" s="81">
        <f t="shared" si="19"/>
        <v>82.637963491855245</v>
      </c>
      <c r="H82" s="54">
        <f>'Init. énergie'!D44</f>
        <v>81</v>
      </c>
      <c r="I82" s="81">
        <f t="shared" si="20"/>
        <v>50.351882740175888</v>
      </c>
      <c r="J82" s="81">
        <f t="shared" si="21"/>
        <v>42.621019414638369</v>
      </c>
      <c r="K82" s="81">
        <f t="shared" si="22"/>
        <v>34.642642455743022</v>
      </c>
      <c r="M82" s="300"/>
      <c r="N82" s="33"/>
      <c r="O82" s="42"/>
      <c r="Q82" s="52"/>
      <c r="R82" s="52"/>
      <c r="V82" s="101"/>
    </row>
    <row r="83" spans="1:184" s="17" customFormat="1">
      <c r="A83" s="56"/>
      <c r="C83" s="40"/>
      <c r="D83" s="32"/>
      <c r="E83" s="6" t="s">
        <v>26</v>
      </c>
      <c r="F83" s="54"/>
      <c r="G83" s="81">
        <f t="shared" si="19"/>
        <v>45.909979717697354</v>
      </c>
      <c r="H83" s="54">
        <f>'Init. énergie'!D45</f>
        <v>45</v>
      </c>
      <c r="I83" s="81">
        <f t="shared" si="20"/>
        <v>27.973268188986602</v>
      </c>
      <c r="J83" s="81">
        <f t="shared" si="21"/>
        <v>23.678344119243537</v>
      </c>
      <c r="K83" s="81">
        <f t="shared" si="22"/>
        <v>19.245912475412791</v>
      </c>
      <c r="M83" s="300"/>
      <c r="N83" s="33"/>
      <c r="O83" s="42"/>
      <c r="Q83" s="52"/>
      <c r="R83" s="52"/>
      <c r="V83" s="101"/>
    </row>
    <row r="84" spans="1:184" s="17" customFormat="1" ht="28.5" customHeight="1">
      <c r="A84" s="56"/>
      <c r="C84" s="40"/>
      <c r="D84" s="32"/>
      <c r="E84" s="91"/>
      <c r="F84" s="89"/>
      <c r="G84" s="124" t="s">
        <v>74</v>
      </c>
      <c r="H84" s="89"/>
      <c r="M84" s="97"/>
      <c r="N84" s="33"/>
      <c r="O84" s="42"/>
    </row>
    <row r="85" spans="1:184" s="17" customFormat="1" ht="69" customHeight="1">
      <c r="A85" s="56"/>
      <c r="C85" s="40"/>
      <c r="D85" s="32"/>
      <c r="F85" s="294" t="s">
        <v>70</v>
      </c>
      <c r="G85" s="294"/>
      <c r="H85" s="58"/>
      <c r="I85" s="58"/>
      <c r="J85" s="58"/>
      <c r="K85" s="58"/>
      <c r="L85" s="58"/>
      <c r="M85" s="71"/>
      <c r="N85" s="33"/>
      <c r="O85" s="42"/>
    </row>
    <row r="86" spans="1:184" s="17" customFormat="1" ht="23.25" customHeight="1">
      <c r="A86" s="56"/>
      <c r="C86" s="40"/>
      <c r="D86" s="32"/>
      <c r="E86" s="5" t="s">
        <v>20</v>
      </c>
      <c r="F86" s="59" t="s">
        <v>89</v>
      </c>
      <c r="G86" s="59" t="s">
        <v>37</v>
      </c>
      <c r="I86" s="66"/>
      <c r="J86" s="66"/>
      <c r="K86" s="66"/>
      <c r="L86" s="66"/>
      <c r="M86" s="61" t="s">
        <v>32</v>
      </c>
      <c r="N86" s="33"/>
      <c r="O86" s="42"/>
    </row>
    <row r="87" spans="1:184" s="17" customFormat="1" ht="15" customHeight="1">
      <c r="A87" s="56"/>
      <c r="C87" s="40"/>
      <c r="D87" s="32"/>
      <c r="E87" s="6" t="s">
        <v>15</v>
      </c>
      <c r="F87" s="77">
        <f>'Init. énergie'!L78</f>
        <v>-3.433383463700912E-2</v>
      </c>
      <c r="G87" s="78">
        <f>F87/3</f>
        <v>-1.1444611545669706E-2</v>
      </c>
      <c r="I87" s="65"/>
      <c r="J87" s="65"/>
      <c r="K87" s="65"/>
      <c r="L87" s="65"/>
      <c r="M87" s="295" t="s">
        <v>90</v>
      </c>
      <c r="N87" s="33"/>
      <c r="O87" s="42"/>
    </row>
    <row r="88" spans="1:184" s="17" customFormat="1">
      <c r="A88" s="56"/>
      <c r="C88" s="40"/>
      <c r="D88" s="32"/>
      <c r="E88" s="6" t="s">
        <v>16</v>
      </c>
      <c r="F88" s="77">
        <f>'Init. énergie'!L77</f>
        <v>-3.1492738004973875E-2</v>
      </c>
      <c r="G88" s="78">
        <f t="shared" ref="G88:G93" si="23">F88/3</f>
        <v>-1.0497579334991292E-2</v>
      </c>
      <c r="H88" s="65"/>
      <c r="I88" s="65"/>
      <c r="J88" s="65"/>
      <c r="K88" s="65"/>
      <c r="L88" s="65"/>
      <c r="M88" s="296"/>
      <c r="N88" s="33"/>
      <c r="O88" s="42"/>
    </row>
    <row r="89" spans="1:184" s="17" customFormat="1">
      <c r="A89" s="56"/>
      <c r="C89" s="40"/>
      <c r="D89" s="32"/>
      <c r="E89" s="6" t="s">
        <v>75</v>
      </c>
      <c r="F89" s="77">
        <f>'Init. énergie'!L79</f>
        <v>-2.2666371928460105E-2</v>
      </c>
      <c r="G89" s="78">
        <f t="shared" si="23"/>
        <v>-7.5554573094867017E-3</v>
      </c>
      <c r="H89" s="65"/>
      <c r="I89" s="65"/>
      <c r="J89" s="65"/>
      <c r="K89" s="65"/>
      <c r="L89" s="65"/>
      <c r="M89" s="296"/>
      <c r="N89" s="33"/>
      <c r="O89" s="42"/>
    </row>
    <row r="90" spans="1:184" s="17" customFormat="1">
      <c r="A90" s="56"/>
      <c r="C90" s="40"/>
      <c r="D90" s="32"/>
      <c r="E90" s="6" t="s">
        <v>22</v>
      </c>
      <c r="F90" s="77">
        <f>'Init. énergie'!L79</f>
        <v>-2.2666371928460105E-2</v>
      </c>
      <c r="G90" s="78">
        <f t="shared" si="23"/>
        <v>-7.5554573094867017E-3</v>
      </c>
      <c r="H90" s="65"/>
      <c r="I90" s="65"/>
      <c r="J90" s="65"/>
      <c r="K90" s="65"/>
      <c r="L90" s="65"/>
      <c r="M90" s="296"/>
      <c r="N90" s="33"/>
      <c r="O90" s="42"/>
    </row>
    <row r="91" spans="1:184" s="17" customFormat="1">
      <c r="A91" s="56"/>
      <c r="C91" s="40"/>
      <c r="D91" s="32"/>
      <c r="E91" s="6" t="s">
        <v>42</v>
      </c>
      <c r="F91" s="77">
        <f>'Init. énergie'!L79</f>
        <v>-2.2666371928460105E-2</v>
      </c>
      <c r="G91" s="78">
        <f t="shared" si="23"/>
        <v>-7.5554573094867017E-3</v>
      </c>
      <c r="H91" s="65"/>
      <c r="I91" s="65"/>
      <c r="J91" s="65"/>
      <c r="K91" s="65"/>
      <c r="L91" s="65"/>
      <c r="M91" s="296"/>
      <c r="N91" s="33"/>
      <c r="O91" s="42"/>
    </row>
    <row r="92" spans="1:184" s="17" customFormat="1">
      <c r="A92" s="56"/>
      <c r="C92" s="40"/>
      <c r="D92" s="32"/>
      <c r="E92" s="6" t="s">
        <v>25</v>
      </c>
      <c r="F92" s="77">
        <f>'Init. énergie'!L80</f>
        <v>-4.3604218438475728E-2</v>
      </c>
      <c r="G92" s="78">
        <f t="shared" si="23"/>
        <v>-1.4534739479491909E-2</v>
      </c>
      <c r="H92" s="65"/>
      <c r="I92" s="65"/>
      <c r="J92" s="65"/>
      <c r="K92" s="65"/>
      <c r="L92" s="65"/>
      <c r="M92" s="296"/>
      <c r="N92" s="33"/>
      <c r="O92" s="42"/>
    </row>
    <row r="93" spans="1:184" s="17" customFormat="1">
      <c r="A93" s="56"/>
      <c r="C93" s="40"/>
      <c r="D93" s="32"/>
      <c r="E93" s="6" t="s">
        <v>26</v>
      </c>
      <c r="F93" s="77">
        <f>F92</f>
        <v>-4.3604218438475728E-2</v>
      </c>
      <c r="G93" s="78">
        <f t="shared" si="23"/>
        <v>-1.4534739479491909E-2</v>
      </c>
      <c r="H93" s="65"/>
      <c r="I93" s="65"/>
      <c r="J93" s="65"/>
      <c r="K93" s="65"/>
      <c r="L93" s="65"/>
      <c r="M93" s="297"/>
      <c r="N93" s="33"/>
      <c r="O93" s="42"/>
    </row>
    <row r="94" spans="1:184" s="17" customFormat="1">
      <c r="A94" s="56"/>
      <c r="C94" s="40"/>
      <c r="D94" s="32"/>
      <c r="E94" s="65"/>
      <c r="F94" s="65"/>
      <c r="G94" s="65"/>
      <c r="M94" s="65"/>
      <c r="N94" s="33"/>
      <c r="O94" s="42"/>
    </row>
    <row r="95" spans="1:184" s="17" customFormat="1" ht="27.75" customHeight="1">
      <c r="A95" s="56"/>
      <c r="C95" s="40"/>
      <c r="D95" s="32"/>
      <c r="F95" s="294" t="s">
        <v>71</v>
      </c>
      <c r="G95" s="294"/>
      <c r="H95" s="294"/>
      <c r="I95" s="294"/>
      <c r="J95" s="294"/>
      <c r="K95" s="294"/>
      <c r="L95" s="58"/>
      <c r="M95" s="71"/>
      <c r="N95" s="33"/>
      <c r="O95" s="42"/>
    </row>
    <row r="96" spans="1:184" s="2" customFormat="1">
      <c r="A96" s="57"/>
      <c r="B96" s="18"/>
      <c r="C96" s="48"/>
      <c r="D96" s="49"/>
      <c r="E96" s="5" t="s">
        <v>20</v>
      </c>
      <c r="F96" s="4"/>
      <c r="G96" s="4">
        <v>2010</v>
      </c>
      <c r="H96" s="4">
        <v>2020</v>
      </c>
      <c r="I96" s="4">
        <v>2030</v>
      </c>
      <c r="J96" s="4">
        <v>2040</v>
      </c>
      <c r="K96" s="4">
        <v>2050</v>
      </c>
      <c r="L96" s="29"/>
      <c r="M96" s="80" t="s">
        <v>100</v>
      </c>
      <c r="N96" s="50"/>
      <c r="O96" s="51"/>
      <c r="P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</row>
    <row r="97" spans="1:52">
      <c r="C97" s="40"/>
      <c r="D97" s="32"/>
      <c r="E97" s="6" t="s">
        <v>15</v>
      </c>
      <c r="F97" s="54"/>
      <c r="G97" s="81">
        <f>G77</f>
        <v>129.56816498105698</v>
      </c>
      <c r="H97" s="54">
        <f>H77</f>
        <v>127</v>
      </c>
      <c r="I97" s="81">
        <f>$H97*(1+$G87)^(I$96-$H$96)</f>
        <v>113.19149555774466</v>
      </c>
      <c r="J97" s="81">
        <f>$H97*(1+$G87)^(J$96-$H$96)</f>
        <v>100.88436745353488</v>
      </c>
      <c r="K97" s="81">
        <f>$H97*(1+$G87)^(K$96-$H$96)</f>
        <v>89.915373468210021</v>
      </c>
      <c r="L97" s="67"/>
      <c r="M97" s="79">
        <f>(K97-G97)/H97</f>
        <v>-0.31222670482556664</v>
      </c>
      <c r="N97" s="33"/>
      <c r="O97" s="4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>
      <c r="C98" s="40"/>
      <c r="D98" s="32"/>
      <c r="E98" s="6" t="s">
        <v>16</v>
      </c>
      <c r="F98" s="54"/>
      <c r="G98" s="81">
        <f t="shared" ref="G98:H103" si="24">G78</f>
        <v>103.04239892194296</v>
      </c>
      <c r="H98" s="54">
        <f t="shared" si="24"/>
        <v>101</v>
      </c>
      <c r="I98" s="81">
        <f t="shared" ref="I98:K103" si="25">$H98*(1+$G88)^(I$96-$H$96)</f>
        <v>90.884533749160397</v>
      </c>
      <c r="J98" s="81">
        <f t="shared" si="25"/>
        <v>81.782163116854207</v>
      </c>
      <c r="K98" s="81">
        <f t="shared" si="25"/>
        <v>73.591423404683923</v>
      </c>
      <c r="L98" s="67"/>
      <c r="M98" s="79">
        <f t="shared" ref="M98:M103" si="26">(K98-G98)/H98</f>
        <v>-0.29159381700256476</v>
      </c>
      <c r="N98" s="33"/>
      <c r="O98" s="4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>
      <c r="C99" s="40"/>
      <c r="D99" s="32"/>
      <c r="E99" s="6" t="s">
        <v>75</v>
      </c>
      <c r="F99" s="54"/>
      <c r="G99" s="81">
        <f t="shared" si="24"/>
        <v>51.011088575219283</v>
      </c>
      <c r="H99" s="54">
        <f t="shared" si="24"/>
        <v>50</v>
      </c>
      <c r="I99" s="81">
        <f t="shared" si="25"/>
        <v>46.348158540577678</v>
      </c>
      <c r="J99" s="81">
        <f t="shared" si="25"/>
        <v>42.963036002050472</v>
      </c>
      <c r="K99" s="81">
        <f t="shared" si="25"/>
        <v>39.825152080151639</v>
      </c>
      <c r="L99" s="67"/>
      <c r="M99" s="79">
        <f t="shared" si="26"/>
        <v>-0.22371872990135289</v>
      </c>
      <c r="N99" s="33"/>
      <c r="O99" s="4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>
      <c r="C100" s="40"/>
      <c r="D100" s="32"/>
      <c r="E100" s="6" t="s">
        <v>22</v>
      </c>
      <c r="F100" s="54"/>
      <c r="G100" s="81">
        <f t="shared" si="24"/>
        <v>51.011088575219283</v>
      </c>
      <c r="H100" s="54">
        <f t="shared" si="24"/>
        <v>50</v>
      </c>
      <c r="I100" s="81">
        <f t="shared" si="25"/>
        <v>46.348158540577678</v>
      </c>
      <c r="J100" s="81">
        <f t="shared" si="25"/>
        <v>42.963036002050472</v>
      </c>
      <c r="K100" s="81">
        <f t="shared" si="25"/>
        <v>39.825152080151639</v>
      </c>
      <c r="L100" s="67"/>
      <c r="M100" s="79">
        <f t="shared" si="26"/>
        <v>-0.22371872990135289</v>
      </c>
      <c r="N100" s="33"/>
      <c r="O100" s="4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>
      <c r="C101" s="40"/>
      <c r="D101" s="32"/>
      <c r="E101" s="6" t="s">
        <v>42</v>
      </c>
      <c r="F101" s="54"/>
      <c r="G101" s="81">
        <f t="shared" si="24"/>
        <v>51.011088575219283</v>
      </c>
      <c r="H101" s="54">
        <f t="shared" si="24"/>
        <v>50</v>
      </c>
      <c r="I101" s="81">
        <f t="shared" si="25"/>
        <v>46.348158540577678</v>
      </c>
      <c r="J101" s="81">
        <f>$H101*(1+$G91)^(J$96-$H$96)</f>
        <v>42.963036002050472</v>
      </c>
      <c r="K101" s="81">
        <f>$H101*(1+$G91)^(K$96-$H$96)</f>
        <v>39.825152080151639</v>
      </c>
      <c r="L101" s="67"/>
      <c r="M101" s="79">
        <f t="shared" si="26"/>
        <v>-0.22371872990135289</v>
      </c>
      <c r="N101" s="33"/>
      <c r="O101" s="4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>
      <c r="C102" s="40"/>
      <c r="D102" s="32"/>
      <c r="E102" s="6" t="s">
        <v>25</v>
      </c>
      <c r="F102" s="54"/>
      <c r="G102" s="81">
        <f t="shared" si="24"/>
        <v>82.637963491855245</v>
      </c>
      <c r="H102" s="54">
        <f t="shared" si="24"/>
        <v>81</v>
      </c>
      <c r="I102" s="81">
        <f t="shared" si="25"/>
        <v>69.967798755614268</v>
      </c>
      <c r="J102" s="81">
        <f t="shared" si="25"/>
        <v>60.438183490199229</v>
      </c>
      <c r="K102" s="81">
        <f t="shared" si="25"/>
        <v>52.206501970335175</v>
      </c>
      <c r="L102" s="67"/>
      <c r="M102" s="79">
        <f t="shared" si="26"/>
        <v>-0.37569705582123541</v>
      </c>
      <c r="N102" s="33"/>
      <c r="O102" s="4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>
      <c r="C103" s="40"/>
      <c r="D103" s="32"/>
      <c r="E103" s="6" t="s">
        <v>26</v>
      </c>
      <c r="F103" s="54"/>
      <c r="G103" s="81">
        <f t="shared" si="24"/>
        <v>45.909979717697354</v>
      </c>
      <c r="H103" s="54">
        <f t="shared" si="24"/>
        <v>45</v>
      </c>
      <c r="I103" s="81">
        <f t="shared" si="25"/>
        <v>38.870999308674591</v>
      </c>
      <c r="J103" s="81">
        <f t="shared" si="25"/>
        <v>33.576768605666238</v>
      </c>
      <c r="K103" s="81">
        <f t="shared" si="25"/>
        <v>29.003612205741764</v>
      </c>
      <c r="L103" s="67"/>
      <c r="M103" s="79">
        <f t="shared" si="26"/>
        <v>-0.37569705582123536</v>
      </c>
      <c r="N103" s="33"/>
      <c r="O103" s="4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s="17" customFormat="1">
      <c r="A104" s="56"/>
      <c r="C104" s="40"/>
      <c r="D104" s="32"/>
      <c r="M104" s="65"/>
      <c r="N104" s="33"/>
      <c r="O104" s="42"/>
    </row>
    <row r="105" spans="1:52" ht="26.25" customHeight="1">
      <c r="C105" s="40"/>
      <c r="D105" s="32"/>
      <c r="E105" s="17"/>
      <c r="F105" s="294" t="s">
        <v>94</v>
      </c>
      <c r="G105" s="294"/>
      <c r="H105" s="294"/>
      <c r="I105" s="294"/>
      <c r="J105" s="294"/>
      <c r="K105" s="294"/>
      <c r="L105" s="62"/>
      <c r="M105" s="69"/>
      <c r="N105" s="33"/>
      <c r="O105" s="42"/>
    </row>
    <row r="106" spans="1:52">
      <c r="C106" s="40"/>
      <c r="D106" s="32"/>
      <c r="E106" s="5" t="s">
        <v>20</v>
      </c>
      <c r="F106" s="4"/>
      <c r="G106" s="4">
        <v>2010</v>
      </c>
      <c r="H106" s="4">
        <v>2020</v>
      </c>
      <c r="I106" s="4">
        <v>2030</v>
      </c>
      <c r="J106" s="4">
        <v>2040</v>
      </c>
      <c r="K106" s="4">
        <v>2050</v>
      </c>
      <c r="L106" s="29"/>
      <c r="M106" s="69"/>
      <c r="N106" s="33"/>
      <c r="O106" s="42"/>
    </row>
    <row r="107" spans="1:52">
      <c r="C107" s="40"/>
      <c r="D107" s="32"/>
      <c r="E107" s="6" t="s">
        <v>15</v>
      </c>
      <c r="F107" s="75"/>
      <c r="G107" s="127">
        <f>G$36*G45*$H$73*G77/1000</f>
        <v>684.72857051179608</v>
      </c>
      <c r="H107" s="54">
        <f>H$36*H45*$H$73*H77/1000</f>
        <v>671.1565952000002</v>
      </c>
      <c r="I107" s="127">
        <f>I$36*I45*$H$73*I77/1000</f>
        <v>383.65989343733179</v>
      </c>
      <c r="J107" s="127">
        <f>J$36*J45*$H$73*J77/1000</f>
        <v>304.77006514734342</v>
      </c>
      <c r="K107" s="127">
        <f>K$36*K45*$H$73*K77/1000</f>
        <v>218.0001265003404</v>
      </c>
      <c r="L107" s="46"/>
      <c r="M107" s="79">
        <f>(K107-G107)/H107</f>
        <v>-0.69540915987329854</v>
      </c>
      <c r="N107" s="33"/>
      <c r="O107" s="42"/>
    </row>
    <row r="108" spans="1:52">
      <c r="C108" s="40"/>
      <c r="D108" s="32"/>
      <c r="E108" s="6" t="s">
        <v>16</v>
      </c>
      <c r="F108" s="75"/>
      <c r="G108" s="127">
        <f t="shared" ref="G108:K113" si="27">G$36*G46*$H$73*G78/1000</f>
        <v>1361.3697957025865</v>
      </c>
      <c r="H108" s="54">
        <f t="shared" si="27"/>
        <v>1334.3861440000003</v>
      </c>
      <c r="I108" s="127">
        <f t="shared" si="27"/>
        <v>880.14042785820368</v>
      </c>
      <c r="J108" s="127">
        <f t="shared" si="27"/>
        <v>826.28247798537097</v>
      </c>
      <c r="K108" s="127">
        <f t="shared" si="27"/>
        <v>722.37574726162677</v>
      </c>
      <c r="L108" s="46"/>
      <c r="M108" s="79">
        <f t="shared" ref="M108:M114" si="28">(K108-G108)/H108</f>
        <v>-0.47886741878590705</v>
      </c>
      <c r="N108" s="33"/>
      <c r="O108" s="42"/>
    </row>
    <row r="109" spans="1:52">
      <c r="C109" s="40"/>
      <c r="D109" s="32"/>
      <c r="E109" s="6" t="s">
        <v>75</v>
      </c>
      <c r="F109" s="75"/>
      <c r="G109" s="127">
        <f t="shared" si="27"/>
        <v>80.873453210054635</v>
      </c>
      <c r="H109" s="54">
        <f t="shared" si="27"/>
        <v>79.270464000000004</v>
      </c>
      <c r="I109" s="127">
        <f t="shared" si="27"/>
        <v>58.095077746416074</v>
      </c>
      <c r="J109" s="127">
        <f t="shared" si="27"/>
        <v>59.994107312469175</v>
      </c>
      <c r="K109" s="127">
        <f t="shared" si="27"/>
        <v>57.217880971217959</v>
      </c>
      <c r="L109" s="46"/>
      <c r="M109" s="79">
        <f t="shared" si="28"/>
        <v>-0.29841596787974745</v>
      </c>
      <c r="N109" s="33"/>
      <c r="O109" s="42"/>
    </row>
    <row r="110" spans="1:52">
      <c r="C110" s="40"/>
      <c r="D110" s="32"/>
      <c r="E110" s="6" t="s">
        <v>22</v>
      </c>
      <c r="F110" s="75"/>
      <c r="G110" s="127">
        <f t="shared" si="27"/>
        <v>13.47890886834244</v>
      </c>
      <c r="H110" s="54">
        <f t="shared" si="27"/>
        <v>13.211744000000003</v>
      </c>
      <c r="I110" s="127">
        <f t="shared" si="27"/>
        <v>8.7142616619624107</v>
      </c>
      <c r="J110" s="127">
        <f t="shared" si="27"/>
        <v>8.1810146335185223</v>
      </c>
      <c r="K110" s="127">
        <f t="shared" si="27"/>
        <v>7.1522351214022448</v>
      </c>
      <c r="L110" s="46"/>
      <c r="M110" s="79">
        <f t="shared" si="28"/>
        <v>-0.478867418785907</v>
      </c>
      <c r="N110" s="33"/>
      <c r="O110" s="42"/>
    </row>
    <row r="111" spans="1:52">
      <c r="C111" s="40"/>
      <c r="D111" s="32"/>
      <c r="E111" s="6" t="s">
        <v>42</v>
      </c>
      <c r="F111" s="75"/>
      <c r="G111" s="127">
        <f t="shared" si="27"/>
        <v>40.436726605027317</v>
      </c>
      <c r="H111" s="54">
        <f t="shared" si="27"/>
        <v>39.635232000000002</v>
      </c>
      <c r="I111" s="127">
        <f t="shared" si="27"/>
        <v>20.33327721124563</v>
      </c>
      <c r="J111" s="127">
        <f t="shared" si="27"/>
        <v>13.635024389197543</v>
      </c>
      <c r="K111" s="127">
        <f t="shared" si="27"/>
        <v>7.1522351214022448</v>
      </c>
      <c r="L111" s="46"/>
      <c r="M111" s="79">
        <f t="shared" si="28"/>
        <v>-0.83977032059822621</v>
      </c>
      <c r="N111" s="33"/>
      <c r="O111" s="42"/>
    </row>
    <row r="112" spans="1:52">
      <c r="C112" s="40"/>
      <c r="D112" s="32"/>
      <c r="E112" s="6" t="s">
        <v>25</v>
      </c>
      <c r="F112" s="75"/>
      <c r="G112" s="127">
        <f t="shared" si="27"/>
        <v>371.20915023415085</v>
      </c>
      <c r="H112" s="54">
        <f t="shared" si="27"/>
        <v>363.85142976000009</v>
      </c>
      <c r="I112" s="127">
        <f t="shared" si="27"/>
        <v>268.22497395520304</v>
      </c>
      <c r="J112" s="127">
        <f t="shared" si="27"/>
        <v>278.31811783230017</v>
      </c>
      <c r="K112" s="127">
        <f t="shared" si="27"/>
        <v>266.49228062344764</v>
      </c>
      <c r="L112" s="46"/>
      <c r="M112" s="79">
        <f t="shared" si="28"/>
        <v>-0.28780117664997351</v>
      </c>
      <c r="N112" s="33"/>
      <c r="O112" s="42"/>
    </row>
    <row r="113" spans="3:15">
      <c r="C113" s="40"/>
      <c r="D113" s="32"/>
      <c r="E113" s="6" t="s">
        <v>26</v>
      </c>
      <c r="F113" s="75"/>
      <c r="G113" s="127">
        <f t="shared" si="27"/>
        <v>36.393053944524581</v>
      </c>
      <c r="H113" s="54">
        <f t="shared" si="27"/>
        <v>35.671708799999998</v>
      </c>
      <c r="I113" s="127">
        <f t="shared" si="27"/>
        <v>28.757063484475957</v>
      </c>
      <c r="J113" s="127">
        <f t="shared" si="27"/>
        <v>31.905957070722245</v>
      </c>
      <c r="K113" s="127">
        <f t="shared" si="27"/>
        <v>32.185058046310097</v>
      </c>
      <c r="L113" s="46"/>
      <c r="M113" s="79">
        <f t="shared" si="28"/>
        <v>-0.1179645169735879</v>
      </c>
      <c r="N113" s="33"/>
      <c r="O113" s="42"/>
    </row>
    <row r="114" spans="3:15">
      <c r="C114" s="40"/>
      <c r="D114" s="32"/>
      <c r="E114" s="7" t="s">
        <v>17</v>
      </c>
      <c r="F114" s="14"/>
      <c r="G114" s="159">
        <f>SUM(G107:G113)</f>
        <v>2588.4896590764824</v>
      </c>
      <c r="H114" s="161">
        <f>SUM(H107:H113)</f>
        <v>2537.183317760001</v>
      </c>
      <c r="I114" s="159">
        <f t="shared" ref="I114:J114" si="29">SUM(I107:I113)</f>
        <v>1647.9249753548386</v>
      </c>
      <c r="J114" s="159">
        <f t="shared" si="29"/>
        <v>1523.0867643709221</v>
      </c>
      <c r="K114" s="159">
        <f>SUM(K107:K113)</f>
        <v>1310.5755636457473</v>
      </c>
      <c r="L114" s="21"/>
      <c r="M114" s="79">
        <f t="shared" si="28"/>
        <v>-0.50367432518000521</v>
      </c>
      <c r="N114" s="33"/>
      <c r="O114" s="42"/>
    </row>
    <row r="115" spans="3:15">
      <c r="C115" s="40"/>
      <c r="D115" s="32"/>
      <c r="E115" s="154"/>
      <c r="F115" s="155"/>
      <c r="G115" s="155"/>
      <c r="H115" s="155"/>
      <c r="I115" s="155"/>
      <c r="J115" s="155"/>
      <c r="K115" s="155"/>
      <c r="L115" s="21"/>
      <c r="M115" s="65"/>
      <c r="N115" s="33"/>
      <c r="O115" s="42"/>
    </row>
    <row r="116" spans="3:15" ht="26.25" customHeight="1">
      <c r="C116" s="40"/>
      <c r="D116" s="32"/>
      <c r="E116" s="17"/>
      <c r="F116" s="294" t="s">
        <v>95</v>
      </c>
      <c r="G116" s="294"/>
      <c r="H116" s="294"/>
      <c r="I116" s="294"/>
      <c r="J116" s="294"/>
      <c r="K116" s="294"/>
      <c r="L116" s="62"/>
      <c r="M116" s="69"/>
      <c r="N116" s="33"/>
      <c r="O116" s="42"/>
    </row>
    <row r="117" spans="3:15">
      <c r="C117" s="40"/>
      <c r="D117" s="32"/>
      <c r="E117" s="5" t="s">
        <v>20</v>
      </c>
      <c r="F117" s="4"/>
      <c r="G117" s="4">
        <v>2010</v>
      </c>
      <c r="H117" s="4">
        <v>2020</v>
      </c>
      <c r="I117" s="4">
        <v>2030</v>
      </c>
      <c r="J117" s="4">
        <v>2040</v>
      </c>
      <c r="K117" s="4">
        <v>2050</v>
      </c>
      <c r="L117" s="29"/>
      <c r="M117" s="69"/>
      <c r="N117" s="33"/>
      <c r="O117" s="42"/>
    </row>
    <row r="118" spans="3:15">
      <c r="C118" s="40"/>
      <c r="D118" s="32"/>
      <c r="E118" s="6" t="s">
        <v>15</v>
      </c>
      <c r="F118" s="75"/>
      <c r="G118" s="158">
        <f>G$36*G45*(1-$H$73)*G97/1000</f>
        <v>1196.3938759491818</v>
      </c>
      <c r="H118" s="162">
        <f>H$36*H45*(1-$H$73)*H97/1000</f>
        <v>1172.6802048</v>
      </c>
      <c r="I118" s="158">
        <f t="shared" ref="I118:K118" si="30">I$36*I45*(1-$H$73)*I97/1000</f>
        <v>961.12863341271952</v>
      </c>
      <c r="J118" s="158">
        <f t="shared" si="30"/>
        <v>803.91360797922607</v>
      </c>
      <c r="K118" s="158">
        <f t="shared" si="30"/>
        <v>630.54591506439976</v>
      </c>
      <c r="L118" s="46"/>
      <c r="M118" s="79">
        <f>(K118-G118)/H118</f>
        <v>-0.48252537952688235</v>
      </c>
      <c r="N118" s="33"/>
      <c r="O118" s="42"/>
    </row>
    <row r="119" spans="3:15">
      <c r="C119" s="40"/>
      <c r="D119" s="32"/>
      <c r="E119" s="6" t="s">
        <v>16</v>
      </c>
      <c r="F119" s="75"/>
      <c r="G119" s="158">
        <f t="shared" ref="G119:K124" si="31">G$36*G46*(1-$H$73)*G98/1000</f>
        <v>2378.657115568255</v>
      </c>
      <c r="H119" s="162">
        <f t="shared" si="31"/>
        <v>2331.5098559999997</v>
      </c>
      <c r="I119" s="158">
        <f t="shared" si="31"/>
        <v>2226.1048536748931</v>
      </c>
      <c r="J119" s="158">
        <f t="shared" si="31"/>
        <v>2221.6860122025205</v>
      </c>
      <c r="K119" s="158">
        <f t="shared" si="31"/>
        <v>2150.2983686100879</v>
      </c>
      <c r="L119" s="46"/>
      <c r="M119" s="79">
        <f t="shared" ref="M119:M125" si="32">(K119-G119)/H119</f>
        <v>-9.7944577146221221E-2</v>
      </c>
      <c r="N119" s="33"/>
      <c r="O119" s="42"/>
    </row>
    <row r="120" spans="3:15">
      <c r="C120" s="40"/>
      <c r="D120" s="32"/>
      <c r="E120" s="6" t="s">
        <v>75</v>
      </c>
      <c r="F120" s="75"/>
      <c r="G120" s="158">
        <f t="shared" si="31"/>
        <v>141.30636330108445</v>
      </c>
      <c r="H120" s="162">
        <f t="shared" si="31"/>
        <v>138.50553599999995</v>
      </c>
      <c r="I120" s="158">
        <f t="shared" si="31"/>
        <v>151.36548384324936</v>
      </c>
      <c r="J120" s="158">
        <f t="shared" si="31"/>
        <v>171.17899509087712</v>
      </c>
      <c r="K120" s="158">
        <f t="shared" si="31"/>
        <v>186.18682577002187</v>
      </c>
      <c r="L120" s="46"/>
      <c r="M120" s="79">
        <f t="shared" si="32"/>
        <v>0.32403370843557788</v>
      </c>
      <c r="N120" s="33"/>
      <c r="O120" s="42"/>
    </row>
    <row r="121" spans="3:15">
      <c r="C121" s="40"/>
      <c r="D121" s="32"/>
      <c r="E121" s="6" t="s">
        <v>22</v>
      </c>
      <c r="F121" s="75"/>
      <c r="G121" s="158">
        <f t="shared" si="31"/>
        <v>23.55106055018074</v>
      </c>
      <c r="H121" s="162">
        <f t="shared" si="31"/>
        <v>23.084255999999996</v>
      </c>
      <c r="I121" s="158">
        <f t="shared" si="31"/>
        <v>22.704822576487409</v>
      </c>
      <c r="J121" s="158">
        <f t="shared" si="31"/>
        <v>23.342590239665057</v>
      </c>
      <c r="K121" s="158">
        <f t="shared" si="31"/>
        <v>23.273353221252734</v>
      </c>
      <c r="L121" s="46"/>
      <c r="M121" s="79">
        <f t="shared" si="32"/>
        <v>-1.2030161549412992E-2</v>
      </c>
      <c r="N121" s="33"/>
      <c r="O121" s="42"/>
    </row>
    <row r="122" spans="3:15">
      <c r="C122" s="40"/>
      <c r="D122" s="32"/>
      <c r="E122" s="6" t="s">
        <v>42</v>
      </c>
      <c r="F122" s="75"/>
      <c r="G122" s="158">
        <f t="shared" si="31"/>
        <v>70.653181650542223</v>
      </c>
      <c r="H122" s="162">
        <f t="shared" si="31"/>
        <v>69.252767999999975</v>
      </c>
      <c r="I122" s="158">
        <f t="shared" si="31"/>
        <v>52.977919345137288</v>
      </c>
      <c r="J122" s="158">
        <f t="shared" si="31"/>
        <v>38.90431706610844</v>
      </c>
      <c r="K122" s="158">
        <f t="shared" si="31"/>
        <v>23.273353221252734</v>
      </c>
      <c r="L122" s="46"/>
      <c r="M122" s="79">
        <f t="shared" si="32"/>
        <v>-0.68415790151939493</v>
      </c>
      <c r="N122" s="33"/>
      <c r="O122" s="42"/>
    </row>
    <row r="123" spans="3:15">
      <c r="C123" s="40"/>
      <c r="D123" s="32"/>
      <c r="E123" s="6" t="s">
        <v>25</v>
      </c>
      <c r="F123" s="75"/>
      <c r="G123" s="158">
        <f t="shared" si="31"/>
        <v>648.59620755197773</v>
      </c>
      <c r="H123" s="162">
        <f t="shared" si="31"/>
        <v>635.74041023999996</v>
      </c>
      <c r="I123" s="158">
        <f t="shared" si="31"/>
        <v>651.23456098116128</v>
      </c>
      <c r="J123" s="158">
        <f t="shared" si="31"/>
        <v>689.58019613547924</v>
      </c>
      <c r="K123" s="158">
        <f t="shared" si="31"/>
        <v>701.70399455587597</v>
      </c>
      <c r="L123" s="46"/>
      <c r="M123" s="79">
        <f t="shared" si="32"/>
        <v>8.3536906178182671E-2</v>
      </c>
      <c r="N123" s="33"/>
      <c r="O123" s="42"/>
    </row>
    <row r="124" spans="3:15">
      <c r="C124" s="40"/>
      <c r="D124" s="32"/>
      <c r="E124" s="6" t="s">
        <v>26</v>
      </c>
      <c r="F124" s="75"/>
      <c r="G124" s="158">
        <f t="shared" si="31"/>
        <v>63.587863485487986</v>
      </c>
      <c r="H124" s="162">
        <f t="shared" si="31"/>
        <v>62.327491199999983</v>
      </c>
      <c r="I124" s="158">
        <f t="shared" si="31"/>
        <v>69.820469500904238</v>
      </c>
      <c r="J124" s="158">
        <f t="shared" si="31"/>
        <v>79.052403437047886</v>
      </c>
      <c r="K124" s="158">
        <f t="shared" si="31"/>
        <v>84.746859245878753</v>
      </c>
      <c r="L124" s="46"/>
      <c r="M124" s="79">
        <f t="shared" si="32"/>
        <v>0.33948094737993839</v>
      </c>
      <c r="N124" s="33"/>
      <c r="O124" s="42"/>
    </row>
    <row r="125" spans="3:15">
      <c r="C125" s="40"/>
      <c r="D125" s="32"/>
      <c r="E125" s="7" t="s">
        <v>17</v>
      </c>
      <c r="F125" s="14"/>
      <c r="G125" s="160">
        <f>SUM(G118:G124)</f>
        <v>4522.7456680567102</v>
      </c>
      <c r="H125" s="163">
        <f>SUM(H118:H124)</f>
        <v>4433.100522239999</v>
      </c>
      <c r="I125" s="160">
        <f t="shared" ref="I125:K125" si="33">SUM(I118:I124)</f>
        <v>4135.336743334552</v>
      </c>
      <c r="J125" s="160">
        <f t="shared" si="33"/>
        <v>4027.6581221509241</v>
      </c>
      <c r="K125" s="160">
        <f t="shared" si="33"/>
        <v>3800.0286696887697</v>
      </c>
      <c r="L125" s="21"/>
      <c r="M125" s="79">
        <f t="shared" si="32"/>
        <v>-0.16302743299914146</v>
      </c>
      <c r="N125" s="33"/>
      <c r="O125" s="42"/>
    </row>
    <row r="126" spans="3:15">
      <c r="C126" s="40"/>
      <c r="D126" s="32"/>
      <c r="E126" s="154"/>
      <c r="F126" s="65"/>
      <c r="G126" s="65"/>
      <c r="H126" s="156"/>
      <c r="I126" s="156"/>
      <c r="J126" s="156"/>
      <c r="K126" s="156"/>
      <c r="L126" s="21"/>
      <c r="M126" s="65"/>
      <c r="N126" s="33"/>
      <c r="O126" s="42"/>
    </row>
    <row r="127" spans="3:15" ht="26.25" customHeight="1">
      <c r="C127" s="40"/>
      <c r="D127" s="32"/>
      <c r="E127" s="17"/>
      <c r="F127" s="294" t="s">
        <v>72</v>
      </c>
      <c r="G127" s="294"/>
      <c r="H127" s="294"/>
      <c r="I127" s="294"/>
      <c r="J127" s="294"/>
      <c r="K127" s="294"/>
      <c r="L127" s="62"/>
      <c r="M127" s="69"/>
      <c r="N127" s="33"/>
      <c r="O127" s="42"/>
    </row>
    <row r="128" spans="3:15">
      <c r="C128" s="40"/>
      <c r="D128" s="32"/>
      <c r="E128" s="5" t="s">
        <v>20</v>
      </c>
      <c r="F128" s="4"/>
      <c r="G128" s="4">
        <v>2010</v>
      </c>
      <c r="H128" s="4">
        <v>2020</v>
      </c>
      <c r="I128" s="4">
        <v>2030</v>
      </c>
      <c r="J128" s="4">
        <v>2040</v>
      </c>
      <c r="K128" s="4">
        <v>2050</v>
      </c>
      <c r="L128" s="29"/>
      <c r="M128" s="69"/>
      <c r="N128" s="33"/>
      <c r="O128" s="42"/>
    </row>
    <row r="129" spans="1:15">
      <c r="C129" s="40"/>
      <c r="D129" s="32"/>
      <c r="E129" s="6" t="s">
        <v>15</v>
      </c>
      <c r="F129" s="75"/>
      <c r="G129" s="75"/>
      <c r="H129" s="158">
        <f>H107+H118</f>
        <v>1843.8368</v>
      </c>
      <c r="I129" s="158">
        <f t="shared" ref="I129:K129" si="34">I107+I118</f>
        <v>1344.7885268500513</v>
      </c>
      <c r="J129" s="158">
        <f t="shared" si="34"/>
        <v>1108.6836731265694</v>
      </c>
      <c r="K129" s="158">
        <f t="shared" si="34"/>
        <v>848.54604156474011</v>
      </c>
      <c r="L129" s="46"/>
      <c r="M129" s="79">
        <f>(K129-G129)/H129</f>
        <v>0.46020669593140784</v>
      </c>
      <c r="N129" s="33"/>
      <c r="O129" s="42"/>
    </row>
    <row r="130" spans="1:15">
      <c r="C130" s="40"/>
      <c r="D130" s="32"/>
      <c r="E130" s="6" t="s">
        <v>16</v>
      </c>
      <c r="F130" s="75"/>
      <c r="G130" s="75"/>
      <c r="H130" s="158">
        <f t="shared" ref="H130:K135" si="35">H108+H119</f>
        <v>3665.8959999999997</v>
      </c>
      <c r="I130" s="158">
        <f t="shared" si="35"/>
        <v>3106.2452815330967</v>
      </c>
      <c r="J130" s="158">
        <f t="shared" si="35"/>
        <v>3047.9684901878913</v>
      </c>
      <c r="K130" s="158">
        <f t="shared" si="35"/>
        <v>2872.6741158717145</v>
      </c>
      <c r="L130" s="46"/>
      <c r="M130" s="79">
        <f t="shared" ref="M130:M136" si="36">(K130-G130)/H130</f>
        <v>0.78362128000131881</v>
      </c>
      <c r="N130" s="33"/>
      <c r="O130" s="42"/>
    </row>
    <row r="131" spans="1:15">
      <c r="C131" s="40"/>
      <c r="D131" s="32"/>
      <c r="E131" s="6" t="s">
        <v>75</v>
      </c>
      <c r="F131" s="75"/>
      <c r="G131" s="75"/>
      <c r="H131" s="158">
        <f t="shared" si="35"/>
        <v>217.77599999999995</v>
      </c>
      <c r="I131" s="158">
        <f t="shared" si="35"/>
        <v>209.46056158966545</v>
      </c>
      <c r="J131" s="158">
        <f t="shared" si="35"/>
        <v>231.17310240334629</v>
      </c>
      <c r="K131" s="158">
        <f t="shared" si="35"/>
        <v>243.40470674123983</v>
      </c>
      <c r="L131" s="46"/>
      <c r="M131" s="79">
        <f t="shared" si="36"/>
        <v>1.1176837977611853</v>
      </c>
      <c r="N131" s="33"/>
      <c r="O131" s="42"/>
    </row>
    <row r="132" spans="1:15">
      <c r="C132" s="40"/>
      <c r="D132" s="32"/>
      <c r="E132" s="6" t="s">
        <v>22</v>
      </c>
      <c r="F132" s="75"/>
      <c r="G132" s="75"/>
      <c r="H132" s="158">
        <f t="shared" si="35"/>
        <v>36.295999999999999</v>
      </c>
      <c r="I132" s="158">
        <f t="shared" si="35"/>
        <v>31.41908423844982</v>
      </c>
      <c r="J132" s="158">
        <f t="shared" si="35"/>
        <v>31.523604873183579</v>
      </c>
      <c r="K132" s="158">
        <f t="shared" si="35"/>
        <v>30.425588342654979</v>
      </c>
      <c r="L132" s="46"/>
      <c r="M132" s="79">
        <f t="shared" si="36"/>
        <v>0.83826284832088882</v>
      </c>
      <c r="N132" s="33"/>
      <c r="O132" s="42"/>
    </row>
    <row r="133" spans="1:15">
      <c r="C133" s="40"/>
      <c r="D133" s="32"/>
      <c r="E133" s="6" t="s">
        <v>42</v>
      </c>
      <c r="F133" s="75"/>
      <c r="G133" s="75"/>
      <c r="H133" s="158">
        <f t="shared" si="35"/>
        <v>108.88799999999998</v>
      </c>
      <c r="I133" s="158">
        <f t="shared" si="35"/>
        <v>73.311196556382924</v>
      </c>
      <c r="J133" s="158">
        <f t="shared" si="35"/>
        <v>52.539341455305987</v>
      </c>
      <c r="K133" s="158">
        <f t="shared" si="35"/>
        <v>30.425588342654979</v>
      </c>
      <c r="L133" s="46"/>
      <c r="M133" s="79">
        <f t="shared" si="36"/>
        <v>0.27942094944029633</v>
      </c>
      <c r="N133" s="33"/>
      <c r="O133" s="42"/>
    </row>
    <row r="134" spans="1:15">
      <c r="C134" s="40"/>
      <c r="D134" s="32"/>
      <c r="E134" s="6" t="s">
        <v>25</v>
      </c>
      <c r="F134" s="75"/>
      <c r="G134" s="75"/>
      <c r="H134" s="158">
        <f t="shared" si="35"/>
        <v>999.59184000000005</v>
      </c>
      <c r="I134" s="158">
        <f t="shared" si="35"/>
        <v>919.45953493636432</v>
      </c>
      <c r="J134" s="158">
        <f t="shared" si="35"/>
        <v>967.89831396777936</v>
      </c>
      <c r="K134" s="158">
        <f t="shared" si="35"/>
        <v>968.19627517932361</v>
      </c>
      <c r="L134" s="46"/>
      <c r="M134" s="79">
        <f t="shared" si="36"/>
        <v>0.96859161553311957</v>
      </c>
      <c r="N134" s="33"/>
      <c r="O134" s="42"/>
    </row>
    <row r="135" spans="1:15">
      <c r="C135" s="40"/>
      <c r="D135" s="32"/>
      <c r="E135" s="6" t="s">
        <v>26</v>
      </c>
      <c r="F135" s="75"/>
      <c r="G135" s="75"/>
      <c r="H135" s="158">
        <f t="shared" si="35"/>
        <v>97.999199999999973</v>
      </c>
      <c r="I135" s="158">
        <f t="shared" si="35"/>
        <v>98.577532985380202</v>
      </c>
      <c r="J135" s="158">
        <f t="shared" si="35"/>
        <v>110.95836050777012</v>
      </c>
      <c r="K135" s="158">
        <f t="shared" si="35"/>
        <v>116.93191729218884</v>
      </c>
      <c r="L135" s="46"/>
      <c r="M135" s="79">
        <f t="shared" si="36"/>
        <v>1.1931925698596404</v>
      </c>
      <c r="N135" s="33"/>
      <c r="O135" s="42"/>
    </row>
    <row r="136" spans="1:15">
      <c r="C136" s="40"/>
      <c r="D136" s="32"/>
      <c r="E136" s="7" t="s">
        <v>17</v>
      </c>
      <c r="F136" s="14"/>
      <c r="G136" s="14"/>
      <c r="H136" s="160">
        <f>SUM(H129:H135)</f>
        <v>6970.2838400000001</v>
      </c>
      <c r="I136" s="160">
        <f t="shared" ref="I136:K136" si="37">SUM(I129:I135)</f>
        <v>5783.2617186893913</v>
      </c>
      <c r="J136" s="160">
        <f t="shared" si="37"/>
        <v>5550.7448865218466</v>
      </c>
      <c r="K136" s="160">
        <f t="shared" si="37"/>
        <v>5110.6042333345167</v>
      </c>
      <c r="L136" s="21"/>
      <c r="M136" s="79">
        <f t="shared" si="36"/>
        <v>0.7331988697514098</v>
      </c>
      <c r="N136" s="33"/>
      <c r="O136" s="42"/>
    </row>
    <row r="137" spans="1:15" s="17" customFormat="1">
      <c r="A137" s="56"/>
      <c r="C137" s="40"/>
      <c r="D137" s="32"/>
      <c r="M137" s="65"/>
      <c r="N137" s="33"/>
      <c r="O137" s="42"/>
    </row>
    <row r="138" spans="1:15" s="17" customFormat="1">
      <c r="A138" s="56"/>
      <c r="C138" s="40"/>
      <c r="D138" s="32"/>
      <c r="E138" s="298" t="s">
        <v>78</v>
      </c>
      <c r="F138" s="298"/>
      <c r="G138" s="298"/>
      <c r="H138" s="298"/>
      <c r="I138" s="298"/>
      <c r="J138" s="298"/>
      <c r="K138" s="298"/>
      <c r="L138" s="298"/>
      <c r="M138" s="298"/>
      <c r="N138" s="33"/>
      <c r="O138" s="42"/>
    </row>
    <row r="139" spans="1:15" s="17" customFormat="1">
      <c r="A139" s="56"/>
      <c r="C139" s="40"/>
      <c r="D139" s="32"/>
      <c r="M139" s="65"/>
      <c r="N139" s="33"/>
      <c r="O139" s="42"/>
    </row>
    <row r="140" spans="1:15" s="17" customFormat="1" ht="24" customHeight="1">
      <c r="A140" s="56"/>
      <c r="C140" s="40"/>
      <c r="D140" s="32"/>
      <c r="E140" s="1"/>
      <c r="F140" s="299" t="s">
        <v>76</v>
      </c>
      <c r="G140" s="299"/>
      <c r="H140" s="299"/>
      <c r="I140" s="299"/>
      <c r="J140" s="299"/>
      <c r="K140" s="299"/>
      <c r="M140" s="65"/>
      <c r="N140" s="33"/>
      <c r="O140" s="42"/>
    </row>
    <row r="141" spans="1:15" s="17" customFormat="1">
      <c r="A141" s="56"/>
      <c r="C141" s="40"/>
      <c r="D141" s="32"/>
      <c r="E141" s="5" t="s">
        <v>20</v>
      </c>
      <c r="F141" s="4"/>
      <c r="G141" s="4">
        <v>2010</v>
      </c>
      <c r="H141" s="4">
        <v>2020</v>
      </c>
      <c r="I141" s="4">
        <v>2030</v>
      </c>
      <c r="J141" s="4">
        <v>2040</v>
      </c>
      <c r="K141" s="4">
        <v>2050</v>
      </c>
      <c r="M141" s="61" t="s">
        <v>32</v>
      </c>
      <c r="N141" s="33"/>
      <c r="O141" s="42"/>
    </row>
    <row r="142" spans="1:15" s="17" customFormat="1" ht="11.25" customHeight="1">
      <c r="A142" s="56"/>
      <c r="C142" s="40"/>
      <c r="D142" s="32"/>
      <c r="E142" s="6" t="s">
        <v>15</v>
      </c>
      <c r="F142" s="55"/>
      <c r="G142" s="55"/>
      <c r="H142" s="55">
        <f>'Init. énergie'!C30</f>
        <v>5.6584972145073235E-2</v>
      </c>
      <c r="I142" s="47">
        <f>H142</f>
        <v>5.6584972145073235E-2</v>
      </c>
      <c r="J142" s="47">
        <f>I142</f>
        <v>5.6584972145073235E-2</v>
      </c>
      <c r="K142" s="47">
        <f>J142</f>
        <v>5.6584972145073235E-2</v>
      </c>
      <c r="M142" s="295" t="s">
        <v>41</v>
      </c>
      <c r="N142" s="33"/>
      <c r="O142" s="42"/>
    </row>
    <row r="143" spans="1:15" s="17" customFormat="1">
      <c r="A143" s="56"/>
      <c r="C143" s="40"/>
      <c r="D143" s="32"/>
      <c r="E143" s="6" t="s">
        <v>16</v>
      </c>
      <c r="F143" s="55"/>
      <c r="G143" s="55"/>
      <c r="H143" s="55">
        <f>'Init. énergie'!C31</f>
        <v>0.5881912261494745</v>
      </c>
      <c r="I143" s="47">
        <f t="shared" ref="I143:K148" si="38">H143</f>
        <v>0.5881912261494745</v>
      </c>
      <c r="J143" s="47">
        <f t="shared" si="38"/>
        <v>0.5881912261494745</v>
      </c>
      <c r="K143" s="47">
        <f t="shared" si="38"/>
        <v>0.5881912261494745</v>
      </c>
      <c r="M143" s="296"/>
      <c r="N143" s="33"/>
      <c r="O143" s="42"/>
    </row>
    <row r="144" spans="1:15" s="17" customFormat="1">
      <c r="A144" s="56"/>
      <c r="C144" s="40"/>
      <c r="D144" s="32"/>
      <c r="E144" s="6" t="s">
        <v>75</v>
      </c>
      <c r="F144" s="55"/>
      <c r="G144" s="55"/>
      <c r="H144" s="55">
        <f>'Init. énergie'!C32</f>
        <v>8.0741361547576412E-2</v>
      </c>
      <c r="I144" s="47">
        <f t="shared" si="38"/>
        <v>8.0741361547576412E-2</v>
      </c>
      <c r="J144" s="47">
        <f t="shared" si="38"/>
        <v>8.0741361547576412E-2</v>
      </c>
      <c r="K144" s="47">
        <f t="shared" si="38"/>
        <v>8.0741361547576412E-2</v>
      </c>
      <c r="M144" s="296"/>
      <c r="N144" s="33"/>
      <c r="O144" s="42"/>
    </row>
    <row r="145" spans="1:15" s="17" customFormat="1">
      <c r="A145" s="56"/>
      <c r="C145" s="40"/>
      <c r="D145" s="32"/>
      <c r="E145" s="6" t="s">
        <v>22</v>
      </c>
      <c r="F145" s="55"/>
      <c r="G145" s="55"/>
      <c r="H145" s="55">
        <f>'Init. énergie'!C33</f>
        <v>1.2731783152525081E-2</v>
      </c>
      <c r="I145" s="47">
        <f t="shared" si="38"/>
        <v>1.2731783152525081E-2</v>
      </c>
      <c r="J145" s="47">
        <f t="shared" si="38"/>
        <v>1.2731783152525081E-2</v>
      </c>
      <c r="K145" s="47">
        <f t="shared" si="38"/>
        <v>1.2731783152525081E-2</v>
      </c>
      <c r="M145" s="296"/>
      <c r="N145" s="33"/>
      <c r="O145" s="42"/>
    </row>
    <row r="146" spans="1:15" s="17" customFormat="1">
      <c r="A146" s="56"/>
      <c r="C146" s="40"/>
      <c r="D146" s="32"/>
      <c r="E146" s="6" t="s">
        <v>42</v>
      </c>
      <c r="F146" s="55"/>
      <c r="G146" s="55"/>
      <c r="H146" s="55">
        <f>'Init. énergie'!C34</f>
        <v>9.0821371602788342E-3</v>
      </c>
      <c r="I146" s="47">
        <f t="shared" si="38"/>
        <v>9.0821371602788342E-3</v>
      </c>
      <c r="J146" s="47">
        <f t="shared" si="38"/>
        <v>9.0821371602788342E-3</v>
      </c>
      <c r="K146" s="47">
        <f t="shared" si="38"/>
        <v>9.0821371602788342E-3</v>
      </c>
      <c r="M146" s="296"/>
      <c r="N146" s="33"/>
      <c r="O146" s="42"/>
    </row>
    <row r="147" spans="1:15" s="17" customFormat="1">
      <c r="A147" s="56"/>
      <c r="C147" s="40"/>
      <c r="D147" s="32"/>
      <c r="E147" s="6" t="s">
        <v>25</v>
      </c>
      <c r="F147" s="55"/>
      <c r="G147" s="85"/>
      <c r="H147" s="55">
        <f>'Init. énergie'!C35</f>
        <v>2.1278159067402536E-2</v>
      </c>
      <c r="I147" s="47">
        <f t="shared" si="38"/>
        <v>2.1278159067402536E-2</v>
      </c>
      <c r="J147" s="47">
        <f t="shared" si="38"/>
        <v>2.1278159067402536E-2</v>
      </c>
      <c r="K147" s="47">
        <f t="shared" si="38"/>
        <v>2.1278159067402536E-2</v>
      </c>
      <c r="M147" s="296"/>
      <c r="N147" s="33"/>
      <c r="O147" s="42"/>
    </row>
    <row r="148" spans="1:15" s="17" customFormat="1">
      <c r="A148" s="56"/>
      <c r="C148" s="40"/>
      <c r="D148" s="32"/>
      <c r="E148" s="6" t="s">
        <v>26</v>
      </c>
      <c r="F148" s="55"/>
      <c r="G148" s="85"/>
      <c r="H148" s="55">
        <f>'Init. énergie'!C36</f>
        <v>0.23139036077766945</v>
      </c>
      <c r="I148" s="47">
        <f t="shared" si="38"/>
        <v>0.23139036077766945</v>
      </c>
      <c r="J148" s="47">
        <f t="shared" si="38"/>
        <v>0.23139036077766945</v>
      </c>
      <c r="K148" s="47">
        <f t="shared" si="38"/>
        <v>0.23139036077766945</v>
      </c>
      <c r="M148" s="296"/>
      <c r="N148" s="33"/>
      <c r="O148" s="42"/>
    </row>
    <row r="149" spans="1:15" s="17" customFormat="1">
      <c r="A149" s="56"/>
      <c r="C149" s="40"/>
      <c r="D149" s="32"/>
      <c r="E149" s="7" t="s">
        <v>17</v>
      </c>
      <c r="F149" s="53"/>
      <c r="G149" s="53"/>
      <c r="H149" s="15">
        <f>SUM(H142:H148)</f>
        <v>1</v>
      </c>
      <c r="I149" s="15">
        <f t="shared" ref="I149:K149" si="39">SUM(I142:I148)</f>
        <v>1</v>
      </c>
      <c r="J149" s="15">
        <f t="shared" si="39"/>
        <v>1</v>
      </c>
      <c r="K149" s="15">
        <f t="shared" si="39"/>
        <v>1</v>
      </c>
      <c r="M149" s="297"/>
      <c r="N149" s="33"/>
      <c r="O149" s="42"/>
    </row>
    <row r="150" spans="1:15" s="17" customFormat="1">
      <c r="A150" s="56"/>
      <c r="C150" s="40"/>
      <c r="D150" s="32"/>
      <c r="M150" s="65"/>
      <c r="N150" s="33"/>
      <c r="O150" s="42"/>
    </row>
    <row r="151" spans="1:15" s="17" customFormat="1" ht="30.75" customHeight="1">
      <c r="A151" s="56"/>
      <c r="C151" s="40"/>
      <c r="D151" s="32"/>
      <c r="F151" s="294" t="s">
        <v>77</v>
      </c>
      <c r="G151" s="294"/>
      <c r="H151" s="294"/>
      <c r="I151" s="294"/>
      <c r="J151" s="294"/>
      <c r="K151" s="294"/>
      <c r="M151" s="65"/>
      <c r="N151" s="33"/>
      <c r="O151" s="42"/>
    </row>
    <row r="152" spans="1:15" s="17" customFormat="1">
      <c r="A152" s="56"/>
      <c r="C152" s="40"/>
      <c r="D152" s="32"/>
      <c r="E152" s="5" t="s">
        <v>20</v>
      </c>
      <c r="F152" s="4"/>
      <c r="G152" s="4"/>
      <c r="H152" s="4">
        <v>2020</v>
      </c>
      <c r="I152" s="4">
        <v>2030</v>
      </c>
      <c r="J152" s="4">
        <v>2040</v>
      </c>
      <c r="K152" s="4">
        <v>2050</v>
      </c>
      <c r="M152" s="61" t="s">
        <v>32</v>
      </c>
      <c r="N152" s="33"/>
      <c r="O152" s="42"/>
    </row>
    <row r="153" spans="1:15" s="17" customFormat="1">
      <c r="A153" s="56"/>
      <c r="C153" s="40"/>
      <c r="D153" s="32"/>
      <c r="E153" s="6" t="s">
        <v>15</v>
      </c>
      <c r="F153" s="82"/>
      <c r="G153" s="54"/>
      <c r="H153" s="54"/>
      <c r="I153" s="45">
        <f>J153</f>
        <v>54.316241875053883</v>
      </c>
      <c r="J153" s="45">
        <f>K153</f>
        <v>54.316241875053883</v>
      </c>
      <c r="K153" s="45">
        <f t="shared" ref="K153:K159" si="40">K77</f>
        <v>54.316241875053883</v>
      </c>
      <c r="M153" s="295" t="s">
        <v>38</v>
      </c>
      <c r="N153" s="33"/>
      <c r="O153" s="42"/>
    </row>
    <row r="154" spans="1:15" s="17" customFormat="1">
      <c r="A154" s="56"/>
      <c r="C154" s="40"/>
      <c r="D154" s="32"/>
      <c r="E154" s="6" t="s">
        <v>16</v>
      </c>
      <c r="F154" s="82"/>
      <c r="G154" s="54"/>
      <c r="H154" s="54"/>
      <c r="I154" s="45">
        <f t="shared" ref="I154:J159" si="41">J154</f>
        <v>43.196381333704274</v>
      </c>
      <c r="J154" s="45">
        <f t="shared" si="41"/>
        <v>43.196381333704274</v>
      </c>
      <c r="K154" s="45">
        <f t="shared" si="40"/>
        <v>43.196381333704274</v>
      </c>
      <c r="M154" s="296"/>
      <c r="N154" s="33"/>
      <c r="O154" s="42"/>
    </row>
    <row r="155" spans="1:15" s="17" customFormat="1">
      <c r="A155" s="56"/>
      <c r="C155" s="40"/>
      <c r="D155" s="32"/>
      <c r="E155" s="6" t="s">
        <v>75</v>
      </c>
      <c r="F155" s="82"/>
      <c r="G155" s="54"/>
      <c r="H155" s="54"/>
      <c r="I155" s="45">
        <f t="shared" si="41"/>
        <v>21.384347194903103</v>
      </c>
      <c r="J155" s="45">
        <f t="shared" si="41"/>
        <v>21.384347194903103</v>
      </c>
      <c r="K155" s="45">
        <f t="shared" si="40"/>
        <v>21.384347194903103</v>
      </c>
      <c r="M155" s="296"/>
      <c r="N155" s="33"/>
      <c r="O155" s="42"/>
    </row>
    <row r="156" spans="1:15" s="17" customFormat="1">
      <c r="A156" s="56"/>
      <c r="C156" s="40"/>
      <c r="D156" s="32"/>
      <c r="E156" s="6" t="s">
        <v>22</v>
      </c>
      <c r="F156" s="82"/>
      <c r="G156" s="54"/>
      <c r="H156" s="54"/>
      <c r="I156" s="45">
        <f t="shared" si="41"/>
        <v>21.384347194903103</v>
      </c>
      <c r="J156" s="45">
        <f t="shared" si="41"/>
        <v>21.384347194903103</v>
      </c>
      <c r="K156" s="45">
        <f t="shared" si="40"/>
        <v>21.384347194903103</v>
      </c>
      <c r="M156" s="296"/>
      <c r="N156" s="33"/>
      <c r="O156" s="42"/>
    </row>
    <row r="157" spans="1:15" s="17" customFormat="1">
      <c r="A157" s="56"/>
      <c r="C157" s="40"/>
      <c r="D157" s="32"/>
      <c r="E157" s="6" t="s">
        <v>42</v>
      </c>
      <c r="F157" s="82"/>
      <c r="G157" s="54"/>
      <c r="H157" s="54"/>
      <c r="I157" s="45">
        <f t="shared" si="41"/>
        <v>21.384347194903103</v>
      </c>
      <c r="J157" s="45">
        <f t="shared" si="41"/>
        <v>21.384347194903103</v>
      </c>
      <c r="K157" s="45">
        <f t="shared" si="40"/>
        <v>21.384347194903103</v>
      </c>
      <c r="M157" s="296"/>
      <c r="N157" s="33"/>
      <c r="O157" s="42"/>
    </row>
    <row r="158" spans="1:15" s="17" customFormat="1">
      <c r="A158" s="56"/>
      <c r="C158" s="40"/>
      <c r="D158" s="32"/>
      <c r="E158" s="6" t="s">
        <v>25</v>
      </c>
      <c r="F158" s="82"/>
      <c r="G158" s="87"/>
      <c r="H158" s="54"/>
      <c r="I158" s="45">
        <f t="shared" si="41"/>
        <v>34.642642455743022</v>
      </c>
      <c r="J158" s="45">
        <f t="shared" si="41"/>
        <v>34.642642455743022</v>
      </c>
      <c r="K158" s="45">
        <f t="shared" si="40"/>
        <v>34.642642455743022</v>
      </c>
      <c r="M158" s="296"/>
      <c r="N158" s="33"/>
      <c r="O158" s="42"/>
    </row>
    <row r="159" spans="1:15" s="17" customFormat="1">
      <c r="A159" s="56"/>
      <c r="C159" s="40"/>
      <c r="D159" s="32"/>
      <c r="E159" s="6" t="s">
        <v>26</v>
      </c>
      <c r="F159" s="82"/>
      <c r="G159" s="87"/>
      <c r="H159" s="54"/>
      <c r="I159" s="45">
        <f t="shared" si="41"/>
        <v>19.245912475412791</v>
      </c>
      <c r="J159" s="45">
        <f t="shared" si="41"/>
        <v>19.245912475412791</v>
      </c>
      <c r="K159" s="45">
        <f t="shared" si="40"/>
        <v>19.245912475412791</v>
      </c>
      <c r="M159" s="297"/>
      <c r="N159" s="33"/>
      <c r="O159" s="42"/>
    </row>
    <row r="160" spans="1:15" s="17" customFormat="1">
      <c r="A160" s="56"/>
      <c r="C160" s="40"/>
      <c r="D160" s="32"/>
      <c r="M160" s="65"/>
      <c r="N160" s="33"/>
      <c r="O160" s="42"/>
    </row>
    <row r="161" spans="1:15" s="17" customFormat="1" ht="29.25" customHeight="1">
      <c r="A161" s="56"/>
      <c r="C161" s="40"/>
      <c r="D161" s="32"/>
      <c r="F161" s="294" t="s">
        <v>73</v>
      </c>
      <c r="G161" s="294"/>
      <c r="H161" s="294"/>
      <c r="I161" s="294"/>
      <c r="J161" s="294"/>
      <c r="K161" s="294"/>
      <c r="M161" s="69"/>
      <c r="N161" s="33"/>
      <c r="O161" s="42"/>
    </row>
    <row r="162" spans="1:15" s="17" customFormat="1">
      <c r="A162" s="56"/>
      <c r="C162" s="40"/>
      <c r="D162" s="32"/>
      <c r="E162" s="5" t="s">
        <v>20</v>
      </c>
      <c r="F162" s="4"/>
      <c r="G162" s="4"/>
      <c r="H162" s="4">
        <v>2020</v>
      </c>
      <c r="I162" s="4">
        <v>2030</v>
      </c>
      <c r="J162" s="4">
        <v>2040</v>
      </c>
      <c r="K162" s="4">
        <v>2050</v>
      </c>
      <c r="M162" s="65"/>
      <c r="N162" s="33"/>
      <c r="O162" s="42"/>
    </row>
    <row r="163" spans="1:15" s="17" customFormat="1">
      <c r="A163" s="56"/>
      <c r="C163" s="40"/>
      <c r="D163" s="32"/>
      <c r="E163" s="6" t="s">
        <v>15</v>
      </c>
      <c r="F163" s="82"/>
      <c r="G163" s="82"/>
      <c r="H163" s="10">
        <f>H$35*H142*H153/1000</f>
        <v>0</v>
      </c>
      <c r="I163" s="10">
        <f t="shared" ref="I163:K163" si="42">I$35*I142*I153/1000</f>
        <v>11.803090610437614</v>
      </c>
      <c r="J163" s="10">
        <f t="shared" si="42"/>
        <v>11.513474118397115</v>
      </c>
      <c r="K163" s="10">
        <f t="shared" si="42"/>
        <v>11.182896005569987</v>
      </c>
      <c r="M163" s="65"/>
      <c r="N163" s="33"/>
      <c r="O163" s="42"/>
    </row>
    <row r="164" spans="1:15" s="17" customFormat="1">
      <c r="A164" s="56"/>
      <c r="C164" s="40"/>
      <c r="D164" s="32"/>
      <c r="E164" s="6" t="s">
        <v>16</v>
      </c>
      <c r="F164" s="82"/>
      <c r="G164" s="82"/>
      <c r="H164" s="10">
        <f t="shared" ref="H164:K169" si="43">H$35*H143*H154/1000</f>
        <v>0</v>
      </c>
      <c r="I164" s="10">
        <f t="shared" si="43"/>
        <v>97.573263185268132</v>
      </c>
      <c r="J164" s="10">
        <f t="shared" si="43"/>
        <v>95.179074482211675</v>
      </c>
      <c r="K164" s="10">
        <f t="shared" si="43"/>
        <v>92.446266078822248</v>
      </c>
      <c r="M164" s="65"/>
      <c r="N164" s="33"/>
      <c r="O164" s="42"/>
    </row>
    <row r="165" spans="1:15" s="17" customFormat="1">
      <c r="A165" s="56"/>
      <c r="C165" s="40"/>
      <c r="D165" s="32"/>
      <c r="E165" s="6" t="s">
        <v>75</v>
      </c>
      <c r="F165" s="82"/>
      <c r="G165" s="82"/>
      <c r="H165" s="10">
        <f t="shared" si="43"/>
        <v>0</v>
      </c>
      <c r="I165" s="10">
        <f t="shared" si="43"/>
        <v>6.6306634746112376</v>
      </c>
      <c r="J165" s="10">
        <f t="shared" si="43"/>
        <v>6.4679646054083033</v>
      </c>
      <c r="K165" s="10">
        <f t="shared" si="43"/>
        <v>6.28225458329847</v>
      </c>
      <c r="M165" s="65"/>
      <c r="N165" s="33"/>
      <c r="O165" s="42"/>
    </row>
    <row r="166" spans="1:15" s="17" customFormat="1">
      <c r="A166" s="56"/>
      <c r="C166" s="40"/>
      <c r="D166" s="32"/>
      <c r="E166" s="6" t="s">
        <v>22</v>
      </c>
      <c r="F166" s="82"/>
      <c r="G166" s="82"/>
      <c r="H166" s="10">
        <f t="shared" si="43"/>
        <v>0</v>
      </c>
      <c r="I166" s="10">
        <f t="shared" si="43"/>
        <v>1.0455628676310424</v>
      </c>
      <c r="J166" s="10">
        <f t="shared" si="43"/>
        <v>1.0199075320985569</v>
      </c>
      <c r="K166" s="10">
        <f t="shared" si="43"/>
        <v>0.99062365967636812</v>
      </c>
      <c r="M166" s="65"/>
      <c r="N166" s="33"/>
      <c r="O166" s="42"/>
    </row>
    <row r="167" spans="1:15" s="17" customFormat="1">
      <c r="A167" s="56"/>
      <c r="C167" s="40"/>
      <c r="D167" s="32"/>
      <c r="E167" s="6" t="s">
        <v>42</v>
      </c>
      <c r="F167" s="82"/>
      <c r="G167" s="82"/>
      <c r="H167" s="10">
        <f t="shared" si="43"/>
        <v>0</v>
      </c>
      <c r="I167" s="10">
        <f t="shared" si="43"/>
        <v>0.74584567297128923</v>
      </c>
      <c r="J167" s="10">
        <f t="shared" si="43"/>
        <v>0.72754460128261544</v>
      </c>
      <c r="K167" s="10">
        <f t="shared" si="43"/>
        <v>0.70665513570373628</v>
      </c>
      <c r="M167" s="65"/>
      <c r="N167" s="33"/>
      <c r="O167" s="42"/>
    </row>
    <row r="168" spans="1:15" s="17" customFormat="1">
      <c r="A168" s="56"/>
      <c r="C168" s="40"/>
      <c r="D168" s="32"/>
      <c r="E168" s="6" t="s">
        <v>25</v>
      </c>
      <c r="F168" s="82"/>
      <c r="G168" s="82"/>
      <c r="H168" s="10">
        <f t="shared" si="43"/>
        <v>0</v>
      </c>
      <c r="I168" s="10">
        <f t="shared" si="43"/>
        <v>2.8308051942415484</v>
      </c>
      <c r="J168" s="10">
        <f t="shared" si="43"/>
        <v>2.7613447540004761</v>
      </c>
      <c r="K168" s="10">
        <f t="shared" si="43"/>
        <v>2.6820602454103226</v>
      </c>
      <c r="M168" s="65"/>
      <c r="N168" s="33"/>
      <c r="O168" s="42"/>
    </row>
    <row r="169" spans="1:15" s="17" customFormat="1">
      <c r="A169" s="56"/>
      <c r="C169" s="40"/>
      <c r="D169" s="32"/>
      <c r="E169" s="6" t="s">
        <v>26</v>
      </c>
      <c r="F169" s="82"/>
      <c r="G169" s="82"/>
      <c r="H169" s="10">
        <f t="shared" si="43"/>
        <v>0</v>
      </c>
      <c r="I169" s="10">
        <f t="shared" si="43"/>
        <v>17.10207043527986</v>
      </c>
      <c r="J169" s="10">
        <f t="shared" si="43"/>
        <v>16.682431053564425</v>
      </c>
      <c r="K169" s="10">
        <f t="shared" si="43"/>
        <v>16.203440392852908</v>
      </c>
      <c r="L169" s="65"/>
      <c r="M169" s="65"/>
      <c r="N169" s="33"/>
      <c r="O169" s="42"/>
    </row>
    <row r="170" spans="1:15" s="17" customFormat="1">
      <c r="A170" s="56"/>
      <c r="C170" s="40"/>
      <c r="D170" s="32"/>
      <c r="E170" s="7" t="s">
        <v>17</v>
      </c>
      <c r="F170" s="82"/>
      <c r="G170" s="82"/>
      <c r="H170" s="11">
        <f>SUM(H163:H169)</f>
        <v>0</v>
      </c>
      <c r="I170" s="11">
        <f t="shared" ref="I170:K170" si="44">SUM(I163:I169)</f>
        <v>137.73130144044072</v>
      </c>
      <c r="J170" s="11">
        <f t="shared" si="44"/>
        <v>134.35174114696315</v>
      </c>
      <c r="K170" s="11">
        <f t="shared" si="44"/>
        <v>130.49419610133404</v>
      </c>
      <c r="M170" s="65"/>
      <c r="N170" s="33"/>
      <c r="O170" s="42"/>
    </row>
    <row r="171" spans="1:15" s="17" customFormat="1" ht="11" thickBot="1">
      <c r="A171" s="56"/>
      <c r="C171" s="40"/>
      <c r="D171" s="34"/>
      <c r="E171" s="35"/>
      <c r="F171" s="35"/>
      <c r="G171" s="35"/>
      <c r="H171" s="35"/>
      <c r="I171" s="35"/>
      <c r="J171" s="35"/>
      <c r="K171" s="35"/>
      <c r="L171" s="35"/>
      <c r="M171" s="73"/>
      <c r="N171" s="36"/>
      <c r="O171" s="42"/>
    </row>
    <row r="172" spans="1:15" s="17" customFormat="1">
      <c r="A172" s="56"/>
      <c r="C172" s="40"/>
      <c r="M172" s="65"/>
      <c r="O172" s="42"/>
    </row>
    <row r="173" spans="1:15" s="17" customFormat="1">
      <c r="A173" s="56"/>
      <c r="M173" s="65"/>
    </row>
    <row r="174" spans="1:15" s="17" customFormat="1">
      <c r="A174" s="56"/>
      <c r="M174" s="65"/>
    </row>
    <row r="175" spans="1:15" s="17" customFormat="1">
      <c r="A175" s="56"/>
      <c r="M175" s="65"/>
    </row>
    <row r="176" spans="1:15" s="17" customFormat="1">
      <c r="A176" s="56"/>
      <c r="M176" s="65"/>
    </row>
    <row r="177" spans="1:13" s="17" customFormat="1">
      <c r="A177" s="56"/>
      <c r="M177" s="65"/>
    </row>
    <row r="178" spans="1:13" s="17" customFormat="1">
      <c r="A178" s="56"/>
      <c r="M178" s="65"/>
    </row>
    <row r="179" spans="1:13" s="17" customFormat="1">
      <c r="A179" s="56"/>
      <c r="M179" s="65"/>
    </row>
    <row r="180" spans="1:13" s="17" customFormat="1">
      <c r="A180" s="56"/>
      <c r="M180" s="65"/>
    </row>
    <row r="181" spans="1:13" s="17" customFormat="1">
      <c r="A181" s="56"/>
      <c r="M181" s="65"/>
    </row>
    <row r="182" spans="1:13" s="17" customFormat="1">
      <c r="A182" s="56"/>
      <c r="M182" s="65"/>
    </row>
    <row r="183" spans="1:13" s="17" customFormat="1">
      <c r="A183" s="56"/>
      <c r="M183" s="65"/>
    </row>
    <row r="184" spans="1:13" s="17" customFormat="1">
      <c r="A184" s="56"/>
      <c r="M184" s="65"/>
    </row>
    <row r="185" spans="1:13" s="17" customFormat="1">
      <c r="A185" s="56"/>
      <c r="M185" s="65"/>
    </row>
    <row r="186" spans="1:13" s="17" customFormat="1">
      <c r="A186" s="56"/>
      <c r="M186" s="65"/>
    </row>
    <row r="187" spans="1:13" s="17" customFormat="1">
      <c r="A187" s="56"/>
      <c r="M187" s="65"/>
    </row>
    <row r="188" spans="1:13" s="17" customFormat="1">
      <c r="A188" s="56"/>
      <c r="M188" s="65"/>
    </row>
    <row r="189" spans="1:13" s="17" customFormat="1">
      <c r="A189" s="56"/>
      <c r="M189" s="65"/>
    </row>
    <row r="190" spans="1:13" s="17" customFormat="1">
      <c r="A190" s="56"/>
      <c r="M190" s="65"/>
    </row>
    <row r="191" spans="1:13" s="17" customFormat="1">
      <c r="A191" s="56"/>
      <c r="M191" s="65"/>
    </row>
    <row r="192" spans="1:13" s="17" customFormat="1">
      <c r="A192" s="56"/>
      <c r="M192" s="65"/>
    </row>
    <row r="193" spans="1:13" s="17" customFormat="1">
      <c r="A193" s="56"/>
      <c r="M193" s="65"/>
    </row>
    <row r="194" spans="1:13" s="17" customFormat="1">
      <c r="A194" s="56"/>
      <c r="M194" s="65"/>
    </row>
    <row r="195" spans="1:13" s="17" customFormat="1">
      <c r="A195" s="56"/>
      <c r="M195" s="65"/>
    </row>
    <row r="196" spans="1:13" s="17" customFormat="1">
      <c r="A196" s="56"/>
      <c r="M196" s="65"/>
    </row>
    <row r="197" spans="1:13" s="17" customFormat="1">
      <c r="A197" s="56"/>
      <c r="M197" s="65"/>
    </row>
    <row r="198" spans="1:13" s="17" customFormat="1">
      <c r="A198" s="56"/>
      <c r="M198" s="65"/>
    </row>
    <row r="199" spans="1:13" s="17" customFormat="1">
      <c r="A199" s="56"/>
      <c r="M199" s="65"/>
    </row>
    <row r="200" spans="1:13" s="17" customFormat="1">
      <c r="A200" s="56"/>
      <c r="M200" s="65"/>
    </row>
    <row r="201" spans="1:13" s="17" customFormat="1">
      <c r="A201" s="56"/>
      <c r="M201" s="65"/>
    </row>
    <row r="202" spans="1:13" s="17" customFormat="1">
      <c r="A202" s="56"/>
      <c r="M202" s="65"/>
    </row>
    <row r="203" spans="1:13" s="17" customFormat="1">
      <c r="A203" s="56"/>
      <c r="M203" s="65"/>
    </row>
    <row r="204" spans="1:13" s="17" customFormat="1">
      <c r="A204" s="56"/>
      <c r="M204" s="65"/>
    </row>
    <row r="205" spans="1:13" s="17" customFormat="1">
      <c r="A205" s="56"/>
      <c r="M205" s="65"/>
    </row>
    <row r="206" spans="1:13" s="17" customFormat="1">
      <c r="A206" s="56"/>
      <c r="M206" s="65"/>
    </row>
    <row r="207" spans="1:13" s="17" customFormat="1">
      <c r="A207" s="56"/>
      <c r="M207" s="65"/>
    </row>
    <row r="208" spans="1:13" s="17" customFormat="1">
      <c r="A208" s="56"/>
      <c r="M208" s="65"/>
    </row>
    <row r="209" spans="1:13" s="17" customFormat="1">
      <c r="A209" s="56"/>
      <c r="M209" s="65"/>
    </row>
    <row r="210" spans="1:13" s="17" customFormat="1">
      <c r="A210" s="56"/>
      <c r="M210" s="65"/>
    </row>
    <row r="211" spans="1:13" s="17" customFormat="1">
      <c r="A211" s="56"/>
      <c r="M211" s="65"/>
    </row>
    <row r="212" spans="1:13" s="17" customFormat="1">
      <c r="A212" s="56"/>
      <c r="M212" s="65"/>
    </row>
    <row r="213" spans="1:13" s="17" customFormat="1">
      <c r="A213" s="56"/>
      <c r="M213" s="65"/>
    </row>
    <row r="214" spans="1:13" s="17" customFormat="1">
      <c r="A214" s="56"/>
      <c r="M214" s="65"/>
    </row>
    <row r="215" spans="1:13" s="17" customFormat="1">
      <c r="A215" s="56"/>
      <c r="M215" s="65"/>
    </row>
    <row r="216" spans="1:13" s="17" customFormat="1">
      <c r="A216" s="56"/>
      <c r="M216" s="65"/>
    </row>
    <row r="217" spans="1:13" s="17" customFormat="1">
      <c r="A217" s="56"/>
      <c r="M217" s="65"/>
    </row>
    <row r="218" spans="1:13" s="17" customFormat="1">
      <c r="A218" s="56"/>
      <c r="M218" s="65"/>
    </row>
    <row r="219" spans="1:13" s="17" customFormat="1">
      <c r="A219" s="56"/>
      <c r="M219" s="65"/>
    </row>
    <row r="220" spans="1:13" s="17" customFormat="1">
      <c r="A220" s="56"/>
      <c r="M220" s="65"/>
    </row>
    <row r="221" spans="1:13" s="17" customFormat="1">
      <c r="A221" s="56"/>
      <c r="M221" s="65"/>
    </row>
    <row r="222" spans="1:13" s="17" customFormat="1">
      <c r="A222" s="56"/>
      <c r="M222" s="65"/>
    </row>
    <row r="223" spans="1:13" s="17" customFormat="1">
      <c r="A223" s="56"/>
      <c r="M223" s="65"/>
    </row>
    <row r="224" spans="1:13" s="17" customFormat="1">
      <c r="A224" s="56"/>
      <c r="M224" s="65"/>
    </row>
    <row r="225" spans="1:13" s="17" customFormat="1">
      <c r="A225" s="56"/>
      <c r="M225" s="65"/>
    </row>
    <row r="226" spans="1:13" s="17" customFormat="1">
      <c r="A226" s="56"/>
      <c r="M226" s="65"/>
    </row>
    <row r="227" spans="1:13" s="17" customFormat="1">
      <c r="A227" s="56"/>
      <c r="M227" s="65"/>
    </row>
    <row r="228" spans="1:13" s="17" customFormat="1">
      <c r="A228" s="56"/>
      <c r="M228" s="65"/>
    </row>
    <row r="229" spans="1:13" s="17" customFormat="1">
      <c r="A229" s="56"/>
      <c r="M229" s="65"/>
    </row>
    <row r="230" spans="1:13" s="17" customFormat="1">
      <c r="A230" s="56"/>
      <c r="M230" s="65"/>
    </row>
    <row r="231" spans="1:13" s="17" customFormat="1">
      <c r="A231" s="56"/>
      <c r="M231" s="65"/>
    </row>
    <row r="232" spans="1:13" s="17" customFormat="1">
      <c r="A232" s="56"/>
      <c r="M232" s="65"/>
    </row>
    <row r="233" spans="1:13" s="17" customFormat="1">
      <c r="A233" s="56"/>
      <c r="M233" s="65"/>
    </row>
    <row r="234" spans="1:13" s="17" customFormat="1">
      <c r="A234" s="56"/>
      <c r="M234" s="65"/>
    </row>
    <row r="235" spans="1:13" s="17" customFormat="1">
      <c r="A235" s="56"/>
      <c r="M235" s="65"/>
    </row>
    <row r="236" spans="1:13" s="17" customFormat="1">
      <c r="A236" s="56"/>
      <c r="M236" s="65"/>
    </row>
    <row r="237" spans="1:13" s="17" customFormat="1">
      <c r="A237" s="56"/>
      <c r="M237" s="65"/>
    </row>
    <row r="238" spans="1:13" s="17" customFormat="1">
      <c r="A238" s="56"/>
      <c r="M238" s="65"/>
    </row>
    <row r="239" spans="1:13" s="17" customFormat="1">
      <c r="A239" s="56"/>
      <c r="M239" s="65"/>
    </row>
    <row r="240" spans="1:13" s="17" customFormat="1">
      <c r="A240" s="56"/>
      <c r="M240" s="65"/>
    </row>
    <row r="241" spans="1:13" s="17" customFormat="1">
      <c r="A241" s="56"/>
      <c r="M241" s="65"/>
    </row>
    <row r="242" spans="1:13" s="17" customFormat="1">
      <c r="A242" s="56"/>
      <c r="M242" s="65"/>
    </row>
    <row r="243" spans="1:13" s="17" customFormat="1">
      <c r="A243" s="56"/>
      <c r="M243" s="65"/>
    </row>
    <row r="244" spans="1:13" s="17" customFormat="1">
      <c r="A244" s="56"/>
      <c r="M244" s="65"/>
    </row>
    <row r="245" spans="1:13" s="17" customFormat="1">
      <c r="A245" s="56"/>
      <c r="M245" s="65"/>
    </row>
    <row r="246" spans="1:13" s="17" customFormat="1">
      <c r="A246" s="56"/>
      <c r="M246" s="65"/>
    </row>
    <row r="247" spans="1:13" s="17" customFormat="1">
      <c r="A247" s="56"/>
      <c r="M247" s="65"/>
    </row>
    <row r="248" spans="1:13" s="17" customFormat="1">
      <c r="A248" s="56"/>
      <c r="M248" s="65"/>
    </row>
    <row r="249" spans="1:13" s="17" customFormat="1">
      <c r="A249" s="56"/>
      <c r="M249" s="65"/>
    </row>
    <row r="250" spans="1:13" s="17" customFormat="1">
      <c r="A250" s="56"/>
      <c r="M250" s="65"/>
    </row>
    <row r="251" spans="1:13" s="17" customFormat="1">
      <c r="A251" s="56"/>
      <c r="M251" s="65"/>
    </row>
    <row r="252" spans="1:13" s="17" customFormat="1">
      <c r="A252" s="56"/>
      <c r="M252" s="65"/>
    </row>
    <row r="253" spans="1:13" s="17" customFormat="1">
      <c r="A253" s="56"/>
      <c r="M253" s="65"/>
    </row>
    <row r="254" spans="1:13" s="17" customFormat="1">
      <c r="A254" s="56"/>
      <c r="M254" s="65"/>
    </row>
    <row r="255" spans="1:13" s="17" customFormat="1">
      <c r="A255" s="56"/>
      <c r="M255" s="65"/>
    </row>
    <row r="256" spans="1:13" s="17" customFormat="1">
      <c r="A256" s="56"/>
      <c r="M256" s="65"/>
    </row>
    <row r="257" spans="1:13" s="17" customFormat="1">
      <c r="A257" s="56"/>
      <c r="M257" s="65"/>
    </row>
    <row r="258" spans="1:13" s="17" customFormat="1">
      <c r="A258" s="56"/>
      <c r="M258" s="65"/>
    </row>
    <row r="259" spans="1:13" s="17" customFormat="1">
      <c r="A259" s="56"/>
      <c r="M259" s="65"/>
    </row>
    <row r="260" spans="1:13" s="17" customFormat="1">
      <c r="A260" s="56"/>
      <c r="M260" s="65"/>
    </row>
    <row r="261" spans="1:13" s="17" customFormat="1">
      <c r="A261" s="56"/>
      <c r="M261" s="65"/>
    </row>
    <row r="262" spans="1:13" s="17" customFormat="1">
      <c r="A262" s="56"/>
      <c r="M262" s="65"/>
    </row>
    <row r="263" spans="1:13" s="17" customFormat="1">
      <c r="A263" s="56"/>
      <c r="M263" s="65"/>
    </row>
    <row r="264" spans="1:13" s="17" customFormat="1">
      <c r="A264" s="56"/>
      <c r="M264" s="65"/>
    </row>
    <row r="265" spans="1:13" s="17" customFormat="1">
      <c r="A265" s="56"/>
      <c r="M265" s="65"/>
    </row>
    <row r="266" spans="1:13" s="17" customFormat="1">
      <c r="A266" s="56"/>
      <c r="M266" s="65"/>
    </row>
    <row r="267" spans="1:13" s="17" customFormat="1">
      <c r="A267" s="56"/>
      <c r="M267" s="65"/>
    </row>
    <row r="268" spans="1:13" s="17" customFormat="1">
      <c r="A268" s="56"/>
      <c r="M268" s="65"/>
    </row>
    <row r="269" spans="1:13" s="17" customFormat="1">
      <c r="A269" s="56"/>
      <c r="M269" s="65"/>
    </row>
    <row r="270" spans="1:13" s="17" customFormat="1">
      <c r="A270" s="56"/>
      <c r="M270" s="65"/>
    </row>
    <row r="271" spans="1:13" s="17" customFormat="1">
      <c r="A271" s="56"/>
      <c r="M271" s="65"/>
    </row>
    <row r="272" spans="1:13" s="17" customFormat="1">
      <c r="A272" s="56"/>
      <c r="M272" s="65"/>
    </row>
    <row r="273" spans="1:13" s="17" customFormat="1">
      <c r="A273" s="56"/>
      <c r="M273" s="65"/>
    </row>
    <row r="274" spans="1:13" s="17" customFormat="1">
      <c r="A274" s="56"/>
      <c r="M274" s="65"/>
    </row>
    <row r="275" spans="1:13" s="17" customFormat="1">
      <c r="A275" s="56"/>
      <c r="M275" s="65"/>
    </row>
    <row r="276" spans="1:13" s="17" customFormat="1">
      <c r="A276" s="56"/>
      <c r="M276" s="65"/>
    </row>
    <row r="277" spans="1:13" s="17" customFormat="1">
      <c r="A277" s="56"/>
      <c r="M277" s="65"/>
    </row>
    <row r="278" spans="1:13" s="17" customFormat="1">
      <c r="A278" s="56"/>
      <c r="M278" s="65"/>
    </row>
    <row r="279" spans="1:13" s="17" customFormat="1">
      <c r="A279" s="56"/>
      <c r="M279" s="65"/>
    </row>
    <row r="280" spans="1:13" s="17" customFormat="1">
      <c r="A280" s="56"/>
      <c r="M280" s="65"/>
    </row>
    <row r="281" spans="1:13" s="17" customFormat="1">
      <c r="A281" s="56"/>
      <c r="M281" s="65"/>
    </row>
    <row r="282" spans="1:13" s="17" customFormat="1">
      <c r="A282" s="56"/>
      <c r="M282" s="65"/>
    </row>
    <row r="283" spans="1:13" s="17" customFormat="1">
      <c r="A283" s="56"/>
      <c r="M283" s="65"/>
    </row>
    <row r="284" spans="1:13" s="17" customFormat="1">
      <c r="A284" s="56"/>
      <c r="M284" s="65"/>
    </row>
    <row r="285" spans="1:13" s="17" customFormat="1">
      <c r="A285" s="56"/>
      <c r="M285" s="65"/>
    </row>
    <row r="286" spans="1:13" s="17" customFormat="1">
      <c r="A286" s="56"/>
      <c r="M286" s="65"/>
    </row>
    <row r="287" spans="1:13" s="17" customFormat="1">
      <c r="A287" s="56"/>
      <c r="M287" s="65"/>
    </row>
    <row r="288" spans="1:13" s="17" customFormat="1">
      <c r="A288" s="56"/>
      <c r="M288" s="65"/>
    </row>
    <row r="289" spans="1:13" s="17" customFormat="1">
      <c r="A289" s="56"/>
      <c r="M289" s="65"/>
    </row>
    <row r="290" spans="1:13" s="17" customFormat="1">
      <c r="A290" s="56"/>
      <c r="M290" s="65"/>
    </row>
    <row r="291" spans="1:13" s="17" customFormat="1">
      <c r="A291" s="56"/>
      <c r="M291" s="65"/>
    </row>
    <row r="292" spans="1:13" s="17" customFormat="1">
      <c r="A292" s="56"/>
      <c r="M292" s="65"/>
    </row>
    <row r="293" spans="1:13" s="17" customFormat="1">
      <c r="A293" s="56"/>
      <c r="M293" s="65"/>
    </row>
    <row r="294" spans="1:13" s="17" customFormat="1">
      <c r="A294" s="56"/>
      <c r="M294" s="65"/>
    </row>
    <row r="295" spans="1:13" s="17" customFormat="1">
      <c r="A295" s="56"/>
      <c r="M295" s="65"/>
    </row>
    <row r="296" spans="1:13" s="17" customFormat="1">
      <c r="A296" s="56"/>
      <c r="M296" s="65"/>
    </row>
    <row r="297" spans="1:13" s="17" customFormat="1">
      <c r="A297" s="56"/>
      <c r="M297" s="65"/>
    </row>
    <row r="298" spans="1:13" s="17" customFormat="1">
      <c r="A298" s="56"/>
      <c r="M298" s="65"/>
    </row>
    <row r="299" spans="1:13" s="17" customFormat="1">
      <c r="A299" s="56"/>
      <c r="M299" s="65"/>
    </row>
    <row r="300" spans="1:13" s="17" customFormat="1">
      <c r="A300" s="56"/>
      <c r="M300" s="65"/>
    </row>
    <row r="301" spans="1:13" s="17" customFormat="1">
      <c r="A301" s="56"/>
      <c r="M301" s="65"/>
    </row>
    <row r="302" spans="1:13" s="17" customFormat="1">
      <c r="A302" s="56"/>
      <c r="M302" s="65"/>
    </row>
    <row r="303" spans="1:13" s="17" customFormat="1">
      <c r="A303" s="56"/>
      <c r="M303" s="65"/>
    </row>
    <row r="304" spans="1:13" s="17" customFormat="1">
      <c r="A304" s="56"/>
      <c r="M304" s="65"/>
    </row>
    <row r="305" spans="1:13" s="17" customFormat="1">
      <c r="A305" s="56"/>
      <c r="M305" s="65"/>
    </row>
    <row r="306" spans="1:13" s="17" customFormat="1">
      <c r="A306" s="56"/>
      <c r="M306" s="65"/>
    </row>
    <row r="307" spans="1:13" s="17" customFormat="1">
      <c r="A307" s="56"/>
      <c r="M307" s="65"/>
    </row>
    <row r="308" spans="1:13" s="17" customFormat="1">
      <c r="A308" s="56"/>
      <c r="M308" s="65"/>
    </row>
    <row r="309" spans="1:13" s="17" customFormat="1">
      <c r="A309" s="56"/>
      <c r="M309" s="65"/>
    </row>
    <row r="310" spans="1:13" s="17" customFormat="1">
      <c r="A310" s="56"/>
      <c r="M310" s="65"/>
    </row>
    <row r="311" spans="1:13" s="17" customFormat="1">
      <c r="A311" s="56"/>
      <c r="M311" s="65"/>
    </row>
    <row r="312" spans="1:13" s="17" customFormat="1">
      <c r="A312" s="56"/>
      <c r="M312" s="65"/>
    </row>
    <row r="313" spans="1:13" s="17" customFormat="1">
      <c r="A313" s="56"/>
      <c r="M313" s="65"/>
    </row>
    <row r="314" spans="1:13" s="17" customFormat="1">
      <c r="A314" s="56"/>
      <c r="M314" s="65"/>
    </row>
    <row r="315" spans="1:13" s="17" customFormat="1">
      <c r="A315" s="56"/>
      <c r="M315" s="65"/>
    </row>
    <row r="316" spans="1:13" s="17" customFormat="1">
      <c r="A316" s="56"/>
      <c r="M316" s="65"/>
    </row>
    <row r="317" spans="1:13" s="17" customFormat="1">
      <c r="A317" s="56"/>
      <c r="M317" s="65"/>
    </row>
    <row r="318" spans="1:13" s="17" customFormat="1">
      <c r="A318" s="56"/>
      <c r="M318" s="65"/>
    </row>
    <row r="319" spans="1:13" s="17" customFormat="1">
      <c r="A319" s="56"/>
      <c r="M319" s="65"/>
    </row>
    <row r="320" spans="1:13" s="17" customFormat="1">
      <c r="A320" s="56"/>
      <c r="M320" s="65"/>
    </row>
    <row r="321" spans="1:13" s="17" customFormat="1">
      <c r="A321" s="56"/>
      <c r="M321" s="65"/>
    </row>
    <row r="322" spans="1:13" s="17" customFormat="1">
      <c r="A322" s="56"/>
      <c r="M322" s="65"/>
    </row>
    <row r="323" spans="1:13" s="17" customFormat="1">
      <c r="A323" s="56"/>
      <c r="M323" s="65"/>
    </row>
    <row r="324" spans="1:13" s="17" customFormat="1">
      <c r="A324" s="56"/>
      <c r="M324" s="65"/>
    </row>
    <row r="325" spans="1:13" s="17" customFormat="1">
      <c r="A325" s="56"/>
      <c r="M325" s="65"/>
    </row>
    <row r="326" spans="1:13" s="17" customFormat="1">
      <c r="A326" s="56"/>
      <c r="M326" s="65"/>
    </row>
    <row r="327" spans="1:13" s="17" customFormat="1">
      <c r="A327" s="56"/>
      <c r="M327" s="65"/>
    </row>
    <row r="328" spans="1:13" s="17" customFormat="1">
      <c r="A328" s="56"/>
      <c r="M328" s="65"/>
    </row>
    <row r="329" spans="1:13" s="17" customFormat="1">
      <c r="A329" s="56"/>
      <c r="M329" s="65"/>
    </row>
    <row r="330" spans="1:13" s="17" customFormat="1">
      <c r="A330" s="56"/>
      <c r="M330" s="65"/>
    </row>
    <row r="331" spans="1:13" s="17" customFormat="1">
      <c r="A331" s="56"/>
      <c r="M331" s="65"/>
    </row>
    <row r="332" spans="1:13" s="17" customFormat="1">
      <c r="A332" s="56"/>
      <c r="M332" s="65"/>
    </row>
    <row r="333" spans="1:13" s="17" customFormat="1">
      <c r="A333" s="56"/>
      <c r="M333" s="65"/>
    </row>
    <row r="334" spans="1:13" s="17" customFormat="1">
      <c r="A334" s="56"/>
      <c r="M334" s="65"/>
    </row>
    <row r="335" spans="1:13" s="17" customFormat="1">
      <c r="A335" s="56"/>
      <c r="M335" s="65"/>
    </row>
    <row r="336" spans="1:13" s="17" customFormat="1">
      <c r="A336" s="56"/>
      <c r="M336" s="65"/>
    </row>
    <row r="337" spans="1:13" s="17" customFormat="1">
      <c r="A337" s="56"/>
      <c r="M337" s="65"/>
    </row>
    <row r="338" spans="1:13" s="17" customFormat="1">
      <c r="A338" s="56"/>
      <c r="M338" s="65"/>
    </row>
    <row r="339" spans="1:13" s="17" customFormat="1">
      <c r="A339" s="56"/>
      <c r="M339" s="65"/>
    </row>
    <row r="340" spans="1:13" s="17" customFormat="1">
      <c r="A340" s="56"/>
      <c r="M340" s="65"/>
    </row>
    <row r="341" spans="1:13" s="17" customFormat="1">
      <c r="A341" s="56"/>
      <c r="M341" s="65"/>
    </row>
    <row r="342" spans="1:13" s="17" customFormat="1">
      <c r="A342" s="56"/>
      <c r="M342" s="65"/>
    </row>
    <row r="343" spans="1:13" s="17" customFormat="1">
      <c r="A343" s="56"/>
      <c r="M343" s="65"/>
    </row>
    <row r="344" spans="1:13" s="17" customFormat="1">
      <c r="A344" s="56"/>
      <c r="M344" s="65"/>
    </row>
    <row r="345" spans="1:13" s="17" customFormat="1">
      <c r="A345" s="56"/>
      <c r="M345" s="65"/>
    </row>
    <row r="346" spans="1:13" s="17" customFormat="1">
      <c r="A346" s="56"/>
      <c r="M346" s="65"/>
    </row>
    <row r="347" spans="1:13" s="17" customFormat="1">
      <c r="A347" s="56"/>
      <c r="M347" s="65"/>
    </row>
    <row r="348" spans="1:13" s="17" customFormat="1">
      <c r="A348" s="56"/>
      <c r="M348" s="65"/>
    </row>
    <row r="349" spans="1:13" s="17" customFormat="1">
      <c r="A349" s="56"/>
      <c r="M349" s="65"/>
    </row>
    <row r="350" spans="1:13" s="17" customFormat="1">
      <c r="A350" s="56"/>
      <c r="M350" s="65"/>
    </row>
    <row r="351" spans="1:13" s="17" customFormat="1">
      <c r="A351" s="56"/>
      <c r="M351" s="65"/>
    </row>
    <row r="352" spans="1:13" s="17" customFormat="1">
      <c r="A352" s="56"/>
      <c r="M352" s="65"/>
    </row>
    <row r="353" spans="1:13" s="17" customFormat="1">
      <c r="A353" s="56"/>
      <c r="M353" s="65"/>
    </row>
    <row r="354" spans="1:13" s="17" customFormat="1">
      <c r="A354" s="56"/>
      <c r="M354" s="65"/>
    </row>
    <row r="355" spans="1:13" s="17" customFormat="1">
      <c r="A355" s="56"/>
      <c r="M355" s="65"/>
    </row>
    <row r="356" spans="1:13" s="17" customFormat="1">
      <c r="A356" s="56"/>
      <c r="M356" s="65"/>
    </row>
    <row r="357" spans="1:13" s="17" customFormat="1">
      <c r="A357" s="56"/>
      <c r="M357" s="65"/>
    </row>
    <row r="358" spans="1:13" s="17" customFormat="1">
      <c r="A358" s="56"/>
      <c r="M358" s="65"/>
    </row>
    <row r="359" spans="1:13" s="17" customFormat="1">
      <c r="A359" s="56"/>
      <c r="M359" s="65"/>
    </row>
    <row r="360" spans="1:13" s="17" customFormat="1">
      <c r="A360" s="56"/>
      <c r="M360" s="65"/>
    </row>
    <row r="361" spans="1:13" s="17" customFormat="1">
      <c r="A361" s="56"/>
      <c r="M361" s="65"/>
    </row>
    <row r="362" spans="1:13" s="17" customFormat="1">
      <c r="A362" s="56"/>
      <c r="M362" s="65"/>
    </row>
    <row r="363" spans="1:13" s="17" customFormat="1">
      <c r="A363" s="56"/>
      <c r="M363" s="65"/>
    </row>
    <row r="364" spans="1:13" s="17" customFormat="1">
      <c r="A364" s="56"/>
      <c r="M364" s="65"/>
    </row>
    <row r="365" spans="1:13" s="17" customFormat="1">
      <c r="A365" s="56"/>
      <c r="M365" s="65"/>
    </row>
    <row r="366" spans="1:13" s="17" customFormat="1">
      <c r="A366" s="56"/>
      <c r="M366" s="65"/>
    </row>
    <row r="367" spans="1:13" s="17" customFormat="1">
      <c r="A367" s="56"/>
      <c r="M367" s="65"/>
    </row>
    <row r="368" spans="1:13" s="17" customFormat="1">
      <c r="A368" s="56"/>
      <c r="M368" s="65"/>
    </row>
    <row r="369" spans="1:13" s="17" customFormat="1">
      <c r="A369" s="56"/>
      <c r="M369" s="65"/>
    </row>
    <row r="370" spans="1:13" s="17" customFormat="1">
      <c r="A370" s="56"/>
      <c r="M370" s="65"/>
    </row>
    <row r="371" spans="1:13" s="17" customFormat="1">
      <c r="A371" s="56"/>
      <c r="M371" s="65"/>
    </row>
    <row r="372" spans="1:13" s="17" customFormat="1">
      <c r="A372" s="56"/>
      <c r="M372" s="65"/>
    </row>
    <row r="373" spans="1:13" s="17" customFormat="1">
      <c r="A373" s="56"/>
      <c r="M373" s="65"/>
    </row>
    <row r="374" spans="1:13" s="17" customFormat="1">
      <c r="A374" s="56"/>
      <c r="M374" s="65"/>
    </row>
    <row r="375" spans="1:13" s="17" customFormat="1">
      <c r="A375" s="56"/>
      <c r="M375" s="65"/>
    </row>
    <row r="376" spans="1:13" s="17" customFormat="1">
      <c r="A376" s="56"/>
      <c r="M376" s="65"/>
    </row>
    <row r="377" spans="1:13" s="17" customFormat="1">
      <c r="A377" s="56"/>
      <c r="M377" s="65"/>
    </row>
    <row r="378" spans="1:13" s="17" customFormat="1">
      <c r="A378" s="56"/>
      <c r="M378" s="65"/>
    </row>
    <row r="379" spans="1:13" s="17" customFormat="1">
      <c r="A379" s="56"/>
      <c r="M379" s="65"/>
    </row>
    <row r="380" spans="1:13" s="17" customFormat="1">
      <c r="A380" s="56"/>
      <c r="M380" s="65"/>
    </row>
    <row r="381" spans="1:13" s="17" customFormat="1">
      <c r="A381" s="56"/>
      <c r="M381" s="65"/>
    </row>
    <row r="382" spans="1:13" s="17" customFormat="1">
      <c r="A382" s="56"/>
      <c r="M382" s="65"/>
    </row>
    <row r="383" spans="1:13" s="17" customFormat="1">
      <c r="A383" s="56"/>
      <c r="M383" s="65"/>
    </row>
    <row r="384" spans="1:13" s="17" customFormat="1">
      <c r="A384" s="56"/>
      <c r="M384" s="65"/>
    </row>
    <row r="385" spans="1:13" s="17" customFormat="1">
      <c r="A385" s="56"/>
      <c r="M385" s="65"/>
    </row>
    <row r="386" spans="1:13" s="17" customFormat="1">
      <c r="A386" s="56"/>
      <c r="M386" s="65"/>
    </row>
    <row r="387" spans="1:13" s="17" customFormat="1">
      <c r="A387" s="56"/>
      <c r="M387" s="65"/>
    </row>
    <row r="388" spans="1:13" s="17" customFormat="1">
      <c r="A388" s="56"/>
      <c r="M388" s="65"/>
    </row>
    <row r="389" spans="1:13" s="17" customFormat="1">
      <c r="A389" s="56"/>
      <c r="M389" s="65"/>
    </row>
    <row r="390" spans="1:13" s="17" customFormat="1">
      <c r="A390" s="56"/>
      <c r="M390" s="65"/>
    </row>
    <row r="391" spans="1:13" s="17" customFormat="1">
      <c r="A391" s="56"/>
      <c r="M391" s="65"/>
    </row>
    <row r="392" spans="1:13" s="17" customFormat="1">
      <c r="A392" s="56"/>
      <c r="M392" s="65"/>
    </row>
    <row r="393" spans="1:13" s="17" customFormat="1">
      <c r="A393" s="56"/>
      <c r="M393" s="65"/>
    </row>
    <row r="394" spans="1:13" s="17" customFormat="1">
      <c r="A394" s="56"/>
      <c r="M394" s="65"/>
    </row>
    <row r="395" spans="1:13" s="17" customFormat="1">
      <c r="A395" s="56"/>
      <c r="M395" s="65"/>
    </row>
    <row r="396" spans="1:13" s="17" customFormat="1">
      <c r="A396" s="56"/>
      <c r="M396" s="65"/>
    </row>
    <row r="397" spans="1:13" s="17" customFormat="1">
      <c r="A397" s="56"/>
      <c r="M397" s="65"/>
    </row>
    <row r="398" spans="1:13" s="17" customFormat="1">
      <c r="A398" s="56"/>
      <c r="M398" s="65"/>
    </row>
    <row r="399" spans="1:13" s="17" customFormat="1">
      <c r="A399" s="56"/>
      <c r="M399" s="65"/>
    </row>
    <row r="400" spans="1:13" s="17" customFormat="1">
      <c r="A400" s="56"/>
      <c r="M400" s="65"/>
    </row>
    <row r="401" spans="1:13" s="17" customFormat="1">
      <c r="A401" s="56"/>
      <c r="M401" s="65"/>
    </row>
    <row r="402" spans="1:13" s="17" customFormat="1">
      <c r="A402" s="56"/>
      <c r="M402" s="65"/>
    </row>
    <row r="403" spans="1:13" s="17" customFormat="1">
      <c r="A403" s="56"/>
      <c r="M403" s="65"/>
    </row>
    <row r="404" spans="1:13" s="17" customFormat="1">
      <c r="A404" s="56"/>
      <c r="M404" s="65"/>
    </row>
    <row r="405" spans="1:13" s="17" customFormat="1">
      <c r="A405" s="56"/>
      <c r="M405" s="65"/>
    </row>
    <row r="406" spans="1:13" s="17" customFormat="1">
      <c r="A406" s="56"/>
      <c r="M406" s="65"/>
    </row>
    <row r="407" spans="1:13" s="17" customFormat="1">
      <c r="A407" s="56"/>
      <c r="M407" s="65"/>
    </row>
    <row r="408" spans="1:13" s="17" customFormat="1">
      <c r="A408" s="56"/>
      <c r="M408" s="65"/>
    </row>
    <row r="409" spans="1:13" s="17" customFormat="1">
      <c r="A409" s="56"/>
      <c r="M409" s="65"/>
    </row>
    <row r="410" spans="1:13" s="17" customFormat="1">
      <c r="A410" s="56"/>
      <c r="M410" s="65"/>
    </row>
    <row r="411" spans="1:13" s="17" customFormat="1">
      <c r="A411" s="56"/>
      <c r="M411" s="65"/>
    </row>
    <row r="412" spans="1:13" s="17" customFormat="1">
      <c r="A412" s="56"/>
      <c r="M412" s="65"/>
    </row>
    <row r="413" spans="1:13" s="17" customFormat="1">
      <c r="A413" s="56"/>
      <c r="M413" s="65"/>
    </row>
    <row r="414" spans="1:13" s="17" customFormat="1">
      <c r="A414" s="56"/>
      <c r="M414" s="65"/>
    </row>
    <row r="415" spans="1:13" s="17" customFormat="1">
      <c r="A415" s="56"/>
      <c r="M415" s="65"/>
    </row>
    <row r="416" spans="1:13" s="17" customFormat="1">
      <c r="A416" s="56"/>
      <c r="M416" s="65"/>
    </row>
    <row r="417" spans="1:13" s="17" customFormat="1">
      <c r="A417" s="56"/>
      <c r="M417" s="65"/>
    </row>
    <row r="418" spans="1:13" s="17" customFormat="1">
      <c r="A418" s="56"/>
      <c r="M418" s="65"/>
    </row>
    <row r="419" spans="1:13" s="17" customFormat="1">
      <c r="A419" s="56"/>
      <c r="M419" s="65"/>
    </row>
    <row r="420" spans="1:13" s="17" customFormat="1">
      <c r="A420" s="56"/>
      <c r="M420" s="65"/>
    </row>
    <row r="421" spans="1:13" s="17" customFormat="1">
      <c r="A421" s="56"/>
      <c r="M421" s="65"/>
    </row>
    <row r="422" spans="1:13" s="17" customFormat="1">
      <c r="A422" s="56"/>
      <c r="M422" s="65"/>
    </row>
    <row r="423" spans="1:13" s="17" customFormat="1">
      <c r="A423" s="56"/>
      <c r="M423" s="65"/>
    </row>
    <row r="424" spans="1:13" s="17" customFormat="1">
      <c r="A424" s="56"/>
      <c r="M424" s="65"/>
    </row>
    <row r="425" spans="1:13" s="17" customFormat="1">
      <c r="A425" s="56"/>
      <c r="M425" s="65"/>
    </row>
    <row r="426" spans="1:13" s="17" customFormat="1">
      <c r="A426" s="56"/>
      <c r="M426" s="65"/>
    </row>
    <row r="427" spans="1:13" s="17" customFormat="1">
      <c r="A427" s="56"/>
      <c r="M427" s="65"/>
    </row>
    <row r="428" spans="1:13" s="17" customFormat="1">
      <c r="A428" s="56"/>
      <c r="M428" s="65"/>
    </row>
    <row r="429" spans="1:13" s="17" customFormat="1">
      <c r="A429" s="56"/>
      <c r="M429" s="65"/>
    </row>
    <row r="430" spans="1:13" s="17" customFormat="1">
      <c r="A430" s="56"/>
      <c r="M430" s="65"/>
    </row>
    <row r="431" spans="1:13" s="17" customFormat="1">
      <c r="A431" s="56"/>
      <c r="M431" s="65"/>
    </row>
    <row r="432" spans="1:13" s="17" customFormat="1">
      <c r="A432" s="56"/>
      <c r="M432" s="65"/>
    </row>
    <row r="433" spans="1:13" s="17" customFormat="1">
      <c r="A433" s="56"/>
      <c r="M433" s="65"/>
    </row>
    <row r="434" spans="1:13" s="17" customFormat="1">
      <c r="A434" s="56"/>
      <c r="M434" s="65"/>
    </row>
    <row r="435" spans="1:13" s="17" customFormat="1">
      <c r="A435" s="56"/>
      <c r="M435" s="65"/>
    </row>
    <row r="436" spans="1:13" s="17" customFormat="1">
      <c r="A436" s="56"/>
      <c r="M436" s="65"/>
    </row>
    <row r="437" spans="1:13" s="17" customFormat="1">
      <c r="A437" s="56"/>
      <c r="M437" s="65"/>
    </row>
    <row r="438" spans="1:13" s="17" customFormat="1">
      <c r="A438" s="56"/>
      <c r="M438" s="65"/>
    </row>
    <row r="439" spans="1:13" s="17" customFormat="1">
      <c r="A439" s="56"/>
      <c r="M439" s="65"/>
    </row>
    <row r="440" spans="1:13" s="17" customFormat="1">
      <c r="A440" s="56"/>
      <c r="M440" s="65"/>
    </row>
    <row r="441" spans="1:13" s="17" customFormat="1">
      <c r="A441" s="56"/>
      <c r="M441" s="65"/>
    </row>
    <row r="442" spans="1:13" s="17" customFormat="1">
      <c r="A442" s="56"/>
      <c r="M442" s="65"/>
    </row>
    <row r="443" spans="1:13" s="17" customFormat="1">
      <c r="A443" s="56"/>
      <c r="M443" s="65"/>
    </row>
    <row r="444" spans="1:13" s="17" customFormat="1">
      <c r="A444" s="56"/>
      <c r="M444" s="65"/>
    </row>
    <row r="445" spans="1:13" s="17" customFormat="1">
      <c r="A445" s="56"/>
      <c r="M445" s="65"/>
    </row>
    <row r="446" spans="1:13" s="17" customFormat="1">
      <c r="A446" s="56"/>
      <c r="M446" s="65"/>
    </row>
    <row r="447" spans="1:13" s="17" customFormat="1">
      <c r="A447" s="56"/>
      <c r="M447" s="65"/>
    </row>
    <row r="448" spans="1:13" s="17" customFormat="1">
      <c r="A448" s="56"/>
      <c r="M448" s="65"/>
    </row>
    <row r="449" spans="1:13" s="17" customFormat="1">
      <c r="A449" s="56"/>
      <c r="M449" s="65"/>
    </row>
    <row r="450" spans="1:13" s="17" customFormat="1">
      <c r="A450" s="56"/>
      <c r="M450" s="65"/>
    </row>
    <row r="451" spans="1:13" s="17" customFormat="1">
      <c r="A451" s="56"/>
      <c r="M451" s="65"/>
    </row>
    <row r="452" spans="1:13" s="17" customFormat="1">
      <c r="A452" s="56"/>
      <c r="M452" s="65"/>
    </row>
    <row r="453" spans="1:13" s="17" customFormat="1">
      <c r="A453" s="56"/>
      <c r="M453" s="65"/>
    </row>
    <row r="454" spans="1:13" s="17" customFormat="1">
      <c r="A454" s="56"/>
      <c r="M454" s="65"/>
    </row>
    <row r="455" spans="1:13" s="17" customFormat="1">
      <c r="A455" s="56"/>
      <c r="M455" s="65"/>
    </row>
    <row r="456" spans="1:13" s="17" customFormat="1">
      <c r="A456" s="56"/>
      <c r="M456" s="65"/>
    </row>
    <row r="457" spans="1:13" s="17" customFormat="1">
      <c r="A457" s="56"/>
      <c r="M457" s="65"/>
    </row>
    <row r="458" spans="1:13" s="17" customFormat="1">
      <c r="A458" s="56"/>
      <c r="M458" s="65"/>
    </row>
    <row r="459" spans="1:13" s="17" customFormat="1">
      <c r="A459" s="56"/>
      <c r="M459" s="65"/>
    </row>
    <row r="460" spans="1:13" s="17" customFormat="1">
      <c r="A460" s="56"/>
      <c r="M460" s="65"/>
    </row>
    <row r="461" spans="1:13" s="17" customFormat="1">
      <c r="A461" s="56"/>
      <c r="M461" s="65"/>
    </row>
    <row r="462" spans="1:13" s="17" customFormat="1">
      <c r="A462" s="56"/>
      <c r="M462" s="65"/>
    </row>
    <row r="463" spans="1:13" s="17" customFormat="1">
      <c r="A463" s="56"/>
      <c r="M463" s="65"/>
    </row>
    <row r="464" spans="1:13" s="17" customFormat="1">
      <c r="A464" s="56"/>
      <c r="M464" s="65"/>
    </row>
    <row r="465" spans="1:13" s="17" customFormat="1">
      <c r="A465" s="56"/>
      <c r="M465" s="65"/>
    </row>
    <row r="466" spans="1:13" s="17" customFormat="1">
      <c r="A466" s="56"/>
      <c r="M466" s="65"/>
    </row>
    <row r="467" spans="1:13" s="17" customFormat="1">
      <c r="A467" s="56"/>
      <c r="M467" s="65"/>
    </row>
    <row r="468" spans="1:13" s="17" customFormat="1">
      <c r="A468" s="56"/>
      <c r="M468" s="65"/>
    </row>
    <row r="469" spans="1:13" s="17" customFormat="1">
      <c r="A469" s="56"/>
      <c r="M469" s="65"/>
    </row>
    <row r="470" spans="1:13" s="17" customFormat="1">
      <c r="A470" s="56"/>
      <c r="M470" s="65"/>
    </row>
    <row r="471" spans="1:13" s="17" customFormat="1">
      <c r="A471" s="56"/>
      <c r="M471" s="65"/>
    </row>
    <row r="472" spans="1:13" s="17" customFormat="1">
      <c r="A472" s="56"/>
      <c r="M472" s="65"/>
    </row>
    <row r="473" spans="1:13" s="17" customFormat="1">
      <c r="A473" s="56"/>
      <c r="M473" s="65"/>
    </row>
    <row r="474" spans="1:13" s="17" customFormat="1">
      <c r="A474" s="56"/>
      <c r="M474" s="65"/>
    </row>
    <row r="475" spans="1:13" s="17" customFormat="1">
      <c r="A475" s="56"/>
      <c r="M475" s="65"/>
    </row>
    <row r="476" spans="1:13" s="17" customFormat="1">
      <c r="A476" s="56"/>
      <c r="M476" s="65"/>
    </row>
    <row r="477" spans="1:13" s="17" customFormat="1">
      <c r="A477" s="56"/>
      <c r="M477" s="65"/>
    </row>
    <row r="478" spans="1:13" s="17" customFormat="1">
      <c r="A478" s="56"/>
      <c r="M478" s="65"/>
    </row>
    <row r="479" spans="1:13" s="17" customFormat="1">
      <c r="A479" s="56"/>
      <c r="M479" s="65"/>
    </row>
    <row r="480" spans="1:13" s="17" customFormat="1">
      <c r="A480" s="56"/>
      <c r="M480" s="65"/>
    </row>
    <row r="481" spans="1:13" s="17" customFormat="1">
      <c r="A481" s="56"/>
      <c r="M481" s="65"/>
    </row>
    <row r="482" spans="1:13" s="17" customFormat="1">
      <c r="A482" s="56"/>
      <c r="M482" s="65"/>
    </row>
    <row r="483" spans="1:13" s="17" customFormat="1">
      <c r="A483" s="56"/>
      <c r="M483" s="65"/>
    </row>
    <row r="484" spans="1:13" s="17" customFormat="1">
      <c r="A484" s="56"/>
      <c r="M484" s="65"/>
    </row>
    <row r="485" spans="1:13" s="17" customFormat="1">
      <c r="A485" s="56"/>
      <c r="M485" s="65"/>
    </row>
    <row r="486" spans="1:13" s="17" customFormat="1">
      <c r="A486" s="56"/>
      <c r="M486" s="65"/>
    </row>
    <row r="487" spans="1:13" s="17" customFormat="1">
      <c r="A487" s="56"/>
      <c r="M487" s="65"/>
    </row>
    <row r="488" spans="1:13" s="17" customFormat="1">
      <c r="A488" s="56"/>
      <c r="M488" s="65"/>
    </row>
    <row r="489" spans="1:13" s="17" customFormat="1">
      <c r="A489" s="56"/>
      <c r="M489" s="65"/>
    </row>
    <row r="490" spans="1:13" s="17" customFormat="1">
      <c r="A490" s="56"/>
      <c r="M490" s="65"/>
    </row>
    <row r="491" spans="1:13" s="17" customFormat="1">
      <c r="A491" s="56"/>
      <c r="M491" s="65"/>
    </row>
    <row r="492" spans="1:13" s="17" customFormat="1">
      <c r="A492" s="56"/>
      <c r="M492" s="65"/>
    </row>
    <row r="493" spans="1:13" s="17" customFormat="1">
      <c r="A493" s="56"/>
      <c r="M493" s="65"/>
    </row>
    <row r="494" spans="1:13" s="17" customFormat="1">
      <c r="A494" s="56"/>
      <c r="M494" s="65"/>
    </row>
    <row r="495" spans="1:13" s="17" customFormat="1">
      <c r="A495" s="56"/>
      <c r="M495" s="65"/>
    </row>
    <row r="496" spans="1:13" s="17" customFormat="1">
      <c r="A496" s="56"/>
      <c r="M496" s="65"/>
    </row>
    <row r="497" spans="1:13" s="17" customFormat="1">
      <c r="A497" s="56"/>
      <c r="M497" s="65"/>
    </row>
    <row r="498" spans="1:13" s="17" customFormat="1">
      <c r="A498" s="56"/>
      <c r="M498" s="65"/>
    </row>
    <row r="499" spans="1:13" s="17" customFormat="1">
      <c r="A499" s="56"/>
      <c r="M499" s="65"/>
    </row>
    <row r="500" spans="1:13" s="17" customFormat="1">
      <c r="A500" s="56"/>
      <c r="M500" s="65"/>
    </row>
    <row r="501" spans="1:13" s="17" customFormat="1">
      <c r="A501" s="56"/>
      <c r="M501" s="65"/>
    </row>
    <row r="502" spans="1:13" s="17" customFormat="1">
      <c r="A502" s="56"/>
      <c r="M502" s="65"/>
    </row>
    <row r="503" spans="1:13" s="17" customFormat="1">
      <c r="A503" s="56"/>
      <c r="M503" s="65"/>
    </row>
    <row r="504" spans="1:13" s="17" customFormat="1">
      <c r="A504" s="56"/>
      <c r="M504" s="65"/>
    </row>
    <row r="505" spans="1:13" s="17" customFormat="1">
      <c r="A505" s="56"/>
      <c r="M505" s="65"/>
    </row>
    <row r="506" spans="1:13" s="17" customFormat="1">
      <c r="A506" s="56"/>
      <c r="M506" s="65"/>
    </row>
    <row r="507" spans="1:13" s="17" customFormat="1">
      <c r="A507" s="56"/>
      <c r="M507" s="65"/>
    </row>
    <row r="508" spans="1:13" s="17" customFormat="1">
      <c r="A508" s="56"/>
      <c r="M508" s="65"/>
    </row>
    <row r="509" spans="1:13" s="17" customFormat="1">
      <c r="A509" s="56"/>
      <c r="M509" s="65"/>
    </row>
    <row r="510" spans="1:13" s="17" customFormat="1">
      <c r="A510" s="56"/>
      <c r="M510" s="65"/>
    </row>
    <row r="511" spans="1:13" s="17" customFormat="1">
      <c r="A511" s="56"/>
      <c r="M511" s="65"/>
    </row>
    <row r="512" spans="1:13" s="17" customFormat="1">
      <c r="A512" s="56"/>
      <c r="M512" s="65"/>
    </row>
    <row r="513" spans="1:13" s="17" customFormat="1">
      <c r="A513" s="56"/>
      <c r="M513" s="65"/>
    </row>
    <row r="514" spans="1:13" s="17" customFormat="1">
      <c r="A514" s="56"/>
      <c r="M514" s="65"/>
    </row>
    <row r="515" spans="1:13" s="17" customFormat="1">
      <c r="A515" s="56"/>
      <c r="M515" s="65"/>
    </row>
    <row r="516" spans="1:13" s="17" customFormat="1">
      <c r="A516" s="56"/>
      <c r="M516" s="65"/>
    </row>
    <row r="517" spans="1:13" s="17" customFormat="1">
      <c r="A517" s="56"/>
      <c r="M517" s="65"/>
    </row>
    <row r="518" spans="1:13" s="17" customFormat="1">
      <c r="A518" s="56"/>
      <c r="M518" s="65"/>
    </row>
    <row r="519" spans="1:13" s="17" customFormat="1">
      <c r="A519" s="56"/>
      <c r="M519" s="65"/>
    </row>
    <row r="520" spans="1:13" s="17" customFormat="1">
      <c r="A520" s="56"/>
      <c r="M520" s="65"/>
    </row>
    <row r="521" spans="1:13" s="17" customFormat="1">
      <c r="A521" s="56"/>
      <c r="M521" s="65"/>
    </row>
    <row r="522" spans="1:13" s="17" customFormat="1">
      <c r="A522" s="56"/>
      <c r="M522" s="65"/>
    </row>
    <row r="523" spans="1:13" s="17" customFormat="1">
      <c r="A523" s="56"/>
      <c r="M523" s="65"/>
    </row>
    <row r="524" spans="1:13" s="17" customFormat="1">
      <c r="A524" s="56"/>
      <c r="M524" s="65"/>
    </row>
    <row r="525" spans="1:13" s="17" customFormat="1">
      <c r="A525" s="56"/>
      <c r="M525" s="65"/>
    </row>
    <row r="526" spans="1:13" s="17" customFormat="1">
      <c r="A526" s="56"/>
      <c r="M526" s="65"/>
    </row>
    <row r="527" spans="1:13" s="17" customFormat="1">
      <c r="A527" s="56"/>
      <c r="M527" s="65"/>
    </row>
    <row r="528" spans="1:13" s="17" customFormat="1">
      <c r="A528" s="56"/>
      <c r="M528" s="65"/>
    </row>
    <row r="529" spans="1:13" s="17" customFormat="1">
      <c r="A529" s="56"/>
      <c r="M529" s="65"/>
    </row>
    <row r="530" spans="1:13" s="17" customFormat="1">
      <c r="A530" s="56"/>
      <c r="M530" s="65"/>
    </row>
    <row r="531" spans="1:13" s="17" customFormat="1">
      <c r="A531" s="56"/>
      <c r="M531" s="65"/>
    </row>
    <row r="532" spans="1:13" s="17" customFormat="1">
      <c r="A532" s="56"/>
      <c r="M532" s="65"/>
    </row>
    <row r="533" spans="1:13" s="17" customFormat="1">
      <c r="A533" s="56"/>
      <c r="M533" s="65"/>
    </row>
    <row r="534" spans="1:13" s="17" customFormat="1">
      <c r="A534" s="56"/>
      <c r="M534" s="65"/>
    </row>
    <row r="535" spans="1:13" s="17" customFormat="1">
      <c r="A535" s="56"/>
      <c r="M535" s="65"/>
    </row>
    <row r="536" spans="1:13" s="17" customFormat="1">
      <c r="A536" s="56"/>
      <c r="M536" s="65"/>
    </row>
    <row r="537" spans="1:13" s="17" customFormat="1">
      <c r="A537" s="56"/>
      <c r="M537" s="65"/>
    </row>
    <row r="538" spans="1:13" s="17" customFormat="1">
      <c r="A538" s="56"/>
      <c r="M538" s="65"/>
    </row>
    <row r="539" spans="1:13" s="17" customFormat="1">
      <c r="A539" s="56"/>
      <c r="M539" s="65"/>
    </row>
    <row r="540" spans="1:13" s="17" customFormat="1">
      <c r="A540" s="56"/>
      <c r="M540" s="65"/>
    </row>
    <row r="541" spans="1:13" s="17" customFormat="1">
      <c r="A541" s="56"/>
      <c r="M541" s="65"/>
    </row>
    <row r="542" spans="1:13" s="17" customFormat="1">
      <c r="A542" s="56"/>
      <c r="M542" s="65"/>
    </row>
    <row r="543" spans="1:13" s="17" customFormat="1">
      <c r="A543" s="56"/>
      <c r="M543" s="65"/>
    </row>
    <row r="544" spans="1:13" s="17" customFormat="1">
      <c r="A544" s="56"/>
      <c r="M544" s="65"/>
    </row>
    <row r="545" spans="1:13" s="17" customFormat="1">
      <c r="A545" s="56"/>
      <c r="M545" s="65"/>
    </row>
    <row r="546" spans="1:13" s="17" customFormat="1">
      <c r="A546" s="56"/>
      <c r="M546" s="65"/>
    </row>
    <row r="547" spans="1:13" s="17" customFormat="1">
      <c r="A547" s="56"/>
      <c r="M547" s="65"/>
    </row>
    <row r="548" spans="1:13" s="17" customFormat="1">
      <c r="A548" s="56"/>
      <c r="M548" s="65"/>
    </row>
    <row r="549" spans="1:13" s="17" customFormat="1">
      <c r="A549" s="56"/>
      <c r="M549" s="65"/>
    </row>
    <row r="550" spans="1:13" s="17" customFormat="1">
      <c r="A550" s="56"/>
      <c r="M550" s="65"/>
    </row>
    <row r="551" spans="1:13" s="17" customFormat="1">
      <c r="A551" s="56"/>
      <c r="M551" s="65"/>
    </row>
    <row r="552" spans="1:13" s="17" customFormat="1">
      <c r="A552" s="56"/>
      <c r="M552" s="65"/>
    </row>
    <row r="553" spans="1:13" s="17" customFormat="1">
      <c r="A553" s="56"/>
      <c r="M553" s="65"/>
    </row>
    <row r="554" spans="1:13" s="17" customFormat="1">
      <c r="A554" s="56"/>
      <c r="M554" s="65"/>
    </row>
    <row r="555" spans="1:13" s="17" customFormat="1">
      <c r="A555" s="56"/>
      <c r="M555" s="65"/>
    </row>
    <row r="556" spans="1:13" s="17" customFormat="1">
      <c r="A556" s="56"/>
      <c r="M556" s="65"/>
    </row>
    <row r="557" spans="1:13" s="17" customFormat="1">
      <c r="A557" s="56"/>
      <c r="M557" s="65"/>
    </row>
    <row r="558" spans="1:13" s="17" customFormat="1">
      <c r="A558" s="56"/>
      <c r="M558" s="65"/>
    </row>
    <row r="559" spans="1:13" s="17" customFormat="1">
      <c r="A559" s="56"/>
      <c r="M559" s="65"/>
    </row>
    <row r="560" spans="1:13" s="17" customFormat="1">
      <c r="A560" s="56"/>
      <c r="M560" s="65"/>
    </row>
    <row r="561" spans="1:13" s="17" customFormat="1">
      <c r="A561" s="56"/>
      <c r="M561" s="65"/>
    </row>
    <row r="562" spans="1:13" s="17" customFormat="1">
      <c r="A562" s="56"/>
      <c r="M562" s="65"/>
    </row>
    <row r="563" spans="1:13" s="17" customFormat="1">
      <c r="A563" s="56"/>
      <c r="M563" s="65"/>
    </row>
    <row r="564" spans="1:13" s="17" customFormat="1">
      <c r="A564" s="56"/>
      <c r="M564" s="65"/>
    </row>
    <row r="565" spans="1:13" s="17" customFormat="1">
      <c r="A565" s="56"/>
      <c r="M565" s="65"/>
    </row>
    <row r="566" spans="1:13" s="17" customFormat="1">
      <c r="A566" s="56"/>
      <c r="M566" s="65"/>
    </row>
    <row r="567" spans="1:13" s="17" customFormat="1">
      <c r="A567" s="56"/>
      <c r="M567" s="65"/>
    </row>
    <row r="568" spans="1:13" s="17" customFormat="1">
      <c r="A568" s="56"/>
      <c r="M568" s="65"/>
    </row>
    <row r="569" spans="1:13" s="17" customFormat="1">
      <c r="A569" s="56"/>
      <c r="M569" s="65"/>
    </row>
    <row r="570" spans="1:13" s="17" customFormat="1">
      <c r="A570" s="56"/>
      <c r="M570" s="65"/>
    </row>
    <row r="571" spans="1:13" s="17" customFormat="1">
      <c r="A571" s="56"/>
      <c r="M571" s="65"/>
    </row>
    <row r="572" spans="1:13" s="17" customFormat="1">
      <c r="A572" s="56"/>
      <c r="M572" s="65"/>
    </row>
    <row r="573" spans="1:13" s="17" customFormat="1">
      <c r="A573" s="56"/>
      <c r="M573" s="65"/>
    </row>
    <row r="574" spans="1:13" s="17" customFormat="1">
      <c r="A574" s="56"/>
      <c r="M574" s="65"/>
    </row>
    <row r="575" spans="1:13" s="17" customFormat="1">
      <c r="A575" s="56"/>
      <c r="M575" s="65"/>
    </row>
    <row r="576" spans="1:13" s="17" customFormat="1">
      <c r="A576" s="56"/>
      <c r="M576" s="65"/>
    </row>
    <row r="577" spans="1:13" s="17" customFormat="1">
      <c r="A577" s="56"/>
      <c r="M577" s="65"/>
    </row>
    <row r="578" spans="1:13" s="17" customFormat="1">
      <c r="A578" s="56"/>
      <c r="M578" s="65"/>
    </row>
    <row r="579" spans="1:13" s="17" customFormat="1">
      <c r="A579" s="56"/>
      <c r="M579" s="65"/>
    </row>
    <row r="580" spans="1:13" s="17" customFormat="1">
      <c r="A580" s="56"/>
      <c r="M580" s="65"/>
    </row>
    <row r="581" spans="1:13" s="17" customFormat="1">
      <c r="A581" s="56"/>
      <c r="M581" s="65"/>
    </row>
    <row r="582" spans="1:13" s="17" customFormat="1">
      <c r="A582" s="56"/>
      <c r="M582" s="65"/>
    </row>
    <row r="583" spans="1:13" s="17" customFormat="1">
      <c r="A583" s="56"/>
      <c r="M583" s="65"/>
    </row>
    <row r="584" spans="1:13" s="17" customFormat="1">
      <c r="A584" s="56"/>
      <c r="M584" s="65"/>
    </row>
    <row r="585" spans="1:13" s="17" customFormat="1">
      <c r="A585" s="56"/>
      <c r="M585" s="65"/>
    </row>
    <row r="586" spans="1:13" s="17" customFormat="1">
      <c r="A586" s="56"/>
      <c r="M586" s="65"/>
    </row>
    <row r="587" spans="1:13" s="17" customFormat="1">
      <c r="A587" s="56"/>
      <c r="M587" s="65"/>
    </row>
    <row r="588" spans="1:13" s="17" customFormat="1">
      <c r="A588" s="56"/>
      <c r="M588" s="65"/>
    </row>
    <row r="589" spans="1:13" s="17" customFormat="1">
      <c r="A589" s="56"/>
      <c r="M589" s="65"/>
    </row>
    <row r="590" spans="1:13" s="17" customFormat="1">
      <c r="A590" s="56"/>
      <c r="M590" s="65"/>
    </row>
    <row r="591" spans="1:13" s="17" customFormat="1">
      <c r="A591" s="56"/>
      <c r="M591" s="65"/>
    </row>
    <row r="592" spans="1:13" s="17" customFormat="1">
      <c r="A592" s="56"/>
      <c r="M592" s="65"/>
    </row>
    <row r="593" spans="1:13" s="17" customFormat="1">
      <c r="A593" s="56"/>
      <c r="M593" s="65"/>
    </row>
    <row r="594" spans="1:13" s="17" customFormat="1">
      <c r="A594" s="56"/>
      <c r="M594" s="65"/>
    </row>
    <row r="595" spans="1:13" s="17" customFormat="1">
      <c r="A595" s="56"/>
      <c r="M595" s="65"/>
    </row>
    <row r="596" spans="1:13" s="17" customFormat="1">
      <c r="A596" s="56"/>
      <c r="M596" s="65"/>
    </row>
    <row r="597" spans="1:13" s="17" customFormat="1">
      <c r="A597" s="56"/>
      <c r="M597" s="65"/>
    </row>
    <row r="598" spans="1:13" s="17" customFormat="1">
      <c r="A598" s="56"/>
      <c r="M598" s="65"/>
    </row>
    <row r="599" spans="1:13" s="17" customFormat="1">
      <c r="A599" s="56"/>
      <c r="M599" s="65"/>
    </row>
    <row r="600" spans="1:13" s="17" customFormat="1">
      <c r="A600" s="56"/>
      <c r="M600" s="65"/>
    </row>
    <row r="601" spans="1:13" s="17" customFormat="1">
      <c r="A601" s="56"/>
      <c r="M601" s="65"/>
    </row>
    <row r="602" spans="1:13" s="17" customFormat="1">
      <c r="A602" s="56"/>
      <c r="M602" s="65"/>
    </row>
    <row r="603" spans="1:13" s="17" customFormat="1">
      <c r="A603" s="56"/>
      <c r="M603" s="65"/>
    </row>
    <row r="604" spans="1:13" s="17" customFormat="1">
      <c r="A604" s="56"/>
      <c r="M604" s="65"/>
    </row>
    <row r="605" spans="1:13" s="17" customFormat="1">
      <c r="A605" s="56"/>
      <c r="M605" s="65"/>
    </row>
    <row r="606" spans="1:13" s="17" customFormat="1">
      <c r="A606" s="56"/>
      <c r="M606" s="65"/>
    </row>
    <row r="607" spans="1:13" s="17" customFormat="1">
      <c r="A607" s="56"/>
      <c r="M607" s="65"/>
    </row>
    <row r="608" spans="1:13" s="17" customFormat="1">
      <c r="A608" s="56"/>
      <c r="M608" s="65"/>
    </row>
    <row r="609" spans="1:13" s="17" customFormat="1">
      <c r="A609" s="56"/>
      <c r="M609" s="65"/>
    </row>
    <row r="610" spans="1:13" s="17" customFormat="1">
      <c r="A610" s="56"/>
      <c r="M610" s="65"/>
    </row>
    <row r="611" spans="1:13" s="17" customFormat="1">
      <c r="A611" s="56"/>
      <c r="M611" s="65"/>
    </row>
    <row r="612" spans="1:13" s="17" customFormat="1">
      <c r="A612" s="56"/>
      <c r="M612" s="65"/>
    </row>
    <row r="613" spans="1:13" s="17" customFormat="1">
      <c r="A613" s="56"/>
      <c r="M613" s="65"/>
    </row>
    <row r="614" spans="1:13" s="17" customFormat="1">
      <c r="A614" s="56"/>
      <c r="M614" s="65"/>
    </row>
    <row r="615" spans="1:13" s="17" customFormat="1">
      <c r="A615" s="56"/>
      <c r="M615" s="65"/>
    </row>
    <row r="616" spans="1:13" s="17" customFormat="1">
      <c r="A616" s="56"/>
      <c r="M616" s="65"/>
    </row>
    <row r="617" spans="1:13" s="17" customFormat="1">
      <c r="A617" s="56"/>
      <c r="M617" s="65"/>
    </row>
    <row r="618" spans="1:13" s="17" customFormat="1">
      <c r="A618" s="56"/>
      <c r="M618" s="65"/>
    </row>
    <row r="619" spans="1:13" s="17" customFormat="1">
      <c r="A619" s="56"/>
      <c r="M619" s="65"/>
    </row>
    <row r="620" spans="1:13" s="17" customFormat="1">
      <c r="A620" s="56"/>
      <c r="M620" s="65"/>
    </row>
    <row r="621" spans="1:13" s="17" customFormat="1">
      <c r="A621" s="56"/>
      <c r="M621" s="65"/>
    </row>
    <row r="622" spans="1:13" s="17" customFormat="1">
      <c r="A622" s="56"/>
      <c r="M622" s="65"/>
    </row>
    <row r="623" spans="1:13" s="17" customFormat="1">
      <c r="A623" s="56"/>
      <c r="M623" s="65"/>
    </row>
    <row r="624" spans="1:13" s="17" customFormat="1">
      <c r="A624" s="56"/>
      <c r="M624" s="65"/>
    </row>
    <row r="625" spans="1:13" s="17" customFormat="1">
      <c r="A625" s="56"/>
      <c r="M625" s="65"/>
    </row>
    <row r="626" spans="1:13" s="17" customFormat="1">
      <c r="A626" s="56"/>
      <c r="M626" s="65"/>
    </row>
    <row r="627" spans="1:13" s="17" customFormat="1">
      <c r="A627" s="56"/>
      <c r="M627" s="65"/>
    </row>
    <row r="628" spans="1:13" s="17" customFormat="1">
      <c r="A628" s="56"/>
      <c r="M628" s="65"/>
    </row>
    <row r="629" spans="1:13" s="17" customFormat="1">
      <c r="A629" s="56"/>
      <c r="M629" s="65"/>
    </row>
    <row r="630" spans="1:13" s="17" customFormat="1">
      <c r="A630" s="56"/>
      <c r="M630" s="65"/>
    </row>
    <row r="631" spans="1:13" s="17" customFormat="1">
      <c r="A631" s="56"/>
      <c r="M631" s="65"/>
    </row>
    <row r="632" spans="1:13" s="17" customFormat="1">
      <c r="A632" s="56"/>
      <c r="M632" s="65"/>
    </row>
    <row r="633" spans="1:13" s="17" customFormat="1">
      <c r="A633" s="56"/>
      <c r="M633" s="65"/>
    </row>
    <row r="634" spans="1:13" s="17" customFormat="1">
      <c r="A634" s="56"/>
      <c r="M634" s="65"/>
    </row>
    <row r="635" spans="1:13" s="17" customFormat="1">
      <c r="A635" s="56"/>
      <c r="M635" s="65"/>
    </row>
    <row r="636" spans="1:13" s="17" customFormat="1">
      <c r="A636" s="56"/>
      <c r="M636" s="65"/>
    </row>
    <row r="637" spans="1:13" s="17" customFormat="1">
      <c r="A637" s="56"/>
      <c r="M637" s="65"/>
    </row>
    <row r="638" spans="1:13" s="17" customFormat="1">
      <c r="A638" s="56"/>
      <c r="M638" s="65"/>
    </row>
    <row r="639" spans="1:13" s="17" customFormat="1">
      <c r="A639" s="56"/>
      <c r="M639" s="65"/>
    </row>
    <row r="640" spans="1:13" s="17" customFormat="1">
      <c r="A640" s="56"/>
      <c r="M640" s="65"/>
    </row>
    <row r="641" spans="1:13" s="17" customFormat="1">
      <c r="A641" s="56"/>
      <c r="M641" s="65"/>
    </row>
    <row r="642" spans="1:13" s="17" customFormat="1">
      <c r="A642" s="56"/>
      <c r="M642" s="65"/>
    </row>
    <row r="643" spans="1:13" s="17" customFormat="1">
      <c r="A643" s="56"/>
      <c r="M643" s="65"/>
    </row>
    <row r="644" spans="1:13" s="17" customFormat="1">
      <c r="A644" s="56"/>
      <c r="M644" s="65"/>
    </row>
    <row r="645" spans="1:13" s="17" customFormat="1">
      <c r="A645" s="56"/>
      <c r="M645" s="65"/>
    </row>
    <row r="646" spans="1:13" s="17" customFormat="1">
      <c r="A646" s="56"/>
      <c r="M646" s="65"/>
    </row>
    <row r="647" spans="1:13" s="17" customFormat="1">
      <c r="A647" s="56"/>
      <c r="M647" s="65"/>
    </row>
    <row r="648" spans="1:13" s="17" customFormat="1">
      <c r="A648" s="56"/>
      <c r="M648" s="65"/>
    </row>
    <row r="649" spans="1:13" s="17" customFormat="1">
      <c r="A649" s="56"/>
      <c r="M649" s="65"/>
    </row>
    <row r="650" spans="1:13" s="17" customFormat="1">
      <c r="A650" s="56"/>
      <c r="M650" s="65"/>
    </row>
    <row r="651" spans="1:13" s="17" customFormat="1">
      <c r="A651" s="56"/>
      <c r="M651" s="65"/>
    </row>
    <row r="652" spans="1:13" s="17" customFormat="1">
      <c r="A652" s="56"/>
      <c r="M652" s="65"/>
    </row>
    <row r="653" spans="1:13" s="17" customFormat="1">
      <c r="A653" s="56"/>
      <c r="M653" s="65"/>
    </row>
    <row r="654" spans="1:13" s="17" customFormat="1">
      <c r="A654" s="56"/>
      <c r="M654" s="65"/>
    </row>
    <row r="655" spans="1:13" s="17" customFormat="1">
      <c r="A655" s="56"/>
      <c r="M655" s="65"/>
    </row>
    <row r="656" spans="1:13" s="17" customFormat="1">
      <c r="A656" s="56"/>
      <c r="M656" s="65"/>
    </row>
    <row r="657" spans="1:13" s="17" customFormat="1">
      <c r="A657" s="56"/>
      <c r="M657" s="65"/>
    </row>
    <row r="658" spans="1:13" s="17" customFormat="1">
      <c r="A658" s="56"/>
      <c r="M658" s="65"/>
    </row>
    <row r="659" spans="1:13" s="17" customFormat="1">
      <c r="A659" s="56"/>
      <c r="M659" s="65"/>
    </row>
    <row r="660" spans="1:13" s="17" customFormat="1">
      <c r="A660" s="56"/>
      <c r="M660" s="65"/>
    </row>
    <row r="661" spans="1:13" s="17" customFormat="1">
      <c r="A661" s="56"/>
      <c r="M661" s="65"/>
    </row>
    <row r="662" spans="1:13" s="17" customFormat="1">
      <c r="A662" s="56"/>
      <c r="M662" s="65"/>
    </row>
    <row r="663" spans="1:13" s="17" customFormat="1">
      <c r="A663" s="56"/>
      <c r="M663" s="65"/>
    </row>
    <row r="664" spans="1:13" s="17" customFormat="1">
      <c r="A664" s="56"/>
      <c r="M664" s="65"/>
    </row>
    <row r="665" spans="1:13" s="17" customFormat="1">
      <c r="A665" s="56"/>
      <c r="M665" s="65"/>
    </row>
    <row r="666" spans="1:13" s="17" customFormat="1">
      <c r="A666" s="56"/>
      <c r="M666" s="65"/>
    </row>
    <row r="667" spans="1:13" s="17" customFormat="1">
      <c r="A667" s="56"/>
      <c r="M667" s="65"/>
    </row>
    <row r="668" spans="1:13" s="17" customFormat="1">
      <c r="A668" s="56"/>
      <c r="M668" s="65"/>
    </row>
    <row r="669" spans="1:13" s="17" customFormat="1">
      <c r="A669" s="56"/>
      <c r="M669" s="65"/>
    </row>
    <row r="670" spans="1:13" s="17" customFormat="1">
      <c r="A670" s="56"/>
      <c r="M670" s="65"/>
    </row>
    <row r="671" spans="1:13" s="17" customFormat="1">
      <c r="A671" s="56"/>
      <c r="M671" s="65"/>
    </row>
    <row r="672" spans="1:13" s="17" customFormat="1">
      <c r="A672" s="56"/>
      <c r="M672" s="65"/>
    </row>
    <row r="673" spans="1:13" s="17" customFormat="1">
      <c r="A673" s="56"/>
      <c r="M673" s="65"/>
    </row>
    <row r="674" spans="1:13" s="17" customFormat="1">
      <c r="A674" s="56"/>
      <c r="M674" s="65"/>
    </row>
    <row r="675" spans="1:13" s="17" customFormat="1">
      <c r="A675" s="56"/>
      <c r="M675" s="65"/>
    </row>
    <row r="676" spans="1:13" s="17" customFormat="1">
      <c r="A676" s="56"/>
      <c r="M676" s="65"/>
    </row>
    <row r="677" spans="1:13" s="17" customFormat="1">
      <c r="A677" s="56"/>
      <c r="M677" s="65"/>
    </row>
    <row r="678" spans="1:13" s="17" customFormat="1">
      <c r="A678" s="56"/>
      <c r="M678" s="65"/>
    </row>
    <row r="679" spans="1:13" s="17" customFormat="1">
      <c r="A679" s="56"/>
      <c r="M679" s="65"/>
    </row>
    <row r="680" spans="1:13" s="17" customFormat="1">
      <c r="A680" s="56"/>
      <c r="M680" s="65"/>
    </row>
    <row r="681" spans="1:13" s="17" customFormat="1">
      <c r="A681" s="56"/>
      <c r="M681" s="65"/>
    </row>
    <row r="682" spans="1:13" s="17" customFormat="1">
      <c r="A682" s="56"/>
      <c r="M682" s="65"/>
    </row>
    <row r="683" spans="1:13" s="17" customFormat="1">
      <c r="A683" s="56"/>
      <c r="M683" s="65"/>
    </row>
    <row r="684" spans="1:13" s="17" customFormat="1">
      <c r="A684" s="56"/>
      <c r="M684" s="65"/>
    </row>
    <row r="685" spans="1:13" s="17" customFormat="1">
      <c r="A685" s="56"/>
      <c r="M685" s="65"/>
    </row>
    <row r="686" spans="1:13" s="17" customFormat="1">
      <c r="A686" s="56"/>
      <c r="M686" s="65"/>
    </row>
    <row r="687" spans="1:13" s="17" customFormat="1">
      <c r="A687" s="56"/>
      <c r="M687" s="65"/>
    </row>
    <row r="688" spans="1:13" s="17" customFormat="1">
      <c r="A688" s="56"/>
      <c r="M688" s="65"/>
    </row>
    <row r="689" spans="1:13" s="17" customFormat="1">
      <c r="A689" s="56"/>
      <c r="M689" s="65"/>
    </row>
    <row r="690" spans="1:13" s="17" customFormat="1">
      <c r="A690" s="56"/>
      <c r="M690" s="65"/>
    </row>
    <row r="691" spans="1:13" s="17" customFormat="1">
      <c r="A691" s="56"/>
      <c r="M691" s="65"/>
    </row>
    <row r="692" spans="1:13" s="17" customFormat="1">
      <c r="A692" s="56"/>
      <c r="M692" s="65"/>
    </row>
    <row r="693" spans="1:13" s="17" customFormat="1">
      <c r="A693" s="56"/>
      <c r="M693" s="65"/>
    </row>
    <row r="694" spans="1:13" s="17" customFormat="1">
      <c r="A694" s="56"/>
      <c r="M694" s="65"/>
    </row>
    <row r="695" spans="1:13" s="17" customFormat="1">
      <c r="A695" s="56"/>
      <c r="M695" s="65"/>
    </row>
    <row r="696" spans="1:13" s="17" customFormat="1">
      <c r="A696" s="56"/>
      <c r="M696" s="65"/>
    </row>
    <row r="697" spans="1:13" s="17" customFormat="1">
      <c r="A697" s="56"/>
      <c r="M697" s="65"/>
    </row>
    <row r="698" spans="1:13" s="17" customFormat="1">
      <c r="A698" s="56"/>
      <c r="M698" s="65"/>
    </row>
    <row r="699" spans="1:13" s="17" customFormat="1">
      <c r="A699" s="56"/>
      <c r="M699" s="65"/>
    </row>
    <row r="700" spans="1:13" s="17" customFormat="1">
      <c r="A700" s="56"/>
      <c r="M700" s="65"/>
    </row>
    <row r="701" spans="1:13" s="17" customFormat="1">
      <c r="A701" s="56"/>
      <c r="M701" s="65"/>
    </row>
    <row r="702" spans="1:13" s="17" customFormat="1">
      <c r="A702" s="56"/>
      <c r="M702" s="65"/>
    </row>
    <row r="703" spans="1:13" s="17" customFormat="1">
      <c r="A703" s="56"/>
      <c r="M703" s="65"/>
    </row>
    <row r="704" spans="1:13" s="17" customFormat="1">
      <c r="A704" s="56"/>
      <c r="M704" s="65"/>
    </row>
    <row r="705" spans="1:13" s="17" customFormat="1">
      <c r="A705" s="56"/>
      <c r="M705" s="65"/>
    </row>
    <row r="706" spans="1:13" s="17" customFormat="1">
      <c r="A706" s="56"/>
      <c r="M706" s="65"/>
    </row>
    <row r="707" spans="1:13" s="17" customFormat="1">
      <c r="A707" s="56"/>
      <c r="M707" s="65"/>
    </row>
    <row r="708" spans="1:13" s="17" customFormat="1">
      <c r="A708" s="56"/>
      <c r="M708" s="65"/>
    </row>
    <row r="709" spans="1:13" s="17" customFormat="1">
      <c r="A709" s="56"/>
      <c r="M709" s="65"/>
    </row>
    <row r="710" spans="1:13" s="17" customFormat="1">
      <c r="A710" s="56"/>
      <c r="M710" s="65"/>
    </row>
    <row r="711" spans="1:13" s="17" customFormat="1">
      <c r="A711" s="56"/>
      <c r="M711" s="65"/>
    </row>
    <row r="712" spans="1:13" s="17" customFormat="1">
      <c r="A712" s="56"/>
      <c r="M712" s="65"/>
    </row>
    <row r="713" spans="1:13" s="17" customFormat="1">
      <c r="A713" s="56"/>
      <c r="M713" s="65"/>
    </row>
    <row r="714" spans="1:13" s="17" customFormat="1">
      <c r="A714" s="56"/>
      <c r="M714" s="65"/>
    </row>
    <row r="715" spans="1:13" s="17" customFormat="1">
      <c r="A715" s="56"/>
      <c r="M715" s="65"/>
    </row>
    <row r="716" spans="1:13" s="17" customFormat="1">
      <c r="A716" s="56"/>
      <c r="M716" s="65"/>
    </row>
    <row r="717" spans="1:13" s="17" customFormat="1">
      <c r="A717" s="56"/>
      <c r="M717" s="65"/>
    </row>
    <row r="718" spans="1:13" s="17" customFormat="1">
      <c r="A718" s="56"/>
      <c r="M718" s="65"/>
    </row>
    <row r="719" spans="1:13" s="17" customFormat="1">
      <c r="A719" s="56"/>
      <c r="M719" s="65"/>
    </row>
    <row r="720" spans="1:13" s="17" customFormat="1">
      <c r="A720" s="56"/>
      <c r="M720" s="65"/>
    </row>
    <row r="721" spans="1:13" s="17" customFormat="1">
      <c r="A721" s="56"/>
      <c r="M721" s="65"/>
    </row>
    <row r="722" spans="1:13" s="17" customFormat="1">
      <c r="A722" s="56"/>
      <c r="M722" s="65"/>
    </row>
    <row r="723" spans="1:13" s="17" customFormat="1">
      <c r="A723" s="56"/>
      <c r="M723" s="65"/>
    </row>
    <row r="724" spans="1:13" s="17" customFormat="1">
      <c r="A724" s="56"/>
      <c r="M724" s="65"/>
    </row>
    <row r="725" spans="1:13" s="17" customFormat="1">
      <c r="A725" s="56"/>
      <c r="M725" s="65"/>
    </row>
    <row r="726" spans="1:13" s="17" customFormat="1">
      <c r="A726" s="56"/>
      <c r="M726" s="65"/>
    </row>
    <row r="727" spans="1:13" s="17" customFormat="1">
      <c r="A727" s="56"/>
      <c r="M727" s="65"/>
    </row>
    <row r="728" spans="1:13" s="17" customFormat="1">
      <c r="A728" s="56"/>
      <c r="M728" s="65"/>
    </row>
    <row r="729" spans="1:13" s="17" customFormat="1">
      <c r="A729" s="56"/>
      <c r="M729" s="65"/>
    </row>
    <row r="730" spans="1:13" s="17" customFormat="1">
      <c r="A730" s="56"/>
      <c r="M730" s="65"/>
    </row>
    <row r="731" spans="1:13" s="17" customFormat="1">
      <c r="A731" s="56"/>
      <c r="M731" s="65"/>
    </row>
    <row r="732" spans="1:13" s="17" customFormat="1">
      <c r="A732" s="56"/>
      <c r="M732" s="65"/>
    </row>
    <row r="733" spans="1:13" s="17" customFormat="1">
      <c r="A733" s="56"/>
      <c r="M733" s="65"/>
    </row>
    <row r="734" spans="1:13" s="17" customFormat="1">
      <c r="A734" s="56"/>
      <c r="M734" s="65"/>
    </row>
    <row r="735" spans="1:13" s="17" customFormat="1">
      <c r="A735" s="56"/>
      <c r="M735" s="65"/>
    </row>
    <row r="736" spans="1:13" s="17" customFormat="1">
      <c r="A736" s="56"/>
      <c r="M736" s="65"/>
    </row>
    <row r="737" spans="1:13" s="17" customFormat="1">
      <c r="A737" s="56"/>
      <c r="M737" s="65"/>
    </row>
    <row r="738" spans="1:13" s="17" customFormat="1">
      <c r="A738" s="56"/>
      <c r="M738" s="65"/>
    </row>
    <row r="739" spans="1:13" s="17" customFormat="1">
      <c r="A739" s="56"/>
      <c r="M739" s="65"/>
    </row>
    <row r="740" spans="1:13" s="17" customFormat="1">
      <c r="A740" s="56"/>
      <c r="M740" s="65"/>
    </row>
    <row r="741" spans="1:13" s="17" customFormat="1">
      <c r="A741" s="56"/>
      <c r="M741" s="65"/>
    </row>
    <row r="742" spans="1:13" s="17" customFormat="1">
      <c r="A742" s="56"/>
      <c r="M742" s="65"/>
    </row>
    <row r="743" spans="1:13" s="17" customFormat="1">
      <c r="A743" s="56"/>
      <c r="M743" s="65"/>
    </row>
    <row r="744" spans="1:13" s="17" customFormat="1">
      <c r="A744" s="56"/>
      <c r="M744" s="65"/>
    </row>
    <row r="745" spans="1:13" s="17" customFormat="1">
      <c r="A745" s="56"/>
      <c r="M745" s="65"/>
    </row>
    <row r="746" spans="1:13" s="17" customFormat="1">
      <c r="A746" s="56"/>
      <c r="M746" s="65"/>
    </row>
    <row r="747" spans="1:13" s="17" customFormat="1">
      <c r="A747" s="56"/>
      <c r="M747" s="65"/>
    </row>
    <row r="748" spans="1:13" s="17" customFormat="1">
      <c r="A748" s="56"/>
      <c r="M748" s="65"/>
    </row>
    <row r="749" spans="1:13" s="17" customFormat="1">
      <c r="A749" s="56"/>
      <c r="M749" s="65"/>
    </row>
    <row r="750" spans="1:13" s="17" customFormat="1">
      <c r="A750" s="56"/>
      <c r="M750" s="65"/>
    </row>
    <row r="751" spans="1:13" s="17" customFormat="1">
      <c r="A751" s="56"/>
      <c r="M751" s="65"/>
    </row>
    <row r="752" spans="1:13" s="17" customFormat="1">
      <c r="A752" s="56"/>
      <c r="M752" s="65"/>
    </row>
    <row r="753" spans="1:13" s="17" customFormat="1">
      <c r="A753" s="56"/>
      <c r="M753" s="65"/>
    </row>
    <row r="754" spans="1:13" s="17" customFormat="1">
      <c r="A754" s="56"/>
      <c r="M754" s="65"/>
    </row>
    <row r="755" spans="1:13" s="17" customFormat="1">
      <c r="A755" s="56"/>
      <c r="M755" s="65"/>
    </row>
    <row r="756" spans="1:13" s="17" customFormat="1">
      <c r="A756" s="56"/>
      <c r="M756" s="65"/>
    </row>
    <row r="757" spans="1:13" s="17" customFormat="1">
      <c r="A757" s="56"/>
      <c r="M757" s="65"/>
    </row>
    <row r="758" spans="1:13" s="17" customFormat="1">
      <c r="A758" s="56"/>
      <c r="M758" s="65"/>
    </row>
    <row r="759" spans="1:13" s="17" customFormat="1">
      <c r="A759" s="56"/>
      <c r="M759" s="65"/>
    </row>
    <row r="760" spans="1:13" s="17" customFormat="1">
      <c r="A760" s="56"/>
      <c r="M760" s="65"/>
    </row>
    <row r="761" spans="1:13" s="17" customFormat="1">
      <c r="A761" s="56"/>
      <c r="M761" s="65"/>
    </row>
    <row r="762" spans="1:13" s="17" customFormat="1">
      <c r="A762" s="56"/>
      <c r="M762" s="65"/>
    </row>
    <row r="763" spans="1:13" s="17" customFormat="1">
      <c r="A763" s="56"/>
      <c r="M763" s="65"/>
    </row>
    <row r="764" spans="1:13" s="17" customFormat="1">
      <c r="A764" s="56"/>
      <c r="M764" s="65"/>
    </row>
    <row r="765" spans="1:13" s="17" customFormat="1">
      <c r="A765" s="56"/>
      <c r="M765" s="65"/>
    </row>
    <row r="766" spans="1:13" s="17" customFormat="1">
      <c r="A766" s="56"/>
      <c r="M766" s="65"/>
    </row>
    <row r="767" spans="1:13" s="17" customFormat="1">
      <c r="A767" s="56"/>
      <c r="M767" s="65"/>
    </row>
    <row r="768" spans="1:13" s="17" customFormat="1">
      <c r="A768" s="56"/>
      <c r="M768" s="65"/>
    </row>
    <row r="769" spans="1:13" s="17" customFormat="1">
      <c r="A769" s="56"/>
      <c r="M769" s="65"/>
    </row>
    <row r="770" spans="1:13" s="17" customFormat="1">
      <c r="A770" s="56"/>
      <c r="M770" s="65"/>
    </row>
    <row r="771" spans="1:13" s="17" customFormat="1">
      <c r="A771" s="56"/>
      <c r="M771" s="65"/>
    </row>
    <row r="772" spans="1:13" s="17" customFormat="1">
      <c r="A772" s="56"/>
      <c r="M772" s="65"/>
    </row>
    <row r="773" spans="1:13" s="17" customFormat="1">
      <c r="A773" s="56"/>
      <c r="M773" s="65"/>
    </row>
    <row r="774" spans="1:13" s="17" customFormat="1">
      <c r="A774" s="56"/>
      <c r="M774" s="65"/>
    </row>
    <row r="775" spans="1:13" s="17" customFormat="1">
      <c r="A775" s="56"/>
      <c r="M775" s="65"/>
    </row>
    <row r="776" spans="1:13" s="17" customFormat="1">
      <c r="A776" s="56"/>
      <c r="M776" s="65"/>
    </row>
    <row r="777" spans="1:13" s="17" customFormat="1">
      <c r="A777" s="56"/>
      <c r="M777" s="65"/>
    </row>
    <row r="778" spans="1:13" s="17" customFormat="1">
      <c r="A778" s="56"/>
      <c r="M778" s="65"/>
    </row>
    <row r="779" spans="1:13" s="17" customFormat="1">
      <c r="A779" s="56"/>
      <c r="M779" s="65"/>
    </row>
    <row r="780" spans="1:13" s="17" customFormat="1">
      <c r="A780" s="56"/>
      <c r="M780" s="65"/>
    </row>
    <row r="781" spans="1:13" s="17" customFormat="1">
      <c r="A781" s="56"/>
      <c r="M781" s="65"/>
    </row>
    <row r="782" spans="1:13" s="17" customFormat="1">
      <c r="A782" s="56"/>
      <c r="M782" s="65"/>
    </row>
    <row r="783" spans="1:13" s="17" customFormat="1">
      <c r="A783" s="56"/>
      <c r="M783" s="65"/>
    </row>
    <row r="784" spans="1:13" s="17" customFormat="1">
      <c r="A784" s="56"/>
      <c r="M784" s="65"/>
    </row>
    <row r="785" spans="1:13" s="17" customFormat="1">
      <c r="A785" s="56"/>
      <c r="M785" s="65"/>
    </row>
    <row r="786" spans="1:13" s="17" customFormat="1">
      <c r="A786" s="56"/>
      <c r="M786" s="65"/>
    </row>
    <row r="787" spans="1:13" s="17" customFormat="1">
      <c r="A787" s="56"/>
      <c r="M787" s="65"/>
    </row>
    <row r="788" spans="1:13" s="17" customFormat="1">
      <c r="A788" s="56"/>
      <c r="M788" s="65"/>
    </row>
    <row r="789" spans="1:13" s="17" customFormat="1">
      <c r="A789" s="56"/>
      <c r="M789" s="65"/>
    </row>
    <row r="790" spans="1:13" s="17" customFormat="1">
      <c r="A790" s="56"/>
      <c r="M790" s="65"/>
    </row>
    <row r="791" spans="1:13" s="17" customFormat="1">
      <c r="A791" s="56"/>
      <c r="M791" s="65"/>
    </row>
    <row r="792" spans="1:13" s="17" customFormat="1">
      <c r="A792" s="56"/>
      <c r="M792" s="65"/>
    </row>
    <row r="793" spans="1:13" s="17" customFormat="1">
      <c r="A793" s="56"/>
      <c r="M793" s="65"/>
    </row>
    <row r="794" spans="1:13" s="17" customFormat="1">
      <c r="A794" s="56"/>
      <c r="M794" s="65"/>
    </row>
    <row r="795" spans="1:13" s="17" customFormat="1">
      <c r="A795" s="56"/>
      <c r="M795" s="65"/>
    </row>
    <row r="796" spans="1:13" s="17" customFormat="1">
      <c r="A796" s="56"/>
      <c r="M796" s="65"/>
    </row>
    <row r="797" spans="1:13" s="17" customFormat="1">
      <c r="A797" s="56"/>
      <c r="M797" s="65"/>
    </row>
    <row r="798" spans="1:13" s="17" customFormat="1">
      <c r="A798" s="56"/>
      <c r="M798" s="65"/>
    </row>
    <row r="799" spans="1:13" s="17" customFormat="1">
      <c r="A799" s="56"/>
      <c r="M799" s="65"/>
    </row>
    <row r="800" spans="1:13" s="17" customFormat="1">
      <c r="A800" s="56"/>
      <c r="M800" s="65"/>
    </row>
    <row r="801" spans="1:13" s="17" customFormat="1">
      <c r="A801" s="56"/>
      <c r="M801" s="65"/>
    </row>
    <row r="802" spans="1:13" s="17" customFormat="1">
      <c r="A802" s="56"/>
      <c r="M802" s="65"/>
    </row>
    <row r="803" spans="1:13" s="17" customFormat="1">
      <c r="A803" s="56"/>
      <c r="M803" s="65"/>
    </row>
    <row r="804" spans="1:13" s="17" customFormat="1">
      <c r="A804" s="56"/>
      <c r="M804" s="65"/>
    </row>
    <row r="805" spans="1:13" s="17" customFormat="1">
      <c r="A805" s="56"/>
      <c r="M805" s="65"/>
    </row>
    <row r="806" spans="1:13" s="17" customFormat="1">
      <c r="A806" s="56"/>
      <c r="M806" s="65"/>
    </row>
    <row r="807" spans="1:13" s="17" customFormat="1">
      <c r="A807" s="56"/>
      <c r="M807" s="65"/>
    </row>
    <row r="808" spans="1:13" s="17" customFormat="1">
      <c r="A808" s="56"/>
      <c r="M808" s="65"/>
    </row>
    <row r="809" spans="1:13" s="17" customFormat="1">
      <c r="A809" s="56"/>
      <c r="M809" s="65"/>
    </row>
    <row r="810" spans="1:13" s="17" customFormat="1">
      <c r="A810" s="56"/>
      <c r="M810" s="65"/>
    </row>
    <row r="811" spans="1:13" s="17" customFormat="1">
      <c r="A811" s="56"/>
      <c r="M811" s="65"/>
    </row>
    <row r="812" spans="1:13" s="17" customFormat="1">
      <c r="A812" s="56"/>
      <c r="M812" s="65"/>
    </row>
    <row r="813" spans="1:13" s="17" customFormat="1">
      <c r="A813" s="56"/>
      <c r="M813" s="65"/>
    </row>
    <row r="814" spans="1:13" s="17" customFormat="1">
      <c r="A814" s="56"/>
      <c r="M814" s="65"/>
    </row>
    <row r="815" spans="1:13" s="17" customFormat="1">
      <c r="A815" s="56"/>
      <c r="M815" s="65"/>
    </row>
    <row r="816" spans="1:13" s="17" customFormat="1">
      <c r="A816" s="56"/>
      <c r="M816" s="65"/>
    </row>
    <row r="817" spans="1:13" s="17" customFormat="1">
      <c r="A817" s="56"/>
      <c r="M817" s="65"/>
    </row>
    <row r="818" spans="1:13" s="17" customFormat="1">
      <c r="A818" s="56"/>
      <c r="M818" s="65"/>
    </row>
    <row r="819" spans="1:13" s="17" customFormat="1">
      <c r="A819" s="56"/>
      <c r="M819" s="65"/>
    </row>
    <row r="820" spans="1:13" s="17" customFormat="1">
      <c r="A820" s="56"/>
      <c r="M820" s="65"/>
    </row>
    <row r="821" spans="1:13" s="17" customFormat="1">
      <c r="A821" s="56"/>
      <c r="M821" s="65"/>
    </row>
    <row r="822" spans="1:13" s="17" customFormat="1">
      <c r="A822" s="56"/>
      <c r="M822" s="65"/>
    </row>
    <row r="823" spans="1:13" s="17" customFormat="1">
      <c r="A823" s="56"/>
      <c r="M823" s="65"/>
    </row>
    <row r="824" spans="1:13" s="17" customFormat="1">
      <c r="A824" s="56"/>
      <c r="M824" s="65"/>
    </row>
    <row r="825" spans="1:13" s="17" customFormat="1">
      <c r="A825" s="56"/>
      <c r="M825" s="65"/>
    </row>
    <row r="826" spans="1:13" s="17" customFormat="1">
      <c r="A826" s="56"/>
      <c r="M826" s="65"/>
    </row>
    <row r="827" spans="1:13" s="17" customFormat="1">
      <c r="A827" s="56"/>
      <c r="M827" s="65"/>
    </row>
    <row r="828" spans="1:13" s="17" customFormat="1">
      <c r="A828" s="56"/>
      <c r="M828" s="65"/>
    </row>
    <row r="829" spans="1:13" s="17" customFormat="1">
      <c r="A829" s="56"/>
      <c r="M829" s="65"/>
    </row>
    <row r="830" spans="1:13" s="17" customFormat="1">
      <c r="A830" s="56"/>
      <c r="M830" s="65"/>
    </row>
    <row r="831" spans="1:13" s="17" customFormat="1">
      <c r="A831" s="56"/>
      <c r="M831" s="65"/>
    </row>
    <row r="832" spans="1:13" s="17" customFormat="1">
      <c r="A832" s="56"/>
      <c r="M832" s="65"/>
    </row>
    <row r="833" spans="1:13" s="17" customFormat="1">
      <c r="A833" s="56"/>
      <c r="M833" s="65"/>
    </row>
    <row r="834" spans="1:13" s="17" customFormat="1">
      <c r="A834" s="56"/>
      <c r="M834" s="65"/>
    </row>
    <row r="835" spans="1:13" s="17" customFormat="1">
      <c r="A835" s="56"/>
      <c r="M835" s="65"/>
    </row>
    <row r="836" spans="1:13" s="17" customFormat="1">
      <c r="A836" s="56"/>
      <c r="M836" s="65"/>
    </row>
    <row r="837" spans="1:13" s="17" customFormat="1">
      <c r="A837" s="56"/>
      <c r="M837" s="65"/>
    </row>
    <row r="838" spans="1:13" s="17" customFormat="1">
      <c r="A838" s="56"/>
      <c r="M838" s="65"/>
    </row>
    <row r="839" spans="1:13" s="17" customFormat="1">
      <c r="A839" s="56"/>
      <c r="M839" s="65"/>
    </row>
    <row r="840" spans="1:13" s="17" customFormat="1">
      <c r="A840" s="56"/>
      <c r="M840" s="65"/>
    </row>
    <row r="841" spans="1:13" s="17" customFormat="1">
      <c r="A841" s="56"/>
      <c r="M841" s="65"/>
    </row>
    <row r="842" spans="1:13" s="17" customFormat="1">
      <c r="A842" s="56"/>
      <c r="M842" s="65"/>
    </row>
    <row r="843" spans="1:13" s="17" customFormat="1">
      <c r="A843" s="56"/>
      <c r="M843" s="65"/>
    </row>
    <row r="844" spans="1:13" s="17" customFormat="1">
      <c r="A844" s="56"/>
      <c r="M844" s="65"/>
    </row>
    <row r="845" spans="1:13" s="17" customFormat="1">
      <c r="A845" s="56"/>
      <c r="M845" s="65"/>
    </row>
    <row r="846" spans="1:13" s="17" customFormat="1">
      <c r="A846" s="56"/>
      <c r="M846" s="65"/>
    </row>
    <row r="847" spans="1:13" s="17" customFormat="1">
      <c r="A847" s="56"/>
      <c r="M847" s="65"/>
    </row>
    <row r="848" spans="1:13" s="17" customFormat="1">
      <c r="A848" s="56"/>
      <c r="M848" s="65"/>
    </row>
    <row r="849" spans="1:13" s="17" customFormat="1">
      <c r="A849" s="56"/>
      <c r="M849" s="65"/>
    </row>
    <row r="850" spans="1:13" s="17" customFormat="1">
      <c r="A850" s="56"/>
      <c r="M850" s="65"/>
    </row>
    <row r="851" spans="1:13" s="17" customFormat="1">
      <c r="A851" s="56"/>
      <c r="M851" s="65"/>
    </row>
    <row r="852" spans="1:13" s="17" customFormat="1">
      <c r="A852" s="56"/>
      <c r="M852" s="65"/>
    </row>
    <row r="853" spans="1:13" s="17" customFormat="1">
      <c r="A853" s="56"/>
      <c r="M853" s="65"/>
    </row>
    <row r="854" spans="1:13" s="17" customFormat="1">
      <c r="A854" s="56"/>
      <c r="M854" s="65"/>
    </row>
    <row r="855" spans="1:13" s="17" customFormat="1">
      <c r="A855" s="56"/>
      <c r="M855" s="65"/>
    </row>
    <row r="856" spans="1:13" s="17" customFormat="1">
      <c r="A856" s="56"/>
      <c r="M856" s="65"/>
    </row>
    <row r="857" spans="1:13" s="17" customFormat="1">
      <c r="A857" s="56"/>
      <c r="M857" s="65"/>
    </row>
    <row r="858" spans="1:13" s="17" customFormat="1">
      <c r="A858" s="56"/>
      <c r="M858" s="65"/>
    </row>
    <row r="859" spans="1:13" s="17" customFormat="1">
      <c r="A859" s="56"/>
      <c r="M859" s="65"/>
    </row>
    <row r="860" spans="1:13" s="17" customFormat="1">
      <c r="A860" s="56"/>
      <c r="M860" s="65"/>
    </row>
    <row r="861" spans="1:13" s="17" customFormat="1">
      <c r="A861" s="56"/>
      <c r="M861" s="65"/>
    </row>
    <row r="862" spans="1:13" s="17" customFormat="1">
      <c r="A862" s="56"/>
      <c r="M862" s="65"/>
    </row>
    <row r="863" spans="1:13" s="17" customFormat="1">
      <c r="A863" s="56"/>
      <c r="M863" s="65"/>
    </row>
    <row r="864" spans="1:13" s="17" customFormat="1">
      <c r="A864" s="56"/>
      <c r="M864" s="65"/>
    </row>
    <row r="865" spans="1:13" s="17" customFormat="1">
      <c r="A865" s="56"/>
      <c r="M865" s="65"/>
    </row>
    <row r="866" spans="1:13" s="17" customFormat="1">
      <c r="A866" s="56"/>
      <c r="M866" s="65"/>
    </row>
    <row r="867" spans="1:13" s="17" customFormat="1">
      <c r="A867" s="56"/>
      <c r="M867" s="65"/>
    </row>
    <row r="868" spans="1:13" s="17" customFormat="1">
      <c r="A868" s="56"/>
      <c r="M868" s="65"/>
    </row>
    <row r="869" spans="1:13" s="17" customFormat="1">
      <c r="A869" s="56"/>
      <c r="M869" s="65"/>
    </row>
    <row r="870" spans="1:13" s="17" customFormat="1">
      <c r="A870" s="56"/>
      <c r="M870" s="65"/>
    </row>
    <row r="871" spans="1:13" s="17" customFormat="1">
      <c r="A871" s="56"/>
      <c r="M871" s="65"/>
    </row>
    <row r="872" spans="1:13" s="17" customFormat="1">
      <c r="A872" s="56"/>
      <c r="M872" s="65"/>
    </row>
    <row r="873" spans="1:13" s="17" customFormat="1">
      <c r="A873" s="56"/>
      <c r="M873" s="65"/>
    </row>
    <row r="874" spans="1:13" s="17" customFormat="1">
      <c r="A874" s="56"/>
      <c r="M874" s="65"/>
    </row>
    <row r="875" spans="1:13" s="17" customFormat="1">
      <c r="A875" s="56"/>
      <c r="M875" s="65"/>
    </row>
    <row r="876" spans="1:13" s="17" customFormat="1">
      <c r="A876" s="56"/>
      <c r="M876" s="65"/>
    </row>
    <row r="877" spans="1:13" s="17" customFormat="1">
      <c r="A877" s="56"/>
      <c r="M877" s="65"/>
    </row>
    <row r="878" spans="1:13" s="17" customFormat="1">
      <c r="A878" s="56"/>
      <c r="M878" s="65"/>
    </row>
    <row r="879" spans="1:13" s="17" customFormat="1">
      <c r="A879" s="56"/>
      <c r="M879" s="65"/>
    </row>
    <row r="880" spans="1:13" s="17" customFormat="1">
      <c r="A880" s="56"/>
      <c r="M880" s="65"/>
    </row>
    <row r="881" spans="1:13" s="17" customFormat="1">
      <c r="A881" s="56"/>
      <c r="M881" s="65"/>
    </row>
    <row r="882" spans="1:13" s="17" customFormat="1">
      <c r="A882" s="56"/>
      <c r="M882" s="65"/>
    </row>
    <row r="883" spans="1:13" s="17" customFormat="1">
      <c r="A883" s="56"/>
      <c r="M883" s="65"/>
    </row>
    <row r="884" spans="1:13" s="17" customFormat="1">
      <c r="A884" s="56"/>
      <c r="M884" s="65"/>
    </row>
    <row r="885" spans="1:13" s="17" customFormat="1">
      <c r="A885" s="56"/>
      <c r="M885" s="65"/>
    </row>
    <row r="886" spans="1:13" s="17" customFormat="1">
      <c r="A886" s="56"/>
      <c r="M886" s="65"/>
    </row>
    <row r="887" spans="1:13" s="17" customFormat="1">
      <c r="A887" s="56"/>
      <c r="M887" s="65"/>
    </row>
    <row r="888" spans="1:13" s="17" customFormat="1">
      <c r="A888" s="56"/>
      <c r="M888" s="65"/>
    </row>
    <row r="889" spans="1:13" s="17" customFormat="1">
      <c r="A889" s="56"/>
      <c r="M889" s="65"/>
    </row>
    <row r="890" spans="1:13" s="17" customFormat="1">
      <c r="A890" s="56"/>
      <c r="M890" s="65"/>
    </row>
    <row r="891" spans="1:13" s="17" customFormat="1">
      <c r="A891" s="56"/>
      <c r="M891" s="65"/>
    </row>
    <row r="892" spans="1:13" s="17" customFormat="1">
      <c r="A892" s="56"/>
      <c r="M892" s="65"/>
    </row>
    <row r="893" spans="1:13" s="17" customFormat="1">
      <c r="A893" s="56"/>
      <c r="M893" s="65"/>
    </row>
    <row r="894" spans="1:13" s="17" customFormat="1">
      <c r="A894" s="56"/>
      <c r="M894" s="65"/>
    </row>
    <row r="895" spans="1:13" s="17" customFormat="1">
      <c r="A895" s="56"/>
      <c r="M895" s="65"/>
    </row>
    <row r="896" spans="1:13" s="17" customFormat="1">
      <c r="A896" s="56"/>
      <c r="M896" s="65"/>
    </row>
    <row r="897" spans="1:13" s="17" customFormat="1">
      <c r="A897" s="56"/>
      <c r="M897" s="65"/>
    </row>
    <row r="898" spans="1:13" s="17" customFormat="1">
      <c r="A898" s="56"/>
      <c r="M898" s="65"/>
    </row>
    <row r="899" spans="1:13" s="17" customFormat="1">
      <c r="A899" s="56"/>
      <c r="M899" s="65"/>
    </row>
    <row r="900" spans="1:13" s="17" customFormat="1">
      <c r="A900" s="56"/>
      <c r="M900" s="65"/>
    </row>
    <row r="901" spans="1:13" s="17" customFormat="1">
      <c r="A901" s="56"/>
      <c r="M901" s="65"/>
    </row>
    <row r="902" spans="1:13" s="17" customFormat="1">
      <c r="A902" s="56"/>
      <c r="M902" s="65"/>
    </row>
    <row r="903" spans="1:13" s="17" customFormat="1">
      <c r="A903" s="56"/>
      <c r="M903" s="65"/>
    </row>
    <row r="904" spans="1:13" s="17" customFormat="1">
      <c r="A904" s="56"/>
      <c r="M904" s="65"/>
    </row>
    <row r="905" spans="1:13" s="17" customFormat="1">
      <c r="A905" s="56"/>
      <c r="M905" s="65"/>
    </row>
    <row r="906" spans="1:13" s="17" customFormat="1">
      <c r="A906" s="56"/>
      <c r="M906" s="65"/>
    </row>
    <row r="907" spans="1:13" s="17" customFormat="1">
      <c r="A907" s="56"/>
      <c r="M907" s="65"/>
    </row>
    <row r="908" spans="1:13" s="17" customFormat="1">
      <c r="A908" s="56"/>
      <c r="M908" s="65"/>
    </row>
    <row r="909" spans="1:13" s="17" customFormat="1">
      <c r="A909" s="56"/>
      <c r="M909" s="65"/>
    </row>
    <row r="910" spans="1:13" s="17" customFormat="1">
      <c r="A910" s="56"/>
      <c r="M910" s="65"/>
    </row>
    <row r="911" spans="1:13" s="17" customFormat="1">
      <c r="A911" s="56"/>
      <c r="M911" s="65"/>
    </row>
    <row r="912" spans="1:13" s="17" customFormat="1">
      <c r="A912" s="56"/>
      <c r="M912" s="65"/>
    </row>
    <row r="913" spans="1:13" s="17" customFormat="1">
      <c r="A913" s="56"/>
      <c r="M913" s="65"/>
    </row>
    <row r="914" spans="1:13" s="17" customFormat="1">
      <c r="A914" s="56"/>
      <c r="M914" s="65"/>
    </row>
    <row r="915" spans="1:13" s="17" customFormat="1">
      <c r="A915" s="56"/>
      <c r="M915" s="65"/>
    </row>
    <row r="916" spans="1:13" s="17" customFormat="1">
      <c r="A916" s="56"/>
      <c r="M916" s="65"/>
    </row>
    <row r="917" spans="1:13" s="17" customFormat="1">
      <c r="A917" s="56"/>
      <c r="M917" s="65"/>
    </row>
    <row r="918" spans="1:13" s="17" customFormat="1">
      <c r="A918" s="56"/>
      <c r="M918" s="65"/>
    </row>
    <row r="919" spans="1:13" s="17" customFormat="1">
      <c r="A919" s="56"/>
      <c r="M919" s="65"/>
    </row>
    <row r="920" spans="1:13" s="17" customFormat="1">
      <c r="A920" s="56"/>
      <c r="M920" s="65"/>
    </row>
    <row r="921" spans="1:13" s="17" customFormat="1">
      <c r="A921" s="56"/>
      <c r="M921" s="65"/>
    </row>
    <row r="922" spans="1:13" s="17" customFormat="1">
      <c r="A922" s="56"/>
      <c r="M922" s="65"/>
    </row>
    <row r="923" spans="1:13" s="17" customFormat="1">
      <c r="A923" s="56"/>
      <c r="M923" s="65"/>
    </row>
    <row r="924" spans="1:13" s="17" customFormat="1">
      <c r="A924" s="56"/>
      <c r="M924" s="65"/>
    </row>
    <row r="925" spans="1:13" s="17" customFormat="1">
      <c r="A925" s="56"/>
      <c r="M925" s="65"/>
    </row>
    <row r="926" spans="1:13" s="17" customFormat="1">
      <c r="A926" s="56"/>
      <c r="M926" s="65"/>
    </row>
    <row r="927" spans="1:13" s="17" customFormat="1">
      <c r="A927" s="56"/>
      <c r="M927" s="65"/>
    </row>
    <row r="928" spans="1:13" s="17" customFormat="1">
      <c r="A928" s="56"/>
      <c r="M928" s="65"/>
    </row>
    <row r="929" spans="1:13" s="17" customFormat="1">
      <c r="A929" s="56"/>
      <c r="M929" s="65"/>
    </row>
    <row r="930" spans="1:13" s="17" customFormat="1">
      <c r="A930" s="56"/>
      <c r="M930" s="65"/>
    </row>
    <row r="931" spans="1:13" s="17" customFormat="1">
      <c r="A931" s="56"/>
      <c r="M931" s="65"/>
    </row>
    <row r="932" spans="1:13" s="17" customFormat="1">
      <c r="A932" s="56"/>
      <c r="M932" s="65"/>
    </row>
    <row r="933" spans="1:13" s="17" customFormat="1">
      <c r="A933" s="56"/>
      <c r="M933" s="65"/>
    </row>
    <row r="934" spans="1:13" s="17" customFormat="1">
      <c r="A934" s="56"/>
      <c r="M934" s="65"/>
    </row>
    <row r="935" spans="1:13" s="17" customFormat="1">
      <c r="A935" s="56"/>
      <c r="M935" s="65"/>
    </row>
    <row r="936" spans="1:13" s="17" customFormat="1">
      <c r="A936" s="56"/>
      <c r="M936" s="65"/>
    </row>
    <row r="937" spans="1:13" s="17" customFormat="1">
      <c r="A937" s="56"/>
      <c r="M937" s="65"/>
    </row>
    <row r="938" spans="1:13" s="17" customFormat="1">
      <c r="A938" s="56"/>
      <c r="M938" s="65"/>
    </row>
    <row r="939" spans="1:13" s="17" customFormat="1">
      <c r="A939" s="56"/>
      <c r="M939" s="65"/>
    </row>
    <row r="940" spans="1:13" s="17" customFormat="1">
      <c r="A940" s="56"/>
      <c r="M940" s="65"/>
    </row>
    <row r="941" spans="1:13" s="17" customFormat="1">
      <c r="A941" s="56"/>
      <c r="M941" s="65"/>
    </row>
    <row r="942" spans="1:13" s="17" customFormat="1">
      <c r="A942" s="56"/>
      <c r="M942" s="65"/>
    </row>
    <row r="943" spans="1:13" s="17" customFormat="1">
      <c r="A943" s="56"/>
      <c r="M943" s="65"/>
    </row>
    <row r="944" spans="1:13" s="17" customFormat="1">
      <c r="A944" s="56"/>
      <c r="M944" s="65"/>
    </row>
    <row r="945" spans="1:13" s="17" customFormat="1">
      <c r="A945" s="56"/>
      <c r="M945" s="65"/>
    </row>
    <row r="946" spans="1:13" s="17" customFormat="1">
      <c r="A946" s="56"/>
      <c r="M946" s="65"/>
    </row>
    <row r="947" spans="1:13" s="17" customFormat="1">
      <c r="A947" s="56"/>
      <c r="M947" s="65"/>
    </row>
    <row r="948" spans="1:13" s="17" customFormat="1">
      <c r="A948" s="56"/>
      <c r="M948" s="65"/>
    </row>
    <row r="949" spans="1:13" s="17" customFormat="1">
      <c r="A949" s="56"/>
      <c r="M949" s="65"/>
    </row>
    <row r="950" spans="1:13" s="17" customFormat="1">
      <c r="A950" s="56"/>
      <c r="M950" s="65"/>
    </row>
    <row r="951" spans="1:13" s="17" customFormat="1">
      <c r="A951" s="56"/>
      <c r="M951" s="65"/>
    </row>
    <row r="952" spans="1:13" s="17" customFormat="1">
      <c r="A952" s="56"/>
      <c r="M952" s="65"/>
    </row>
    <row r="953" spans="1:13" s="17" customFormat="1">
      <c r="A953" s="56"/>
      <c r="M953" s="65"/>
    </row>
    <row r="954" spans="1:13" s="17" customFormat="1">
      <c r="A954" s="56"/>
      <c r="M954" s="65"/>
    </row>
    <row r="955" spans="1:13" s="17" customFormat="1">
      <c r="A955" s="56"/>
      <c r="M955" s="65"/>
    </row>
    <row r="956" spans="1:13" s="17" customFormat="1">
      <c r="A956" s="56"/>
      <c r="M956" s="65"/>
    </row>
    <row r="957" spans="1:13" s="17" customFormat="1">
      <c r="A957" s="56"/>
      <c r="M957" s="65"/>
    </row>
    <row r="958" spans="1:13" s="17" customFormat="1">
      <c r="A958" s="56"/>
      <c r="M958" s="65"/>
    </row>
    <row r="959" spans="1:13" s="17" customFormat="1">
      <c r="A959" s="56"/>
      <c r="M959" s="65"/>
    </row>
    <row r="960" spans="1:13" s="17" customFormat="1">
      <c r="A960" s="56"/>
      <c r="M960" s="65"/>
    </row>
    <row r="961" spans="1:13" s="17" customFormat="1">
      <c r="A961" s="56"/>
      <c r="M961" s="65"/>
    </row>
    <row r="962" spans="1:13" s="17" customFormat="1">
      <c r="A962" s="56"/>
      <c r="M962" s="65"/>
    </row>
    <row r="963" spans="1:13" s="17" customFormat="1">
      <c r="A963" s="56"/>
      <c r="M963" s="65"/>
    </row>
    <row r="964" spans="1:13" s="17" customFormat="1">
      <c r="A964" s="56"/>
      <c r="M964" s="65"/>
    </row>
    <row r="965" spans="1:13" s="17" customFormat="1">
      <c r="A965" s="56"/>
      <c r="M965" s="65"/>
    </row>
    <row r="966" spans="1:13" s="17" customFormat="1">
      <c r="A966" s="56"/>
      <c r="M966" s="65"/>
    </row>
    <row r="967" spans="1:13" s="17" customFormat="1">
      <c r="A967" s="56"/>
      <c r="M967" s="65"/>
    </row>
    <row r="968" spans="1:13" s="17" customFormat="1">
      <c r="A968" s="56"/>
      <c r="M968" s="65"/>
    </row>
    <row r="969" spans="1:13" s="17" customFormat="1">
      <c r="A969" s="56"/>
      <c r="M969" s="65"/>
    </row>
    <row r="970" spans="1:13" s="17" customFormat="1">
      <c r="A970" s="56"/>
      <c r="M970" s="65"/>
    </row>
    <row r="971" spans="1:13" s="17" customFormat="1">
      <c r="A971" s="56"/>
      <c r="M971" s="65"/>
    </row>
    <row r="972" spans="1:13" s="17" customFormat="1">
      <c r="A972" s="56"/>
      <c r="M972" s="65"/>
    </row>
    <row r="973" spans="1:13" s="17" customFormat="1">
      <c r="A973" s="56"/>
      <c r="M973" s="65"/>
    </row>
    <row r="974" spans="1:13" s="17" customFormat="1">
      <c r="A974" s="56"/>
      <c r="M974" s="65"/>
    </row>
    <row r="975" spans="1:13" s="17" customFormat="1">
      <c r="A975" s="56"/>
      <c r="M975" s="65"/>
    </row>
    <row r="976" spans="1:13" s="17" customFormat="1">
      <c r="A976" s="56"/>
      <c r="M976" s="65"/>
    </row>
    <row r="977" spans="1:13" s="17" customFormat="1">
      <c r="A977" s="56"/>
      <c r="M977" s="65"/>
    </row>
    <row r="978" spans="1:13" s="17" customFormat="1">
      <c r="A978" s="56"/>
      <c r="M978" s="65"/>
    </row>
    <row r="979" spans="1:13" s="17" customFormat="1">
      <c r="A979" s="56"/>
      <c r="M979" s="65"/>
    </row>
    <row r="980" spans="1:13" s="17" customFormat="1">
      <c r="A980" s="56"/>
      <c r="M980" s="65"/>
    </row>
    <row r="981" spans="1:13" s="17" customFormat="1">
      <c r="A981" s="56"/>
      <c r="M981" s="65"/>
    </row>
    <row r="982" spans="1:13" s="17" customFormat="1">
      <c r="A982" s="56"/>
      <c r="M982" s="65"/>
    </row>
    <row r="983" spans="1:13" s="17" customFormat="1">
      <c r="A983" s="56"/>
      <c r="M983" s="65"/>
    </row>
    <row r="984" spans="1:13" s="17" customFormat="1">
      <c r="A984" s="56"/>
      <c r="M984" s="65"/>
    </row>
    <row r="985" spans="1:13" s="17" customFormat="1">
      <c r="A985" s="56"/>
      <c r="M985" s="65"/>
    </row>
    <row r="986" spans="1:13" s="17" customFormat="1">
      <c r="A986" s="56"/>
      <c r="M986" s="65"/>
    </row>
    <row r="987" spans="1:13" s="17" customFormat="1">
      <c r="A987" s="56"/>
      <c r="M987" s="65"/>
    </row>
    <row r="988" spans="1:13" s="17" customFormat="1">
      <c r="A988" s="56"/>
      <c r="M988" s="65"/>
    </row>
    <row r="989" spans="1:13" s="17" customFormat="1">
      <c r="A989" s="56"/>
      <c r="M989" s="65"/>
    </row>
    <row r="990" spans="1:13" s="17" customFormat="1">
      <c r="A990" s="56"/>
      <c r="M990" s="65"/>
    </row>
    <row r="991" spans="1:13" s="17" customFormat="1">
      <c r="A991" s="56"/>
      <c r="M991" s="65"/>
    </row>
    <row r="992" spans="1:13" s="17" customFormat="1">
      <c r="A992" s="56"/>
      <c r="M992" s="65"/>
    </row>
    <row r="993" spans="1:13" s="17" customFormat="1">
      <c r="A993" s="56"/>
      <c r="M993" s="65"/>
    </row>
    <row r="994" spans="1:13" s="17" customFormat="1">
      <c r="A994" s="56"/>
      <c r="M994" s="65"/>
    </row>
    <row r="995" spans="1:13" s="17" customFormat="1">
      <c r="A995" s="56"/>
      <c r="M995" s="65"/>
    </row>
    <row r="996" spans="1:13" s="17" customFormat="1">
      <c r="A996" s="56"/>
      <c r="M996" s="65"/>
    </row>
    <row r="997" spans="1:13" s="17" customFormat="1">
      <c r="A997" s="56"/>
      <c r="M997" s="65"/>
    </row>
    <row r="998" spans="1:13" s="17" customFormat="1">
      <c r="A998" s="56"/>
      <c r="M998" s="65"/>
    </row>
    <row r="999" spans="1:13" s="17" customFormat="1">
      <c r="A999" s="56"/>
      <c r="M999" s="65"/>
    </row>
    <row r="1000" spans="1:13" s="17" customFormat="1">
      <c r="A1000" s="56"/>
      <c r="M1000" s="65"/>
    </row>
    <row r="1001" spans="1:13" s="17" customFormat="1">
      <c r="A1001" s="56"/>
      <c r="M1001" s="65"/>
    </row>
    <row r="1002" spans="1:13" s="17" customFormat="1">
      <c r="A1002" s="56"/>
      <c r="M1002" s="65"/>
    </row>
    <row r="1003" spans="1:13" s="17" customFormat="1">
      <c r="A1003" s="56"/>
      <c r="M1003" s="65"/>
    </row>
    <row r="1004" spans="1:13" s="17" customFormat="1">
      <c r="A1004" s="56"/>
      <c r="M1004" s="65"/>
    </row>
    <row r="1005" spans="1:13" s="17" customFormat="1">
      <c r="A1005" s="56"/>
      <c r="M1005" s="65"/>
    </row>
    <row r="1006" spans="1:13" s="17" customFormat="1">
      <c r="A1006" s="56"/>
      <c r="M1006" s="65"/>
    </row>
    <row r="1007" spans="1:13" s="17" customFormat="1">
      <c r="A1007" s="56"/>
      <c r="M1007" s="65"/>
    </row>
    <row r="1008" spans="1:13" s="17" customFormat="1">
      <c r="A1008" s="56"/>
      <c r="M1008" s="65"/>
    </row>
    <row r="1009" spans="1:13" s="17" customFormat="1">
      <c r="A1009" s="56"/>
      <c r="M1009" s="65"/>
    </row>
    <row r="1010" spans="1:13" s="17" customFormat="1">
      <c r="A1010" s="56"/>
      <c r="M1010" s="65"/>
    </row>
    <row r="1011" spans="1:13" s="17" customFormat="1">
      <c r="A1011" s="56"/>
      <c r="M1011" s="65"/>
    </row>
    <row r="1012" spans="1:13" s="17" customFormat="1">
      <c r="A1012" s="56"/>
      <c r="M1012" s="65"/>
    </row>
    <row r="1013" spans="1:13" s="17" customFormat="1">
      <c r="A1013" s="56"/>
      <c r="M1013" s="65"/>
    </row>
    <row r="1014" spans="1:13" s="17" customFormat="1">
      <c r="A1014" s="56"/>
      <c r="M1014" s="65"/>
    </row>
    <row r="1015" spans="1:13" s="17" customFormat="1">
      <c r="A1015" s="56"/>
      <c r="M1015" s="65"/>
    </row>
    <row r="1016" spans="1:13" s="17" customFormat="1">
      <c r="A1016" s="56"/>
      <c r="M1016" s="65"/>
    </row>
    <row r="1017" spans="1:13" s="17" customFormat="1">
      <c r="A1017" s="56"/>
      <c r="M1017" s="65"/>
    </row>
    <row r="1018" spans="1:13" s="17" customFormat="1">
      <c r="A1018" s="56"/>
      <c r="M1018" s="65"/>
    </row>
    <row r="1019" spans="1:13" s="17" customFormat="1">
      <c r="A1019" s="56"/>
      <c r="M1019" s="65"/>
    </row>
    <row r="1020" spans="1:13" s="17" customFormat="1">
      <c r="A1020" s="56"/>
      <c r="M1020" s="65"/>
    </row>
    <row r="1021" spans="1:13" s="17" customFormat="1">
      <c r="A1021" s="56"/>
      <c r="M1021" s="65"/>
    </row>
    <row r="1022" spans="1:13" s="17" customFormat="1">
      <c r="A1022" s="56"/>
      <c r="M1022" s="65"/>
    </row>
    <row r="1023" spans="1:13" s="17" customFormat="1">
      <c r="A1023" s="56"/>
      <c r="M1023" s="65"/>
    </row>
    <row r="1024" spans="1:13" s="17" customFormat="1">
      <c r="A1024" s="56"/>
      <c r="M1024" s="65"/>
    </row>
    <row r="1025" spans="1:13" s="17" customFormat="1">
      <c r="A1025" s="56"/>
      <c r="M1025" s="65"/>
    </row>
    <row r="1026" spans="1:13" s="17" customFormat="1">
      <c r="A1026" s="56"/>
      <c r="M1026" s="65"/>
    </row>
    <row r="1027" spans="1:13" s="17" customFormat="1">
      <c r="A1027" s="56"/>
      <c r="M1027" s="65"/>
    </row>
    <row r="1028" spans="1:13" s="17" customFormat="1">
      <c r="A1028" s="56"/>
      <c r="M1028" s="65"/>
    </row>
    <row r="1029" spans="1:13" s="17" customFormat="1">
      <c r="A1029" s="56"/>
      <c r="M1029" s="65"/>
    </row>
    <row r="1030" spans="1:13" s="17" customFormat="1">
      <c r="A1030" s="56"/>
      <c r="M1030" s="65"/>
    </row>
    <row r="1031" spans="1:13" s="17" customFormat="1">
      <c r="A1031" s="56"/>
      <c r="M1031" s="65"/>
    </row>
    <row r="1032" spans="1:13" s="17" customFormat="1">
      <c r="A1032" s="56"/>
      <c r="M1032" s="65"/>
    </row>
    <row r="1033" spans="1:13" s="17" customFormat="1">
      <c r="A1033" s="56"/>
      <c r="M1033" s="65"/>
    </row>
    <row r="1034" spans="1:13" s="17" customFormat="1">
      <c r="A1034" s="56"/>
      <c r="M1034" s="65"/>
    </row>
    <row r="1035" spans="1:13" s="17" customFormat="1">
      <c r="A1035" s="56"/>
      <c r="M1035" s="65"/>
    </row>
    <row r="1036" spans="1:13" s="17" customFormat="1">
      <c r="A1036" s="56"/>
      <c r="M1036" s="65"/>
    </row>
    <row r="1037" spans="1:13" s="17" customFormat="1">
      <c r="A1037" s="56"/>
      <c r="M1037" s="65"/>
    </row>
    <row r="1038" spans="1:13" s="17" customFormat="1">
      <c r="A1038" s="56"/>
      <c r="M1038" s="65"/>
    </row>
    <row r="1039" spans="1:13" s="17" customFormat="1">
      <c r="A1039" s="56"/>
      <c r="M1039" s="65"/>
    </row>
    <row r="1040" spans="1:13" s="17" customFormat="1">
      <c r="A1040" s="56"/>
      <c r="M1040" s="65"/>
    </row>
    <row r="1041" spans="1:13" s="17" customFormat="1">
      <c r="A1041" s="56"/>
      <c r="M1041" s="65"/>
    </row>
    <row r="1042" spans="1:13" s="17" customFormat="1">
      <c r="A1042" s="56"/>
      <c r="M1042" s="65"/>
    </row>
    <row r="1043" spans="1:13" s="17" customFormat="1">
      <c r="A1043" s="56"/>
      <c r="M1043" s="65"/>
    </row>
    <row r="1044" spans="1:13" s="17" customFormat="1">
      <c r="A1044" s="56"/>
      <c r="M1044" s="65"/>
    </row>
    <row r="1045" spans="1:13" s="17" customFormat="1">
      <c r="A1045" s="56"/>
      <c r="M1045" s="65"/>
    </row>
    <row r="1046" spans="1:13" s="17" customFormat="1">
      <c r="A1046" s="56"/>
      <c r="M1046" s="65"/>
    </row>
    <row r="1047" spans="1:13" s="17" customFormat="1">
      <c r="A1047" s="56"/>
      <c r="M1047" s="65"/>
    </row>
    <row r="1048" spans="1:13" s="17" customFormat="1">
      <c r="A1048" s="56"/>
      <c r="M1048" s="65"/>
    </row>
    <row r="1049" spans="1:13" s="17" customFormat="1">
      <c r="A1049" s="56"/>
      <c r="M1049" s="65"/>
    </row>
    <row r="1050" spans="1:13" s="17" customFormat="1">
      <c r="A1050" s="56"/>
      <c r="M1050" s="65"/>
    </row>
    <row r="1051" spans="1:13" s="17" customFormat="1">
      <c r="A1051" s="56"/>
      <c r="M1051" s="65"/>
    </row>
    <row r="1052" spans="1:13" s="17" customFormat="1">
      <c r="A1052" s="56"/>
      <c r="M1052" s="65"/>
    </row>
    <row r="1053" spans="1:13" s="17" customFormat="1">
      <c r="A1053" s="56"/>
      <c r="M1053" s="65"/>
    </row>
    <row r="1054" spans="1:13" s="17" customFormat="1">
      <c r="A1054" s="56"/>
      <c r="M1054" s="65"/>
    </row>
    <row r="1055" spans="1:13" s="17" customFormat="1">
      <c r="A1055" s="56"/>
      <c r="M1055" s="65"/>
    </row>
    <row r="1056" spans="1:13" s="17" customFormat="1">
      <c r="A1056" s="56"/>
      <c r="M1056" s="65"/>
    </row>
    <row r="1057" spans="1:13" s="17" customFormat="1">
      <c r="A1057" s="56"/>
      <c r="M1057" s="65"/>
    </row>
    <row r="1058" spans="1:13" s="17" customFormat="1">
      <c r="A1058" s="56"/>
      <c r="M1058" s="65"/>
    </row>
    <row r="1059" spans="1:13" s="17" customFormat="1">
      <c r="A1059" s="56"/>
      <c r="M1059" s="65"/>
    </row>
    <row r="1060" spans="1:13" s="17" customFormat="1">
      <c r="A1060" s="56"/>
      <c r="M1060" s="65"/>
    </row>
    <row r="1061" spans="1:13" s="17" customFormat="1">
      <c r="A1061" s="56"/>
      <c r="M1061" s="65"/>
    </row>
    <row r="1062" spans="1:13" s="17" customFormat="1">
      <c r="A1062" s="56"/>
      <c r="M1062" s="65"/>
    </row>
    <row r="1063" spans="1:13" s="17" customFormat="1">
      <c r="A1063" s="56"/>
      <c r="M1063" s="65"/>
    </row>
    <row r="1064" spans="1:13" s="17" customFormat="1">
      <c r="A1064" s="56"/>
      <c r="M1064" s="65"/>
    </row>
    <row r="1065" spans="1:13" s="17" customFormat="1">
      <c r="A1065" s="56"/>
      <c r="M1065" s="65"/>
    </row>
    <row r="1066" spans="1:13" s="17" customFormat="1">
      <c r="A1066" s="56"/>
      <c r="M1066" s="65"/>
    </row>
    <row r="1067" spans="1:13" s="17" customFormat="1">
      <c r="A1067" s="56"/>
      <c r="M1067" s="65"/>
    </row>
    <row r="1068" spans="1:13" s="17" customFormat="1">
      <c r="A1068" s="56"/>
      <c r="M1068" s="65"/>
    </row>
    <row r="1069" spans="1:13" s="17" customFormat="1">
      <c r="A1069" s="56"/>
      <c r="M1069" s="65"/>
    </row>
    <row r="1070" spans="1:13" s="17" customFormat="1">
      <c r="A1070" s="56"/>
      <c r="M1070" s="65"/>
    </row>
    <row r="1071" spans="1:13" s="17" customFormat="1">
      <c r="A1071" s="56"/>
      <c r="M1071" s="65"/>
    </row>
    <row r="1072" spans="1:13" s="17" customFormat="1">
      <c r="A1072" s="56"/>
      <c r="M1072" s="65"/>
    </row>
    <row r="1073" spans="1:13" s="17" customFormat="1">
      <c r="A1073" s="56"/>
      <c r="M1073" s="65"/>
    </row>
    <row r="1074" spans="1:13" s="17" customFormat="1">
      <c r="A1074" s="56"/>
      <c r="M1074" s="65"/>
    </row>
    <row r="1075" spans="1:13" s="17" customFormat="1">
      <c r="A1075" s="56"/>
      <c r="M1075" s="65"/>
    </row>
    <row r="1076" spans="1:13" s="17" customFormat="1">
      <c r="A1076" s="56"/>
      <c r="M1076" s="65"/>
    </row>
    <row r="1077" spans="1:13" s="17" customFormat="1">
      <c r="A1077" s="56"/>
      <c r="M1077" s="65"/>
    </row>
    <row r="1078" spans="1:13" s="17" customFormat="1">
      <c r="A1078" s="56"/>
      <c r="M1078" s="65"/>
    </row>
    <row r="1079" spans="1:13" s="17" customFormat="1">
      <c r="A1079" s="56"/>
      <c r="M1079" s="65"/>
    </row>
    <row r="1080" spans="1:13" s="17" customFormat="1">
      <c r="A1080" s="56"/>
      <c r="M1080" s="65"/>
    </row>
    <row r="1081" spans="1:13" s="17" customFormat="1">
      <c r="A1081" s="56"/>
      <c r="M1081" s="65"/>
    </row>
    <row r="1082" spans="1:13" s="17" customFormat="1">
      <c r="A1082" s="56"/>
      <c r="M1082" s="65"/>
    </row>
    <row r="1083" spans="1:13" s="17" customFormat="1">
      <c r="A1083" s="56"/>
      <c r="M1083" s="65"/>
    </row>
    <row r="1084" spans="1:13" s="17" customFormat="1">
      <c r="A1084" s="56"/>
      <c r="M1084" s="65"/>
    </row>
    <row r="1085" spans="1:13" s="17" customFormat="1">
      <c r="A1085" s="56"/>
      <c r="M1085" s="65"/>
    </row>
    <row r="1086" spans="1:13" s="17" customFormat="1">
      <c r="A1086" s="56"/>
      <c r="M1086" s="65"/>
    </row>
    <row r="1087" spans="1:13" s="17" customFormat="1">
      <c r="A1087" s="56"/>
      <c r="M1087" s="65"/>
    </row>
    <row r="1088" spans="1:13" s="17" customFormat="1">
      <c r="A1088" s="56"/>
      <c r="M1088" s="65"/>
    </row>
    <row r="1089" spans="1:13" s="17" customFormat="1">
      <c r="A1089" s="56"/>
      <c r="M1089" s="65"/>
    </row>
    <row r="1090" spans="1:13" s="17" customFormat="1">
      <c r="A1090" s="56"/>
      <c r="M1090" s="65"/>
    </row>
    <row r="1091" spans="1:13" s="17" customFormat="1">
      <c r="A1091" s="56"/>
      <c r="M1091" s="65"/>
    </row>
    <row r="1092" spans="1:13" s="17" customFormat="1">
      <c r="A1092" s="56"/>
      <c r="M1092" s="65"/>
    </row>
    <row r="1093" spans="1:13" s="17" customFormat="1">
      <c r="A1093" s="56"/>
      <c r="M1093" s="65"/>
    </row>
    <row r="1094" spans="1:13" s="17" customFormat="1">
      <c r="A1094" s="56"/>
      <c r="M1094" s="65"/>
    </row>
    <row r="1095" spans="1:13" s="17" customFormat="1">
      <c r="A1095" s="56"/>
      <c r="M1095" s="65"/>
    </row>
    <row r="1096" spans="1:13" s="17" customFormat="1">
      <c r="A1096" s="56"/>
      <c r="M1096" s="65"/>
    </row>
    <row r="1097" spans="1:13" s="17" customFormat="1">
      <c r="A1097" s="56"/>
      <c r="M1097" s="65"/>
    </row>
    <row r="1098" spans="1:13" s="17" customFormat="1">
      <c r="A1098" s="56"/>
      <c r="M1098" s="65"/>
    </row>
    <row r="1099" spans="1:13" s="17" customFormat="1">
      <c r="A1099" s="56"/>
      <c r="M1099" s="65"/>
    </row>
    <row r="1100" spans="1:13" s="17" customFormat="1">
      <c r="A1100" s="56"/>
      <c r="M1100" s="65"/>
    </row>
    <row r="1101" spans="1:13" s="17" customFormat="1">
      <c r="A1101" s="56"/>
      <c r="M1101" s="65"/>
    </row>
    <row r="1102" spans="1:13" s="17" customFormat="1">
      <c r="A1102" s="56"/>
      <c r="M1102" s="65"/>
    </row>
    <row r="1103" spans="1:13" s="17" customFormat="1">
      <c r="A1103" s="56"/>
      <c r="M1103" s="65"/>
    </row>
    <row r="1104" spans="1:13" s="17" customFormat="1">
      <c r="A1104" s="56"/>
      <c r="M1104" s="65"/>
    </row>
    <row r="1105" spans="1:13" s="17" customFormat="1">
      <c r="A1105" s="56"/>
      <c r="M1105" s="65"/>
    </row>
    <row r="1106" spans="1:13" s="17" customFormat="1">
      <c r="A1106" s="56"/>
      <c r="M1106" s="65"/>
    </row>
    <row r="1107" spans="1:13" s="17" customFormat="1">
      <c r="A1107" s="56"/>
      <c r="M1107" s="65"/>
    </row>
    <row r="1108" spans="1:13" s="17" customFormat="1">
      <c r="A1108" s="56"/>
      <c r="M1108" s="65"/>
    </row>
    <row r="1109" spans="1:13" s="17" customFormat="1">
      <c r="A1109" s="56"/>
      <c r="M1109" s="65"/>
    </row>
    <row r="1110" spans="1:13" s="17" customFormat="1">
      <c r="A1110" s="56"/>
      <c r="M1110" s="65"/>
    </row>
    <row r="1111" spans="1:13" s="17" customFormat="1">
      <c r="A1111" s="56"/>
      <c r="M1111" s="65"/>
    </row>
    <row r="1112" spans="1:13" s="17" customFormat="1">
      <c r="A1112" s="56"/>
      <c r="M1112" s="65"/>
    </row>
    <row r="1113" spans="1:13" s="17" customFormat="1">
      <c r="A1113" s="56"/>
      <c r="M1113" s="65"/>
    </row>
    <row r="1114" spans="1:13" s="17" customFormat="1">
      <c r="A1114" s="56"/>
      <c r="M1114" s="65"/>
    </row>
    <row r="1115" spans="1:13" s="17" customFormat="1">
      <c r="A1115" s="56"/>
      <c r="M1115" s="65"/>
    </row>
    <row r="1116" spans="1:13" s="17" customFormat="1">
      <c r="A1116" s="56"/>
      <c r="M1116" s="65"/>
    </row>
    <row r="1117" spans="1:13" s="17" customFormat="1">
      <c r="A1117" s="56"/>
      <c r="M1117" s="65"/>
    </row>
    <row r="1118" spans="1:13" s="17" customFormat="1">
      <c r="A1118" s="56"/>
      <c r="M1118" s="65"/>
    </row>
    <row r="1119" spans="1:13" s="17" customFormat="1">
      <c r="A1119" s="56"/>
      <c r="M1119" s="65"/>
    </row>
    <row r="1120" spans="1:13" s="17" customFormat="1">
      <c r="A1120" s="56"/>
      <c r="M1120" s="65"/>
    </row>
    <row r="1121" spans="1:13" s="17" customFormat="1">
      <c r="A1121" s="56"/>
      <c r="M1121" s="65"/>
    </row>
    <row r="1122" spans="1:13" s="17" customFormat="1">
      <c r="A1122" s="56"/>
      <c r="M1122" s="65"/>
    </row>
    <row r="1123" spans="1:13" s="17" customFormat="1">
      <c r="A1123" s="56"/>
      <c r="M1123" s="65"/>
    </row>
    <row r="1124" spans="1:13" s="17" customFormat="1">
      <c r="A1124" s="56"/>
      <c r="M1124" s="65"/>
    </row>
    <row r="1125" spans="1:13" s="17" customFormat="1">
      <c r="A1125" s="56"/>
      <c r="M1125" s="65"/>
    </row>
    <row r="1126" spans="1:13" s="17" customFormat="1">
      <c r="A1126" s="56"/>
      <c r="M1126" s="65"/>
    </row>
    <row r="1127" spans="1:13" s="17" customFormat="1">
      <c r="A1127" s="56"/>
      <c r="M1127" s="65"/>
    </row>
    <row r="1128" spans="1:13" s="17" customFormat="1">
      <c r="A1128" s="56"/>
      <c r="M1128" s="65"/>
    </row>
    <row r="1129" spans="1:13" s="17" customFormat="1">
      <c r="A1129" s="56"/>
      <c r="M1129" s="65"/>
    </row>
    <row r="1130" spans="1:13" s="17" customFormat="1">
      <c r="A1130" s="56"/>
      <c r="M1130" s="65"/>
    </row>
    <row r="1131" spans="1:13" s="17" customFormat="1">
      <c r="A1131" s="56"/>
      <c r="M1131" s="65"/>
    </row>
    <row r="1132" spans="1:13" s="17" customFormat="1">
      <c r="A1132" s="56"/>
      <c r="M1132" s="65"/>
    </row>
    <row r="1133" spans="1:13" s="17" customFormat="1">
      <c r="A1133" s="56"/>
      <c r="M1133" s="65"/>
    </row>
    <row r="1134" spans="1:13" s="17" customFormat="1">
      <c r="A1134" s="56"/>
      <c r="M1134" s="65"/>
    </row>
    <row r="1135" spans="1:13" s="17" customFormat="1">
      <c r="A1135" s="56"/>
      <c r="M1135" s="65"/>
    </row>
    <row r="1136" spans="1:13" s="17" customFormat="1">
      <c r="A1136" s="56"/>
      <c r="M1136" s="65"/>
    </row>
    <row r="1137" spans="1:13" s="17" customFormat="1">
      <c r="A1137" s="56"/>
      <c r="M1137" s="65"/>
    </row>
    <row r="1138" spans="1:13" s="17" customFormat="1">
      <c r="A1138" s="56"/>
      <c r="M1138" s="65"/>
    </row>
    <row r="1139" spans="1:13" s="17" customFormat="1">
      <c r="A1139" s="56"/>
      <c r="M1139" s="65"/>
    </row>
    <row r="1140" spans="1:13" s="17" customFormat="1">
      <c r="A1140" s="56"/>
      <c r="M1140" s="65"/>
    </row>
    <row r="1141" spans="1:13" s="17" customFormat="1">
      <c r="A1141" s="56"/>
      <c r="M1141" s="65"/>
    </row>
    <row r="1142" spans="1:13" s="17" customFormat="1">
      <c r="A1142" s="56"/>
      <c r="M1142" s="65"/>
    </row>
    <row r="1143" spans="1:13" s="17" customFormat="1">
      <c r="A1143" s="56"/>
      <c r="M1143" s="65"/>
    </row>
    <row r="1144" spans="1:13" s="17" customFormat="1">
      <c r="A1144" s="56"/>
      <c r="M1144" s="65"/>
    </row>
    <row r="1145" spans="1:13" s="17" customFormat="1">
      <c r="A1145" s="56"/>
      <c r="M1145" s="65"/>
    </row>
    <row r="1146" spans="1:13" s="17" customFormat="1">
      <c r="A1146" s="56"/>
      <c r="M1146" s="65"/>
    </row>
    <row r="1147" spans="1:13" s="17" customFormat="1">
      <c r="A1147" s="56"/>
      <c r="M1147" s="65"/>
    </row>
    <row r="1148" spans="1:13" s="17" customFormat="1">
      <c r="A1148" s="56"/>
      <c r="M1148" s="65"/>
    </row>
    <row r="1149" spans="1:13" s="17" customFormat="1">
      <c r="A1149" s="56"/>
      <c r="M1149" s="65"/>
    </row>
    <row r="1150" spans="1:13" s="17" customFormat="1">
      <c r="A1150" s="56"/>
      <c r="M1150" s="65"/>
    </row>
    <row r="1151" spans="1:13" s="17" customFormat="1">
      <c r="A1151" s="56"/>
      <c r="M1151" s="65"/>
    </row>
    <row r="1152" spans="1:13" s="17" customFormat="1">
      <c r="A1152" s="56"/>
      <c r="M1152" s="65"/>
    </row>
    <row r="1153" spans="1:13" s="17" customFormat="1">
      <c r="A1153" s="56"/>
      <c r="M1153" s="65"/>
    </row>
    <row r="1154" spans="1:13" s="17" customFormat="1">
      <c r="A1154" s="56"/>
      <c r="M1154" s="65"/>
    </row>
    <row r="1155" spans="1:13" s="17" customFormat="1">
      <c r="A1155" s="56"/>
      <c r="M1155" s="65"/>
    </row>
    <row r="1156" spans="1:13" s="17" customFormat="1">
      <c r="A1156" s="56"/>
      <c r="M1156" s="65"/>
    </row>
    <row r="1157" spans="1:13" s="17" customFormat="1">
      <c r="A1157" s="56"/>
      <c r="M1157" s="65"/>
    </row>
    <row r="1158" spans="1:13" s="17" customFormat="1">
      <c r="A1158" s="56"/>
      <c r="M1158" s="65"/>
    </row>
    <row r="1159" spans="1:13" s="17" customFormat="1">
      <c r="A1159" s="56"/>
      <c r="M1159" s="65"/>
    </row>
    <row r="1160" spans="1:13" s="17" customFormat="1">
      <c r="A1160" s="56"/>
      <c r="M1160" s="65"/>
    </row>
    <row r="1161" spans="1:13" s="17" customFormat="1">
      <c r="A1161" s="56"/>
      <c r="M1161" s="65"/>
    </row>
    <row r="1162" spans="1:13" s="17" customFormat="1">
      <c r="A1162" s="56"/>
      <c r="M1162" s="65"/>
    </row>
    <row r="1163" spans="1:13" s="17" customFormat="1">
      <c r="A1163" s="56"/>
      <c r="M1163" s="65"/>
    </row>
    <row r="1164" spans="1:13" s="17" customFormat="1">
      <c r="A1164" s="56"/>
      <c r="M1164" s="65"/>
    </row>
    <row r="1165" spans="1:13" s="17" customFormat="1">
      <c r="A1165" s="56"/>
      <c r="M1165" s="65"/>
    </row>
    <row r="1166" spans="1:13" s="17" customFormat="1">
      <c r="A1166" s="56"/>
      <c r="M1166" s="65"/>
    </row>
    <row r="1167" spans="1:13" s="17" customFormat="1">
      <c r="A1167" s="56"/>
      <c r="M1167" s="65"/>
    </row>
    <row r="1168" spans="1:13" s="17" customFormat="1">
      <c r="A1168" s="56"/>
      <c r="M1168" s="65"/>
    </row>
    <row r="1169" spans="1:13" s="17" customFormat="1">
      <c r="A1169" s="56"/>
      <c r="M1169" s="65"/>
    </row>
    <row r="1170" spans="1:13" s="17" customFormat="1">
      <c r="A1170" s="56"/>
      <c r="M1170" s="65"/>
    </row>
    <row r="1171" spans="1:13" s="17" customFormat="1">
      <c r="A1171" s="56"/>
      <c r="M1171" s="65"/>
    </row>
    <row r="1172" spans="1:13" s="17" customFormat="1">
      <c r="A1172" s="56"/>
      <c r="M1172" s="65"/>
    </row>
    <row r="1173" spans="1:13" s="17" customFormat="1">
      <c r="A1173" s="56"/>
      <c r="M1173" s="65"/>
    </row>
    <row r="1174" spans="1:13" s="17" customFormat="1">
      <c r="A1174" s="56"/>
      <c r="M1174" s="65"/>
    </row>
    <row r="1175" spans="1:13" s="17" customFormat="1">
      <c r="A1175" s="56"/>
      <c r="M1175" s="65"/>
    </row>
    <row r="1176" spans="1:13" s="17" customFormat="1">
      <c r="A1176" s="56"/>
      <c r="M1176" s="65"/>
    </row>
    <row r="1177" spans="1:13" s="17" customFormat="1">
      <c r="A1177" s="56"/>
      <c r="M1177" s="65"/>
    </row>
    <row r="1178" spans="1:13" s="17" customFormat="1">
      <c r="A1178" s="56"/>
      <c r="M1178" s="65"/>
    </row>
    <row r="1179" spans="1:13" s="17" customFormat="1">
      <c r="A1179" s="56"/>
      <c r="M1179" s="65"/>
    </row>
    <row r="1180" spans="1:13" s="17" customFormat="1">
      <c r="A1180" s="56"/>
      <c r="M1180" s="65"/>
    </row>
    <row r="1181" spans="1:13" s="17" customFormat="1">
      <c r="A1181" s="56"/>
      <c r="M1181" s="65"/>
    </row>
    <row r="1182" spans="1:13" s="17" customFormat="1">
      <c r="A1182" s="56"/>
      <c r="M1182" s="65"/>
    </row>
    <row r="1183" spans="1:13" s="17" customFormat="1">
      <c r="A1183" s="56"/>
      <c r="M1183" s="65"/>
    </row>
    <row r="1184" spans="1:13" s="17" customFormat="1">
      <c r="A1184" s="56"/>
      <c r="M1184" s="65"/>
    </row>
    <row r="1185" spans="1:13" s="17" customFormat="1">
      <c r="A1185" s="56"/>
      <c r="M1185" s="65"/>
    </row>
    <row r="1186" spans="1:13" s="17" customFormat="1">
      <c r="A1186" s="56"/>
      <c r="M1186" s="65"/>
    </row>
    <row r="1187" spans="1:13" s="17" customFormat="1">
      <c r="A1187" s="56"/>
      <c r="M1187" s="65"/>
    </row>
    <row r="1188" spans="1:13" s="17" customFormat="1">
      <c r="A1188" s="56"/>
      <c r="M1188" s="65"/>
    </row>
    <row r="1189" spans="1:13" s="17" customFormat="1">
      <c r="A1189" s="56"/>
      <c r="M1189" s="65"/>
    </row>
    <row r="1190" spans="1:13" s="17" customFormat="1">
      <c r="A1190" s="56"/>
      <c r="M1190" s="65"/>
    </row>
    <row r="1191" spans="1:13" s="17" customFormat="1">
      <c r="A1191" s="56"/>
      <c r="M1191" s="65"/>
    </row>
    <row r="1192" spans="1:13" s="17" customFormat="1">
      <c r="A1192" s="56"/>
      <c r="M1192" s="65"/>
    </row>
    <row r="1193" spans="1:13" s="17" customFormat="1">
      <c r="A1193" s="56"/>
      <c r="M1193" s="65"/>
    </row>
    <row r="1194" spans="1:13" s="17" customFormat="1">
      <c r="A1194" s="56"/>
      <c r="M1194" s="65"/>
    </row>
    <row r="1195" spans="1:13" s="17" customFormat="1">
      <c r="A1195" s="56"/>
      <c r="M1195" s="65"/>
    </row>
    <row r="1196" spans="1:13" s="17" customFormat="1">
      <c r="A1196" s="56"/>
      <c r="M1196" s="65"/>
    </row>
    <row r="1197" spans="1:13" s="17" customFormat="1">
      <c r="A1197" s="56"/>
      <c r="M1197" s="65"/>
    </row>
    <row r="1198" spans="1:13" s="17" customFormat="1">
      <c r="A1198" s="56"/>
      <c r="M1198" s="65"/>
    </row>
    <row r="1199" spans="1:13" s="17" customFormat="1">
      <c r="A1199" s="56"/>
      <c r="M1199" s="65"/>
    </row>
    <row r="1200" spans="1:13" s="17" customFormat="1">
      <c r="A1200" s="56"/>
      <c r="M1200" s="65"/>
    </row>
    <row r="1201" spans="1:13" s="17" customFormat="1">
      <c r="A1201" s="56"/>
      <c r="M1201" s="65"/>
    </row>
    <row r="1202" spans="1:13" s="17" customFormat="1">
      <c r="A1202" s="56"/>
      <c r="M1202" s="65"/>
    </row>
    <row r="1203" spans="1:13" s="17" customFormat="1">
      <c r="A1203" s="56"/>
      <c r="M1203" s="65"/>
    </row>
    <row r="1204" spans="1:13" s="17" customFormat="1">
      <c r="A1204" s="56"/>
      <c r="M1204" s="65"/>
    </row>
    <row r="1205" spans="1:13" s="17" customFormat="1">
      <c r="A1205" s="56"/>
      <c r="M1205" s="65"/>
    </row>
    <row r="1206" spans="1:13" s="17" customFormat="1">
      <c r="A1206" s="56"/>
      <c r="M1206" s="65"/>
    </row>
    <row r="1207" spans="1:13" s="17" customFormat="1">
      <c r="A1207" s="56"/>
      <c r="M1207" s="65"/>
    </row>
    <row r="1208" spans="1:13" s="17" customFormat="1">
      <c r="A1208" s="56"/>
      <c r="M1208" s="65"/>
    </row>
    <row r="1209" spans="1:13" s="17" customFormat="1">
      <c r="A1209" s="56"/>
      <c r="M1209" s="65"/>
    </row>
    <row r="1210" spans="1:13" s="17" customFormat="1">
      <c r="A1210" s="56"/>
      <c r="M1210" s="65"/>
    </row>
    <row r="1211" spans="1:13" s="17" customFormat="1">
      <c r="A1211" s="56"/>
      <c r="M1211" s="65"/>
    </row>
    <row r="1212" spans="1:13" s="17" customFormat="1">
      <c r="A1212" s="56"/>
      <c r="M1212" s="65"/>
    </row>
    <row r="1213" spans="1:13" s="17" customFormat="1">
      <c r="A1213" s="56"/>
      <c r="M1213" s="65"/>
    </row>
    <row r="1214" spans="1:13" s="17" customFormat="1">
      <c r="A1214" s="56"/>
      <c r="M1214" s="65"/>
    </row>
    <row r="1215" spans="1:13" s="17" customFormat="1">
      <c r="A1215" s="56"/>
      <c r="M1215" s="65"/>
    </row>
    <row r="1216" spans="1:13" s="17" customFormat="1">
      <c r="A1216" s="56"/>
      <c r="M1216" s="65"/>
    </row>
    <row r="1217" spans="1:13" s="17" customFormat="1">
      <c r="A1217" s="56"/>
      <c r="M1217" s="65"/>
    </row>
    <row r="1218" spans="1:13" s="17" customFormat="1">
      <c r="A1218" s="56"/>
      <c r="M1218" s="65"/>
    </row>
    <row r="1219" spans="1:13" s="17" customFormat="1">
      <c r="A1219" s="56"/>
      <c r="M1219" s="65"/>
    </row>
    <row r="1220" spans="1:13" s="17" customFormat="1">
      <c r="A1220" s="56"/>
      <c r="M1220" s="65"/>
    </row>
    <row r="1221" spans="1:13" s="17" customFormat="1">
      <c r="A1221" s="56"/>
      <c r="M1221" s="65"/>
    </row>
    <row r="1222" spans="1:13" s="17" customFormat="1">
      <c r="A1222" s="56"/>
      <c r="M1222" s="65"/>
    </row>
    <row r="1223" spans="1:13" s="17" customFormat="1">
      <c r="A1223" s="56"/>
      <c r="M1223" s="65"/>
    </row>
    <row r="1224" spans="1:13" s="17" customFormat="1">
      <c r="A1224" s="56"/>
      <c r="M1224" s="65"/>
    </row>
    <row r="1225" spans="1:13" s="17" customFormat="1">
      <c r="A1225" s="56"/>
      <c r="M1225" s="65"/>
    </row>
    <row r="1226" spans="1:13" s="17" customFormat="1">
      <c r="A1226" s="56"/>
      <c r="M1226" s="65"/>
    </row>
    <row r="1227" spans="1:13" s="17" customFormat="1">
      <c r="A1227" s="56"/>
      <c r="M1227" s="65"/>
    </row>
    <row r="1228" spans="1:13" s="17" customFormat="1">
      <c r="A1228" s="56"/>
      <c r="M1228" s="65"/>
    </row>
    <row r="1229" spans="1:13" s="17" customFormat="1">
      <c r="A1229" s="56"/>
      <c r="M1229" s="65"/>
    </row>
    <row r="1230" spans="1:13" s="17" customFormat="1">
      <c r="A1230" s="56"/>
      <c r="M1230" s="65"/>
    </row>
    <row r="1231" spans="1:13" s="17" customFormat="1">
      <c r="A1231" s="56"/>
      <c r="M1231" s="65"/>
    </row>
    <row r="1232" spans="1:13" s="17" customFormat="1">
      <c r="A1232" s="56"/>
      <c r="M1232" s="65"/>
    </row>
    <row r="1233" spans="1:13" s="17" customFormat="1">
      <c r="A1233" s="56"/>
      <c r="M1233" s="65"/>
    </row>
    <row r="1234" spans="1:13" s="17" customFormat="1">
      <c r="A1234" s="56"/>
      <c r="M1234" s="65"/>
    </row>
    <row r="1235" spans="1:13" s="17" customFormat="1">
      <c r="A1235" s="56"/>
      <c r="M1235" s="65"/>
    </row>
    <row r="1236" spans="1:13" s="17" customFormat="1">
      <c r="A1236" s="56"/>
      <c r="M1236" s="65"/>
    </row>
    <row r="1237" spans="1:13" s="17" customFormat="1">
      <c r="A1237" s="56"/>
      <c r="M1237" s="65"/>
    </row>
    <row r="1238" spans="1:13" s="17" customFormat="1">
      <c r="A1238" s="56"/>
      <c r="M1238" s="65"/>
    </row>
    <row r="1239" spans="1:13" s="17" customFormat="1">
      <c r="A1239" s="56"/>
      <c r="M1239" s="65"/>
    </row>
    <row r="1240" spans="1:13" s="17" customFormat="1">
      <c r="A1240" s="56"/>
      <c r="M1240" s="65"/>
    </row>
    <row r="1241" spans="1:13" s="17" customFormat="1">
      <c r="A1241" s="56"/>
      <c r="M1241" s="65"/>
    </row>
    <row r="1242" spans="1:13" s="17" customFormat="1">
      <c r="A1242" s="56"/>
      <c r="M1242" s="65"/>
    </row>
    <row r="1243" spans="1:13" s="17" customFormat="1">
      <c r="A1243" s="56"/>
      <c r="M1243" s="65"/>
    </row>
    <row r="1244" spans="1:13" s="17" customFormat="1">
      <c r="A1244" s="56"/>
      <c r="M1244" s="65"/>
    </row>
    <row r="1245" spans="1:13" s="17" customFormat="1">
      <c r="A1245" s="56"/>
      <c r="M1245" s="65"/>
    </row>
    <row r="1246" spans="1:13" s="17" customFormat="1">
      <c r="A1246" s="56"/>
      <c r="M1246" s="65"/>
    </row>
    <row r="1247" spans="1:13" s="17" customFormat="1">
      <c r="A1247" s="56"/>
      <c r="M1247" s="65"/>
    </row>
    <row r="1248" spans="1:13" s="17" customFormat="1">
      <c r="A1248" s="56"/>
      <c r="M1248" s="65"/>
    </row>
    <row r="1249" spans="1:13" s="17" customFormat="1">
      <c r="A1249" s="56"/>
      <c r="M1249" s="65"/>
    </row>
    <row r="1250" spans="1:13" s="17" customFormat="1">
      <c r="A1250" s="56"/>
      <c r="M1250" s="65"/>
    </row>
    <row r="1251" spans="1:13" s="17" customFormat="1">
      <c r="A1251" s="56"/>
      <c r="M1251" s="65"/>
    </row>
    <row r="1252" spans="1:13" s="17" customFormat="1">
      <c r="A1252" s="56"/>
      <c r="M1252" s="65"/>
    </row>
    <row r="1253" spans="1:13" s="17" customFormat="1">
      <c r="A1253" s="56"/>
      <c r="M1253" s="65"/>
    </row>
    <row r="1254" spans="1:13" s="17" customFormat="1">
      <c r="A1254" s="56"/>
      <c r="M1254" s="65"/>
    </row>
    <row r="1255" spans="1:13" s="17" customFormat="1">
      <c r="A1255" s="56"/>
      <c r="M1255" s="65"/>
    </row>
    <row r="1256" spans="1:13" s="17" customFormat="1">
      <c r="A1256" s="56"/>
      <c r="M1256" s="65"/>
    </row>
    <row r="1257" spans="1:13" s="17" customFormat="1">
      <c r="A1257" s="56"/>
      <c r="M1257" s="65"/>
    </row>
    <row r="1258" spans="1:13" s="17" customFormat="1">
      <c r="A1258" s="56"/>
      <c r="M1258" s="65"/>
    </row>
    <row r="1259" spans="1:13" s="17" customFormat="1">
      <c r="A1259" s="56"/>
      <c r="M1259" s="65"/>
    </row>
    <row r="1260" spans="1:13" s="17" customFormat="1">
      <c r="A1260" s="56"/>
      <c r="M1260" s="65"/>
    </row>
    <row r="1261" spans="1:13" s="17" customFormat="1">
      <c r="A1261" s="56"/>
      <c r="M1261" s="65"/>
    </row>
    <row r="1262" spans="1:13" s="17" customFormat="1">
      <c r="A1262" s="56"/>
      <c r="M1262" s="65"/>
    </row>
    <row r="1263" spans="1:13" s="17" customFormat="1">
      <c r="A1263" s="56"/>
      <c r="M1263" s="65"/>
    </row>
    <row r="1264" spans="1:13" s="17" customFormat="1">
      <c r="A1264" s="56"/>
      <c r="M1264" s="65"/>
    </row>
    <row r="1265" spans="1:13" s="17" customFormat="1">
      <c r="A1265" s="56"/>
      <c r="M1265" s="65"/>
    </row>
    <row r="1266" spans="1:13" s="17" customFormat="1">
      <c r="A1266" s="56"/>
      <c r="M1266" s="65"/>
    </row>
    <row r="1267" spans="1:13" s="17" customFormat="1">
      <c r="A1267" s="56"/>
      <c r="M1267" s="65"/>
    </row>
    <row r="1268" spans="1:13" s="17" customFormat="1">
      <c r="A1268" s="56"/>
      <c r="M1268" s="65"/>
    </row>
    <row r="1269" spans="1:13" s="17" customFormat="1">
      <c r="A1269" s="56"/>
      <c r="M1269" s="65"/>
    </row>
    <row r="1270" spans="1:13" s="17" customFormat="1">
      <c r="A1270" s="56"/>
      <c r="M1270" s="65"/>
    </row>
    <row r="1271" spans="1:13" s="17" customFormat="1">
      <c r="A1271" s="56"/>
      <c r="M1271" s="65"/>
    </row>
    <row r="1272" spans="1:13" s="17" customFormat="1">
      <c r="A1272" s="56"/>
      <c r="M1272" s="65"/>
    </row>
    <row r="1273" spans="1:13" s="17" customFormat="1">
      <c r="A1273" s="56"/>
      <c r="M1273" s="65"/>
    </row>
    <row r="1274" spans="1:13" s="17" customFormat="1">
      <c r="A1274" s="56"/>
      <c r="M1274" s="65"/>
    </row>
    <row r="1275" spans="1:13" s="17" customFormat="1">
      <c r="A1275" s="56"/>
      <c r="M1275" s="65"/>
    </row>
    <row r="1276" spans="1:13" s="17" customFormat="1">
      <c r="A1276" s="56"/>
      <c r="M1276" s="65"/>
    </row>
    <row r="1277" spans="1:13" s="17" customFormat="1">
      <c r="A1277" s="56"/>
      <c r="M1277" s="65"/>
    </row>
    <row r="1278" spans="1:13" s="17" customFormat="1">
      <c r="A1278" s="56"/>
      <c r="M1278" s="65"/>
    </row>
    <row r="1279" spans="1:13" s="17" customFormat="1">
      <c r="A1279" s="56"/>
      <c r="M1279" s="65"/>
    </row>
    <row r="1280" spans="1:13" s="17" customFormat="1">
      <c r="A1280" s="56"/>
      <c r="M1280" s="65"/>
    </row>
    <row r="1281" spans="1:13" s="17" customFormat="1">
      <c r="A1281" s="56"/>
      <c r="M1281" s="65"/>
    </row>
    <row r="1282" spans="1:13" s="17" customFormat="1">
      <c r="A1282" s="56"/>
      <c r="M1282" s="65"/>
    </row>
    <row r="1283" spans="1:13" s="17" customFormat="1">
      <c r="A1283" s="56"/>
      <c r="M1283" s="65"/>
    </row>
    <row r="1284" spans="1:13" s="17" customFormat="1">
      <c r="A1284" s="56"/>
      <c r="M1284" s="65"/>
    </row>
    <row r="1285" spans="1:13" s="17" customFormat="1">
      <c r="A1285" s="56"/>
      <c r="M1285" s="65"/>
    </row>
    <row r="1286" spans="1:13" s="17" customFormat="1">
      <c r="A1286" s="56"/>
      <c r="M1286" s="65"/>
    </row>
    <row r="1287" spans="1:13" s="17" customFormat="1">
      <c r="A1287" s="56"/>
      <c r="M1287" s="65"/>
    </row>
    <row r="1288" spans="1:13" s="17" customFormat="1">
      <c r="A1288" s="56"/>
      <c r="M1288" s="65"/>
    </row>
    <row r="1289" spans="1:13" s="17" customFormat="1">
      <c r="A1289" s="56"/>
      <c r="M1289" s="65"/>
    </row>
    <row r="1290" spans="1:13" s="17" customFormat="1">
      <c r="A1290" s="56"/>
      <c r="M1290" s="65"/>
    </row>
    <row r="1291" spans="1:13" s="17" customFormat="1">
      <c r="A1291" s="56"/>
      <c r="M1291" s="65"/>
    </row>
    <row r="1292" spans="1:13" s="17" customFormat="1">
      <c r="A1292" s="56"/>
      <c r="M1292" s="65"/>
    </row>
    <row r="1293" spans="1:13" s="17" customFormat="1">
      <c r="A1293" s="56"/>
      <c r="M1293" s="65"/>
    </row>
    <row r="1294" spans="1:13" s="17" customFormat="1">
      <c r="A1294" s="56"/>
      <c r="M1294" s="65"/>
    </row>
    <row r="1295" spans="1:13" s="17" customFormat="1">
      <c r="A1295" s="56"/>
      <c r="M1295" s="65"/>
    </row>
    <row r="1296" spans="1:13" s="17" customFormat="1">
      <c r="A1296" s="56"/>
      <c r="M1296" s="65"/>
    </row>
    <row r="1297" spans="1:13" s="17" customFormat="1">
      <c r="A1297" s="56"/>
      <c r="M1297" s="65"/>
    </row>
    <row r="1298" spans="1:13" s="17" customFormat="1">
      <c r="A1298" s="56"/>
      <c r="M1298" s="65"/>
    </row>
    <row r="1299" spans="1:13" s="17" customFormat="1">
      <c r="A1299" s="56"/>
      <c r="M1299" s="65"/>
    </row>
    <row r="1300" spans="1:13" s="17" customFormat="1">
      <c r="A1300" s="56"/>
      <c r="M1300" s="65"/>
    </row>
    <row r="1301" spans="1:13" s="17" customFormat="1">
      <c r="A1301" s="56"/>
      <c r="M1301" s="65"/>
    </row>
    <row r="1302" spans="1:13" s="17" customFormat="1">
      <c r="A1302" s="56"/>
      <c r="M1302" s="65"/>
    </row>
    <row r="1303" spans="1:13" s="17" customFormat="1">
      <c r="A1303" s="56"/>
      <c r="M1303" s="65"/>
    </row>
    <row r="1304" spans="1:13" s="17" customFormat="1">
      <c r="A1304" s="56"/>
      <c r="M1304" s="65"/>
    </row>
    <row r="1305" spans="1:13" s="17" customFormat="1">
      <c r="A1305" s="56"/>
      <c r="M1305" s="65"/>
    </row>
    <row r="1306" spans="1:13" s="17" customFormat="1">
      <c r="A1306" s="56"/>
      <c r="M1306" s="65"/>
    </row>
    <row r="1307" spans="1:13" s="17" customFormat="1">
      <c r="A1307" s="56"/>
      <c r="M1307" s="65"/>
    </row>
    <row r="1308" spans="1:13" s="17" customFormat="1">
      <c r="A1308" s="56"/>
      <c r="M1308" s="65"/>
    </row>
    <row r="1309" spans="1:13" s="17" customFormat="1">
      <c r="A1309" s="56"/>
      <c r="M1309" s="65"/>
    </row>
    <row r="1310" spans="1:13" s="17" customFormat="1">
      <c r="A1310" s="56"/>
      <c r="M1310" s="65"/>
    </row>
    <row r="1311" spans="1:13" s="17" customFormat="1">
      <c r="A1311" s="56"/>
      <c r="M1311" s="65"/>
    </row>
    <row r="1312" spans="1:13" s="17" customFormat="1">
      <c r="A1312" s="56"/>
      <c r="M1312" s="65"/>
    </row>
    <row r="1313" spans="1:13" s="17" customFormat="1">
      <c r="A1313" s="56"/>
      <c r="M1313" s="65"/>
    </row>
    <row r="1314" spans="1:13" s="17" customFormat="1">
      <c r="A1314" s="56"/>
      <c r="M1314" s="65"/>
    </row>
    <row r="1315" spans="1:13" s="17" customFormat="1">
      <c r="A1315" s="56"/>
      <c r="M1315" s="65"/>
    </row>
    <row r="1316" spans="1:13" s="17" customFormat="1">
      <c r="A1316" s="56"/>
      <c r="M1316" s="65"/>
    </row>
    <row r="1317" spans="1:13" s="17" customFormat="1">
      <c r="A1317" s="56"/>
      <c r="M1317" s="65"/>
    </row>
    <row r="1318" spans="1:13" s="17" customFormat="1">
      <c r="A1318" s="56"/>
      <c r="M1318" s="65"/>
    </row>
    <row r="1319" spans="1:13" s="17" customFormat="1">
      <c r="A1319" s="56"/>
      <c r="M1319" s="65"/>
    </row>
    <row r="1320" spans="1:13" s="17" customFormat="1">
      <c r="A1320" s="56"/>
      <c r="M1320" s="65"/>
    </row>
    <row r="1321" spans="1:13" s="17" customFormat="1">
      <c r="A1321" s="56"/>
      <c r="M1321" s="65"/>
    </row>
    <row r="1322" spans="1:13" s="17" customFormat="1">
      <c r="A1322" s="56"/>
      <c r="M1322" s="65"/>
    </row>
    <row r="1323" spans="1:13" s="17" customFormat="1">
      <c r="A1323" s="56"/>
      <c r="M1323" s="65"/>
    </row>
    <row r="1324" spans="1:13" s="17" customFormat="1">
      <c r="A1324" s="56"/>
      <c r="M1324" s="65"/>
    </row>
    <row r="1325" spans="1:13" s="17" customFormat="1">
      <c r="A1325" s="56"/>
      <c r="M1325" s="65"/>
    </row>
    <row r="1326" spans="1:13" s="17" customFormat="1">
      <c r="A1326" s="56"/>
      <c r="M1326" s="65"/>
    </row>
    <row r="1327" spans="1:13" s="17" customFormat="1">
      <c r="A1327" s="56"/>
      <c r="M1327" s="65"/>
    </row>
    <row r="1328" spans="1:13" s="17" customFormat="1">
      <c r="A1328" s="56"/>
      <c r="M1328" s="65"/>
    </row>
    <row r="1329" spans="1:13" s="17" customFormat="1">
      <c r="A1329" s="56"/>
      <c r="M1329" s="65"/>
    </row>
    <row r="1330" spans="1:13" s="17" customFormat="1">
      <c r="A1330" s="56"/>
      <c r="M1330" s="65"/>
    </row>
    <row r="1331" spans="1:13" s="17" customFormat="1">
      <c r="A1331" s="56"/>
      <c r="M1331" s="65"/>
    </row>
    <row r="1332" spans="1:13" s="17" customFormat="1">
      <c r="A1332" s="56"/>
      <c r="M1332" s="65"/>
    </row>
    <row r="1333" spans="1:13" s="17" customFormat="1">
      <c r="A1333" s="56"/>
      <c r="M1333" s="65"/>
    </row>
    <row r="1334" spans="1:13" s="17" customFormat="1">
      <c r="A1334" s="56"/>
      <c r="M1334" s="65"/>
    </row>
    <row r="1335" spans="1:13" s="17" customFormat="1">
      <c r="A1335" s="56"/>
      <c r="M1335" s="65"/>
    </row>
    <row r="1336" spans="1:13" s="17" customFormat="1">
      <c r="A1336" s="56"/>
      <c r="M1336" s="65"/>
    </row>
    <row r="1337" spans="1:13" s="17" customFormat="1">
      <c r="A1337" s="56"/>
      <c r="M1337" s="65"/>
    </row>
    <row r="1338" spans="1:13" s="17" customFormat="1">
      <c r="A1338" s="56"/>
      <c r="M1338" s="65"/>
    </row>
    <row r="1339" spans="1:13" s="17" customFormat="1">
      <c r="A1339" s="56"/>
      <c r="M1339" s="65"/>
    </row>
    <row r="1340" spans="1:13" s="17" customFormat="1">
      <c r="A1340" s="56"/>
      <c r="M1340" s="65"/>
    </row>
    <row r="1341" spans="1:13" s="17" customFormat="1">
      <c r="A1341" s="56"/>
      <c r="M1341" s="65"/>
    </row>
    <row r="1342" spans="1:13" s="17" customFormat="1">
      <c r="A1342" s="56"/>
      <c r="M1342" s="65"/>
    </row>
    <row r="1343" spans="1:13" s="17" customFormat="1">
      <c r="A1343" s="56"/>
      <c r="M1343" s="65"/>
    </row>
    <row r="1344" spans="1:13" s="17" customFormat="1">
      <c r="A1344" s="56"/>
      <c r="M1344" s="65"/>
    </row>
    <row r="1345" spans="1:13" s="17" customFormat="1">
      <c r="A1345" s="56"/>
      <c r="M1345" s="65"/>
    </row>
    <row r="1346" spans="1:13" s="17" customFormat="1">
      <c r="A1346" s="56"/>
      <c r="M1346" s="65"/>
    </row>
    <row r="1347" spans="1:13" s="17" customFormat="1">
      <c r="A1347" s="56"/>
      <c r="M1347" s="65"/>
    </row>
    <row r="1348" spans="1:13" s="17" customFormat="1">
      <c r="A1348" s="56"/>
      <c r="M1348" s="65"/>
    </row>
    <row r="1349" spans="1:13" s="17" customFormat="1">
      <c r="A1349" s="56"/>
      <c r="M1349" s="65"/>
    </row>
    <row r="1350" spans="1:13" s="17" customFormat="1">
      <c r="A1350" s="56"/>
      <c r="M1350" s="65"/>
    </row>
    <row r="1351" spans="1:13" s="17" customFormat="1">
      <c r="A1351" s="56"/>
      <c r="M1351" s="65"/>
    </row>
    <row r="1352" spans="1:13" s="17" customFormat="1">
      <c r="A1352" s="56"/>
      <c r="M1352" s="65"/>
    </row>
    <row r="1353" spans="1:13" s="17" customFormat="1">
      <c r="A1353" s="56"/>
      <c r="M1353" s="65"/>
    </row>
    <row r="1354" spans="1:13" s="17" customFormat="1">
      <c r="A1354" s="56"/>
      <c r="M1354" s="65"/>
    </row>
    <row r="1355" spans="1:13" s="17" customFormat="1">
      <c r="A1355" s="56"/>
      <c r="M1355" s="65"/>
    </row>
    <row r="1356" spans="1:13" s="17" customFormat="1">
      <c r="A1356" s="56"/>
      <c r="M1356" s="65"/>
    </row>
    <row r="1357" spans="1:13" s="17" customFormat="1">
      <c r="A1357" s="56"/>
      <c r="M1357" s="65"/>
    </row>
    <row r="1358" spans="1:13" s="17" customFormat="1">
      <c r="A1358" s="56"/>
      <c r="M1358" s="65"/>
    </row>
    <row r="1359" spans="1:13" s="17" customFormat="1">
      <c r="A1359" s="56"/>
      <c r="M1359" s="65"/>
    </row>
    <row r="1360" spans="1:13" s="17" customFormat="1">
      <c r="A1360" s="56"/>
      <c r="M1360" s="65"/>
    </row>
    <row r="1361" spans="1:13" s="17" customFormat="1">
      <c r="A1361" s="56"/>
      <c r="M1361" s="65"/>
    </row>
    <row r="1362" spans="1:13" s="17" customFormat="1">
      <c r="A1362" s="56"/>
      <c r="M1362" s="65"/>
    </row>
    <row r="1363" spans="1:13" s="17" customFormat="1">
      <c r="A1363" s="56"/>
      <c r="M1363" s="65"/>
    </row>
    <row r="1364" spans="1:13" s="17" customFormat="1">
      <c r="A1364" s="56"/>
      <c r="M1364" s="65"/>
    </row>
    <row r="1365" spans="1:13" s="17" customFormat="1">
      <c r="A1365" s="56"/>
      <c r="M1365" s="65"/>
    </row>
    <row r="1366" spans="1:13" s="17" customFormat="1">
      <c r="A1366" s="56"/>
      <c r="M1366" s="65"/>
    </row>
    <row r="1367" spans="1:13" s="17" customFormat="1">
      <c r="A1367" s="56"/>
      <c r="M1367" s="65"/>
    </row>
    <row r="1368" spans="1:13" s="17" customFormat="1">
      <c r="A1368" s="56"/>
      <c r="M1368" s="65"/>
    </row>
    <row r="1369" spans="1:13" s="17" customFormat="1">
      <c r="A1369" s="56"/>
      <c r="M1369" s="65"/>
    </row>
    <row r="1370" spans="1:13" s="17" customFormat="1">
      <c r="A1370" s="56"/>
      <c r="M1370" s="65"/>
    </row>
    <row r="1371" spans="1:13" s="17" customFormat="1">
      <c r="A1371" s="56"/>
      <c r="M1371" s="65"/>
    </row>
    <row r="1372" spans="1:13" s="17" customFormat="1">
      <c r="A1372" s="56"/>
      <c r="M1372" s="65"/>
    </row>
    <row r="1373" spans="1:13" s="17" customFormat="1">
      <c r="A1373" s="56"/>
      <c r="M1373" s="65"/>
    </row>
    <row r="1374" spans="1:13" s="17" customFormat="1">
      <c r="A1374" s="56"/>
      <c r="M1374" s="65"/>
    </row>
    <row r="1375" spans="1:13" s="17" customFormat="1">
      <c r="A1375" s="56"/>
      <c r="M1375" s="65"/>
    </row>
    <row r="1376" spans="1:13" s="17" customFormat="1">
      <c r="A1376" s="56"/>
      <c r="M1376" s="65"/>
    </row>
    <row r="1377" spans="1:13" s="17" customFormat="1">
      <c r="A1377" s="56"/>
      <c r="M1377" s="65"/>
    </row>
    <row r="1378" spans="1:13" s="17" customFormat="1">
      <c r="A1378" s="56"/>
      <c r="M1378" s="65"/>
    </row>
    <row r="1379" spans="1:13" s="17" customFormat="1">
      <c r="A1379" s="56"/>
      <c r="M1379" s="65"/>
    </row>
    <row r="1380" spans="1:13" s="17" customFormat="1">
      <c r="A1380" s="56"/>
      <c r="M1380" s="65"/>
    </row>
    <row r="1381" spans="1:13" s="17" customFormat="1">
      <c r="A1381" s="56"/>
      <c r="M1381" s="65"/>
    </row>
    <row r="1382" spans="1:13" s="17" customFormat="1">
      <c r="A1382" s="56"/>
      <c r="M1382" s="65"/>
    </row>
    <row r="1383" spans="1:13" s="17" customFormat="1">
      <c r="A1383" s="56"/>
      <c r="M1383" s="65"/>
    </row>
    <row r="1384" spans="1:13" s="17" customFormat="1">
      <c r="A1384" s="56"/>
      <c r="M1384" s="65"/>
    </row>
    <row r="1385" spans="1:13" s="17" customFormat="1">
      <c r="A1385" s="56"/>
      <c r="M1385" s="65"/>
    </row>
    <row r="1386" spans="1:13" s="17" customFormat="1">
      <c r="A1386" s="56"/>
      <c r="M1386" s="65"/>
    </row>
    <row r="1387" spans="1:13" s="17" customFormat="1">
      <c r="A1387" s="56"/>
      <c r="M1387" s="65"/>
    </row>
    <row r="1388" spans="1:13" s="17" customFormat="1">
      <c r="A1388" s="56"/>
      <c r="M1388" s="65"/>
    </row>
    <row r="1389" spans="1:13" s="17" customFormat="1">
      <c r="A1389" s="56"/>
      <c r="M1389" s="65"/>
    </row>
    <row r="1390" spans="1:13" s="17" customFormat="1">
      <c r="A1390" s="56"/>
      <c r="M1390" s="65"/>
    </row>
    <row r="1391" spans="1:13" s="17" customFormat="1">
      <c r="A1391" s="56"/>
      <c r="M1391" s="65"/>
    </row>
    <row r="1392" spans="1:13" s="17" customFormat="1">
      <c r="A1392" s="56"/>
      <c r="M1392" s="65"/>
    </row>
    <row r="1393" spans="1:13" s="17" customFormat="1">
      <c r="A1393" s="56"/>
      <c r="M1393" s="65"/>
    </row>
    <row r="1394" spans="1:13" s="17" customFormat="1">
      <c r="A1394" s="56"/>
      <c r="M1394" s="65"/>
    </row>
    <row r="1395" spans="1:13" s="17" customFormat="1">
      <c r="A1395" s="56"/>
      <c r="M1395" s="65"/>
    </row>
    <row r="1396" spans="1:13" s="17" customFormat="1">
      <c r="A1396" s="56"/>
      <c r="M1396" s="65"/>
    </row>
    <row r="1397" spans="1:13" s="17" customFormat="1">
      <c r="A1397" s="56"/>
      <c r="M1397" s="65"/>
    </row>
    <row r="1398" spans="1:13" s="17" customFormat="1">
      <c r="A1398" s="56"/>
      <c r="M1398" s="65"/>
    </row>
    <row r="1399" spans="1:13" s="17" customFormat="1">
      <c r="A1399" s="56"/>
      <c r="M1399" s="65"/>
    </row>
    <row r="1400" spans="1:13" s="17" customFormat="1">
      <c r="A1400" s="56"/>
      <c r="M1400" s="65"/>
    </row>
    <row r="1401" spans="1:13" s="17" customFormat="1">
      <c r="A1401" s="56"/>
      <c r="M1401" s="65"/>
    </row>
    <row r="1402" spans="1:13" s="17" customFormat="1">
      <c r="A1402" s="56"/>
      <c r="M1402" s="65"/>
    </row>
    <row r="1403" spans="1:13" s="17" customFormat="1">
      <c r="A1403" s="56"/>
      <c r="M1403" s="65"/>
    </row>
    <row r="1404" spans="1:13" s="17" customFormat="1">
      <c r="A1404" s="56"/>
      <c r="M1404" s="65"/>
    </row>
    <row r="1405" spans="1:13" s="17" customFormat="1">
      <c r="A1405" s="56"/>
      <c r="M1405" s="65"/>
    </row>
    <row r="1406" spans="1:13" s="17" customFormat="1">
      <c r="A1406" s="56"/>
      <c r="M1406" s="65"/>
    </row>
    <row r="1407" spans="1:13" s="17" customFormat="1">
      <c r="A1407" s="56"/>
      <c r="M1407" s="65"/>
    </row>
    <row r="1408" spans="1:13" s="17" customFormat="1">
      <c r="A1408" s="56"/>
      <c r="M1408" s="65"/>
    </row>
    <row r="1409" spans="1:13" s="17" customFormat="1">
      <c r="A1409" s="56"/>
      <c r="M1409" s="65"/>
    </row>
    <row r="1410" spans="1:13" s="17" customFormat="1">
      <c r="A1410" s="56"/>
      <c r="M1410" s="65"/>
    </row>
    <row r="1411" spans="1:13" s="17" customFormat="1">
      <c r="A1411" s="56"/>
      <c r="M1411" s="65"/>
    </row>
    <row r="1412" spans="1:13" s="17" customFormat="1">
      <c r="A1412" s="56"/>
      <c r="M1412" s="65"/>
    </row>
    <row r="1413" spans="1:13" s="17" customFormat="1">
      <c r="A1413" s="56"/>
      <c r="M1413" s="65"/>
    </row>
    <row r="1414" spans="1:13" s="17" customFormat="1">
      <c r="A1414" s="56"/>
      <c r="M1414" s="65"/>
    </row>
    <row r="1415" spans="1:13" s="17" customFormat="1">
      <c r="A1415" s="56"/>
      <c r="M1415" s="65"/>
    </row>
    <row r="1416" spans="1:13" s="17" customFormat="1">
      <c r="A1416" s="56"/>
      <c r="M1416" s="65"/>
    </row>
    <row r="1417" spans="1:13" s="17" customFormat="1">
      <c r="A1417" s="56"/>
      <c r="M1417" s="65"/>
    </row>
    <row r="1418" spans="1:13" s="17" customFormat="1">
      <c r="A1418" s="56"/>
      <c r="M1418" s="65"/>
    </row>
    <row r="1419" spans="1:13" s="17" customFormat="1">
      <c r="A1419" s="56"/>
      <c r="M1419" s="65"/>
    </row>
    <row r="1420" spans="1:13" s="17" customFormat="1">
      <c r="A1420" s="56"/>
      <c r="M1420" s="65"/>
    </row>
    <row r="1421" spans="1:13" s="17" customFormat="1">
      <c r="A1421" s="56"/>
      <c r="M1421" s="65"/>
    </row>
    <row r="1422" spans="1:13" s="17" customFormat="1">
      <c r="A1422" s="56"/>
      <c r="M1422" s="65"/>
    </row>
    <row r="1423" spans="1:13" s="17" customFormat="1">
      <c r="A1423" s="56"/>
      <c r="M1423" s="65"/>
    </row>
    <row r="1424" spans="1:13" s="17" customFormat="1">
      <c r="A1424" s="56"/>
      <c r="M1424" s="65"/>
    </row>
    <row r="1425" spans="1:13" s="17" customFormat="1">
      <c r="A1425" s="56"/>
      <c r="M1425" s="65"/>
    </row>
    <row r="1426" spans="1:13" s="17" customFormat="1">
      <c r="A1426" s="56"/>
      <c r="M1426" s="65"/>
    </row>
    <row r="1427" spans="1:13" s="17" customFormat="1">
      <c r="A1427" s="56"/>
      <c r="M1427" s="65"/>
    </row>
    <row r="1428" spans="1:13" s="17" customFormat="1">
      <c r="A1428" s="56"/>
      <c r="M1428" s="65"/>
    </row>
    <row r="1429" spans="1:13" s="17" customFormat="1">
      <c r="A1429" s="56"/>
      <c r="M1429" s="65"/>
    </row>
    <row r="1430" spans="1:13" s="17" customFormat="1">
      <c r="A1430" s="56"/>
      <c r="M1430" s="65"/>
    </row>
    <row r="1431" spans="1:13" s="17" customFormat="1">
      <c r="A1431" s="56"/>
      <c r="M1431" s="65"/>
    </row>
    <row r="1432" spans="1:13" s="17" customFormat="1">
      <c r="A1432" s="56"/>
      <c r="M1432" s="65"/>
    </row>
    <row r="1433" spans="1:13" s="17" customFormat="1">
      <c r="A1433" s="56"/>
      <c r="M1433" s="65"/>
    </row>
    <row r="1434" spans="1:13" s="17" customFormat="1">
      <c r="A1434" s="56"/>
      <c r="M1434" s="65"/>
    </row>
    <row r="1435" spans="1:13" s="17" customFormat="1">
      <c r="A1435" s="56"/>
      <c r="M1435" s="65"/>
    </row>
    <row r="1436" spans="1:13" s="17" customFormat="1">
      <c r="A1436" s="56"/>
      <c r="M1436" s="65"/>
    </row>
    <row r="1437" spans="1:13" s="17" customFormat="1">
      <c r="A1437" s="56"/>
      <c r="M1437" s="65"/>
    </row>
    <row r="1438" spans="1:13" s="17" customFormat="1">
      <c r="A1438" s="56"/>
      <c r="M1438" s="65"/>
    </row>
    <row r="1439" spans="1:13" s="17" customFormat="1">
      <c r="A1439" s="56"/>
      <c r="M1439" s="65"/>
    </row>
    <row r="1440" spans="1:13" s="17" customFormat="1">
      <c r="A1440" s="56"/>
      <c r="M1440" s="65"/>
    </row>
    <row r="1441" spans="1:13" s="17" customFormat="1">
      <c r="A1441" s="56"/>
      <c r="M1441" s="65"/>
    </row>
    <row r="1442" spans="1:13" s="17" customFormat="1">
      <c r="A1442" s="56"/>
      <c r="M1442" s="65"/>
    </row>
    <row r="1443" spans="1:13" s="17" customFormat="1">
      <c r="A1443" s="56"/>
      <c r="M1443" s="65"/>
    </row>
    <row r="1444" spans="1:13" s="17" customFormat="1">
      <c r="A1444" s="56"/>
      <c r="M1444" s="65"/>
    </row>
    <row r="1445" spans="1:13" s="17" customFormat="1">
      <c r="A1445" s="56"/>
      <c r="M1445" s="65"/>
    </row>
    <row r="1446" spans="1:13" s="17" customFormat="1">
      <c r="A1446" s="56"/>
      <c r="M1446" s="65"/>
    </row>
    <row r="1447" spans="1:13" s="17" customFormat="1">
      <c r="A1447" s="56"/>
      <c r="M1447" s="65"/>
    </row>
    <row r="1448" spans="1:13" s="17" customFormat="1">
      <c r="A1448" s="56"/>
      <c r="M1448" s="65"/>
    </row>
    <row r="1449" spans="1:13" s="17" customFormat="1">
      <c r="A1449" s="56"/>
      <c r="M1449" s="65"/>
    </row>
    <row r="1450" spans="1:13" s="17" customFormat="1">
      <c r="A1450" s="56"/>
      <c r="M1450" s="65"/>
    </row>
    <row r="1451" spans="1:13" s="17" customFormat="1">
      <c r="A1451" s="56"/>
      <c r="M1451" s="65"/>
    </row>
    <row r="1452" spans="1:13" s="17" customFormat="1">
      <c r="A1452" s="56"/>
      <c r="M1452" s="65"/>
    </row>
    <row r="1453" spans="1:13" s="17" customFormat="1">
      <c r="A1453" s="56"/>
      <c r="M1453" s="65"/>
    </row>
    <row r="1454" spans="1:13" s="17" customFormat="1">
      <c r="A1454" s="56"/>
      <c r="M1454" s="65"/>
    </row>
    <row r="1455" spans="1:13" s="17" customFormat="1">
      <c r="A1455" s="56"/>
      <c r="M1455" s="65"/>
    </row>
    <row r="1456" spans="1:13" s="17" customFormat="1">
      <c r="A1456" s="56"/>
      <c r="M1456" s="65"/>
    </row>
    <row r="1457" spans="1:13" s="17" customFormat="1">
      <c r="A1457" s="56"/>
      <c r="M1457" s="65"/>
    </row>
    <row r="1458" spans="1:13" s="17" customFormat="1">
      <c r="A1458" s="56"/>
      <c r="M1458" s="65"/>
    </row>
    <row r="1459" spans="1:13" s="17" customFormat="1">
      <c r="A1459" s="56"/>
      <c r="M1459" s="65"/>
    </row>
    <row r="1460" spans="1:13" s="17" customFormat="1">
      <c r="A1460" s="56"/>
      <c r="M1460" s="65"/>
    </row>
    <row r="1461" spans="1:13" s="17" customFormat="1">
      <c r="A1461" s="56"/>
      <c r="M1461" s="65"/>
    </row>
    <row r="1462" spans="1:13" s="17" customFormat="1">
      <c r="A1462" s="56"/>
      <c r="M1462" s="65"/>
    </row>
    <row r="1463" spans="1:13" s="17" customFormat="1">
      <c r="A1463" s="56"/>
      <c r="M1463" s="65"/>
    </row>
    <row r="1464" spans="1:13" s="17" customFormat="1">
      <c r="A1464" s="56"/>
      <c r="M1464" s="65"/>
    </row>
    <row r="1465" spans="1:13" s="17" customFormat="1">
      <c r="A1465" s="56"/>
      <c r="M1465" s="65"/>
    </row>
    <row r="1466" spans="1:13" s="17" customFormat="1">
      <c r="A1466" s="56"/>
      <c r="M1466" s="65"/>
    </row>
    <row r="1467" spans="1:13" s="17" customFormat="1">
      <c r="A1467" s="56"/>
      <c r="M1467" s="65"/>
    </row>
    <row r="1468" spans="1:13" s="17" customFormat="1">
      <c r="A1468" s="56"/>
      <c r="M1468" s="65"/>
    </row>
    <row r="1469" spans="1:13" s="17" customFormat="1">
      <c r="A1469" s="56"/>
      <c r="M1469" s="65"/>
    </row>
    <row r="1470" spans="1:13" s="17" customFormat="1">
      <c r="A1470" s="56"/>
      <c r="M1470" s="65"/>
    </row>
    <row r="1471" spans="1:13" s="17" customFormat="1">
      <c r="A1471" s="56"/>
      <c r="M1471" s="65"/>
    </row>
    <row r="1472" spans="1:13" s="17" customFormat="1">
      <c r="A1472" s="56"/>
      <c r="M1472" s="65"/>
    </row>
    <row r="1473" spans="1:13" s="17" customFormat="1">
      <c r="A1473" s="56"/>
      <c r="M1473" s="65"/>
    </row>
    <row r="1474" spans="1:13" s="17" customFormat="1">
      <c r="A1474" s="56"/>
      <c r="M1474" s="65"/>
    </row>
    <row r="1475" spans="1:13" s="17" customFormat="1">
      <c r="A1475" s="56"/>
      <c r="M1475" s="65"/>
    </row>
    <row r="1476" spans="1:13" s="17" customFormat="1">
      <c r="A1476" s="56"/>
      <c r="M1476" s="65"/>
    </row>
    <row r="1477" spans="1:13" s="17" customFormat="1">
      <c r="A1477" s="56"/>
      <c r="M1477" s="65"/>
    </row>
    <row r="1478" spans="1:13" s="17" customFormat="1">
      <c r="A1478" s="56"/>
      <c r="M1478" s="65"/>
    </row>
    <row r="1479" spans="1:13" s="17" customFormat="1">
      <c r="A1479" s="56"/>
      <c r="M1479" s="65"/>
    </row>
    <row r="1480" spans="1:13" s="17" customFormat="1">
      <c r="A1480" s="56"/>
      <c r="M1480" s="65"/>
    </row>
    <row r="1481" spans="1:13" s="17" customFormat="1">
      <c r="A1481" s="56"/>
      <c r="M1481" s="65"/>
    </row>
    <row r="1482" spans="1:13" s="17" customFormat="1">
      <c r="A1482" s="56"/>
      <c r="M1482" s="65"/>
    </row>
    <row r="1483" spans="1:13" s="17" customFormat="1">
      <c r="A1483" s="56"/>
      <c r="M1483" s="65"/>
    </row>
    <row r="1484" spans="1:13" s="17" customFormat="1">
      <c r="A1484" s="56"/>
      <c r="M1484" s="65"/>
    </row>
    <row r="1485" spans="1:13" s="17" customFormat="1">
      <c r="A1485" s="56"/>
      <c r="M1485" s="65"/>
    </row>
    <row r="1486" spans="1:13" s="17" customFormat="1">
      <c r="A1486" s="56"/>
      <c r="M1486" s="65"/>
    </row>
    <row r="1487" spans="1:13" s="17" customFormat="1">
      <c r="A1487" s="56"/>
      <c r="M1487" s="65"/>
    </row>
    <row r="1488" spans="1:13" s="17" customFormat="1">
      <c r="A1488" s="56"/>
      <c r="M1488" s="65"/>
    </row>
    <row r="1489" spans="1:13" s="17" customFormat="1">
      <c r="A1489" s="56"/>
      <c r="M1489" s="65"/>
    </row>
    <row r="1490" spans="1:13" s="17" customFormat="1">
      <c r="A1490" s="56"/>
      <c r="M1490" s="65"/>
    </row>
    <row r="1491" spans="1:13" s="17" customFormat="1">
      <c r="A1491" s="56"/>
      <c r="M1491" s="65"/>
    </row>
    <row r="1492" spans="1:13" s="17" customFormat="1">
      <c r="A1492" s="56"/>
      <c r="M1492" s="65"/>
    </row>
    <row r="1493" spans="1:13" s="17" customFormat="1">
      <c r="A1493" s="56"/>
      <c r="M1493" s="65"/>
    </row>
    <row r="1494" spans="1:13" s="17" customFormat="1">
      <c r="A1494" s="56"/>
      <c r="M1494" s="65"/>
    </row>
    <row r="1495" spans="1:13" s="17" customFormat="1">
      <c r="A1495" s="56"/>
      <c r="M1495" s="65"/>
    </row>
    <row r="1496" spans="1:13" s="17" customFormat="1">
      <c r="A1496" s="56"/>
      <c r="M1496" s="65"/>
    </row>
    <row r="1497" spans="1:13" s="17" customFormat="1">
      <c r="A1497" s="56"/>
      <c r="M1497" s="65"/>
    </row>
    <row r="1498" spans="1:13" s="17" customFormat="1">
      <c r="A1498" s="56"/>
      <c r="M1498" s="65"/>
    </row>
    <row r="1499" spans="1:13" s="17" customFormat="1">
      <c r="A1499" s="56"/>
      <c r="M1499" s="65"/>
    </row>
    <row r="1500" spans="1:13" s="17" customFormat="1">
      <c r="A1500" s="56"/>
      <c r="M1500" s="65"/>
    </row>
    <row r="1501" spans="1:13" s="17" customFormat="1">
      <c r="A1501" s="56"/>
      <c r="M1501" s="65"/>
    </row>
    <row r="1502" spans="1:13" s="17" customFormat="1">
      <c r="A1502" s="56"/>
      <c r="M1502" s="65"/>
    </row>
    <row r="1503" spans="1:13" s="17" customFormat="1">
      <c r="A1503" s="56"/>
      <c r="M1503" s="65"/>
    </row>
    <row r="1504" spans="1:13" s="17" customFormat="1">
      <c r="A1504" s="56"/>
      <c r="M1504" s="65"/>
    </row>
    <row r="1505" spans="1:13" s="17" customFormat="1">
      <c r="A1505" s="56"/>
      <c r="M1505" s="65"/>
    </row>
    <row r="1506" spans="1:13" s="17" customFormat="1">
      <c r="A1506" s="56"/>
      <c r="M1506" s="65"/>
    </row>
    <row r="1507" spans="1:13" s="17" customFormat="1">
      <c r="A1507" s="56"/>
      <c r="M1507" s="65"/>
    </row>
    <row r="1508" spans="1:13" s="17" customFormat="1">
      <c r="A1508" s="56"/>
      <c r="M1508" s="65"/>
    </row>
    <row r="1509" spans="1:13" s="17" customFormat="1">
      <c r="A1509" s="56"/>
      <c r="M1509" s="65"/>
    </row>
    <row r="1510" spans="1:13" s="17" customFormat="1">
      <c r="A1510" s="56"/>
      <c r="M1510" s="65"/>
    </row>
    <row r="1511" spans="1:13" s="17" customFormat="1">
      <c r="A1511" s="56"/>
      <c r="M1511" s="65"/>
    </row>
    <row r="1512" spans="1:13" s="17" customFormat="1">
      <c r="A1512" s="56"/>
      <c r="M1512" s="65"/>
    </row>
    <row r="1513" spans="1:13" s="17" customFormat="1">
      <c r="A1513" s="56"/>
      <c r="M1513" s="65"/>
    </row>
    <row r="1514" spans="1:13" s="17" customFormat="1">
      <c r="A1514" s="56"/>
      <c r="M1514" s="65"/>
    </row>
    <row r="1515" spans="1:13" s="17" customFormat="1">
      <c r="A1515" s="56"/>
      <c r="M1515" s="65"/>
    </row>
    <row r="1516" spans="1:13" s="17" customFormat="1">
      <c r="A1516" s="56"/>
      <c r="M1516" s="65"/>
    </row>
    <row r="1517" spans="1:13" s="17" customFormat="1">
      <c r="A1517" s="56"/>
      <c r="M1517" s="65"/>
    </row>
    <row r="1518" spans="1:13" s="17" customFormat="1">
      <c r="A1518" s="56"/>
      <c r="M1518" s="65"/>
    </row>
    <row r="1519" spans="1:13" s="17" customFormat="1">
      <c r="A1519" s="56"/>
      <c r="M1519" s="65"/>
    </row>
    <row r="1520" spans="1:13" s="17" customFormat="1">
      <c r="A1520" s="56"/>
      <c r="M1520" s="65"/>
    </row>
    <row r="1521" spans="1:13" s="17" customFormat="1">
      <c r="A1521" s="56"/>
      <c r="M1521" s="65"/>
    </row>
    <row r="1522" spans="1:13" s="17" customFormat="1">
      <c r="A1522" s="56"/>
      <c r="M1522" s="65"/>
    </row>
    <row r="1523" spans="1:13" s="17" customFormat="1">
      <c r="A1523" s="56"/>
      <c r="M1523" s="65"/>
    </row>
    <row r="1524" spans="1:13" s="17" customFormat="1">
      <c r="A1524" s="56"/>
      <c r="M1524" s="65"/>
    </row>
    <row r="1525" spans="1:13" s="17" customFormat="1">
      <c r="A1525" s="56"/>
      <c r="M1525" s="65"/>
    </row>
    <row r="1526" spans="1:13" s="17" customFormat="1">
      <c r="A1526" s="56"/>
      <c r="M1526" s="65"/>
    </row>
    <row r="1527" spans="1:13" s="17" customFormat="1">
      <c r="A1527" s="56"/>
      <c r="M1527" s="65"/>
    </row>
    <row r="1528" spans="1:13" s="17" customFormat="1">
      <c r="A1528" s="56"/>
      <c r="M1528" s="65"/>
    </row>
    <row r="1529" spans="1:13" s="17" customFormat="1">
      <c r="A1529" s="56"/>
      <c r="M1529" s="65"/>
    </row>
    <row r="1530" spans="1:13" s="17" customFormat="1">
      <c r="A1530" s="56"/>
      <c r="M1530" s="65"/>
    </row>
    <row r="1531" spans="1:13" s="17" customFormat="1">
      <c r="A1531" s="56"/>
      <c r="M1531" s="65"/>
    </row>
    <row r="1532" spans="1:13" s="17" customFormat="1">
      <c r="A1532" s="56"/>
      <c r="M1532" s="65"/>
    </row>
    <row r="1533" spans="1:13" s="17" customFormat="1">
      <c r="A1533" s="56"/>
      <c r="M1533" s="65"/>
    </row>
    <row r="1534" spans="1:13" s="17" customFormat="1">
      <c r="A1534" s="56"/>
      <c r="M1534" s="65"/>
    </row>
    <row r="1535" spans="1:13" s="17" customFormat="1">
      <c r="A1535" s="56"/>
      <c r="M1535" s="65"/>
    </row>
    <row r="1536" spans="1:13" s="17" customFormat="1">
      <c r="A1536" s="56"/>
      <c r="M1536" s="65"/>
    </row>
    <row r="1537" spans="1:13" s="17" customFormat="1">
      <c r="A1537" s="56"/>
      <c r="M1537" s="65"/>
    </row>
    <row r="1538" spans="1:13" s="17" customFormat="1">
      <c r="A1538" s="56"/>
      <c r="M1538" s="65"/>
    </row>
    <row r="1539" spans="1:13" s="17" customFormat="1">
      <c r="A1539" s="56"/>
      <c r="M1539" s="65"/>
    </row>
    <row r="1540" spans="1:13" s="17" customFormat="1">
      <c r="A1540" s="56"/>
      <c r="M1540" s="65"/>
    </row>
    <row r="1541" spans="1:13" s="17" customFormat="1">
      <c r="A1541" s="56"/>
      <c r="M1541" s="65"/>
    </row>
    <row r="1542" spans="1:13" s="17" customFormat="1">
      <c r="A1542" s="56"/>
      <c r="M1542" s="65"/>
    </row>
    <row r="1543" spans="1:13" s="17" customFormat="1">
      <c r="A1543" s="56"/>
      <c r="M1543" s="65"/>
    </row>
    <row r="1544" spans="1:13" s="17" customFormat="1">
      <c r="A1544" s="56"/>
      <c r="M1544" s="65"/>
    </row>
    <row r="1545" spans="1:13" s="17" customFormat="1">
      <c r="A1545" s="56"/>
      <c r="M1545" s="65"/>
    </row>
    <row r="1546" spans="1:13" s="17" customFormat="1">
      <c r="A1546" s="56"/>
      <c r="M1546" s="65"/>
    </row>
    <row r="1547" spans="1:13" s="17" customFormat="1">
      <c r="A1547" s="56"/>
      <c r="M1547" s="65"/>
    </row>
    <row r="1548" spans="1:13" s="17" customFormat="1">
      <c r="A1548" s="56"/>
      <c r="M1548" s="65"/>
    </row>
    <row r="1549" spans="1:13" s="17" customFormat="1">
      <c r="A1549" s="56"/>
      <c r="M1549" s="65"/>
    </row>
    <row r="1550" spans="1:13" s="17" customFormat="1">
      <c r="A1550" s="56"/>
      <c r="M1550" s="65"/>
    </row>
    <row r="1551" spans="1:13" s="17" customFormat="1">
      <c r="A1551" s="56"/>
      <c r="M1551" s="65"/>
    </row>
    <row r="1552" spans="1:13" s="17" customFormat="1">
      <c r="A1552" s="56"/>
      <c r="M1552" s="65"/>
    </row>
    <row r="1553" spans="1:13" s="17" customFormat="1">
      <c r="A1553" s="56"/>
      <c r="M1553" s="65"/>
    </row>
    <row r="1554" spans="1:13" s="17" customFormat="1">
      <c r="A1554" s="56"/>
      <c r="M1554" s="65"/>
    </row>
    <row r="1555" spans="1:13" s="17" customFormat="1">
      <c r="A1555" s="56"/>
      <c r="M1555" s="65"/>
    </row>
    <row r="1556" spans="1:13" s="17" customFormat="1">
      <c r="A1556" s="56"/>
      <c r="M1556" s="65"/>
    </row>
    <row r="1557" spans="1:13" s="17" customFormat="1">
      <c r="A1557" s="56"/>
      <c r="M1557" s="65"/>
    </row>
    <row r="1558" spans="1:13" s="17" customFormat="1">
      <c r="A1558" s="56"/>
      <c r="M1558" s="65"/>
    </row>
    <row r="1559" spans="1:13" s="17" customFormat="1">
      <c r="A1559" s="56"/>
      <c r="M1559" s="65"/>
    </row>
    <row r="1560" spans="1:13" s="17" customFormat="1">
      <c r="A1560" s="56"/>
      <c r="M1560" s="65"/>
    </row>
    <row r="1561" spans="1:13" s="17" customFormat="1">
      <c r="A1561" s="56"/>
      <c r="M1561" s="65"/>
    </row>
    <row r="1562" spans="1:13" s="17" customFormat="1">
      <c r="A1562" s="56"/>
      <c r="M1562" s="65"/>
    </row>
    <row r="1563" spans="1:13" s="17" customFormat="1">
      <c r="A1563" s="56"/>
      <c r="M1563" s="65"/>
    </row>
    <row r="1564" spans="1:13" s="17" customFormat="1">
      <c r="A1564" s="56"/>
      <c r="M1564" s="65"/>
    </row>
    <row r="1565" spans="1:13" s="17" customFormat="1">
      <c r="A1565" s="56"/>
      <c r="M1565" s="65"/>
    </row>
    <row r="1566" spans="1:13" s="17" customFormat="1">
      <c r="A1566" s="56"/>
      <c r="M1566" s="65"/>
    </row>
    <row r="1567" spans="1:13" s="17" customFormat="1">
      <c r="A1567" s="56"/>
      <c r="M1567" s="65"/>
    </row>
    <row r="1568" spans="1:13" s="17" customFormat="1">
      <c r="A1568" s="56"/>
      <c r="M1568" s="65"/>
    </row>
    <row r="1569" spans="1:13" s="17" customFormat="1">
      <c r="A1569" s="56"/>
      <c r="M1569" s="65"/>
    </row>
    <row r="1570" spans="1:13" s="17" customFormat="1">
      <c r="A1570" s="56"/>
      <c r="M1570" s="65"/>
    </row>
    <row r="1571" spans="1:13" s="17" customFormat="1">
      <c r="A1571" s="56"/>
      <c r="M1571" s="65"/>
    </row>
    <row r="1572" spans="1:13" s="17" customFormat="1">
      <c r="A1572" s="56"/>
      <c r="M1572" s="65"/>
    </row>
    <row r="1573" spans="1:13" s="17" customFormat="1">
      <c r="A1573" s="56"/>
      <c r="M1573" s="65"/>
    </row>
    <row r="1574" spans="1:13" s="17" customFormat="1">
      <c r="A1574" s="56"/>
      <c r="M1574" s="65"/>
    </row>
    <row r="1575" spans="1:13" s="17" customFormat="1">
      <c r="A1575" s="56"/>
      <c r="M1575" s="65"/>
    </row>
    <row r="1576" spans="1:13" s="17" customFormat="1">
      <c r="A1576" s="56"/>
      <c r="M1576" s="65"/>
    </row>
    <row r="1577" spans="1:13" s="17" customFormat="1">
      <c r="A1577" s="56"/>
      <c r="M1577" s="65"/>
    </row>
    <row r="1578" spans="1:13" s="17" customFormat="1">
      <c r="A1578" s="56"/>
      <c r="M1578" s="65"/>
    </row>
    <row r="1579" spans="1:13" s="17" customFormat="1">
      <c r="A1579" s="56"/>
      <c r="M1579" s="65"/>
    </row>
    <row r="1580" spans="1:13" s="17" customFormat="1">
      <c r="A1580" s="56"/>
      <c r="M1580" s="65"/>
    </row>
    <row r="1581" spans="1:13" s="17" customFormat="1">
      <c r="A1581" s="56"/>
      <c r="M1581" s="65"/>
    </row>
    <row r="1582" spans="1:13" s="17" customFormat="1">
      <c r="A1582" s="56"/>
      <c r="M1582" s="65"/>
    </row>
    <row r="1583" spans="1:13" s="17" customFormat="1">
      <c r="A1583" s="56"/>
      <c r="M1583" s="65"/>
    </row>
    <row r="1584" spans="1:13" s="17" customFormat="1">
      <c r="A1584" s="56"/>
      <c r="M1584" s="65"/>
    </row>
    <row r="1585" spans="1:13" s="17" customFormat="1">
      <c r="A1585" s="56"/>
      <c r="M1585" s="65"/>
    </row>
    <row r="1586" spans="1:13" s="17" customFormat="1">
      <c r="A1586" s="56"/>
      <c r="M1586" s="65"/>
    </row>
    <row r="1587" spans="1:13" s="17" customFormat="1">
      <c r="A1587" s="56"/>
      <c r="M1587" s="65"/>
    </row>
    <row r="1588" spans="1:13" s="17" customFormat="1">
      <c r="A1588" s="56"/>
      <c r="M1588" s="65"/>
    </row>
    <row r="1589" spans="1:13" s="17" customFormat="1">
      <c r="A1589" s="56"/>
      <c r="M1589" s="65"/>
    </row>
  </sheetData>
  <mergeCells count="30">
    <mergeCell ref="C27:O27"/>
    <mergeCell ref="C1:O1"/>
    <mergeCell ref="C3:O3"/>
    <mergeCell ref="F5:K5"/>
    <mergeCell ref="F11:K11"/>
    <mergeCell ref="F22:K22"/>
    <mergeCell ref="M77:M83"/>
    <mergeCell ref="D29:N29"/>
    <mergeCell ref="F32:K32"/>
    <mergeCell ref="D39:N39"/>
    <mergeCell ref="E41:M41"/>
    <mergeCell ref="F43:K43"/>
    <mergeCell ref="M45:M51"/>
    <mergeCell ref="F54:K54"/>
    <mergeCell ref="F57:K57"/>
    <mergeCell ref="M59:M65"/>
    <mergeCell ref="F68:K68"/>
    <mergeCell ref="F75:K75"/>
    <mergeCell ref="F161:K161"/>
    <mergeCell ref="F85:G85"/>
    <mergeCell ref="M87:M93"/>
    <mergeCell ref="F95:K95"/>
    <mergeCell ref="F105:K105"/>
    <mergeCell ref="F116:K116"/>
    <mergeCell ref="F127:K127"/>
    <mergeCell ref="E138:M138"/>
    <mergeCell ref="F140:K140"/>
    <mergeCell ref="M142:M149"/>
    <mergeCell ref="F151:K151"/>
    <mergeCell ref="M153:M159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headerFooter>
    <oddFooter>&amp;L&amp;P</oddFooter>
  </headerFooter>
  <rowBreaks count="3" manualBreakCount="3">
    <brk id="26" min="2" max="14" man="1"/>
    <brk id="38" min="2" max="14" man="1"/>
    <brk id="136" min="2" max="1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FC3BD01BCA347AF146D1331670E52" ma:contentTypeVersion="11" ma:contentTypeDescription="Crée un document." ma:contentTypeScope="" ma:versionID="838a3b530ac448d2a084e46382c3b214">
  <xsd:schema xmlns:xsd="http://www.w3.org/2001/XMLSchema" xmlns:xs="http://www.w3.org/2001/XMLSchema" xmlns:p="http://schemas.microsoft.com/office/2006/metadata/properties" xmlns:ns2="57b07b31-5b0a-4088-a810-7d347523ea75" xmlns:ns3="4949664f-4b47-4c35-a82e-d1e31b98dc67" targetNamespace="http://schemas.microsoft.com/office/2006/metadata/properties" ma:root="true" ma:fieldsID="7242b9b9ccb9c7c305a3d910b5c4d2f2" ns2:_="" ns3:_="">
    <xsd:import namespace="57b07b31-5b0a-4088-a810-7d347523ea75"/>
    <xsd:import namespace="4949664f-4b47-4c35-a82e-d1e31b98dc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b07b31-5b0a-4088-a810-7d347523e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9664f-4b47-4c35-a82e-d1e31b98dc6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F43DB2-DC5C-457C-93D0-B05CAC1845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AB31D6-5F8C-4BB7-A688-A846A8265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b07b31-5b0a-4088-a810-7d347523ea75"/>
    <ds:schemaRef ds:uri="4949664f-4b47-4c35-a82e-d1e31b98dc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72BD32-32D0-492C-B124-D113A55EBAD2}">
  <ds:schemaRefs>
    <ds:schemaRef ds:uri="57b07b31-5b0a-4088-a810-7d347523ea75"/>
    <ds:schemaRef ds:uri="4949664f-4b47-4c35-a82e-d1e31b98dc67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16</vt:i4>
      </vt:variant>
    </vt:vector>
  </HeadingPairs>
  <TitlesOfParts>
    <vt:vector size="39" baseType="lpstr">
      <vt:lpstr>Tableau de bord</vt:lpstr>
      <vt:lpstr>Résultats</vt:lpstr>
      <vt:lpstr>Init. énergie</vt:lpstr>
      <vt:lpstr>Init. parc</vt:lpstr>
      <vt:lpstr>Bureaux - AME</vt:lpstr>
      <vt:lpstr>CaHoREs - AME</vt:lpstr>
      <vt:lpstr>Commerce - AME</vt:lpstr>
      <vt:lpstr>Enseignement - AME</vt:lpstr>
      <vt:lpstr>Hab. com. - AME</vt:lpstr>
      <vt:lpstr>Santé social - AME</vt:lpstr>
      <vt:lpstr>Sport Loisir Culture - AME</vt:lpstr>
      <vt:lpstr>Transport - AME</vt:lpstr>
      <vt:lpstr>Hors chauffage - AME</vt:lpstr>
      <vt:lpstr>Bureaux - AMS</vt:lpstr>
      <vt:lpstr>CaHoREs - AMS</vt:lpstr>
      <vt:lpstr>Commerce - AMS</vt:lpstr>
      <vt:lpstr>Enseignement - AMS</vt:lpstr>
      <vt:lpstr>Hab. com. - AMS</vt:lpstr>
      <vt:lpstr>Santé social - AMS</vt:lpstr>
      <vt:lpstr>Sport Loisir Culture - AMS</vt:lpstr>
      <vt:lpstr>Transport - AMS</vt:lpstr>
      <vt:lpstr>Hors chauffage - AMS</vt:lpstr>
      <vt:lpstr>Sources</vt:lpstr>
      <vt:lpstr>'Bureaux - AME'!Zone_d_impression</vt:lpstr>
      <vt:lpstr>'Bureaux - AMS'!Zone_d_impression</vt:lpstr>
      <vt:lpstr>'CaHoREs - AME'!Zone_d_impression</vt:lpstr>
      <vt:lpstr>'CaHoREs - AMS'!Zone_d_impression</vt:lpstr>
      <vt:lpstr>'Commerce - AME'!Zone_d_impression</vt:lpstr>
      <vt:lpstr>'Commerce - AMS'!Zone_d_impression</vt:lpstr>
      <vt:lpstr>'Enseignement - AME'!Zone_d_impression</vt:lpstr>
      <vt:lpstr>'Enseignement - AMS'!Zone_d_impression</vt:lpstr>
      <vt:lpstr>'Hab. com. - AME'!Zone_d_impression</vt:lpstr>
      <vt:lpstr>'Hab. com. - AMS'!Zone_d_impression</vt:lpstr>
      <vt:lpstr>'Santé social - AME'!Zone_d_impression</vt:lpstr>
      <vt:lpstr>'Santé social - AMS'!Zone_d_impression</vt:lpstr>
      <vt:lpstr>'Sport Loisir Culture - AME'!Zone_d_impression</vt:lpstr>
      <vt:lpstr>'Sport Loisir Culture - AMS'!Zone_d_impression</vt:lpstr>
      <vt:lpstr>'Transport - AME'!Zone_d_impression</vt:lpstr>
      <vt:lpstr>'Transport - AMS'!Zone_d_impression</vt:lpstr>
    </vt:vector>
  </TitlesOfParts>
  <Manager/>
  <Company>ADEME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GASPARD Albane</dc:creator>
  <cp:keywords/>
  <dc:description/>
  <cp:lastModifiedBy>TIRANA Florian</cp:lastModifiedBy>
  <cp:revision/>
  <dcterms:created xsi:type="dcterms:W3CDTF">2020-04-03T09:01:37Z</dcterms:created>
  <dcterms:modified xsi:type="dcterms:W3CDTF">2023-04-05T15:14:16Z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0x010100533FC3BD01BCA347AF146D1331670E52</vt:lpwstr>
  </property>
</Properties>
</file>