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Z:\PROJETS\Travaux_SNBC_2023\Modélisation macro\Documents MTE\Run 2\"/>
    </mc:Choice>
  </mc:AlternateContent>
  <xr:revisionPtr revIDLastSave="0" documentId="13_ncr:1_{2275F2ED-9B21-4BE3-896B-1F1F44088D17}" xr6:coauthVersionLast="47" xr6:coauthVersionMax="47" xr10:uidLastSave="{00000000-0000-0000-0000-000000000000}"/>
  <bookViews>
    <workbookView xWindow="-120" yWindow="-120" windowWidth="20730" windowHeight="11160" tabRatio="500" activeTab="3" xr2:uid="{00000000-000D-0000-FFFF-FFFF00000000}"/>
  </bookViews>
  <sheets>
    <sheet name="1. Population" sheetId="1" r:id="rId1"/>
    <sheet name="pop_active" sheetId="2" r:id="rId2"/>
    <sheet name="2. PIB" sheetId="3" r:id="rId3"/>
    <sheet name="PIB Branches" sheetId="4" r:id="rId4"/>
    <sheet name="3. Prix des énergies" sheetId="5" r:id="rId5"/>
    <sheet name="4. Prix du C" sheetId="6" r:id="rId6"/>
    <sheet name="5. Dynamiques sociales"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85" i="4" l="1"/>
  <c r="N84" i="4"/>
  <c r="N83" i="4"/>
  <c r="N82" i="4"/>
  <c r="N81" i="4"/>
  <c r="N80" i="4"/>
  <c r="N79" i="4"/>
  <c r="N78" i="4"/>
  <c r="N77" i="4"/>
  <c r="N76" i="4"/>
  <c r="N75" i="4"/>
  <c r="N74" i="4"/>
  <c r="N73" i="4"/>
  <c r="N72" i="4"/>
  <c r="N44" i="4"/>
  <c r="N45" i="4"/>
  <c r="N46" i="4"/>
  <c r="N47" i="4"/>
  <c r="N48" i="4"/>
  <c r="N49" i="4"/>
  <c r="N50" i="4"/>
  <c r="N51" i="4"/>
  <c r="N52" i="4"/>
  <c r="N39" i="4"/>
  <c r="N40" i="4"/>
  <c r="N41" i="4"/>
  <c r="N42" i="4"/>
  <c r="N43" i="4"/>
  <c r="Y13" i="4"/>
  <c r="C26" i="3" l="1"/>
  <c r="D26" i="3" s="1"/>
  <c r="E26" i="3" s="1"/>
  <c r="F26" i="3" s="1"/>
  <c r="G26" i="3" s="1"/>
  <c r="H26" i="3" s="1"/>
  <c r="I26" i="3" s="1"/>
  <c r="J26" i="3" s="1"/>
  <c r="K26" i="3" s="1"/>
  <c r="L26" i="3" s="1"/>
  <c r="M26" i="3" s="1"/>
  <c r="N26" i="3" s="1"/>
  <c r="O26" i="3" s="1"/>
  <c r="P26" i="3" s="1"/>
  <c r="Q26" i="3" s="1"/>
  <c r="R26" i="3" s="1"/>
  <c r="S26" i="3" s="1"/>
  <c r="T26" i="3" s="1"/>
  <c r="U26" i="3" s="1"/>
  <c r="V26" i="3" s="1"/>
  <c r="W26" i="3" s="1"/>
  <c r="X26" i="3" s="1"/>
  <c r="C25" i="3"/>
  <c r="D25" i="3" s="1"/>
  <c r="E25" i="3" s="1"/>
  <c r="F25" i="3" s="1"/>
  <c r="G25" i="3" s="1"/>
  <c r="H25" i="3" s="1"/>
  <c r="I25" i="3" s="1"/>
  <c r="J25" i="3" s="1"/>
  <c r="K25" i="3" s="1"/>
  <c r="L25" i="3" s="1"/>
  <c r="M25" i="3" s="1"/>
  <c r="N25" i="3" s="1"/>
  <c r="O25" i="3" s="1"/>
  <c r="P25" i="3" s="1"/>
  <c r="Q25" i="3" s="1"/>
  <c r="R25" i="3" s="1"/>
  <c r="S25" i="3" s="1"/>
  <c r="T25" i="3" s="1"/>
  <c r="U25" i="3" s="1"/>
  <c r="V25" i="3" s="1"/>
  <c r="W25" i="3" s="1"/>
  <c r="X25" i="3" s="1"/>
  <c r="Y25" i="3" s="1"/>
  <c r="Z25" i="3" s="1"/>
  <c r="AA25" i="3" s="1"/>
  <c r="AB25" i="3" s="1"/>
  <c r="AC25" i="3" s="1"/>
  <c r="AD25" i="3" s="1"/>
  <c r="AE25" i="3" s="1"/>
  <c r="AF25" i="3" s="1"/>
  <c r="AG25" i="3" s="1"/>
  <c r="AH25" i="3" s="1"/>
  <c r="I25" i="6" l="1"/>
  <c r="G25" i="6"/>
  <c r="O23" i="6"/>
  <c r="N23" i="6"/>
  <c r="M23" i="6"/>
  <c r="L23" i="6"/>
  <c r="K23" i="6"/>
  <c r="J23" i="6"/>
  <c r="I23" i="6"/>
  <c r="H23" i="6"/>
  <c r="G23" i="6"/>
  <c r="F23" i="6"/>
  <c r="E23" i="6"/>
  <c r="D23" i="6"/>
  <c r="C23" i="6"/>
  <c r="O21" i="6"/>
  <c r="O25" i="6" s="1"/>
  <c r="J5" i="6" s="1"/>
  <c r="N21" i="6"/>
  <c r="N25" i="6" s="1"/>
  <c r="M21" i="6"/>
  <c r="M25" i="6" s="1"/>
  <c r="H5" i="6" s="1"/>
  <c r="L21" i="6"/>
  <c r="L25" i="6" s="1"/>
  <c r="G5" i="6" s="1"/>
  <c r="K21" i="6"/>
  <c r="K25" i="6" s="1"/>
  <c r="F5" i="6" s="1"/>
  <c r="J21" i="6"/>
  <c r="J25" i="6" s="1"/>
  <c r="E5" i="6" s="1"/>
  <c r="I21" i="6"/>
  <c r="H21" i="6"/>
  <c r="H25" i="6" s="1"/>
  <c r="G21" i="6"/>
  <c r="F21" i="6"/>
  <c r="F25" i="6" s="1"/>
  <c r="E21" i="6"/>
  <c r="E25" i="6" s="1"/>
  <c r="D5" i="6" s="1"/>
  <c r="D21" i="6"/>
  <c r="D25" i="6" s="1"/>
  <c r="C21" i="6"/>
  <c r="C25" i="6" s="1"/>
  <c r="C5" i="6" s="1"/>
  <c r="C12" i="6"/>
  <c r="C11" i="6" s="1"/>
  <c r="J11" i="6"/>
  <c r="J13" i="6" s="1"/>
  <c r="I11" i="6"/>
  <c r="I13" i="6" s="1"/>
  <c r="H11" i="6"/>
  <c r="G11" i="6"/>
  <c r="F11" i="6"/>
  <c r="E11" i="6"/>
  <c r="D11" i="6"/>
  <c r="B11" i="6"/>
  <c r="I5" i="6"/>
  <c r="E4" i="6"/>
  <c r="F4" i="6" s="1"/>
  <c r="G4" i="6" s="1"/>
  <c r="H4" i="6" s="1"/>
  <c r="I4" i="6" s="1"/>
  <c r="J4" i="6" s="1"/>
  <c r="D4" i="6"/>
  <c r="K89" i="4"/>
  <c r="J89" i="4"/>
  <c r="F89" i="4"/>
  <c r="F76" i="4" s="1"/>
  <c r="W44" i="4" s="1"/>
  <c r="J88" i="4"/>
  <c r="I88" i="4"/>
  <c r="H88" i="4"/>
  <c r="E87" i="4"/>
  <c r="F86" i="4"/>
  <c r="G72" i="4"/>
  <c r="F72" i="4"/>
  <c r="E72" i="4"/>
  <c r="M56" i="4"/>
  <c r="L56" i="4"/>
  <c r="K56" i="4"/>
  <c r="J56" i="4"/>
  <c r="I56" i="4"/>
  <c r="H56" i="4"/>
  <c r="M55" i="4"/>
  <c r="L55" i="4"/>
  <c r="K55" i="4"/>
  <c r="J55" i="4"/>
  <c r="I55" i="4"/>
  <c r="H55" i="4"/>
  <c r="M54" i="4"/>
  <c r="L54" i="4"/>
  <c r="K54" i="4"/>
  <c r="J54" i="4"/>
  <c r="I54" i="4"/>
  <c r="H54" i="4"/>
  <c r="E54" i="4"/>
  <c r="M53" i="4"/>
  <c r="L53" i="4"/>
  <c r="K53" i="4"/>
  <c r="J53" i="4"/>
  <c r="I53" i="4"/>
  <c r="H53" i="4"/>
  <c r="F53" i="4"/>
  <c r="F43" i="4"/>
  <c r="G39" i="4"/>
  <c r="F39" i="4"/>
  <c r="E39" i="4"/>
  <c r="J24" i="4"/>
  <c r="G56" i="4" s="1"/>
  <c r="I24" i="4"/>
  <c r="F56" i="4" s="1"/>
  <c r="H24" i="4"/>
  <c r="E89" i="4" s="1"/>
  <c r="E76" i="4" s="1"/>
  <c r="G24" i="4"/>
  <c r="F24" i="4"/>
  <c r="E24" i="4"/>
  <c r="F23" i="4"/>
  <c r="J22" i="4"/>
  <c r="G87" i="4" s="1"/>
  <c r="G74" i="4" s="1"/>
  <c r="I22" i="4"/>
  <c r="F87" i="4" s="1"/>
  <c r="H22" i="4"/>
  <c r="G22" i="4"/>
  <c r="F22" i="4"/>
  <c r="E22" i="4"/>
  <c r="J21" i="4"/>
  <c r="I21" i="4"/>
  <c r="H21" i="4"/>
  <c r="E53" i="4" s="1"/>
  <c r="G21" i="4"/>
  <c r="F21" i="4"/>
  <c r="E21" i="4"/>
  <c r="Y20" i="4"/>
  <c r="X20" i="4"/>
  <c r="W20" i="4"/>
  <c r="V20" i="4"/>
  <c r="U20" i="4"/>
  <c r="T20" i="4"/>
  <c r="S20" i="4"/>
  <c r="I20" i="4"/>
  <c r="Y19" i="4"/>
  <c r="X19" i="4"/>
  <c r="W19" i="4"/>
  <c r="V19" i="4"/>
  <c r="U19" i="4"/>
  <c r="T19" i="4"/>
  <c r="S19" i="4"/>
  <c r="I19" i="4"/>
  <c r="Y18" i="4"/>
  <c r="X18" i="4"/>
  <c r="W18" i="4"/>
  <c r="V18" i="4"/>
  <c r="U18" i="4"/>
  <c r="T18" i="4"/>
  <c r="S18" i="4"/>
  <c r="I18" i="4"/>
  <c r="Y17" i="4"/>
  <c r="X17" i="4"/>
  <c r="W17" i="4"/>
  <c r="V17" i="4"/>
  <c r="U17" i="4"/>
  <c r="T17" i="4"/>
  <c r="S17" i="4"/>
  <c r="I17" i="4"/>
  <c r="Y16" i="4"/>
  <c r="X16" i="4"/>
  <c r="W16" i="4"/>
  <c r="V16" i="4"/>
  <c r="U16" i="4"/>
  <c r="T16" i="4"/>
  <c r="S16" i="4"/>
  <c r="I16" i="4"/>
  <c r="Y15" i="4"/>
  <c r="X15" i="4"/>
  <c r="W15" i="4"/>
  <c r="V15" i="4"/>
  <c r="U15" i="4"/>
  <c r="T15" i="4"/>
  <c r="S15" i="4"/>
  <c r="I15" i="4"/>
  <c r="Y14" i="4"/>
  <c r="X14" i="4"/>
  <c r="W14" i="4"/>
  <c r="V14" i="4"/>
  <c r="U14" i="4"/>
  <c r="T14" i="4"/>
  <c r="S14" i="4"/>
  <c r="I14" i="4"/>
  <c r="X13" i="4"/>
  <c r="W13" i="4"/>
  <c r="V13" i="4"/>
  <c r="U13" i="4"/>
  <c r="T13" i="4"/>
  <c r="S13" i="4"/>
  <c r="Y12" i="4"/>
  <c r="X12" i="4"/>
  <c r="W12" i="4"/>
  <c r="V12" i="4"/>
  <c r="U12" i="4"/>
  <c r="T12" i="4"/>
  <c r="S12" i="4"/>
  <c r="J10" i="4"/>
  <c r="J23" i="4" s="1"/>
  <c r="G55" i="4" s="1"/>
  <c r="G42" i="4" s="1"/>
  <c r="I10" i="4"/>
  <c r="I23" i="4" s="1"/>
  <c r="F88" i="4" s="1"/>
  <c r="F75" i="4" s="1"/>
  <c r="H10" i="4"/>
  <c r="H23" i="4" s="1"/>
  <c r="G10" i="4"/>
  <c r="G23" i="4" s="1"/>
  <c r="F10" i="4"/>
  <c r="E10" i="4"/>
  <c r="E23" i="4" s="1"/>
  <c r="AH40" i="3"/>
  <c r="AG40" i="3"/>
  <c r="AF40" i="3"/>
  <c r="AE40" i="3"/>
  <c r="AD40" i="3"/>
  <c r="AC40" i="3"/>
  <c r="AB40" i="3"/>
  <c r="AA40" i="3"/>
  <c r="Z40" i="3"/>
  <c r="Y40" i="3"/>
  <c r="X40" i="3"/>
  <c r="W40" i="3"/>
  <c r="V40" i="3"/>
  <c r="U40" i="3"/>
  <c r="T40" i="3"/>
  <c r="S40" i="3"/>
  <c r="R40" i="3"/>
  <c r="Q40" i="3"/>
  <c r="P40" i="3"/>
  <c r="O40" i="3"/>
  <c r="N40" i="3"/>
  <c r="M40" i="3"/>
  <c r="L40" i="3"/>
  <c r="K40" i="3"/>
  <c r="J40" i="3"/>
  <c r="I40" i="3"/>
  <c r="H40" i="3"/>
  <c r="G40" i="3"/>
  <c r="F40" i="3"/>
  <c r="E40" i="3"/>
  <c r="D40" i="3"/>
  <c r="C40" i="3"/>
  <c r="AH34" i="3"/>
  <c r="AG34" i="3"/>
  <c r="AF34" i="3"/>
  <c r="AE34" i="3"/>
  <c r="AD34" i="3"/>
  <c r="AC34" i="3"/>
  <c r="AB34" i="3"/>
  <c r="AA34" i="3"/>
  <c r="Z34" i="3"/>
  <c r="Y34" i="3"/>
  <c r="X34" i="3"/>
  <c r="W34" i="3"/>
  <c r="V34" i="3"/>
  <c r="U34" i="3"/>
  <c r="T34" i="3"/>
  <c r="S34" i="3"/>
  <c r="R34" i="3"/>
  <c r="Q34" i="3"/>
  <c r="P34" i="3"/>
  <c r="O34" i="3"/>
  <c r="N34" i="3"/>
  <c r="M34" i="3"/>
  <c r="L34" i="3"/>
  <c r="D33" i="3"/>
  <c r="C33" i="3"/>
  <c r="C4" i="3" s="1"/>
  <c r="G31" i="3"/>
  <c r="G35" i="3" s="1"/>
  <c r="AH30" i="3"/>
  <c r="AH31" i="3" s="1"/>
  <c r="AH35" i="3" s="1"/>
  <c r="AG30" i="3"/>
  <c r="AG31" i="3" s="1"/>
  <c r="AG35" i="3" s="1"/>
  <c r="AF30" i="3"/>
  <c r="AF31" i="3" s="1"/>
  <c r="AF35" i="3" s="1"/>
  <c r="AF33" i="3" s="1"/>
  <c r="AE30" i="3"/>
  <c r="AE31" i="3" s="1"/>
  <c r="AE35" i="3" s="1"/>
  <c r="AE33" i="3" s="1"/>
  <c r="AD30" i="3"/>
  <c r="AD31" i="3" s="1"/>
  <c r="AD35" i="3" s="1"/>
  <c r="AC30" i="3"/>
  <c r="AC31" i="3" s="1"/>
  <c r="AC35" i="3" s="1"/>
  <c r="AB30" i="3"/>
  <c r="AB31" i="3" s="1"/>
  <c r="AB35" i="3" s="1"/>
  <c r="AA30" i="3"/>
  <c r="AA31" i="3" s="1"/>
  <c r="AA35" i="3" s="1"/>
  <c r="Z30" i="3"/>
  <c r="Z31" i="3" s="1"/>
  <c r="Z35" i="3" s="1"/>
  <c r="Y30" i="3"/>
  <c r="Y31" i="3" s="1"/>
  <c r="Y35" i="3" s="1"/>
  <c r="X30" i="3"/>
  <c r="X31" i="3" s="1"/>
  <c r="X35" i="3" s="1"/>
  <c r="X33" i="3" s="1"/>
  <c r="H4" i="3" s="1"/>
  <c r="W30" i="3"/>
  <c r="W31" i="3" s="1"/>
  <c r="W35" i="3" s="1"/>
  <c r="W33" i="3" s="1"/>
  <c r="V30" i="3"/>
  <c r="V31" i="3" s="1"/>
  <c r="V35" i="3" s="1"/>
  <c r="U30" i="3"/>
  <c r="U31" i="3" s="1"/>
  <c r="U35" i="3" s="1"/>
  <c r="T30" i="3"/>
  <c r="T31" i="3" s="1"/>
  <c r="T35" i="3" s="1"/>
  <c r="S30" i="3"/>
  <c r="S31" i="3" s="1"/>
  <c r="S35" i="3" s="1"/>
  <c r="R30" i="3"/>
  <c r="R31" i="3" s="1"/>
  <c r="R35" i="3" s="1"/>
  <c r="Q30" i="3"/>
  <c r="Q31" i="3" s="1"/>
  <c r="Q35" i="3" s="1"/>
  <c r="P30" i="3"/>
  <c r="P31" i="3" s="1"/>
  <c r="P35" i="3" s="1"/>
  <c r="P33" i="3" s="1"/>
  <c r="O30" i="3"/>
  <c r="O31" i="3" s="1"/>
  <c r="O35" i="3" s="1"/>
  <c r="N30" i="3"/>
  <c r="N31" i="3" s="1"/>
  <c r="N35" i="3" s="1"/>
  <c r="M30" i="3"/>
  <c r="M31" i="3" s="1"/>
  <c r="M35" i="3" s="1"/>
  <c r="L30" i="3"/>
  <c r="L31" i="3" s="1"/>
  <c r="L35" i="3" s="1"/>
  <c r="K30" i="3"/>
  <c r="K31" i="3" s="1"/>
  <c r="K35" i="3" s="1"/>
  <c r="J30" i="3"/>
  <c r="J31" i="3" s="1"/>
  <c r="J35" i="3" s="1"/>
  <c r="I30" i="3"/>
  <c r="I31" i="3" s="1"/>
  <c r="I35" i="3" s="1"/>
  <c r="H30" i="3"/>
  <c r="H31" i="3" s="1"/>
  <c r="H35" i="3" s="1"/>
  <c r="G30" i="3"/>
  <c r="F30" i="3"/>
  <c r="F31" i="3" s="1"/>
  <c r="F35" i="3" s="1"/>
  <c r="E30" i="3"/>
  <c r="E31" i="3" s="1"/>
  <c r="E35" i="3" s="1"/>
  <c r="C29" i="3"/>
  <c r="D29" i="3" s="1"/>
  <c r="E29" i="3" s="1"/>
  <c r="F29" i="3" s="1"/>
  <c r="G29" i="3" s="1"/>
  <c r="H29" i="3" s="1"/>
  <c r="I29" i="3" s="1"/>
  <c r="J29" i="3" s="1"/>
  <c r="K29" i="3" s="1"/>
  <c r="L29" i="3" s="1"/>
  <c r="M29" i="3" s="1"/>
  <c r="N29" i="3" s="1"/>
  <c r="O29" i="3" s="1"/>
  <c r="P29" i="3" s="1"/>
  <c r="Q29" i="3" s="1"/>
  <c r="R29" i="3" s="1"/>
  <c r="S29" i="3" s="1"/>
  <c r="T29" i="3" s="1"/>
  <c r="U29" i="3" s="1"/>
  <c r="V29" i="3" s="1"/>
  <c r="W29" i="3" s="1"/>
  <c r="X29" i="3" s="1"/>
  <c r="Y29" i="3" s="1"/>
  <c r="Z29" i="3" s="1"/>
  <c r="AA29" i="3" s="1"/>
  <c r="AB29" i="3" s="1"/>
  <c r="AC29" i="3" s="1"/>
  <c r="AD29" i="3" s="1"/>
  <c r="AE29" i="3" s="1"/>
  <c r="AF29" i="3" s="1"/>
  <c r="AG29" i="3" s="1"/>
  <c r="AH29" i="3" s="1"/>
  <c r="C28" i="3"/>
  <c r="D28" i="3" s="1"/>
  <c r="E28" i="3" s="1"/>
  <c r="F28" i="3" s="1"/>
  <c r="G28" i="3" s="1"/>
  <c r="H28" i="3" s="1"/>
  <c r="I28" i="3" s="1"/>
  <c r="J28" i="3" s="1"/>
  <c r="K28" i="3" s="1"/>
  <c r="D27" i="3"/>
  <c r="E27" i="3" s="1"/>
  <c r="F27" i="3" s="1"/>
  <c r="G27" i="3" s="1"/>
  <c r="H27" i="3" s="1"/>
  <c r="C27" i="3"/>
  <c r="AH18" i="3"/>
  <c r="AG18" i="3"/>
  <c r="AF18" i="3"/>
  <c r="AE18" i="3"/>
  <c r="AD18" i="3"/>
  <c r="AC18" i="3"/>
  <c r="AB18" i="3"/>
  <c r="AA18" i="3"/>
  <c r="Z18" i="3"/>
  <c r="Y18" i="3"/>
  <c r="X18" i="3"/>
  <c r="X19" i="3" s="1"/>
  <c r="W18" i="3"/>
  <c r="W19" i="3" s="1"/>
  <c r="V18" i="3"/>
  <c r="V19" i="3" s="1"/>
  <c r="U18" i="3"/>
  <c r="U19" i="3" s="1"/>
  <c r="T18" i="3"/>
  <c r="T19" i="3" s="1"/>
  <c r="S18" i="3"/>
  <c r="S19" i="3" s="1"/>
  <c r="R18" i="3"/>
  <c r="R19" i="3" s="1"/>
  <c r="Q18" i="3"/>
  <c r="Q19" i="3" s="1"/>
  <c r="P18" i="3"/>
  <c r="P19" i="3" s="1"/>
  <c r="O18" i="3"/>
  <c r="O19" i="3" s="1"/>
  <c r="N18" i="3"/>
  <c r="N19" i="3" s="1"/>
  <c r="M18" i="3"/>
  <c r="M19" i="3" s="1"/>
  <c r="L18" i="3"/>
  <c r="L19" i="3" s="1"/>
  <c r="K18" i="3"/>
  <c r="K19" i="3" s="1"/>
  <c r="J18" i="3"/>
  <c r="J19" i="3" s="1"/>
  <c r="I18" i="3"/>
  <c r="I19" i="3" s="1"/>
  <c r="H18" i="3"/>
  <c r="H19" i="3" s="1"/>
  <c r="G18" i="3"/>
  <c r="G19" i="3" s="1"/>
  <c r="F18" i="3"/>
  <c r="F19" i="3" s="1"/>
  <c r="E18" i="3"/>
  <c r="E19" i="3" s="1"/>
  <c r="D18" i="3"/>
  <c r="D19" i="3" s="1"/>
  <c r="C18" i="3"/>
  <c r="C19" i="3" s="1"/>
  <c r="Y17" i="3"/>
  <c r="Z17" i="3" s="1"/>
  <c r="D4" i="3"/>
  <c r="E10" i="2"/>
  <c r="E11" i="2" s="1"/>
  <c r="D10" i="2"/>
  <c r="D11" i="2" s="1"/>
  <c r="K7" i="2"/>
  <c r="K8" i="2" s="1"/>
  <c r="J7" i="2"/>
  <c r="J8" i="2" s="1"/>
  <c r="I7" i="2"/>
  <c r="I8" i="2" s="1"/>
  <c r="H7" i="2"/>
  <c r="H8" i="2" s="1"/>
  <c r="G7" i="2"/>
  <c r="G8" i="2" s="1"/>
  <c r="F7" i="2"/>
  <c r="F8" i="2" s="1"/>
  <c r="E7" i="2"/>
  <c r="E8" i="2" s="1"/>
  <c r="D7" i="2"/>
  <c r="D8" i="2" s="1"/>
  <c r="F5" i="2"/>
  <c r="G5" i="2" s="1"/>
  <c r="H5" i="2" s="1"/>
  <c r="I5" i="2" s="1"/>
  <c r="J5" i="2" s="1"/>
  <c r="K5" i="2" s="1"/>
  <c r="B53" i="1"/>
  <c r="AH35" i="1"/>
  <c r="AG35" i="1"/>
  <c r="AF35" i="1"/>
  <c r="AE35" i="1"/>
  <c r="AD35" i="1"/>
  <c r="AC35" i="1"/>
  <c r="AB35" i="1"/>
  <c r="AB34" i="1" s="1"/>
  <c r="AA35" i="1"/>
  <c r="Z35" i="1"/>
  <c r="Y35" i="1"/>
  <c r="X35" i="1"/>
  <c r="W35" i="1"/>
  <c r="V35" i="1"/>
  <c r="U35" i="1"/>
  <c r="T35" i="1"/>
  <c r="S35" i="1"/>
  <c r="R35" i="1"/>
  <c r="Q35" i="1"/>
  <c r="P35" i="1"/>
  <c r="O35" i="1"/>
  <c r="N35" i="1"/>
  <c r="M35" i="1"/>
  <c r="L35" i="1"/>
  <c r="K35" i="1"/>
  <c r="C35" i="1"/>
  <c r="B35" i="1"/>
  <c r="AH30" i="1"/>
  <c r="AG30" i="1"/>
  <c r="AF30" i="1"/>
  <c r="AF31" i="1" s="1"/>
  <c r="AF32" i="1" s="1"/>
  <c r="AE30" i="1"/>
  <c r="AD30" i="1"/>
  <c r="AC30" i="1"/>
  <c r="AB30" i="1"/>
  <c r="AA30" i="1"/>
  <c r="Z30" i="1"/>
  <c r="Y30" i="1"/>
  <c r="X30" i="1"/>
  <c r="X31" i="1" s="1"/>
  <c r="W30" i="1"/>
  <c r="V30" i="1"/>
  <c r="U30" i="1"/>
  <c r="U31" i="1" s="1"/>
  <c r="U32" i="1" s="1"/>
  <c r="T30" i="1"/>
  <c r="S30" i="1"/>
  <c r="R30" i="1"/>
  <c r="Q30" i="1"/>
  <c r="P30" i="1"/>
  <c r="P31" i="1" s="1"/>
  <c r="P32" i="1" s="1"/>
  <c r="O30" i="1"/>
  <c r="N30" i="1"/>
  <c r="M30" i="1"/>
  <c r="L30" i="1"/>
  <c r="K30" i="1"/>
  <c r="J30" i="1"/>
  <c r="I30" i="1"/>
  <c r="H30" i="1"/>
  <c r="H31" i="1" s="1"/>
  <c r="H32" i="1" s="1"/>
  <c r="G30" i="1"/>
  <c r="G31" i="1" s="1"/>
  <c r="F30" i="1"/>
  <c r="E30" i="1"/>
  <c r="D30" i="1"/>
  <c r="C30" i="1"/>
  <c r="B30" i="1"/>
  <c r="C21" i="1"/>
  <c r="B21" i="1"/>
  <c r="J4" i="1"/>
  <c r="G4" i="1"/>
  <c r="C4" i="1"/>
  <c r="Y19" i="3" l="1"/>
  <c r="Z33" i="3"/>
  <c r="G54" i="4"/>
  <c r="G41" i="4" s="1"/>
  <c r="E86" i="4"/>
  <c r="E73" i="4" s="1"/>
  <c r="C36" i="3"/>
  <c r="D36" i="3" s="1"/>
  <c r="E36" i="3" s="1"/>
  <c r="F36" i="3" s="1"/>
  <c r="G36" i="3" s="1"/>
  <c r="H36" i="3" s="1"/>
  <c r="I36" i="3" s="1"/>
  <c r="R33" i="3"/>
  <c r="AH33" i="3"/>
  <c r="J4" i="3" s="1"/>
  <c r="F55" i="4"/>
  <c r="F42" i="4" s="1"/>
  <c r="G89" i="4"/>
  <c r="Y26" i="3"/>
  <c r="Z26" i="3" s="1"/>
  <c r="AA26" i="3" s="1"/>
  <c r="V33" i="3"/>
  <c r="U37" i="1"/>
  <c r="AD34" i="1"/>
  <c r="AE34" i="1"/>
  <c r="AF34" i="1"/>
  <c r="AG34" i="1"/>
  <c r="M33" i="3"/>
  <c r="U33" i="3"/>
  <c r="AC33" i="3"/>
  <c r="I4" i="3" s="1"/>
  <c r="Z34" i="1"/>
  <c r="N33" i="3"/>
  <c r="F4" i="3" s="1"/>
  <c r="AD33" i="3"/>
  <c r="AA34" i="1"/>
  <c r="O33" i="3"/>
  <c r="I4" i="1"/>
  <c r="AC34" i="1"/>
  <c r="S33" i="3"/>
  <c r="G4" i="3" s="1"/>
  <c r="AA33" i="3"/>
  <c r="Y34" i="1"/>
  <c r="W31" i="1"/>
  <c r="W32" i="1" s="1"/>
  <c r="W37" i="1" s="1"/>
  <c r="O31" i="1"/>
  <c r="O32" i="1" s="1"/>
  <c r="O37" i="1" s="1"/>
  <c r="P37" i="1"/>
  <c r="P36" i="1" s="1"/>
  <c r="AC31" i="1"/>
  <c r="AC32" i="1" s="1"/>
  <c r="AC37" i="1" s="1"/>
  <c r="I6" i="1" s="1"/>
  <c r="AE31" i="1"/>
  <c r="AE32" i="1" s="1"/>
  <c r="AE37" i="1" s="1"/>
  <c r="AF37" i="1"/>
  <c r="AF36" i="1" s="1"/>
  <c r="E31" i="1"/>
  <c r="E32" i="1" s="1"/>
  <c r="G32" i="1"/>
  <c r="M31" i="1"/>
  <c r="M32" i="1" s="1"/>
  <c r="M37" i="1" s="1"/>
  <c r="AG31" i="1"/>
  <c r="AG32" i="1" s="1"/>
  <c r="AG37" i="1" s="1"/>
  <c r="Y31" i="1"/>
  <c r="Y32" i="1" s="1"/>
  <c r="Y37" i="1" s="1"/>
  <c r="I10" i="2"/>
  <c r="I11" i="2" s="1"/>
  <c r="X32" i="1"/>
  <c r="X37" i="1" s="1"/>
  <c r="Q31" i="1"/>
  <c r="Q32" i="1" s="1"/>
  <c r="Q37" i="1" s="1"/>
  <c r="H72" i="4"/>
  <c r="H39" i="4"/>
  <c r="J36" i="3"/>
  <c r="K36" i="3" s="1"/>
  <c r="L36" i="3" s="1"/>
  <c r="M36" i="3" s="1"/>
  <c r="N36" i="3" s="1"/>
  <c r="G86" i="4"/>
  <c r="G73" i="4" s="1"/>
  <c r="G53" i="4"/>
  <c r="D30" i="3"/>
  <c r="D31" i="3" s="1"/>
  <c r="C30" i="3"/>
  <c r="C31" i="3" s="1"/>
  <c r="I31" i="1"/>
  <c r="F10" i="2" s="1"/>
  <c r="F11" i="2" s="1"/>
  <c r="U36" i="1"/>
  <c r="F4" i="1"/>
  <c r="B31" i="1"/>
  <c r="B32" i="1" s="1"/>
  <c r="J31" i="1"/>
  <c r="J32" i="1" s="1"/>
  <c r="R31" i="1"/>
  <c r="Z31" i="1"/>
  <c r="Z32" i="1" s="1"/>
  <c r="Z37" i="1" s="1"/>
  <c r="AH31" i="1"/>
  <c r="K10" i="2" s="1"/>
  <c r="K11" i="2" s="1"/>
  <c r="L33" i="3"/>
  <c r="T33" i="3"/>
  <c r="AB33" i="3"/>
  <c r="G40" i="4"/>
  <c r="L89" i="4"/>
  <c r="K88" i="4"/>
  <c r="C31" i="1"/>
  <c r="C32" i="1" s="1"/>
  <c r="C37" i="1" s="1"/>
  <c r="K31" i="1"/>
  <c r="K32" i="1" s="1"/>
  <c r="K37" i="1" s="1"/>
  <c r="K36" i="1" s="1"/>
  <c r="S31" i="1"/>
  <c r="H10" i="2" s="1"/>
  <c r="H11" i="2" s="1"/>
  <c r="AA31" i="1"/>
  <c r="AA32" i="1" s="1"/>
  <c r="AA37" i="1" s="1"/>
  <c r="R32" i="1"/>
  <c r="R37" i="1" s="1"/>
  <c r="G88" i="4"/>
  <c r="G75" i="4" s="1"/>
  <c r="H4" i="1"/>
  <c r="D31" i="1"/>
  <c r="D32" i="1" s="1"/>
  <c r="L31" i="1"/>
  <c r="L32" i="1" s="1"/>
  <c r="L37" i="1" s="1"/>
  <c r="T31" i="1"/>
  <c r="T32" i="1" s="1"/>
  <c r="T37" i="1" s="1"/>
  <c r="AB31" i="1"/>
  <c r="AB32" i="1" s="1"/>
  <c r="AB37" i="1" s="1"/>
  <c r="AA17" i="3"/>
  <c r="Z19" i="3"/>
  <c r="E88" i="4"/>
  <c r="E75" i="4" s="1"/>
  <c r="E55" i="4"/>
  <c r="E42" i="4" s="1"/>
  <c r="F31" i="1"/>
  <c r="F32" i="1" s="1"/>
  <c r="N31" i="1"/>
  <c r="V31" i="1"/>
  <c r="V32" i="1" s="1"/>
  <c r="V37" i="1" s="1"/>
  <c r="AD31" i="1"/>
  <c r="AD32" i="1" s="1"/>
  <c r="AD37" i="1" s="1"/>
  <c r="Q33" i="3"/>
  <c r="Y33" i="3"/>
  <c r="AG33" i="3"/>
  <c r="E56" i="4"/>
  <c r="E43" i="4" s="1"/>
  <c r="W43" i="4" s="1"/>
  <c r="F74" i="4"/>
  <c r="G43" i="4"/>
  <c r="F54" i="4"/>
  <c r="F41" i="4" s="1"/>
  <c r="G76" i="4"/>
  <c r="E40" i="4"/>
  <c r="F40" i="4"/>
  <c r="E41" i="4"/>
  <c r="F73" i="4"/>
  <c r="E74" i="4"/>
  <c r="J10" i="2" l="1"/>
  <c r="J11" i="2" s="1"/>
  <c r="AC36" i="1"/>
  <c r="AH32" i="1"/>
  <c r="AH37" i="1" s="1"/>
  <c r="AG36" i="1"/>
  <c r="S32" i="1"/>
  <c r="S37" i="1" s="1"/>
  <c r="S36" i="1" s="1"/>
  <c r="H12" i="2" s="1"/>
  <c r="H13" i="2" s="1"/>
  <c r="X36" i="1"/>
  <c r="I12" i="2" s="1"/>
  <c r="I13" i="2" s="1"/>
  <c r="AE36" i="1"/>
  <c r="O36" i="1"/>
  <c r="W36" i="1"/>
  <c r="I32" i="1"/>
  <c r="M36" i="1"/>
  <c r="Y36" i="1"/>
  <c r="Z36" i="1"/>
  <c r="V36" i="1"/>
  <c r="U11" i="2"/>
  <c r="U8" i="2"/>
  <c r="B37" i="1"/>
  <c r="AD36" i="1"/>
  <c r="M89" i="4"/>
  <c r="M88" i="4" s="1"/>
  <c r="L88" i="4"/>
  <c r="J12" i="2"/>
  <c r="J13" i="2" s="1"/>
  <c r="I5" i="1"/>
  <c r="AA36" i="1"/>
  <c r="AB17" i="3"/>
  <c r="AB26" i="3" s="1"/>
  <c r="AA19" i="3"/>
  <c r="C36" i="1"/>
  <c r="O36" i="3"/>
  <c r="P36" i="3" s="1"/>
  <c r="Q36" i="3" s="1"/>
  <c r="R36" i="3" s="1"/>
  <c r="S36" i="3" s="1"/>
  <c r="I72" i="4"/>
  <c r="I39" i="4"/>
  <c r="L36" i="1"/>
  <c r="R36" i="1"/>
  <c r="G79" i="4"/>
  <c r="G80" i="4"/>
  <c r="G81" i="4"/>
  <c r="G82" i="4"/>
  <c r="G84" i="4"/>
  <c r="G85" i="4"/>
  <c r="G83" i="4"/>
  <c r="G77" i="4"/>
  <c r="G78" i="4"/>
  <c r="X44" i="4"/>
  <c r="H42" i="4"/>
  <c r="H40" i="4"/>
  <c r="H43" i="4"/>
  <c r="H41" i="4"/>
  <c r="Q36" i="1"/>
  <c r="H75" i="4"/>
  <c r="H76" i="4"/>
  <c r="H73" i="4"/>
  <c r="H74" i="4"/>
  <c r="N32" i="1"/>
  <c r="N37" i="1" s="1"/>
  <c r="G10" i="2"/>
  <c r="G11" i="2" s="1"/>
  <c r="G46" i="4"/>
  <c r="G47" i="4"/>
  <c r="G48" i="4"/>
  <c r="G49" i="4"/>
  <c r="G51" i="4"/>
  <c r="X43" i="4"/>
  <c r="G52" i="4"/>
  <c r="G44" i="4"/>
  <c r="G50" i="4"/>
  <c r="G45" i="4"/>
  <c r="AB36" i="1"/>
  <c r="J6" i="1"/>
  <c r="AH36" i="1"/>
  <c r="H6" i="1"/>
  <c r="T36" i="1"/>
  <c r="I35" i="1" l="1"/>
  <c r="E4" i="1" s="1"/>
  <c r="I37" i="1"/>
  <c r="H5" i="1"/>
  <c r="G5" i="1"/>
  <c r="G6" i="1"/>
  <c r="E6" i="1"/>
  <c r="I36" i="1"/>
  <c r="E5" i="1" s="1"/>
  <c r="AC17" i="3"/>
  <c r="AC26" i="3" s="1"/>
  <c r="AB19" i="3"/>
  <c r="F6" i="1"/>
  <c r="N36" i="1"/>
  <c r="H47" i="4"/>
  <c r="H48" i="4"/>
  <c r="H49" i="4"/>
  <c r="H50" i="4"/>
  <c r="H52" i="4"/>
  <c r="H44" i="4"/>
  <c r="H46" i="4"/>
  <c r="H51" i="4"/>
  <c r="H45" i="4"/>
  <c r="Y43" i="4"/>
  <c r="I43" i="4"/>
  <c r="I41" i="4"/>
  <c r="I40" i="4"/>
  <c r="I42" i="4"/>
  <c r="D16" i="2"/>
  <c r="D15" i="2"/>
  <c r="U12" i="2"/>
  <c r="I15" i="2" s="1"/>
  <c r="I76" i="4"/>
  <c r="I74" i="4"/>
  <c r="I73" i="4"/>
  <c r="I75" i="4"/>
  <c r="K12" i="2"/>
  <c r="K13" i="2" s="1"/>
  <c r="J5" i="1"/>
  <c r="J39" i="4"/>
  <c r="J72" i="4"/>
  <c r="T36" i="3"/>
  <c r="U36" i="3" s="1"/>
  <c r="V36" i="3" s="1"/>
  <c r="W36" i="3" s="1"/>
  <c r="X36" i="3" s="1"/>
  <c r="H80" i="4"/>
  <c r="H81" i="4"/>
  <c r="H82" i="4"/>
  <c r="H83" i="4"/>
  <c r="H85" i="4"/>
  <c r="H77" i="4"/>
  <c r="Y44" i="4"/>
  <c r="H79" i="4"/>
  <c r="H84" i="4"/>
  <c r="H78" i="4"/>
  <c r="C6" i="1"/>
  <c r="B36" i="1"/>
  <c r="H35" i="1" l="1"/>
  <c r="J35" i="1"/>
  <c r="K34" i="3"/>
  <c r="K33" i="3" s="1"/>
  <c r="J34" i="3"/>
  <c r="J33" i="3" s="1"/>
  <c r="I34" i="3"/>
  <c r="I33" i="3" s="1"/>
  <c r="E4" i="3" s="1"/>
  <c r="H16" i="2"/>
  <c r="F12" i="2"/>
  <c r="F13" i="2" s="1"/>
  <c r="F16" i="2" s="1"/>
  <c r="H15" i="2"/>
  <c r="I18" i="2" s="1"/>
  <c r="J76" i="4"/>
  <c r="J75" i="4"/>
  <c r="J73" i="4"/>
  <c r="J74" i="4"/>
  <c r="J43" i="4"/>
  <c r="J42" i="4"/>
  <c r="J40" i="4"/>
  <c r="J41" i="4"/>
  <c r="I48" i="4"/>
  <c r="I49" i="4"/>
  <c r="I50" i="4"/>
  <c r="I51" i="4"/>
  <c r="Z43" i="4"/>
  <c r="I45" i="4"/>
  <c r="I52" i="4"/>
  <c r="I46" i="4"/>
  <c r="I44" i="4"/>
  <c r="I47" i="4"/>
  <c r="G12" i="2"/>
  <c r="G13" i="2" s="1"/>
  <c r="F5" i="1"/>
  <c r="D12" i="2"/>
  <c r="D13" i="2" s="1"/>
  <c r="C5" i="1"/>
  <c r="K16" i="2"/>
  <c r="K15" i="2"/>
  <c r="J15" i="2"/>
  <c r="J18" i="2" s="1"/>
  <c r="AC19" i="3"/>
  <c r="AD17" i="3"/>
  <c r="AD26" i="3" s="1"/>
  <c r="J16" i="2"/>
  <c r="I16" i="2"/>
  <c r="I81" i="4"/>
  <c r="I82" i="4"/>
  <c r="I83" i="4"/>
  <c r="I84" i="4"/>
  <c r="I78" i="4"/>
  <c r="I85" i="4"/>
  <c r="I79" i="4"/>
  <c r="I80" i="4"/>
  <c r="I77" i="4"/>
  <c r="Z44" i="4"/>
  <c r="Y36" i="3"/>
  <c r="Z36" i="3" s="1"/>
  <c r="AA36" i="3" s="1"/>
  <c r="AB36" i="3" s="1"/>
  <c r="AC36" i="3" s="1"/>
  <c r="K72" i="4"/>
  <c r="K39" i="4"/>
  <c r="I19" i="2" l="1"/>
  <c r="F15" i="2"/>
  <c r="F35" i="1"/>
  <c r="F34" i="3"/>
  <c r="F33" i="3" s="1"/>
  <c r="J37" i="1"/>
  <c r="J36" i="1" s="1"/>
  <c r="G35" i="1"/>
  <c r="G34" i="3"/>
  <c r="G33" i="3" s="1"/>
  <c r="E35" i="1"/>
  <c r="H34" i="3"/>
  <c r="H33" i="3" s="1"/>
  <c r="H37" i="1"/>
  <c r="H36" i="1" s="1"/>
  <c r="K19" i="2"/>
  <c r="K43" i="4"/>
  <c r="K42" i="4"/>
  <c r="K41" i="4"/>
  <c r="K40" i="4"/>
  <c r="G16" i="2"/>
  <c r="G15" i="2"/>
  <c r="J49" i="4"/>
  <c r="J50" i="4"/>
  <c r="J51" i="4"/>
  <c r="AA43" i="4"/>
  <c r="J52" i="4"/>
  <c r="J44" i="4"/>
  <c r="J46" i="4"/>
  <c r="J45" i="4"/>
  <c r="J48" i="4"/>
  <c r="J47" i="4"/>
  <c r="K18" i="2"/>
  <c r="AD36" i="3"/>
  <c r="AE36" i="3" s="1"/>
  <c r="AF36" i="3" s="1"/>
  <c r="AG36" i="3" s="1"/>
  <c r="AH36" i="3" s="1"/>
  <c r="L39" i="4"/>
  <c r="L72" i="4"/>
  <c r="J19" i="2"/>
  <c r="K76" i="4"/>
  <c r="K75" i="4"/>
  <c r="K74" i="4"/>
  <c r="K73" i="4"/>
  <c r="AE17" i="3"/>
  <c r="AE26" i="3" s="1"/>
  <c r="AD19" i="3"/>
  <c r="J82" i="4"/>
  <c r="J83" i="4"/>
  <c r="J84" i="4"/>
  <c r="J85" i="4"/>
  <c r="J77" i="4"/>
  <c r="AA44" i="4"/>
  <c r="J79" i="4"/>
  <c r="J78" i="4"/>
  <c r="J81" i="4"/>
  <c r="J80" i="4"/>
  <c r="E37" i="1" l="1"/>
  <c r="E36" i="1"/>
  <c r="G37" i="1"/>
  <c r="G36" i="1" s="1"/>
  <c r="F37" i="1"/>
  <c r="F36" i="1" s="1"/>
  <c r="G18" i="2"/>
  <c r="H18" i="2"/>
  <c r="G19" i="2"/>
  <c r="H19" i="2"/>
  <c r="K83" i="4"/>
  <c r="K84" i="4"/>
  <c r="K85" i="4"/>
  <c r="K77" i="4"/>
  <c r="AB44" i="4"/>
  <c r="K78" i="4"/>
  <c r="K80" i="4"/>
  <c r="K82" i="4"/>
  <c r="K81" i="4"/>
  <c r="K79" i="4"/>
  <c r="L76" i="4"/>
  <c r="L75" i="4"/>
  <c r="L74" i="4"/>
  <c r="L73" i="4"/>
  <c r="AF17" i="3"/>
  <c r="AF26" i="3" s="1"/>
  <c r="AE19" i="3"/>
  <c r="L43" i="4"/>
  <c r="L42" i="4"/>
  <c r="L41" i="4"/>
  <c r="L40" i="4"/>
  <c r="K50" i="4"/>
  <c r="K51" i="4"/>
  <c r="AB43" i="4"/>
  <c r="K52" i="4"/>
  <c r="K44" i="4"/>
  <c r="K45" i="4"/>
  <c r="K47" i="4"/>
  <c r="K49" i="4"/>
  <c r="K48" i="4"/>
  <c r="K46" i="4"/>
  <c r="L84" i="4" l="1"/>
  <c r="L85" i="4"/>
  <c r="L77" i="4"/>
  <c r="AC44" i="4"/>
  <c r="L78" i="4"/>
  <c r="L79" i="4"/>
  <c r="L81" i="4"/>
  <c r="L82" i="4"/>
  <c r="L80" i="4"/>
  <c r="L83" i="4"/>
  <c r="L51" i="4"/>
  <c r="AC43" i="4"/>
  <c r="L52" i="4"/>
  <c r="L44" i="4"/>
  <c r="L45" i="4"/>
  <c r="L46" i="4"/>
  <c r="L48" i="4"/>
  <c r="L47" i="4"/>
  <c r="L50" i="4"/>
  <c r="L49" i="4"/>
  <c r="AF19" i="3"/>
  <c r="AG17" i="3"/>
  <c r="AG26" i="3" s="1"/>
  <c r="AH17" i="3" l="1"/>
  <c r="AH19" i="3" s="1"/>
  <c r="AG19" i="3"/>
  <c r="AH26" i="3" l="1"/>
  <c r="E34" i="3"/>
  <c r="E33" i="3" s="1"/>
  <c r="D35" i="1"/>
  <c r="D4" i="1" s="1"/>
  <c r="M72" i="4" l="1"/>
  <c r="M39" i="4"/>
  <c r="D37" i="1"/>
  <c r="D6" i="1" s="1"/>
  <c r="M41" i="4" l="1"/>
  <c r="M40" i="4"/>
  <c r="M43" i="4"/>
  <c r="M42" i="4"/>
  <c r="D36" i="1"/>
  <c r="M74" i="4"/>
  <c r="M76" i="4"/>
  <c r="M73" i="4"/>
  <c r="M75" i="4"/>
  <c r="D5" i="1"/>
  <c r="E12" i="2"/>
  <c r="E13" i="2" s="1"/>
  <c r="M85" i="4" l="1"/>
  <c r="M77" i="4"/>
  <c r="AD44" i="4"/>
  <c r="M79" i="4"/>
  <c r="M78" i="4"/>
  <c r="M80" i="4"/>
  <c r="M82" i="4"/>
  <c r="M81" i="4"/>
  <c r="M84" i="4"/>
  <c r="M83" i="4"/>
  <c r="M44" i="4"/>
  <c r="M46" i="4"/>
  <c r="M47" i="4"/>
  <c r="M49" i="4"/>
  <c r="M48" i="4"/>
  <c r="AD43" i="4"/>
  <c r="M50" i="4"/>
  <c r="M45" i="4"/>
  <c r="M52" i="4"/>
  <c r="M51" i="4"/>
  <c r="E15" i="2"/>
  <c r="F18" i="2" s="1"/>
  <c r="E16" i="2"/>
  <c r="F19" i="2" s="1"/>
</calcChain>
</file>

<file path=xl/sharedStrings.xml><?xml version="1.0" encoding="utf-8"?>
<sst xmlns="http://schemas.openxmlformats.org/spreadsheetml/2006/main" count="315" uniqueCount="196">
  <si>
    <t>Cadrage proposé pour l'AME-AMS 2023 – run2</t>
  </si>
  <si>
    <t>en millions hab</t>
  </si>
  <si>
    <t>France entière</t>
  </si>
  <si>
    <t>Métropole</t>
  </si>
  <si>
    <t>Outre mer</t>
  </si>
  <si>
    <t>On prend les chiffres du scénario central de l’INSEE 2021. Désagrégation régionale (pour les OM) à partir du scénario 2016 car n’a pas été actualisé</t>
  </si>
  <si>
    <t>Sources:</t>
  </si>
  <si>
    <t>données historiques</t>
  </si>
  <si>
    <t>https://www.insee.fr/fr/statistiques/1892117?sommaire=1912926</t>
  </si>
  <si>
    <t>données scénarios INSEE</t>
  </si>
  <si>
    <t>https://www.insee.fr/fr/statistiques/2859843</t>
  </si>
  <si>
    <t>https://www.insee.fr/fr/statistiques/2496724?sommaire=2496793</t>
  </si>
  <si>
    <t xml:space="preserve">INSEE 2021  </t>
  </si>
  <si>
    <t>https://www.insee.fr/fr/statistiques/5893969#consulter</t>
  </si>
  <si>
    <t>Observé</t>
  </si>
  <si>
    <t>AMS18</t>
  </si>
  <si>
    <t>AME 2021</t>
  </si>
  <si>
    <t>Commission cadrage mars 2022</t>
  </si>
  <si>
    <t>INSEE 2016 - Fécondité basse</t>
  </si>
  <si>
    <t>Guadeloupe</t>
  </si>
  <si>
    <t>Martinique</t>
  </si>
  <si>
    <t>Guyane</t>
  </si>
  <si>
    <t>La Réunion</t>
  </si>
  <si>
    <t>Mayotte</t>
  </si>
  <si>
    <t>Total OM</t>
  </si>
  <si>
    <t>Somme</t>
  </si>
  <si>
    <t>%OM</t>
  </si>
  <si>
    <t>AME AMS 2023</t>
  </si>
  <si>
    <t>dont Métropole</t>
  </si>
  <si>
    <t>dont OM</t>
  </si>
  <si>
    <t>OM</t>
  </si>
  <si>
    <t>Metropole</t>
  </si>
  <si>
    <t>L’INSEE a indiqué ne pas prévoir d’actualiser les chiffres de la population active dans son édition 2021, du coup par défaut on reprend les taux du scénario INSEE 2016 fécondité basse</t>
  </si>
  <si>
    <t>M habitants</t>
  </si>
  <si>
    <t>AME 2018 (INSEE central)</t>
  </si>
  <si>
    <t>pop active</t>
  </si>
  <si>
    <t>Vérification avec les données historiques</t>
  </si>
  <si>
    <t>pop totale</t>
  </si>
  <si>
    <t>INSEE</t>
  </si>
  <si>
    <t>population en emploi</t>
  </si>
  <si>
    <t>Fr entière</t>
  </si>
  <si>
    <t>% actifs</t>
  </si>
  <si>
    <t>Avec 9,1 % de chômage</t>
  </si>
  <si>
    <t>population active</t>
  </si>
  <si>
    <t>métropole</t>
  </si>
  <si>
    <t>INSEE fécondité basse</t>
  </si>
  <si>
    <t>Périmètre : FR métropolitaine</t>
  </si>
  <si>
    <t>https://www.insee.fr/fr/statistiques/4277675?sommaire=4318291</t>
  </si>
  <si>
    <t>Source</t>
  </si>
  <si>
    <t>https://www.insee.fr/fr/statistiques/2845558</t>
  </si>
  <si>
    <t>emploi tertiaire</t>
  </si>
  <si>
    <t>pop métropolitaine</t>
  </si>
  <si>
    <t>part de l’emploi tertiaire dans la population active</t>
  </si>
  <si>
    <t>pop active métropole</t>
  </si>
  <si>
    <t>On reprend les taux de pop active de INSEE 2016 fécondité basse</t>
  </si>
  <si>
    <t>Emploi tertiaire</t>
  </si>
  <si>
    <t>AME 2023</t>
  </si>
  <si>
    <t>évolution de l'emploi similaire à la part dans la valeur ajoutée brute</t>
  </si>
  <si>
    <t>AMS 2023</t>
  </si>
  <si>
    <t>Recalage 2018 sur les données INSEE</t>
  </si>
  <si>
    <t>TCAM emploi tertiaire</t>
  </si>
  <si>
    <t>Cadrage proposé pour l'AME et AMS 2023</t>
  </si>
  <si>
    <t>%</t>
  </si>
  <si>
    <t>Croissance PIB</t>
  </si>
  <si>
    <t>On calcule, à partir de la trajectoire de population du cadrage de la Commission, la part de la croissance du PIB due à la population, et celle due au PIB/hab (qui inclut la productivité). Pour l’AME/AMS 2023 on conserve le chiffre de gain de PIB/hab issu du cadrage de la Commission et on prend les chiffres de population de INSEE 2021 (courbe bleu clair)
NB : RTE a pris 1,3 % pour la croissance du PIB post-2030</t>
  </si>
  <si>
    <t xml:space="preserve">Sources : </t>
  </si>
  <si>
    <t>Prévisions Banque de France</t>
  </si>
  <si>
    <t>https://publications.banque-france.fr/projections-macroeconomiques-mars-2022</t>
  </si>
  <si>
    <t>Croissance du PIB réel (%)</t>
  </si>
  <si>
    <t>dont population</t>
  </si>
  <si>
    <t>dont productivité</t>
  </si>
  <si>
    <t>Banque de France</t>
  </si>
  <si>
    <t>PLF2022 et RESF2022</t>
  </si>
  <si>
    <t>Cadrage Commission mars 2023</t>
  </si>
  <si>
    <t>PIB (index 2018 = 100)</t>
  </si>
  <si>
    <t>AMS2018</t>
  </si>
  <si>
    <t xml:space="preserve">PLF </t>
  </si>
  <si>
    <t>AME AMS 2023 – RUN2</t>
  </si>
  <si>
    <t>dont population (INSEE 2021 central)</t>
  </si>
  <si>
    <t>dont productivité (cadrage Cion)</t>
  </si>
  <si>
    <t>OCDE</t>
  </si>
  <si>
    <t>M USD 2016</t>
  </si>
  <si>
    <t>RUN1 – pour rappel</t>
  </si>
  <si>
    <t>AME AMS 2023 – run1</t>
  </si>
  <si>
    <t>dont PIB/hab (cadrage Cion run1)</t>
  </si>
  <si>
    <t>AME : on reprend les chiffres du scénario de référence de la Commission Européenne en ajustant la GVA totale de l’évolution du PIB en AME 2023 par rapport à la trajectoire de PIB du scénario de la Commission
AMS : on maintient la part de l’industrie stable à 13,5 %, et on prend la trajectoire EC Ref 2020 pour l’agriculture et la construction (voir si on ajuste sur ce dernier en fonction du rythme de la construction neuve/rénovation). Les services prennent le reste</t>
  </si>
  <si>
    <t>1. Historique – EC Ref 2020</t>
  </si>
  <si>
    <t>INSEE (Md€ prix courants)</t>
  </si>
  <si>
    <t>EC Ref 2020 (M€ 2015)</t>
  </si>
  <si>
    <t xml:space="preserve">Md€ </t>
  </si>
  <si>
    <t>PIB (volume en prix de marché)</t>
  </si>
  <si>
    <t>Total GVA</t>
  </si>
  <si>
    <t>dont agriculture</t>
  </si>
  <si>
    <t>dont construction</t>
  </si>
  <si>
    <t>dont services</t>
  </si>
  <si>
    <t>dont industrie et énergie</t>
  </si>
  <si>
    <t>dont énergie</t>
  </si>
  <si>
    <t>dont industrie</t>
  </si>
  <si>
    <t>dont sidérurgie</t>
  </si>
  <si>
    <t>dont métaux non-ferreux</t>
  </si>
  <si>
    <t>dont chimie</t>
  </si>
  <si>
    <t>dont minéraux non-métalliques</t>
  </si>
  <si>
    <t>dont papier pâtes</t>
  </si>
  <si>
    <t>dont IAA</t>
  </si>
  <si>
    <t>dont autres</t>
  </si>
  <si>
    <t>% GVA</t>
  </si>
  <si>
    <t>2. AME 2023</t>
  </si>
  <si>
    <t>Md€ 2015</t>
  </si>
  <si>
    <t>Indice 2018 = 100</t>
  </si>
  <si>
    <t>Repris de EC Ref 2020, ajusté du PIB</t>
  </si>
  <si>
    <t>AMS 18</t>
  </si>
  <si>
    <t>AME 18</t>
  </si>
  <si>
    <t>AME 21</t>
  </si>
  <si>
    <t>Ecref</t>
  </si>
  <si>
    <t>AME 23</t>
  </si>
  <si>
    <t>AMS 23</t>
  </si>
  <si>
    <t>EC Ref 2020</t>
  </si>
  <si>
    <t>3. AMS 2023</t>
  </si>
  <si>
    <t>Prend le reste</t>
  </si>
  <si>
    <t>Hyp constant à 13,5 %</t>
  </si>
  <si>
    <t>Voir le fichier excel dédié</t>
  </si>
  <si>
    <t>€2016/tCO2</t>
  </si>
  <si>
    <t>taux inflation 2013-2016</t>
  </si>
  <si>
    <t>Composante carbone</t>
  </si>
  <si>
    <t>EU-ETS</t>
  </si>
  <si>
    <t>AME/AMS 2018</t>
  </si>
  <si>
    <t>AME 2018 €2016</t>
  </si>
  <si>
    <t>AME 2018 €2013</t>
  </si>
  <si>
    <t>AME 2021 (€2016)</t>
  </si>
  <si>
    <t>EU ref 2020 (€2015)</t>
  </si>
  <si>
    <t>https://op.europa.eu/en/publication-detail/-/publication/96c2ca82-e85e-11eb-93a8-01aa75ed71a1/language-en/format-PDF/source-219903975</t>
  </si>
  <si>
    <t>p42</t>
  </si>
  <si>
    <t>EI ff55</t>
  </si>
  <si>
    <t>CaarbonPulse (moyen)</t>
  </si>
  <si>
    <t>AME-AMS 2023 – RUN1 (€2015)</t>
  </si>
  <si>
    <t>Cadrage Cion mai 2022</t>
  </si>
  <si>
    <t>AME</t>
  </si>
  <si>
    <t>AMS</t>
  </si>
  <si>
    <t>AME-AMS 2023 – RUN2 (€2015)</t>
  </si>
  <si>
    <t>Variable</t>
  </si>
  <si>
    <t>Plans et stratégies</t>
  </si>
  <si>
    <t>Narratif AME</t>
  </si>
  <si>
    <t>Narratif AMS</t>
  </si>
  <si>
    <t>Commentaire</t>
  </si>
  <si>
    <t>Démographie et structure des ménages</t>
  </si>
  <si>
    <t>- Révision en cours du plan « Bien vieillir » (Santé Publique France)</t>
  </si>
  <si>
    <t>Evolution de la population : Identique AME et AMS (cf cadrage macro-éco) : hausse plus modérée de la population, vieillissement…</t>
  </si>
  <si>
    <t>Poursuite de la dé-cohabitation</t>
  </si>
  <si>
    <t>Stabilisation du nombre de personnes par foyer (développement de l’habitat partagé, intergénérationnel, etc.)</t>
  </si>
  <si>
    <t>Logiques de peuplement</t>
  </si>
  <si>
    <t xml:space="preserve">- Vision habiter la France de demain (E.Wargon) 
-Stratégie logement (2017) 
- Stratégie nationale pour la biodiversité (2021) 
- ODD 11 </t>
  </si>
  <si>
    <t xml:space="preserve">Impact COVID 
- Développement de la bi-résidentialité 
- hausse de la taille des logements et des surfaces de jardin 
- MI favorisées aux LC 
- Poursuite de la métropolisation à la faveur des villes moyennes et grandes  
Poursuite de la métropolisation et étalement urbain (dévitalisation des centres villes des petites villes) </t>
  </si>
  <si>
    <t>Vision habiter la France de demain  
- Rendre désirable l’habitat collectif et les quartiers denses 
- Qualité de la construction (taille minimale des logements) 
- Favoriser la création de logements abordables dans les métropoles 
- MaPrimeAdapt pour adapter les logements au vieillissement 
- Conversions bureaux logements (ex. passer de 350km²/an soit 4/5000lgt/an à 1,4Mm²=20klgt) 
- Développement de tiers-lieux de télétravail 
- Développements d’espaces et de matériel partagé
- Stabilisation du nombre de résidences secondaires
- Revitalisation des centre-villes et densification des villes moyennes 
- Réduction du mal-logements et de la précarité énergétique</t>
  </si>
  <si>
    <t>Système productif</t>
  </si>
  <si>
    <t xml:space="preserve">- Pacte productif 
- France relance 
- France 2030 
- ODD 8,9,12 </t>
  </si>
  <si>
    <t>Poursuite de la baisse de la part de l’industrie dans le PIB et l’emploi au profit du secteur tertiaire. Hausse des importations car la demande croît plus vite que la production. Développement de la numérisation et de la robotisation.</t>
  </si>
  <si>
    <t xml:space="preserve">Ré-industrialisation notamment au profit de quelques filières stratégiques, recherche d’une souveraineté économique. Maintien d’un solde exportateur important dans les secteurs actuellement exportateurs, et développement d’un export de biens et services durables. Développement de la numérisation et de la robotisation. Transition juste des emplois et des compétences. Développement d’offres « de sobriété » aux clients (leasing, lutte contre l’obsolescence, meilleur dimensionnement aux besoins du client, réglages sobres par défaut etc.) </t>
  </si>
  <si>
    <t>Emploi et organisation des entreprises</t>
  </si>
  <si>
    <t>- Plan d'investissement en compétences 2018-2022
- Plan de développement des compétences</t>
  </si>
  <si>
    <t xml:space="preserve">Adaptation des entreprises au développement du télétravail
Tertiairisation – plus d’aide à la personne
</t>
  </si>
  <si>
    <t>Adaptation des entreprises au télétravail
Transition juste : formation et accompagnement des salariés
Adoption par les entreprises de stratégies climat cohérentes avec la SNBC</t>
  </si>
  <si>
    <t>Fiscalité et redistribution</t>
  </si>
  <si>
    <t xml:space="preserve">- Stratégie de prévention et de lutte contre la pauvreté (2018-2022) 
- ODD 1,10 </t>
  </si>
  <si>
    <t>Pas de changements</t>
  </si>
  <si>
    <t>- Prix du carbone et modification de la fiscalité énergétique 
- Compensation et accompagnement renforcé des ménages modestes 
- ODD 10.1 : augmentation plus rapide des revenus des 40% les plus pauvres que le reste de la population 
- fiscalité qui favorise les produits plus écologiques, durables et sains, et pénalise ceux qui ne le sont pas</t>
  </si>
  <si>
    <t>Sensibilité environnementale et consommation</t>
  </si>
  <si>
    <t xml:space="preserve">- Agribalyse 
- Indice de réparabilité 
- CO2 score à terme 
- ODD 4, 12 </t>
  </si>
  <si>
    <t xml:space="preserve">- Plus grande appétence des consommateurs pour les produits fabriqués en France / à basses émissions / réparables / de meilleure qualité via affichage environnemental et éducation. 
- Publicité régulée qui rend désirable des modes de vie durables
- Développement des commerces de proximité </t>
  </si>
  <si>
    <t>Usage du temps, loisirs et tourisme</t>
  </si>
  <si>
    <t>- ODD 4, 8, 16, 17</t>
  </si>
  <si>
    <t>Augmentation des distances parcourus pour les loisirs et le tourisme</t>
  </si>
  <si>
    <t>- Développement d’un tourisme plus local et de loisirs à faible impact environnemental (tourisme vert, culture, etc.)
- Davantage de temps consacré aux projets associatifs et de proximité (énergies citoyennes, etc.)
- trajets longue distance plus longs (en train vs en avion) mais moins fréquents</t>
  </si>
  <si>
    <t>Usages du numérique</t>
  </si>
  <si>
    <t xml:space="preserve">- Feuille de route Numérique et environnement 
- Plan national pour un numérique inclusif </t>
  </si>
  <si>
    <t>Poursuite du développement exponentiel des usages (digitalisation de l’industrie, IoT…)</t>
  </si>
  <si>
    <t>Priorisation des usages (ex dans l’industrie, la santé, l’éducation, le télétravail…) et sobriété numérique. Réduction du temps de loisir passé devant des écrans et lutte contre les addictions. Développement des achats de terminaux réparables ou reconditionnés.</t>
  </si>
  <si>
    <t>Cohésion sociale et engagements</t>
  </si>
  <si>
    <t xml:space="preserve">- ODD 5, 10, 11, 16, 17 </t>
  </si>
  <si>
    <t xml:space="preserve">Solidarité accrue au sein de la société (entre les générations, les territoires, etc.). Réhabilitation des communs (espaces partagés). Implication des citoyens dans les décisions et confiance dans les institutions </t>
  </si>
  <si>
    <t>Santé et bien-être</t>
  </si>
  <si>
    <t>- PNNS 2019-2023 
- Programme national de l’alimentation et de la nutrition 
- Plan national de la santé publique 
- ODD 2, 3 
- Approche « One Health » (OMS)</t>
  </si>
  <si>
    <t>- Régimes alimentaires équilibrés (plus de fruits et légumes et protéines végétales, moins de viande), avec davantage d’aliments frais, locaux, de saison, et de qualité (labels)
- Exercice physique régulier 
- réduction des pollutions (lumineuse, bruit, polluants atmosphériques…)</t>
  </si>
  <si>
    <t>Mobilité</t>
  </si>
  <si>
    <t xml:space="preserve">- France 2030 
- Plan vélo </t>
  </si>
  <si>
    <t>- Impact COVID à court terme. 
- Poursuite du développement du e-commerce, des livraisons à domicile etc. 
- Poursuite de la hausse de la taille et du poids des véhicules</t>
  </si>
  <si>
    <t>- Réduction de la demande en mobilité via le développement du télétravail, la limitation de l’étalement urbain, le développement des circuits circuits courts…)
- utilisation plus importante des modes ferrés ou non motorisés en lien avec des investissements plus forts dans les infrastructures associées (transports en commun, aménagements cyclables, etc.)</t>
  </si>
  <si>
    <t>Adaptation</t>
  </si>
  <si>
    <t>- PNACC
- ODD 13</t>
  </si>
  <si>
    <t xml:space="preserve">Adaptation au changement climatique limitée. </t>
  </si>
  <si>
    <t xml:space="preserve">Adaptation effective dès le milieu du XXIe siècle à un climat régional en métropole et dans les outre-mer cohérent avec une hausse de température de +1,5 à 2 °C au niveau mondial par rapport au XIXe siècle </t>
  </si>
  <si>
    <t>Emissions du reste du monde et niveau de réchauffement climatique</t>
  </si>
  <si>
    <t>- Accord de Paris
- ODD 13</t>
  </si>
  <si>
    <t>Trajectoire d’émissions limitant le réchauffement climatique à 2°C  (~ pleine mise en œuvre des engagements actuels, notamment de neutralité carbone) : SSP1-RCP2.6. Impact à 2100 sur la température globale de surface par rapport à la période pré-industrielle : +1,9°C (+1,5 - +2,3) (GIEC AR6)</t>
  </si>
  <si>
    <t>AME-AMS 2023 RUN1</t>
  </si>
  <si>
    <t xml:space="preserve"> On reprend la trajectoire proposée par la Commission, même si elle nous semble trop basse entre 2025 et 2040, faute de sources alternatives</t>
  </si>
  <si>
    <t>INSEE 2021 – scénario central - AME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</si>
</sst>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 %"/>
    <numFmt numFmtId="167" formatCode="0.00\ %"/>
    <numFmt numFmtId="168" formatCode="0.000"/>
    <numFmt numFmtId="169" formatCode="0.0%"/>
    <numFmt numFmtId="170" formatCode="_(* #,##0_);_(* \(#,##0\);_(* \-??_);_(@_)"/>
    <numFmt numFmtId="171" formatCode="_-* #,##0.00_-;\-* #,##0.00_-;_-* \-??_-;_-@_-"/>
    <numFmt numFmtId="172" formatCode="_(* #,##0.00_);_(* \(#,##0.00\);_(* \-??_);_(@_)"/>
    <numFmt numFmtId="173" formatCode="#,##0.0"/>
    <numFmt numFmtId="174" formatCode="[$€-2]\ #,##0;[Red]\-[$€-2]\ #,##0"/>
    <numFmt numFmtId="175" formatCode="#,##0.000000"/>
    <numFmt numFmtId="176" formatCode="0.0\ %"/>
  </numFmts>
  <fonts count="15" x14ac:knownFonts="1">
    <font>
      <sz val="11"/>
      <color rgb="FF000000"/>
      <name val="Calibri"/>
      <family val="2"/>
      <charset val="1"/>
    </font>
    <font>
      <sz val="10"/>
      <name val="MS Sans Serif"/>
      <family val="2"/>
      <charset val="1"/>
    </font>
    <font>
      <b/>
      <sz val="11"/>
      <color rgb="FF000000"/>
      <name val="Calibri"/>
      <family val="2"/>
      <charset val="1"/>
    </font>
    <font>
      <i/>
      <sz val="11"/>
      <color rgb="FF000000"/>
      <name val="Calibri"/>
      <family val="2"/>
      <charset val="1"/>
    </font>
    <font>
      <u/>
      <sz val="11"/>
      <color rgb="FF0563C1"/>
      <name val="Calibri"/>
      <family val="2"/>
      <charset val="1"/>
    </font>
    <font>
      <sz val="10"/>
      <name val="Arial"/>
      <family val="2"/>
      <charset val="1"/>
    </font>
    <font>
      <sz val="11"/>
      <color rgb="FFCE181E"/>
      <name val="Calibri"/>
      <family val="2"/>
      <charset val="1"/>
    </font>
    <font>
      <b/>
      <sz val="8"/>
      <color rgb="FF000000"/>
      <name val="Arial"/>
      <family val="2"/>
      <charset val="1"/>
    </font>
    <font>
      <sz val="8"/>
      <color rgb="FF000000"/>
      <name val="Calibri"/>
      <family val="2"/>
      <charset val="1"/>
    </font>
    <font>
      <sz val="8"/>
      <name val="Arial"/>
      <family val="2"/>
      <charset val="1"/>
    </font>
    <font>
      <i/>
      <sz val="8"/>
      <name val="Arial"/>
      <family val="2"/>
      <charset val="1"/>
    </font>
    <font>
      <b/>
      <sz val="16"/>
      <color rgb="FF000000"/>
      <name val="Calibri"/>
      <family val="2"/>
      <charset val="1"/>
    </font>
    <font>
      <b/>
      <sz val="15"/>
      <color rgb="FF000000"/>
      <name val="Calibri"/>
      <family val="2"/>
      <charset val="1"/>
    </font>
    <font>
      <sz val="11"/>
      <color rgb="FF000000"/>
      <name val="Calibri"/>
      <family val="2"/>
      <charset val="1"/>
    </font>
    <font>
      <sz val="11"/>
      <color rgb="FF000000"/>
      <name val="Calibri"/>
      <family val="2"/>
    </font>
  </fonts>
  <fills count="14">
    <fill>
      <patternFill patternType="none"/>
    </fill>
    <fill>
      <patternFill patternType="gray125"/>
    </fill>
    <fill>
      <patternFill patternType="solid">
        <fgColor rgb="FFDEEBF7"/>
        <bgColor rgb="FFDAE3F3"/>
      </patternFill>
    </fill>
    <fill>
      <patternFill patternType="solid">
        <fgColor rgb="FFFFFF00"/>
        <bgColor rgb="FFFFF200"/>
      </patternFill>
    </fill>
    <fill>
      <patternFill patternType="solid">
        <fgColor rgb="FFF2F2F2"/>
        <bgColor rgb="FFDEEBF7"/>
      </patternFill>
    </fill>
    <fill>
      <patternFill patternType="solid">
        <fgColor rgb="FFD9D9D9"/>
        <bgColor rgb="FFDAE3F3"/>
      </patternFill>
    </fill>
    <fill>
      <patternFill patternType="solid">
        <fgColor rgb="FF81D41A"/>
        <bgColor rgb="FF70AD47"/>
      </patternFill>
    </fill>
    <fill>
      <patternFill patternType="solid">
        <fgColor rgb="FFDAE3F3"/>
        <bgColor rgb="FFDEEBF7"/>
      </patternFill>
    </fill>
    <fill>
      <patternFill patternType="solid">
        <fgColor rgb="FFB4C7E7"/>
        <bgColor rgb="FFB4C7DC"/>
      </patternFill>
    </fill>
    <fill>
      <patternFill patternType="solid">
        <fgColor rgb="FFFFF2CC"/>
        <bgColor rgb="FFF2F2F2"/>
      </patternFill>
    </fill>
    <fill>
      <patternFill patternType="solid">
        <fgColor rgb="FFFFF200"/>
        <bgColor rgb="FFFFFF00"/>
      </patternFill>
    </fill>
    <fill>
      <patternFill patternType="solid">
        <fgColor rgb="FFB4C7DC"/>
        <bgColor rgb="FFB4C7E7"/>
      </patternFill>
    </fill>
    <fill>
      <patternFill patternType="solid">
        <fgColor rgb="FFFFBF00"/>
        <bgColor rgb="FFFFC000"/>
      </patternFill>
    </fill>
    <fill>
      <patternFill patternType="solid">
        <fgColor rgb="FFFFC000"/>
        <bgColor rgb="FFFFBF00"/>
      </patternFill>
    </fill>
  </fills>
  <borders count="27">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hair">
        <color auto="1"/>
      </left>
      <right style="hair">
        <color auto="1"/>
      </right>
      <top style="hair">
        <color auto="1"/>
      </top>
      <bottom style="hair">
        <color auto="1"/>
      </bottom>
      <diagonal/>
    </border>
    <border>
      <left style="hair">
        <color auto="1"/>
      </left>
      <right/>
      <top style="thin">
        <color auto="1"/>
      </top>
      <bottom style="hair">
        <color auto="1"/>
      </bottom>
      <diagonal/>
    </border>
    <border>
      <left/>
      <right/>
      <top style="thin">
        <color auto="1"/>
      </top>
      <bottom/>
      <diagonal/>
    </border>
    <border>
      <left/>
      <right style="thin">
        <color auto="1"/>
      </right>
      <top style="thin">
        <color auto="1"/>
      </top>
      <bottom/>
      <diagonal/>
    </border>
    <border>
      <left style="hair">
        <color auto="1"/>
      </left>
      <right style="hair">
        <color auto="1"/>
      </right>
      <top/>
      <bottom/>
      <diagonal/>
    </border>
    <border>
      <left style="hair">
        <color auto="1"/>
      </left>
      <right style="thin">
        <color auto="1"/>
      </right>
      <top/>
      <bottom style="hair">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thin">
        <color auto="1"/>
      </right>
      <top/>
      <bottom/>
      <diagonal/>
    </border>
    <border>
      <left/>
      <right style="thin">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s>
  <cellStyleXfs count="5">
    <xf numFmtId="0" fontId="0" fillId="0" borderId="0"/>
    <xf numFmtId="171" fontId="13" fillId="0" borderId="0" applyBorder="0" applyProtection="0"/>
    <xf numFmtId="166" fontId="13" fillId="0" borderId="0" applyBorder="0" applyProtection="0"/>
    <xf numFmtId="0" fontId="4" fillId="0" borderId="0" applyBorder="0" applyProtection="0"/>
    <xf numFmtId="0" fontId="1" fillId="0" borderId="0"/>
  </cellStyleXfs>
  <cellXfs count="121">
    <xf numFmtId="0" fontId="0" fillId="0" borderId="0" xfId="0"/>
    <xf numFmtId="0" fontId="0" fillId="2" borderId="2" xfId="0" applyFill="1" applyBorder="1"/>
    <xf numFmtId="0" fontId="0" fillId="2" borderId="3" xfId="0" applyFill="1" applyBorder="1"/>
    <xf numFmtId="0" fontId="0" fillId="2" borderId="4" xfId="0" applyFill="1" applyBorder="1"/>
    <xf numFmtId="4" fontId="0" fillId="2" borderId="3" xfId="0" applyNumberFormat="1" applyFill="1" applyBorder="1"/>
    <xf numFmtId="4" fontId="0" fillId="2" borderId="4" xfId="0" applyNumberFormat="1" applyFill="1" applyBorder="1"/>
    <xf numFmtId="0" fontId="3" fillId="2" borderId="2" xfId="0" applyFont="1" applyFill="1" applyBorder="1" applyAlignment="1">
      <alignment horizontal="right"/>
    </xf>
    <xf numFmtId="0" fontId="3" fillId="2" borderId="5" xfId="0" applyFont="1" applyFill="1" applyBorder="1" applyAlignment="1">
      <alignment horizontal="right"/>
    </xf>
    <xf numFmtId="4" fontId="0" fillId="2" borderId="6" xfId="0" applyNumberFormat="1" applyFill="1" applyBorder="1"/>
    <xf numFmtId="4" fontId="0" fillId="2" borderId="7" xfId="0" applyNumberFormat="1" applyFill="1" applyBorder="1"/>
    <xf numFmtId="0" fontId="0" fillId="0" borderId="0" xfId="0" applyAlignment="1">
      <alignment wrapText="1"/>
    </xf>
    <xf numFmtId="0" fontId="4" fillId="0" borderId="0" xfId="3" applyBorder="1" applyProtection="1"/>
    <xf numFmtId="0" fontId="2" fillId="0" borderId="0" xfId="0" applyFont="1"/>
    <xf numFmtId="164" fontId="5" fillId="0" borderId="0" xfId="0" applyNumberFormat="1" applyFont="1" applyProtection="1">
      <protection locked="0"/>
    </xf>
    <xf numFmtId="165" fontId="0" fillId="0" borderId="0" xfId="0" applyNumberFormat="1"/>
    <xf numFmtId="4" fontId="0" fillId="0" borderId="0" xfId="0" applyNumberFormat="1"/>
    <xf numFmtId="0" fontId="6" fillId="0" borderId="0" xfId="0" applyFont="1"/>
    <xf numFmtId="3" fontId="5" fillId="0" borderId="0" xfId="0" applyNumberFormat="1" applyFont="1"/>
    <xf numFmtId="0" fontId="3" fillId="0" borderId="0" xfId="0" applyFont="1" applyAlignment="1">
      <alignment horizontal="right"/>
    </xf>
    <xf numFmtId="3" fontId="1" fillId="0" borderId="0" xfId="4" applyNumberFormat="1"/>
    <xf numFmtId="3" fontId="0" fillId="0" borderId="0" xfId="0" applyNumberFormat="1"/>
    <xf numFmtId="0" fontId="2" fillId="0" borderId="0" xfId="0" applyFont="1" applyAlignment="1">
      <alignment horizontal="left"/>
    </xf>
    <xf numFmtId="167" fontId="0" fillId="0" borderId="0" xfId="2" applyNumberFormat="1" applyFont="1" applyBorder="1" applyProtection="1"/>
    <xf numFmtId="164" fontId="0" fillId="4" borderId="0" xfId="0" applyNumberFormat="1" applyFill="1"/>
    <xf numFmtId="0" fontId="2" fillId="0" borderId="0" xfId="0" applyFont="1" applyAlignment="1">
      <alignment horizontal="right"/>
    </xf>
    <xf numFmtId="164" fontId="0" fillId="0" borderId="0" xfId="0" applyNumberFormat="1"/>
    <xf numFmtId="4" fontId="0" fillId="4" borderId="0" xfId="0" applyNumberFormat="1" applyFill="1"/>
    <xf numFmtId="168" fontId="0" fillId="0" borderId="0" xfId="0" applyNumberFormat="1"/>
    <xf numFmtId="0" fontId="0" fillId="0" borderId="3" xfId="0" applyBorder="1"/>
    <xf numFmtId="0" fontId="0" fillId="5" borderId="3" xfId="0" applyFill="1" applyBorder="1"/>
    <xf numFmtId="2" fontId="0" fillId="5" borderId="3" xfId="0" applyNumberFormat="1" applyFill="1" applyBorder="1"/>
    <xf numFmtId="0" fontId="0" fillId="0" borderId="0" xfId="0" applyAlignment="1">
      <alignment horizontal="center"/>
    </xf>
    <xf numFmtId="169" fontId="0" fillId="5" borderId="3" xfId="2" applyNumberFormat="1" applyFont="1" applyFill="1" applyBorder="1" applyProtection="1"/>
    <xf numFmtId="2" fontId="0" fillId="6" borderId="0" xfId="0" applyNumberFormat="1" applyFill="1"/>
    <xf numFmtId="0" fontId="0" fillId="4" borderId="3" xfId="0" applyFill="1" applyBorder="1"/>
    <xf numFmtId="164" fontId="0" fillId="4" borderId="3" xfId="0" applyNumberFormat="1" applyFill="1" applyBorder="1"/>
    <xf numFmtId="2" fontId="0" fillId="4" borderId="3" xfId="0" applyNumberFormat="1" applyFill="1" applyBorder="1"/>
    <xf numFmtId="169" fontId="0" fillId="4" borderId="3" xfId="2" applyNumberFormat="1" applyFont="1" applyFill="1" applyBorder="1" applyProtection="1"/>
    <xf numFmtId="2" fontId="0" fillId="0" borderId="0" xfId="0" applyNumberFormat="1"/>
    <xf numFmtId="0" fontId="2" fillId="0" borderId="3" xfId="0" applyFont="1" applyBorder="1" applyAlignment="1">
      <alignment horizontal="center" vertical="center" wrapText="1"/>
    </xf>
    <xf numFmtId="4" fontId="0" fillId="0" borderId="3" xfId="0" applyNumberFormat="1" applyBorder="1"/>
    <xf numFmtId="2" fontId="0" fillId="0" borderId="3" xfId="0" applyNumberFormat="1" applyBorder="1"/>
    <xf numFmtId="167" fontId="0" fillId="0" borderId="0" xfId="0" applyNumberFormat="1"/>
    <xf numFmtId="0" fontId="2" fillId="3" borderId="3" xfId="0" applyFont="1" applyFill="1" applyBorder="1"/>
    <xf numFmtId="2" fontId="2" fillId="3" borderId="3" xfId="0" applyNumberFormat="1" applyFont="1" applyFill="1" applyBorder="1"/>
    <xf numFmtId="0" fontId="0" fillId="2" borderId="5" xfId="0" applyFill="1" applyBorder="1"/>
    <xf numFmtId="0" fontId="0" fillId="0" borderId="0" xfId="0" applyAlignment="1">
      <alignment horizontal="left"/>
    </xf>
    <xf numFmtId="0" fontId="2" fillId="7" borderId="0" xfId="0" applyFont="1" applyFill="1"/>
    <xf numFmtId="0" fontId="2" fillId="8" borderId="0" xfId="0" applyFont="1" applyFill="1"/>
    <xf numFmtId="0" fontId="0" fillId="0" borderId="0" xfId="0" applyAlignment="1">
      <alignment horizontal="right"/>
    </xf>
    <xf numFmtId="0" fontId="0" fillId="9" borderId="0" xfId="0" applyFill="1"/>
    <xf numFmtId="0" fontId="2" fillId="10" borderId="0" xfId="0" applyFont="1" applyFill="1"/>
    <xf numFmtId="2" fontId="2" fillId="10" borderId="0" xfId="0" applyNumberFormat="1" applyFont="1" applyFill="1"/>
    <xf numFmtId="1" fontId="0" fillId="0" borderId="0" xfId="0" applyNumberFormat="1"/>
    <xf numFmtId="0" fontId="2" fillId="11" borderId="0" xfId="0" applyFont="1" applyFill="1"/>
    <xf numFmtId="2" fontId="0" fillId="11" borderId="0" xfId="0" applyNumberFormat="1" applyFill="1"/>
    <xf numFmtId="0" fontId="0" fillId="11" borderId="0" xfId="0" applyFill="1" applyAlignment="1">
      <alignment horizontal="right"/>
    </xf>
    <xf numFmtId="0" fontId="0" fillId="11" borderId="0" xfId="0" applyFill="1"/>
    <xf numFmtId="0" fontId="7" fillId="0" borderId="9"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0" fillId="0" borderId="12" xfId="0" applyBorder="1"/>
    <xf numFmtId="170" fontId="8" fillId="0" borderId="11" xfId="0" applyNumberFormat="1" applyFont="1" applyBorder="1" applyAlignment="1">
      <alignment horizontal="right"/>
    </xf>
    <xf numFmtId="170" fontId="8" fillId="0" borderId="10" xfId="0" applyNumberFormat="1" applyFont="1" applyBorder="1" applyAlignment="1">
      <alignment horizontal="right"/>
    </xf>
    <xf numFmtId="170" fontId="9" fillId="0" borderId="13" xfId="1" applyNumberFormat="1" applyFont="1" applyBorder="1" applyAlignment="1" applyProtection="1">
      <alignment horizontal="right"/>
    </xf>
    <xf numFmtId="170" fontId="9" fillId="0" borderId="14" xfId="1" applyNumberFormat="1" applyFont="1" applyBorder="1" applyAlignment="1" applyProtection="1">
      <alignment horizontal="right"/>
    </xf>
    <xf numFmtId="170" fontId="8" fillId="0" borderId="15" xfId="0" applyNumberFormat="1" applyFont="1" applyBorder="1" applyAlignment="1">
      <alignment horizontal="right"/>
    </xf>
    <xf numFmtId="170" fontId="8" fillId="0" borderId="16" xfId="0" applyNumberFormat="1" applyFont="1" applyBorder="1" applyAlignment="1">
      <alignment horizontal="right"/>
    </xf>
    <xf numFmtId="170" fontId="9" fillId="0" borderId="17" xfId="1" applyNumberFormat="1" applyFont="1" applyBorder="1" applyAlignment="1" applyProtection="1">
      <alignment horizontal="right"/>
    </xf>
    <xf numFmtId="170" fontId="9" fillId="0" borderId="11" xfId="1" applyNumberFormat="1" applyFont="1" applyBorder="1" applyAlignment="1" applyProtection="1">
      <alignment horizontal="right"/>
    </xf>
    <xf numFmtId="170" fontId="9" fillId="0" borderId="0" xfId="1" applyNumberFormat="1" applyFont="1" applyBorder="1" applyAlignment="1" applyProtection="1">
      <alignment horizontal="right"/>
    </xf>
    <xf numFmtId="170" fontId="9" fillId="0" borderId="18" xfId="1" applyNumberFormat="1" applyFont="1" applyBorder="1" applyAlignment="1" applyProtection="1">
      <alignment horizontal="right"/>
    </xf>
    <xf numFmtId="170" fontId="9" fillId="0" borderId="10" xfId="1" applyNumberFormat="1" applyFont="1" applyBorder="1" applyAlignment="1" applyProtection="1">
      <alignment horizontal="right"/>
    </xf>
    <xf numFmtId="172" fontId="8" fillId="0" borderId="19" xfId="1" applyNumberFormat="1" applyFont="1" applyBorder="1" applyProtection="1"/>
    <xf numFmtId="172" fontId="8" fillId="0" borderId="20" xfId="1" applyNumberFormat="1" applyFont="1" applyBorder="1" applyProtection="1"/>
    <xf numFmtId="172" fontId="8" fillId="0" borderId="21" xfId="1" applyNumberFormat="1" applyFont="1" applyBorder="1" applyProtection="1"/>
    <xf numFmtId="170" fontId="10" fillId="0" borderId="11" xfId="1" applyNumberFormat="1" applyFont="1" applyBorder="1" applyAlignment="1" applyProtection="1">
      <alignment horizontal="right"/>
    </xf>
    <xf numFmtId="170" fontId="10" fillId="0" borderId="10" xfId="1" applyNumberFormat="1" applyFont="1" applyBorder="1" applyAlignment="1" applyProtection="1">
      <alignment horizontal="right"/>
    </xf>
    <xf numFmtId="172" fontId="8" fillId="0" borderId="22" xfId="1" applyNumberFormat="1" applyFont="1" applyBorder="1" applyProtection="1"/>
    <xf numFmtId="172" fontId="8" fillId="0" borderId="23" xfId="1" applyNumberFormat="1" applyFont="1" applyBorder="1" applyProtection="1"/>
    <xf numFmtId="172" fontId="8" fillId="0" borderId="24" xfId="1" applyNumberFormat="1" applyFont="1" applyBorder="1" applyProtection="1"/>
    <xf numFmtId="170" fontId="9" fillId="0" borderId="15" xfId="1" applyNumberFormat="1" applyFont="1" applyBorder="1" applyAlignment="1" applyProtection="1">
      <alignment horizontal="right"/>
    </xf>
    <xf numFmtId="170" fontId="9" fillId="0" borderId="16" xfId="1" applyNumberFormat="1" applyFont="1" applyBorder="1" applyAlignment="1" applyProtection="1">
      <alignment horizontal="right"/>
    </xf>
    <xf numFmtId="172" fontId="8" fillId="0" borderId="0" xfId="1" applyNumberFormat="1" applyFont="1" applyBorder="1" applyProtection="1"/>
    <xf numFmtId="172" fontId="8" fillId="0" borderId="25" xfId="1" applyNumberFormat="1" applyFont="1" applyBorder="1" applyProtection="1"/>
    <xf numFmtId="4" fontId="8" fillId="0" borderId="0" xfId="1" applyNumberFormat="1" applyFont="1" applyBorder="1" applyProtection="1"/>
    <xf numFmtId="172" fontId="8" fillId="0" borderId="26" xfId="1" applyNumberFormat="1" applyFont="1" applyBorder="1" applyProtection="1"/>
    <xf numFmtId="170" fontId="10" fillId="0" borderId="14" xfId="1" applyNumberFormat="1" applyFont="1" applyBorder="1" applyAlignment="1" applyProtection="1">
      <alignment horizontal="right"/>
    </xf>
    <xf numFmtId="170" fontId="10" fillId="0" borderId="0" xfId="1" applyNumberFormat="1" applyFont="1" applyBorder="1" applyAlignment="1" applyProtection="1">
      <alignment horizontal="right"/>
    </xf>
    <xf numFmtId="167" fontId="8" fillId="0" borderId="0" xfId="1" applyNumberFormat="1" applyFont="1" applyBorder="1" applyProtection="1"/>
    <xf numFmtId="172" fontId="8" fillId="0" borderId="10" xfId="1" applyNumberFormat="1" applyFont="1" applyBorder="1" applyProtection="1"/>
    <xf numFmtId="172" fontId="8" fillId="0" borderId="11" xfId="1" applyNumberFormat="1" applyFont="1" applyBorder="1" applyProtection="1"/>
    <xf numFmtId="172" fontId="8" fillId="0" borderId="14" xfId="1" applyNumberFormat="1" applyFont="1" applyBorder="1" applyProtection="1"/>
    <xf numFmtId="170" fontId="0" fillId="0" borderId="0" xfId="0" applyNumberFormat="1"/>
    <xf numFmtId="169" fontId="0" fillId="0" borderId="0" xfId="0" applyNumberFormat="1"/>
    <xf numFmtId="173" fontId="0" fillId="2" borderId="6" xfId="0" applyNumberFormat="1" applyFill="1" applyBorder="1"/>
    <xf numFmtId="173" fontId="0" fillId="0" borderId="0" xfId="0" applyNumberFormat="1"/>
    <xf numFmtId="174" fontId="0" fillId="0" borderId="0" xfId="0" applyNumberFormat="1"/>
    <xf numFmtId="0" fontId="12" fillId="13" borderId="3" xfId="0" applyFont="1" applyFill="1" applyBorder="1" applyAlignment="1">
      <alignment horizontal="center" vertical="center"/>
    </xf>
    <xf numFmtId="0" fontId="0" fillId="0" borderId="3" xfId="0" applyBorder="1" applyAlignment="1">
      <alignmen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2" fillId="0" borderId="3" xfId="0" applyFont="1" applyBorder="1" applyAlignment="1">
      <alignment horizontal="center" vertical="center"/>
    </xf>
    <xf numFmtId="49" fontId="0" fillId="0" borderId="3" xfId="0" applyNumberFormat="1" applyBorder="1" applyAlignment="1">
      <alignment vertical="top" wrapText="1"/>
    </xf>
    <xf numFmtId="0" fontId="14" fillId="0" borderId="0" xfId="0" applyFont="1"/>
    <xf numFmtId="166" fontId="13" fillId="0" borderId="0" xfId="2"/>
    <xf numFmtId="175" fontId="0" fillId="0" borderId="0" xfId="0" applyNumberFormat="1"/>
    <xf numFmtId="0" fontId="2" fillId="2" borderId="1" xfId="0" applyFont="1" applyFill="1" applyBorder="1" applyAlignment="1">
      <alignment horizontal="center"/>
    </xf>
    <xf numFmtId="0" fontId="0" fillId="3" borderId="3" xfId="0" applyFill="1" applyBorder="1" applyAlignment="1">
      <alignment horizontal="center" vertical="center" wrapText="1"/>
    </xf>
    <xf numFmtId="0" fontId="0" fillId="0" borderId="8" xfId="0" applyBorder="1" applyAlignment="1">
      <alignment horizontal="center" wrapText="1"/>
    </xf>
    <xf numFmtId="0" fontId="0" fillId="5" borderId="3" xfId="0" applyFill="1" applyBorder="1" applyAlignment="1">
      <alignment horizontal="center" vertical="center" wrapText="1"/>
    </xf>
    <xf numFmtId="0" fontId="0" fillId="4" borderId="3" xfId="0" applyFill="1" applyBorder="1" applyAlignment="1">
      <alignment horizontal="center" wrapText="1"/>
    </xf>
    <xf numFmtId="0" fontId="2" fillId="0" borderId="3" xfId="0" applyFont="1" applyBorder="1" applyAlignment="1">
      <alignment horizontal="center" vertical="center" wrapText="1"/>
    </xf>
    <xf numFmtId="0" fontId="2" fillId="0" borderId="3" xfId="0" applyFont="1" applyBorder="1" applyAlignment="1">
      <alignment horizontal="center" wrapText="1"/>
    </xf>
    <xf numFmtId="0" fontId="0" fillId="12" borderId="0" xfId="0" applyFill="1" applyAlignment="1">
      <alignment horizontal="center" vertical="center"/>
    </xf>
    <xf numFmtId="0" fontId="0" fillId="0" borderId="0" xfId="0" applyAlignment="1">
      <alignment horizontal="center" vertical="center"/>
    </xf>
    <xf numFmtId="0" fontId="11" fillId="3" borderId="3" xfId="0" applyFont="1" applyFill="1" applyBorder="1" applyAlignment="1">
      <alignment horizontal="center" vertical="center" wrapText="1"/>
    </xf>
    <xf numFmtId="0" fontId="0" fillId="0" borderId="0" xfId="0" applyAlignment="1">
      <alignment horizontal="center" wrapText="1"/>
    </xf>
    <xf numFmtId="0" fontId="0" fillId="0" borderId="3" xfId="0" applyBorder="1" applyAlignment="1">
      <alignment vertical="top" wrapText="1"/>
    </xf>
    <xf numFmtId="0" fontId="0" fillId="0" borderId="3" xfId="0" applyBorder="1" applyAlignment="1">
      <alignment horizontal="center" vertical="center"/>
    </xf>
    <xf numFmtId="176" fontId="13" fillId="0" borderId="0" xfId="2" applyNumberFormat="1"/>
  </cellXfs>
  <cellStyles count="5">
    <cellStyle name="Lien hypertexte" xfId="3" builtinId="8"/>
    <cellStyle name="Milliers" xfId="1" builtinId="3"/>
    <cellStyle name="Normal" xfId="0" builtinId="0"/>
    <cellStyle name="Normal 2" xfId="4" xr:uid="{00000000-0005-0000-0000-000003000000}"/>
    <cellStyle name="Pourcentage" xfId="2" builtinId="5"/>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7E0021"/>
      <rgbColor rgb="FF008000"/>
      <rgbColor rgb="FF000080"/>
      <rgbColor rgb="FF579D1C"/>
      <rgbColor rgb="FF800080"/>
      <rgbColor rgb="FF2E75B6"/>
      <rgbColor rgb="FFBFBFBF"/>
      <rgbColor rgb="FF70AD47"/>
      <rgbColor rgb="FF98B8DF"/>
      <rgbColor rgb="FF9C5BCD"/>
      <rgbColor rgb="FFFFF2CC"/>
      <rgbColor rgb="FFDEEBF7"/>
      <rgbColor rgb="FF660066"/>
      <rgbColor rgb="FFFF420E"/>
      <rgbColor rgb="FF0563C1"/>
      <rgbColor rgb="FFBDD7EE"/>
      <rgbColor rgb="FF000080"/>
      <rgbColor rgb="FFFF00FF"/>
      <rgbColor rgb="FFFFF200"/>
      <rgbColor rgb="FF00FFFF"/>
      <rgbColor rgb="FF800080"/>
      <rgbColor rgb="FF800000"/>
      <rgbColor rgb="FF255E91"/>
      <rgbColor rgb="FF0000FF"/>
      <rgbColor rgb="FFB4C7E7"/>
      <rgbColor rgb="FFDAE3F3"/>
      <rgbColor rgb="FFC5E0B4"/>
      <rgbColor rgb="FFD9D9D9"/>
      <rgbColor rgb="FF83CAFF"/>
      <rgbColor rgb="FFB4C7DC"/>
      <rgbColor rgb="FFB3B3B3"/>
      <rgbColor rgb="FFFFD966"/>
      <rgbColor rgb="FF4472C4"/>
      <rgbColor rgb="FF5B9BD5"/>
      <rgbColor rgb="FF81D41A"/>
      <rgbColor rgb="FFFFC000"/>
      <rgbColor rgb="FFFFBF00"/>
      <rgbColor rgb="FFED7D31"/>
      <rgbColor rgb="FF595959"/>
      <rgbColor rgb="FFA5A5A5"/>
      <rgbColor rgb="FF004586"/>
      <rgbColor rgb="FF639A3F"/>
      <rgbColor rgb="FF003300"/>
      <rgbColor rgb="FF314004"/>
      <rgbColor rgb="FFCE181E"/>
      <rgbColor rgb="FFFFD320"/>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Projections de population (FR entière)</a:t>
            </a:r>
          </a:p>
        </c:rich>
      </c:tx>
      <c:layout>
        <c:manualLayout>
          <c:xMode val="edge"/>
          <c:yMode val="edge"/>
          <c:x val="0.20680756085652499"/>
          <c:y val="3.2457879088206097E-2"/>
        </c:manualLayout>
      </c:layout>
      <c:overlay val="0"/>
      <c:spPr>
        <a:noFill/>
        <a:ln>
          <a:noFill/>
        </a:ln>
      </c:spPr>
    </c:title>
    <c:autoTitleDeleted val="0"/>
    <c:plotArea>
      <c:layout>
        <c:manualLayout>
          <c:layoutTarget val="inner"/>
          <c:xMode val="edge"/>
          <c:yMode val="edge"/>
          <c:x val="0.106368138383204"/>
          <c:y val="0.11207466138090499"/>
          <c:w val="0.845016391155751"/>
          <c:h val="0.726874793524942"/>
        </c:manualLayout>
      </c:layout>
      <c:scatterChart>
        <c:scatterStyle val="lineMarker"/>
        <c:varyColors val="0"/>
        <c:ser>
          <c:idx val="0"/>
          <c:order val="0"/>
          <c:tx>
            <c:strRef>
              <c:f>'1. Population'!$A$18:$A$18</c:f>
              <c:strCache>
                <c:ptCount val="1"/>
                <c:pt idx="0">
                  <c:v>AMS18</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Population'!$B$18:$AH$18</c:f>
              <c:numCache>
                <c:formatCode>General</c:formatCode>
                <c:ptCount val="33"/>
                <c:pt idx="2">
                  <c:v>67.819999999999993</c:v>
                </c:pt>
                <c:pt idx="7">
                  <c:v>69.093000000000004</c:v>
                </c:pt>
                <c:pt idx="12">
                  <c:v>70.281000000000006</c:v>
                </c:pt>
                <c:pt idx="17">
                  <c:v>71.417000000000002</c:v>
                </c:pt>
                <c:pt idx="22">
                  <c:v>72.448999999999998</c:v>
                </c:pt>
                <c:pt idx="27">
                  <c:v>73.311999999999998</c:v>
                </c:pt>
                <c:pt idx="32">
                  <c:v>74.025000000000006</c:v>
                </c:pt>
              </c:numCache>
            </c:numRef>
          </c:yVal>
          <c:smooth val="1"/>
          <c:extLst>
            <c:ext xmlns:c16="http://schemas.microsoft.com/office/drawing/2014/chart" uri="{C3380CC4-5D6E-409C-BE32-E72D297353CC}">
              <c16:uniqueId val="{00000000-9F28-4F45-8E12-4172F36FC131}"/>
            </c:ext>
          </c:extLst>
        </c:ser>
        <c:ser>
          <c:idx val="1"/>
          <c:order val="1"/>
          <c:tx>
            <c:strRef>
              <c:f>'1. Population'!$A$21:$A$21</c:f>
              <c:strCache>
                <c:ptCount val="1"/>
                <c:pt idx="0">
                  <c:v>Commission cadrage mars 2022</c:v>
                </c:pt>
              </c:strCache>
            </c:strRef>
          </c:tx>
          <c:spPr>
            <a:ln w="28800">
              <a:solidFill>
                <a:srgbClr val="7E0021"/>
              </a:solidFill>
              <a:round/>
            </a:ln>
          </c:spPr>
          <c:marker>
            <c:symbol val="circle"/>
            <c:size val="5"/>
            <c:spPr>
              <a:solidFill>
                <a:srgbClr val="7E0021"/>
              </a:solidFill>
            </c:spPr>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Population'!$D$16:$AH$16</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'1. Population'!$D$21:$AH$21</c:f>
              <c:numCache>
                <c:formatCode>#,##0.00</c:formatCode>
                <c:ptCount val="31"/>
                <c:pt idx="0">
                  <c:v>67.320216000000002</c:v>
                </c:pt>
                <c:pt idx="1">
                  <c:v>67.439599000000001</c:v>
                </c:pt>
                <c:pt idx="2">
                  <c:v>67.588901250000006</c:v>
                </c:pt>
                <c:pt idx="3">
                  <c:v>67.738203499999997</c:v>
                </c:pt>
                <c:pt idx="4">
                  <c:v>67.887505750000003</c:v>
                </c:pt>
                <c:pt idx="5">
                  <c:v>68.036807999999994</c:v>
                </c:pt>
                <c:pt idx="6">
                  <c:v>68.189108000000004</c:v>
                </c:pt>
                <c:pt idx="7">
                  <c:v>68.335925000000003</c:v>
                </c:pt>
                <c:pt idx="8">
                  <c:v>68.477953999999997</c:v>
                </c:pt>
                <c:pt idx="9">
                  <c:v>68.615684000000002</c:v>
                </c:pt>
                <c:pt idx="10">
                  <c:v>68.749399999999994</c:v>
                </c:pt>
                <c:pt idx="11">
                  <c:v>68.879193999999998</c:v>
                </c:pt>
                <c:pt idx="12">
                  <c:v>69.004981000000001</c:v>
                </c:pt>
                <c:pt idx="13">
                  <c:v>69.126434000000003</c:v>
                </c:pt>
                <c:pt idx="14">
                  <c:v>69.243088999999998</c:v>
                </c:pt>
                <c:pt idx="15">
                  <c:v>69.354320999999999</c:v>
                </c:pt>
                <c:pt idx="16">
                  <c:v>69.459440000000001</c:v>
                </c:pt>
                <c:pt idx="17">
                  <c:v>69.557590000000005</c:v>
                </c:pt>
                <c:pt idx="18">
                  <c:v>69.647993</c:v>
                </c:pt>
                <c:pt idx="19">
                  <c:v>69.729805999999996</c:v>
                </c:pt>
                <c:pt idx="20">
                  <c:v>69.802408999999997</c:v>
                </c:pt>
                <c:pt idx="21">
                  <c:v>69.865297999999996</c:v>
                </c:pt>
                <c:pt idx="22">
                  <c:v>69.918087</c:v>
                </c:pt>
                <c:pt idx="23">
                  <c:v>69.960555999999997</c:v>
                </c:pt>
                <c:pt idx="24">
                  <c:v>69.992966999999993</c:v>
                </c:pt>
                <c:pt idx="25">
                  <c:v>70.015780000000007</c:v>
                </c:pt>
                <c:pt idx="26">
                  <c:v>70.029606999999999</c:v>
                </c:pt>
                <c:pt idx="27">
                  <c:v>70.035050999999996</c:v>
                </c:pt>
                <c:pt idx="28">
                  <c:v>70.033175</c:v>
                </c:pt>
                <c:pt idx="29">
                  <c:v>70.024900000000002</c:v>
                </c:pt>
                <c:pt idx="30">
                  <c:v>70.010902999999999</c:v>
                </c:pt>
              </c:numCache>
            </c:numRef>
          </c:yVal>
          <c:smooth val="1"/>
          <c:extLst>
            <c:ext xmlns:c16="http://schemas.microsoft.com/office/drawing/2014/chart" uri="{C3380CC4-5D6E-409C-BE32-E72D297353CC}">
              <c16:uniqueId val="{00000001-9F28-4F45-8E12-4172F36FC131}"/>
            </c:ext>
          </c:extLst>
        </c:ser>
        <c:ser>
          <c:idx val="2"/>
          <c:order val="2"/>
          <c:tx>
            <c:strRef>
              <c:f>'1. Population'!$A$17:$A$17</c:f>
              <c:strCache>
                <c:ptCount val="1"/>
                <c:pt idx="0">
                  <c:v>Observé</c:v>
                </c:pt>
              </c:strCache>
            </c:strRef>
          </c:tx>
          <c:spPr>
            <a:ln w="1908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Population'!$B$17:$AH$17</c:f>
              <c:numCache>
                <c:formatCode>#\ ##0.000</c:formatCode>
                <c:ptCount val="33"/>
                <c:pt idx="0">
                  <c:v>66.992000000000004</c:v>
                </c:pt>
                <c:pt idx="1">
                  <c:v>67.144000000000005</c:v>
                </c:pt>
                <c:pt idx="2" formatCode="General">
                  <c:v>67.287000000000006</c:v>
                </c:pt>
                <c:pt idx="3">
                  <c:v>67.406999999999996</c:v>
                </c:pt>
              </c:numCache>
            </c:numRef>
          </c:yVal>
          <c:smooth val="1"/>
          <c:extLst>
            <c:ext xmlns:c16="http://schemas.microsoft.com/office/drawing/2014/chart" uri="{C3380CC4-5D6E-409C-BE32-E72D297353CC}">
              <c16:uniqueId val="{00000002-9F28-4F45-8E12-4172F36FC131}"/>
            </c:ext>
          </c:extLst>
        </c:ser>
        <c:ser>
          <c:idx val="3"/>
          <c:order val="3"/>
          <c:tx>
            <c:strRef>
              <c:f>'1. Population'!$A$19:$A$19</c:f>
              <c:strCache>
                <c:ptCount val="1"/>
                <c:pt idx="0">
                  <c:v>AME 2021</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Population'!$B$19:$AH$19</c:f>
              <c:numCache>
                <c:formatCode>0.0</c:formatCode>
                <c:ptCount val="33"/>
                <c:pt idx="0">
                  <c:v>66.98</c:v>
                </c:pt>
                <c:pt idx="1">
                  <c:v>67.012883000000002</c:v>
                </c:pt>
                <c:pt idx="2">
                  <c:v>67.204763</c:v>
                </c:pt>
                <c:pt idx="3">
                  <c:v>67.388433000000006</c:v>
                </c:pt>
                <c:pt idx="4">
                  <c:v>67.575000000000003</c:v>
                </c:pt>
                <c:pt idx="5">
                  <c:v>67.765465000000006</c:v>
                </c:pt>
                <c:pt idx="6">
                  <c:v>67.955439999999996</c:v>
                </c:pt>
                <c:pt idx="7">
                  <c:v>68.145742999999996</c:v>
                </c:pt>
                <c:pt idx="8">
                  <c:v>68.335445000000007</c:v>
                </c:pt>
                <c:pt idx="9">
                  <c:v>68.526661000000004</c:v>
                </c:pt>
                <c:pt idx="10">
                  <c:v>68.718934000000004</c:v>
                </c:pt>
                <c:pt idx="11">
                  <c:v>68.916612999999998</c:v>
                </c:pt>
                <c:pt idx="12">
                  <c:v>69.116879999999995</c:v>
                </c:pt>
                <c:pt idx="13">
                  <c:v>69.319056000000003</c:v>
                </c:pt>
                <c:pt idx="14">
                  <c:v>69.521761999999995</c:v>
                </c:pt>
                <c:pt idx="15">
                  <c:v>69.722271000000006</c:v>
                </c:pt>
                <c:pt idx="16">
                  <c:v>69.91583</c:v>
                </c:pt>
                <c:pt idx="17">
                  <c:v>70.104962</c:v>
                </c:pt>
                <c:pt idx="18">
                  <c:v>70.288808000000003</c:v>
                </c:pt>
                <c:pt idx="19">
                  <c:v>70.465976999999995</c:v>
                </c:pt>
                <c:pt idx="20">
                  <c:v>70.633769999999998</c:v>
                </c:pt>
                <c:pt idx="21">
                  <c:v>70.788492000000005</c:v>
                </c:pt>
                <c:pt idx="22">
                  <c:v>70.926210999999995</c:v>
                </c:pt>
                <c:pt idx="23">
                  <c:v>71.046882993855405</c:v>
                </c:pt>
                <c:pt idx="24">
                  <c:v>71.166557698505301</c:v>
                </c:pt>
                <c:pt idx="25">
                  <c:v>71.269278486663197</c:v>
                </c:pt>
                <c:pt idx="26">
                  <c:v>71.366015539588602</c:v>
                </c:pt>
                <c:pt idx="27">
                  <c:v>71.459760724897706</c:v>
                </c:pt>
                <c:pt idx="28">
                  <c:v>71.533560126098493</c:v>
                </c:pt>
                <c:pt idx="29">
                  <c:v>71.606362238093894</c:v>
                </c:pt>
                <c:pt idx="30">
                  <c:v>71.671186036445903</c:v>
                </c:pt>
                <c:pt idx="31">
                  <c:v>71.726036942743804</c:v>
                </c:pt>
                <c:pt idx="32">
                  <c:v>71.776898692220101</c:v>
                </c:pt>
              </c:numCache>
            </c:numRef>
          </c:yVal>
          <c:smooth val="1"/>
          <c:extLst>
            <c:ext xmlns:c16="http://schemas.microsoft.com/office/drawing/2014/chart" uri="{C3380CC4-5D6E-409C-BE32-E72D297353CC}">
              <c16:uniqueId val="{00000003-9F28-4F45-8E12-4172F36FC131}"/>
            </c:ext>
          </c:extLst>
        </c:ser>
        <c:ser>
          <c:idx val="4"/>
          <c:order val="4"/>
          <c:tx>
            <c:strRef>
              <c:f>'1. Population'!$A$20:$A$20</c:f>
              <c:strCache>
                <c:ptCount val="1"/>
                <c:pt idx="0">
                  <c:v>INSEE 2021 – scénario central - AME 2023</c:v>
                </c:pt>
              </c:strCache>
            </c:strRef>
          </c:tx>
          <c:spPr>
            <a:ln w="28800">
              <a:solidFill>
                <a:srgbClr val="579D1C"/>
              </a:solidFill>
              <a:round/>
            </a:ln>
          </c:spPr>
          <c:marker>
            <c:symbol val="circle"/>
            <c:size val="5"/>
            <c:spPr>
              <a:solidFill>
                <a:srgbClr val="579D1C"/>
              </a:solidFill>
              <a:ln w="3175"/>
            </c:spPr>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Population'!$B$20:$AH$20</c:f>
              <c:numCache>
                <c:formatCode>General</c:formatCode>
                <c:ptCount val="33"/>
                <c:pt idx="0">
                  <c:v>66.991</c:v>
                </c:pt>
                <c:pt idx="1">
                  <c:v>67.146000000000001</c:v>
                </c:pt>
                <c:pt idx="2">
                  <c:v>67.286000000000001</c:v>
                </c:pt>
                <c:pt idx="3">
                  <c:v>67.406000000000006</c:v>
                </c:pt>
                <c:pt idx="4">
                  <c:v>67.513000000000005</c:v>
                </c:pt>
                <c:pt idx="5">
                  <c:v>67.658000000000001</c:v>
                </c:pt>
                <c:pt idx="6">
                  <c:v>67.811999999999998</c:v>
                </c:pt>
                <c:pt idx="7">
                  <c:v>67.954999999999998</c:v>
                </c:pt>
                <c:pt idx="8">
                  <c:v>68.09</c:v>
                </c:pt>
                <c:pt idx="9">
                  <c:v>68.215999999999994</c:v>
                </c:pt>
                <c:pt idx="10">
                  <c:v>68.337000000000003</c:v>
                </c:pt>
                <c:pt idx="11">
                  <c:v>68.45</c:v>
                </c:pt>
                <c:pt idx="12">
                  <c:v>68.554000000000002</c:v>
                </c:pt>
                <c:pt idx="13">
                  <c:v>68.653999999999996</c:v>
                </c:pt>
                <c:pt idx="14">
                  <c:v>68.747</c:v>
                </c:pt>
                <c:pt idx="15">
                  <c:v>68.831999999999994</c:v>
                </c:pt>
                <c:pt idx="16">
                  <c:v>68.909000000000006</c:v>
                </c:pt>
                <c:pt idx="17">
                  <c:v>68.983999999999995</c:v>
                </c:pt>
                <c:pt idx="18">
                  <c:v>69.05</c:v>
                </c:pt>
                <c:pt idx="19">
                  <c:v>69.103999999999999</c:v>
                </c:pt>
                <c:pt idx="20">
                  <c:v>69.152000000000001</c:v>
                </c:pt>
                <c:pt idx="21">
                  <c:v>69.192999999999998</c:v>
                </c:pt>
                <c:pt idx="22">
                  <c:v>69.224999999999994</c:v>
                </c:pt>
                <c:pt idx="23">
                  <c:v>69.251999999999995</c:v>
                </c:pt>
                <c:pt idx="24">
                  <c:v>69.27</c:v>
                </c:pt>
                <c:pt idx="25">
                  <c:v>69.278999999999996</c:v>
                </c:pt>
                <c:pt idx="26">
                  <c:v>69.284999999999997</c:v>
                </c:pt>
                <c:pt idx="27">
                  <c:v>69.284000000000006</c:v>
                </c:pt>
                <c:pt idx="28">
                  <c:v>69.277000000000001</c:v>
                </c:pt>
                <c:pt idx="29">
                  <c:v>69.266999999999996</c:v>
                </c:pt>
                <c:pt idx="30">
                  <c:v>69.251999999999995</c:v>
                </c:pt>
                <c:pt idx="31">
                  <c:v>69.231999999999999</c:v>
                </c:pt>
                <c:pt idx="32">
                  <c:v>69.206999999999994</c:v>
                </c:pt>
              </c:numCache>
            </c:numRef>
          </c:yVal>
          <c:smooth val="1"/>
          <c:extLst>
            <c:ext xmlns:c16="http://schemas.microsoft.com/office/drawing/2014/chart" uri="{C3380CC4-5D6E-409C-BE32-E72D297353CC}">
              <c16:uniqueId val="{00000004-9F28-4F45-8E12-4172F36FC131}"/>
            </c:ext>
          </c:extLst>
        </c:ser>
        <c:dLbls>
          <c:showLegendKey val="0"/>
          <c:showVal val="0"/>
          <c:showCatName val="0"/>
          <c:showSerName val="0"/>
          <c:showPercent val="0"/>
          <c:showBubbleSize val="0"/>
        </c:dLbls>
        <c:axId val="74513181"/>
        <c:axId val="69348646"/>
      </c:scatterChart>
      <c:valAx>
        <c:axId val="74513181"/>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69348646"/>
        <c:crosses val="autoZero"/>
        <c:crossBetween val="midCat"/>
      </c:valAx>
      <c:valAx>
        <c:axId val="69348646"/>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fr-FR" sz="1000" b="0" strike="noStrike" spc="-1">
                    <a:solidFill>
                      <a:srgbClr val="595959"/>
                    </a:solidFill>
                    <a:latin typeface="Calibri"/>
                  </a:rPr>
                  <a:t>millions habitants</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4513181"/>
        <c:crosses val="autoZero"/>
        <c:crossBetween val="midCat"/>
      </c:valAx>
      <c:spPr>
        <a:noFill/>
        <a:ln>
          <a:noFill/>
        </a:ln>
      </c:spPr>
    </c:plotArea>
    <c:legend>
      <c:legendPos val="r"/>
      <c:layout>
        <c:manualLayout>
          <c:xMode val="edge"/>
          <c:yMode val="edge"/>
          <c:x val="2.2619902553388707E-2"/>
          <c:y val="0.90217076700434096"/>
          <c:w val="0.95162199761451693"/>
          <c:h val="9.7829230299862319E-2"/>
        </c:manualLayout>
      </c:layout>
      <c:overlay val="1"/>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du PIB (index 2018 = 100)</a:t>
            </a:r>
          </a:p>
        </c:rich>
      </c:tx>
      <c:overlay val="0"/>
      <c:spPr>
        <a:noFill/>
        <a:ln>
          <a:noFill/>
        </a:ln>
      </c:spPr>
    </c:title>
    <c:autoTitleDeleted val="0"/>
    <c:plotArea>
      <c:layout>
        <c:manualLayout>
          <c:layoutTarget val="inner"/>
          <c:xMode val="edge"/>
          <c:yMode val="edge"/>
          <c:x val="5.8284043330896498E-2"/>
          <c:y val="0.16954082692707301"/>
          <c:w val="0.89944839502890905"/>
          <c:h val="0.61032619987533798"/>
        </c:manualLayout>
      </c:layout>
      <c:scatterChart>
        <c:scatterStyle val="lineMarker"/>
        <c:varyColors val="0"/>
        <c:ser>
          <c:idx val="0"/>
          <c:order val="0"/>
          <c:tx>
            <c:strRef>
              <c:f>'2. PIB'!$A$25:$A$25</c:f>
              <c:strCache>
                <c:ptCount val="1"/>
                <c:pt idx="0">
                  <c:v>AMS2018</c:v>
                </c:pt>
              </c:strCache>
            </c:strRef>
          </c:tx>
          <c:spPr>
            <a:ln w="19080">
              <a:solidFill>
                <a:srgbClr val="5B9BD5"/>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PIB'!$B$24:$AH$24</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PIB'!$B$25:$AH$25</c:f>
              <c:numCache>
                <c:formatCode>0.0</c:formatCode>
                <c:ptCount val="33"/>
                <c:pt idx="0" formatCode="General">
                  <c:v>100</c:v>
                </c:pt>
                <c:pt idx="1">
                  <c:v>101.6</c:v>
                </c:pt>
                <c:pt idx="2">
                  <c:v>102.92079999999999</c:v>
                </c:pt>
                <c:pt idx="3">
                  <c:v>104.25877039999997</c:v>
                </c:pt>
                <c:pt idx="4">
                  <c:v>105.61413441519997</c:v>
                </c:pt>
                <c:pt idx="5">
                  <c:v>106.98711816259755</c:v>
                </c:pt>
                <c:pt idx="6">
                  <c:v>108.37795069871132</c:v>
                </c:pt>
                <c:pt idx="7">
                  <c:v>109.89524200849327</c:v>
                </c:pt>
                <c:pt idx="8">
                  <c:v>111.43377539661218</c:v>
                </c:pt>
                <c:pt idx="9">
                  <c:v>112.99384825216475</c:v>
                </c:pt>
                <c:pt idx="10">
                  <c:v>114.57576212769506</c:v>
                </c:pt>
                <c:pt idx="11">
                  <c:v>116.17982279748279</c:v>
                </c:pt>
                <c:pt idx="12">
                  <c:v>118.15487978503998</c:v>
                </c:pt>
                <c:pt idx="13">
                  <c:v>120.16351274138565</c:v>
                </c:pt>
                <c:pt idx="14">
                  <c:v>122.20629245798919</c:v>
                </c:pt>
                <c:pt idx="15">
                  <c:v>124.283799429775</c:v>
                </c:pt>
                <c:pt idx="16">
                  <c:v>126.39662402008116</c:v>
                </c:pt>
                <c:pt idx="17">
                  <c:v>128.54536662842253</c:v>
                </c:pt>
                <c:pt idx="18">
                  <c:v>130.73063786110569</c:v>
                </c:pt>
                <c:pt idx="19">
                  <c:v>132.95305870474448</c:v>
                </c:pt>
                <c:pt idx="20">
                  <c:v>135.21326070272511</c:v>
                </c:pt>
                <c:pt idx="21">
                  <c:v>137.51188613467141</c:v>
                </c:pt>
                <c:pt idx="22">
                  <c:v>139.84958819896082</c:v>
                </c:pt>
                <c:pt idx="23">
                  <c:v>142.22703119834313</c:v>
                </c:pt>
                <c:pt idx="24">
                  <c:v>144.64489072871496</c:v>
                </c:pt>
                <c:pt idx="25">
                  <c:v>147.1038538711031</c:v>
                </c:pt>
                <c:pt idx="26">
                  <c:v>149.60461938691185</c:v>
                </c:pt>
                <c:pt idx="27">
                  <c:v>152.14789791648934</c:v>
                </c:pt>
                <c:pt idx="28">
                  <c:v>154.73441218106964</c:v>
                </c:pt>
                <c:pt idx="29">
                  <c:v>157.36489718814781</c:v>
                </c:pt>
                <c:pt idx="30">
                  <c:v>160.04010044034629</c:v>
                </c:pt>
                <c:pt idx="31">
                  <c:v>162.76078214783217</c:v>
                </c:pt>
                <c:pt idx="32">
                  <c:v>165.52771544434532</c:v>
                </c:pt>
              </c:numCache>
            </c:numRef>
          </c:yVal>
          <c:smooth val="1"/>
          <c:extLst>
            <c:ext xmlns:c16="http://schemas.microsoft.com/office/drawing/2014/chart" uri="{C3380CC4-5D6E-409C-BE32-E72D297353CC}">
              <c16:uniqueId val="{00000000-E2DE-4338-BDAD-41DB4EF92BFD}"/>
            </c:ext>
          </c:extLst>
        </c:ser>
        <c:ser>
          <c:idx val="1"/>
          <c:order val="1"/>
          <c:tx>
            <c:strRef>
              <c:f>'2. PIB'!$A$43</c:f>
              <c:strCache>
                <c:ptCount val="1"/>
                <c:pt idx="0">
                  <c:v>AME AMS 2023 – run1</c:v>
                </c:pt>
              </c:strCache>
            </c:strRef>
          </c:tx>
          <c:spPr>
            <a:ln w="28800">
              <a:solidFill>
                <a:srgbClr val="314004"/>
              </a:solidFill>
              <a:round/>
            </a:ln>
          </c:spPr>
          <c:marker>
            <c:symbol val="none"/>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PIB'!$B$46:$AH$46</c:f>
              <c:numCache>
                <c:formatCode>0.00</c:formatCode>
                <c:ptCount val="33"/>
                <c:pt idx="0">
                  <c:v>100</c:v>
                </c:pt>
                <c:pt idx="1">
                  <c:v>101.8</c:v>
                </c:pt>
                <c:pt idx="2">
                  <c:v>93.656000000000006</c:v>
                </c:pt>
                <c:pt idx="3">
                  <c:v>100.331619953463</c:v>
                </c:pt>
                <c:pt idx="4">
                  <c:v>101.83103561289001</c:v>
                </c:pt>
                <c:pt idx="5">
                  <c:v>103.21513796855</c:v>
                </c:pt>
                <c:pt idx="6">
                  <c:v>104.566650147178</c:v>
                </c:pt>
                <c:pt idx="7">
                  <c:v>105.187906794448</c:v>
                </c:pt>
                <c:pt idx="8">
                  <c:v>105.87130904605399</c:v>
                </c:pt>
                <c:pt idx="9">
                  <c:v>106.59262847648201</c:v>
                </c:pt>
                <c:pt idx="10">
                  <c:v>107.35912560490399</c:v>
                </c:pt>
                <c:pt idx="11">
                  <c:v>108.121886968542</c:v>
                </c:pt>
                <c:pt idx="12">
                  <c:v>108.951403101143</c:v>
                </c:pt>
                <c:pt idx="13">
                  <c:v>109.850189985173</c:v>
                </c:pt>
                <c:pt idx="14">
                  <c:v>110.822023358027</c:v>
                </c:pt>
                <c:pt idx="15">
                  <c:v>111.85882301091</c:v>
                </c:pt>
                <c:pt idx="16">
                  <c:v>112.973487786612</c:v>
                </c:pt>
                <c:pt idx="17">
                  <c:v>114.165203978835</c:v>
                </c:pt>
                <c:pt idx="18">
                  <c:v>115.455847357856</c:v>
                </c:pt>
                <c:pt idx="19">
                  <c:v>116.842170066327</c:v>
                </c:pt>
                <c:pt idx="20">
                  <c:v>118.330728674892</c:v>
                </c:pt>
                <c:pt idx="21">
                  <c:v>119.927536046104</c:v>
                </c:pt>
                <c:pt idx="22">
                  <c:v>121.64638330530801</c:v>
                </c:pt>
                <c:pt idx="23">
                  <c:v>123.41956279572599</c:v>
                </c:pt>
                <c:pt idx="24">
                  <c:v>125.220678151306</c:v>
                </c:pt>
                <c:pt idx="25">
                  <c:v>127.07826382475599</c:v>
                </c:pt>
                <c:pt idx="26">
                  <c:v>128.97433964576001</c:v>
                </c:pt>
                <c:pt idx="27">
                  <c:v>130.904350206522</c:v>
                </c:pt>
                <c:pt idx="28">
                  <c:v>132.90000550568601</c:v>
                </c:pt>
                <c:pt idx="29">
                  <c:v>134.92807928332499</c:v>
                </c:pt>
                <c:pt idx="30">
                  <c:v>137.00227494119699</c:v>
                </c:pt>
                <c:pt idx="31">
                  <c:v>139.12753213265</c:v>
                </c:pt>
                <c:pt idx="32">
                  <c:v>141.293576744832</c:v>
                </c:pt>
              </c:numCache>
            </c:numRef>
          </c:yVal>
          <c:smooth val="1"/>
          <c:extLst>
            <c:ext xmlns:c16="http://schemas.microsoft.com/office/drawing/2014/chart" uri="{C3380CC4-5D6E-409C-BE32-E72D297353CC}">
              <c16:uniqueId val="{00000001-E2DE-4338-BDAD-41DB4EF92BFD}"/>
            </c:ext>
          </c:extLst>
        </c:ser>
        <c:ser>
          <c:idx val="2"/>
          <c:order val="2"/>
          <c:tx>
            <c:strRef>
              <c:f>'2. PIB'!$A$29</c:f>
              <c:strCache>
                <c:ptCount val="1"/>
                <c:pt idx="0">
                  <c:v>Cadrage Commission mars 2023</c:v>
                </c:pt>
              </c:strCache>
            </c:strRef>
          </c:tx>
          <c:spPr>
            <a:ln w="28800">
              <a:solidFill>
                <a:srgbClr val="314004"/>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PIB'!$B$29:$AH$29</c:f>
              <c:numCache>
                <c:formatCode>0.0</c:formatCode>
                <c:ptCount val="33"/>
                <c:pt idx="0" formatCode="General">
                  <c:v>100</c:v>
                </c:pt>
                <c:pt idx="1">
                  <c:v>101.32000000000001</c:v>
                </c:pt>
                <c:pt idx="2">
                  <c:v>93.36105491344793</c:v>
                </c:pt>
                <c:pt idx="3">
                  <c:v>99.862317790629149</c:v>
                </c:pt>
                <c:pt idx="4">
                  <c:v>102.95699528333211</c:v>
                </c:pt>
                <c:pt idx="5">
                  <c:v>104.77844436769534</c:v>
                </c:pt>
                <c:pt idx="6">
                  <c:v>106.16324957830346</c:v>
                </c:pt>
                <c:pt idx="7">
                  <c:v>107.09129250183186</c:v>
                </c:pt>
                <c:pt idx="8">
                  <c:v>108.0851783950983</c:v>
                </c:pt>
                <c:pt idx="9">
                  <c:v>109.12402486112288</c:v>
                </c:pt>
                <c:pt idx="10">
                  <c:v>110.21490662595988</c:v>
                </c:pt>
                <c:pt idx="11">
                  <c:v>111.31500523446392</c:v>
                </c:pt>
                <c:pt idx="12">
                  <c:v>112.45528331937822</c:v>
                </c:pt>
                <c:pt idx="13">
                  <c:v>113.65676995217876</c:v>
                </c:pt>
                <c:pt idx="14">
                  <c:v>114.90488927626332</c:v>
                </c:pt>
                <c:pt idx="15">
                  <c:v>116.2244702463891</c:v>
                </c:pt>
                <c:pt idx="16">
                  <c:v>117.64446183241947</c:v>
                </c:pt>
                <c:pt idx="17">
                  <c:v>119.17691389390922</c:v>
                </c:pt>
                <c:pt idx="18">
                  <c:v>120.8491815689742</c:v>
                </c:pt>
                <c:pt idx="19">
                  <c:v>122.68681783535681</c:v>
                </c:pt>
                <c:pt idx="20">
                  <c:v>124.58774873479905</c:v>
                </c:pt>
                <c:pt idx="21">
                  <c:v>126.5572926214044</c:v>
                </c:pt>
                <c:pt idx="22">
                  <c:v>128.57346797791951</c:v>
                </c:pt>
                <c:pt idx="23">
                  <c:v>130.65272537175056</c:v>
                </c:pt>
                <c:pt idx="24">
                  <c:v>132.79028630842672</c:v>
                </c:pt>
                <c:pt idx="25">
                  <c:v>134.92632002686142</c:v>
                </c:pt>
                <c:pt idx="26">
                  <c:v>137.04500816018901</c:v>
                </c:pt>
                <c:pt idx="27">
                  <c:v>139.14904344342094</c:v>
                </c:pt>
                <c:pt idx="28">
                  <c:v>141.25018385173161</c:v>
                </c:pt>
                <c:pt idx="29">
                  <c:v>143.35550891152715</c:v>
                </c:pt>
                <c:pt idx="30">
                  <c:v>145.48226310833383</c:v>
                </c:pt>
                <c:pt idx="31">
                  <c:v>147.62327754290612</c:v>
                </c:pt>
                <c:pt idx="32">
                  <c:v>149.78202844732394</c:v>
                </c:pt>
              </c:numCache>
            </c:numRef>
          </c:yVal>
          <c:smooth val="1"/>
          <c:extLst>
            <c:ext xmlns:c16="http://schemas.microsoft.com/office/drawing/2014/chart" uri="{C3380CC4-5D6E-409C-BE32-E72D297353CC}">
              <c16:uniqueId val="{00000002-E2DE-4338-BDAD-41DB4EF92BFD}"/>
            </c:ext>
          </c:extLst>
        </c:ser>
        <c:ser>
          <c:idx val="3"/>
          <c:order val="3"/>
          <c:tx>
            <c:strRef>
              <c:f>'2. PIB'!$A$26:$A$26</c:f>
              <c:strCache>
                <c:ptCount val="1"/>
                <c:pt idx="0">
                  <c:v>AME 2021</c:v>
                </c:pt>
              </c:strCache>
            </c:strRef>
          </c:tx>
          <c:spPr>
            <a:ln w="1908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PIB'!$B$24:$AH$24</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PIB'!$B$26:$AH$26</c:f>
              <c:numCache>
                <c:formatCode>0.0</c:formatCode>
                <c:ptCount val="33"/>
                <c:pt idx="0" formatCode="General">
                  <c:v>100</c:v>
                </c:pt>
                <c:pt idx="1">
                  <c:v>101.31539403407143</c:v>
                </c:pt>
                <c:pt idx="2">
                  <c:v>92.958615750341849</c:v>
                </c:pt>
                <c:pt idx="3">
                  <c:v>99.838582535791048</c:v>
                </c:pt>
                <c:pt idx="4">
                  <c:v>101.6070362109557</c:v>
                </c:pt>
                <c:pt idx="5">
                  <c:v>103.27448067683179</c:v>
                </c:pt>
                <c:pt idx="6">
                  <c:v>104.91629154979603</c:v>
                </c:pt>
                <c:pt idx="7">
                  <c:v>105.83343399148264</c:v>
                </c:pt>
                <c:pt idx="8">
                  <c:v>106.81564603340267</c:v>
                </c:pt>
                <c:pt idx="9">
                  <c:v>107.84229055622806</c:v>
                </c:pt>
                <c:pt idx="10">
                  <c:v>108.92035918864666</c:v>
                </c:pt>
                <c:pt idx="11">
                  <c:v>110.00753640676869</c:v>
                </c:pt>
                <c:pt idx="12">
                  <c:v>111.17119376391018</c:v>
                </c:pt>
                <c:pt idx="13">
                  <c:v>112.41348307430265</c:v>
                </c:pt>
                <c:pt idx="14">
                  <c:v>113.73671836167573</c:v>
                </c:pt>
                <c:pt idx="15">
                  <c:v>115.12881672813886</c:v>
                </c:pt>
                <c:pt idx="16">
                  <c:v>116.59568081340892</c:v>
                </c:pt>
                <c:pt idx="17">
                  <c:v>118.14101366041143</c:v>
                </c:pt>
                <c:pt idx="18">
                  <c:v>119.78642139262945</c:v>
                </c:pt>
                <c:pt idx="19">
                  <c:v>121.52667496863968</c:v>
                </c:pt>
                <c:pt idx="20">
                  <c:v>123.36429205366608</c:v>
                </c:pt>
                <c:pt idx="21">
                  <c:v>125.29925182122975</c:v>
                </c:pt>
                <c:pt idx="22">
                  <c:v>127.33885823754892</c:v>
                </c:pt>
                <c:pt idx="23">
                  <c:v>129.4116651261217</c:v>
                </c:pt>
                <c:pt idx="24">
                  <c:v>131.51821292031264</c:v>
                </c:pt>
                <c:pt idx="25">
                  <c:v>133.65905085059669</c:v>
                </c:pt>
                <c:pt idx="26">
                  <c:v>135.83473708775759</c:v>
                </c:pt>
                <c:pt idx="27">
                  <c:v>138.04583888841717</c:v>
                </c:pt>
                <c:pt idx="28">
                  <c:v>140.29293274293349</c:v>
                </c:pt>
                <c:pt idx="29">
                  <c:v>142.57660452570659</c:v>
                </c:pt>
                <c:pt idx="30">
                  <c:v>144.8974496479307</c:v>
                </c:pt>
                <c:pt idx="31">
                  <c:v>147.2560732128332</c:v>
                </c:pt>
                <c:pt idx="32">
                  <c:v>149.65309017344023</c:v>
                </c:pt>
              </c:numCache>
            </c:numRef>
          </c:yVal>
          <c:smooth val="1"/>
          <c:extLst>
            <c:ext xmlns:c16="http://schemas.microsoft.com/office/drawing/2014/chart" uri="{C3380CC4-5D6E-409C-BE32-E72D297353CC}">
              <c16:uniqueId val="{00000003-E2DE-4338-BDAD-41DB4EF92BFD}"/>
            </c:ext>
          </c:extLst>
        </c:ser>
        <c:ser>
          <c:idx val="4"/>
          <c:order val="4"/>
          <c:tx>
            <c:strRef>
              <c:f>'2. PIB'!$A$33:$A$33</c:f>
              <c:strCache>
                <c:ptCount val="1"/>
                <c:pt idx="0">
                  <c:v>AME AMS 2023 – RUN2</c:v>
                </c:pt>
              </c:strCache>
            </c:strRef>
          </c:tx>
          <c:spPr>
            <a:ln w="28800">
              <a:solidFill>
                <a:srgbClr val="83CAFF"/>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PIB'!$B$36:$AH$36</c:f>
              <c:numCache>
                <c:formatCode>0.0</c:formatCode>
                <c:ptCount val="33"/>
                <c:pt idx="0" formatCode="General">
                  <c:v>100</c:v>
                </c:pt>
                <c:pt idx="1">
                  <c:v>101.8</c:v>
                </c:pt>
                <c:pt idx="2">
                  <c:v>93.656000000000006</c:v>
                </c:pt>
                <c:pt idx="3">
                  <c:v>100.01171575179104</c:v>
                </c:pt>
                <c:pt idx="4">
                  <c:v>102.88961044499327</c:v>
                </c:pt>
                <c:pt idx="5">
                  <c:v>104.48258673625133</c:v>
                </c:pt>
                <c:pt idx="6">
                  <c:v>105.63319093881601</c:v>
                </c:pt>
                <c:pt idx="7">
                  <c:v>106.32428545927087</c:v>
                </c:pt>
                <c:pt idx="8">
                  <c:v>107.07304666735502</c:v>
                </c:pt>
                <c:pt idx="9">
                  <c:v>107.87162770638717</c:v>
                </c:pt>
                <c:pt idx="10">
                  <c:v>108.7257898330477</c:v>
                </c:pt>
                <c:pt idx="11">
                  <c:v>109.59234433410036</c:v>
                </c:pt>
                <c:pt idx="12">
                  <c:v>110.50140601381565</c:v>
                </c:pt>
                <c:pt idx="13">
                  <c:v>111.47339834006581</c:v>
                </c:pt>
                <c:pt idx="14">
                  <c:v>112.49396859459337</c:v>
                </c:pt>
                <c:pt idx="15">
                  <c:v>113.58786598798916</c:v>
                </c:pt>
                <c:pt idx="16">
                  <c:v>114.78395809675396</c:v>
                </c:pt>
                <c:pt idx="17">
                  <c:v>116.09476007697451</c:v>
                </c:pt>
                <c:pt idx="18">
                  <c:v>117.54781698132588</c:v>
                </c:pt>
                <c:pt idx="19">
                  <c:v>119.16915108381912</c:v>
                </c:pt>
                <c:pt idx="20">
                  <c:v>120.86069620974855</c:v>
                </c:pt>
                <c:pt idx="21">
                  <c:v>122.62935030643904</c:v>
                </c:pt>
                <c:pt idx="22">
                  <c:v>124.45526763645914</c:v>
                </c:pt>
                <c:pt idx="23">
                  <c:v>126.35579764289167</c:v>
                </c:pt>
                <c:pt idx="24">
                  <c:v>128.32758589784177</c:v>
                </c:pt>
                <c:pt idx="25">
                  <c:v>130.31388609399812</c:v>
                </c:pt>
                <c:pt idx="26">
                  <c:v>132.29977601472348</c:v>
                </c:pt>
                <c:pt idx="27">
                  <c:v>134.28783749859161</c:v>
                </c:pt>
                <c:pt idx="28">
                  <c:v>136.28905434524546</c:v>
                </c:pt>
                <c:pt idx="29">
                  <c:v>138.30983917015243</c:v>
                </c:pt>
                <c:pt idx="30">
                  <c:v>140.36544305732701</c:v>
                </c:pt>
                <c:pt idx="31">
                  <c:v>142.44774028087204</c:v>
                </c:pt>
                <c:pt idx="32">
                  <c:v>144.55928066531143</c:v>
                </c:pt>
              </c:numCache>
            </c:numRef>
          </c:yVal>
          <c:smooth val="1"/>
          <c:extLst>
            <c:ext xmlns:c16="http://schemas.microsoft.com/office/drawing/2014/chart" uri="{C3380CC4-5D6E-409C-BE32-E72D297353CC}">
              <c16:uniqueId val="{00000004-E2DE-4338-BDAD-41DB4EF92BFD}"/>
            </c:ext>
          </c:extLst>
        </c:ser>
        <c:ser>
          <c:idx val="5"/>
          <c:order val="5"/>
          <c:tx>
            <c:strRef>
              <c:f>'2. PIB'!$A$27:$A$27</c:f>
              <c:strCache>
                <c:ptCount val="1"/>
                <c:pt idx="0">
                  <c:v>Banque de France</c:v>
                </c:pt>
              </c:strCache>
            </c:strRef>
          </c:tx>
          <c:spPr>
            <a:ln w="1908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PIB'!$B$24:$AH$24</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PIB'!$B$27:$AH$27</c:f>
              <c:numCache>
                <c:formatCode>0.0</c:formatCode>
                <c:ptCount val="33"/>
                <c:pt idx="0" formatCode="General">
                  <c:v>100</c:v>
                </c:pt>
                <c:pt idx="1">
                  <c:v>101.8</c:v>
                </c:pt>
                <c:pt idx="2">
                  <c:v>93.656000000000006</c:v>
                </c:pt>
                <c:pt idx="3">
                  <c:v>100.21192000000001</c:v>
                </c:pt>
                <c:pt idx="4">
                  <c:v>103.61912528000001</c:v>
                </c:pt>
                <c:pt idx="5">
                  <c:v>105.69150778560001</c:v>
                </c:pt>
                <c:pt idx="6">
                  <c:v>107.17118889459842</c:v>
                </c:pt>
              </c:numCache>
            </c:numRef>
          </c:yVal>
          <c:smooth val="1"/>
          <c:extLst>
            <c:ext xmlns:c16="http://schemas.microsoft.com/office/drawing/2014/chart" uri="{C3380CC4-5D6E-409C-BE32-E72D297353CC}">
              <c16:uniqueId val="{00000005-E2DE-4338-BDAD-41DB4EF92BFD}"/>
            </c:ext>
          </c:extLst>
        </c:ser>
        <c:ser>
          <c:idx val="6"/>
          <c:order val="6"/>
          <c:tx>
            <c:strRef>
              <c:f>'2. PIB'!$A$38:$A$38</c:f>
              <c:strCache>
                <c:ptCount val="1"/>
                <c:pt idx="0">
                  <c:v>OCDE</c:v>
                </c:pt>
              </c:strCache>
            </c:strRef>
          </c:tx>
          <c:spPr>
            <a:ln w="19080">
              <a:solidFill>
                <a:srgbClr val="7E0021"/>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PIB'!$B$40:$AH$40</c:f>
              <c:numCache>
                <c:formatCode>0.0</c:formatCode>
                <c:ptCount val="33"/>
                <c:pt idx="0">
                  <c:v>100</c:v>
                </c:pt>
                <c:pt idx="1">
                  <c:v>101.48987266534593</c:v>
                </c:pt>
                <c:pt idx="2">
                  <c:v>93.21004125700469</c:v>
                </c:pt>
                <c:pt idx="3">
                  <c:v>98.604685670969644</c:v>
                </c:pt>
                <c:pt idx="4">
                  <c:v>102.50678167606564</c:v>
                </c:pt>
                <c:pt idx="5">
                  <c:v>104.49889130672172</c:v>
                </c:pt>
                <c:pt idx="6">
                  <c:v>105.94836653204729</c:v>
                </c:pt>
                <c:pt idx="7">
                  <c:v>107.26898865126448</c:v>
                </c:pt>
                <c:pt idx="8">
                  <c:v>108.58723624169706</c:v>
                </c:pt>
                <c:pt idx="9">
                  <c:v>109.93038146482752</c:v>
                </c:pt>
                <c:pt idx="10">
                  <c:v>111.29790052754163</c:v>
                </c:pt>
                <c:pt idx="11">
                  <c:v>112.67889853306272</c:v>
                </c:pt>
                <c:pt idx="12">
                  <c:v>114.06691536631493</c:v>
                </c:pt>
                <c:pt idx="13">
                  <c:v>115.4607637629059</c:v>
                </c:pt>
                <c:pt idx="14">
                  <c:v>116.85632321700348</c:v>
                </c:pt>
                <c:pt idx="15">
                  <c:v>118.25516510795042</c:v>
                </c:pt>
                <c:pt idx="16">
                  <c:v>119.66168929790652</c:v>
                </c:pt>
                <c:pt idx="17">
                  <c:v>121.08239082148866</c:v>
                </c:pt>
                <c:pt idx="18">
                  <c:v>122.52313616157653</c:v>
                </c:pt>
                <c:pt idx="19">
                  <c:v>123.98217934112262</c:v>
                </c:pt>
                <c:pt idx="20">
                  <c:v>125.4577394635384</c:v>
                </c:pt>
                <c:pt idx="21">
                  <c:v>126.94890862075916</c:v>
                </c:pt>
                <c:pt idx="22">
                  <c:v>128.45750262891437</c:v>
                </c:pt>
                <c:pt idx="23">
                  <c:v>129.98690868347626</c:v>
                </c:pt>
                <c:pt idx="24">
                  <c:v>131.53646331316673</c:v>
                </c:pt>
                <c:pt idx="25">
                  <c:v>133.10585224211724</c:v>
                </c:pt>
                <c:pt idx="26">
                  <c:v>134.69577386114682</c:v>
                </c:pt>
                <c:pt idx="27">
                  <c:v>136.30930108985908</c:v>
                </c:pt>
                <c:pt idx="28">
                  <c:v>137.95170677893768</c:v>
                </c:pt>
                <c:pt idx="29">
                  <c:v>139.62285125021873</c:v>
                </c:pt>
                <c:pt idx="30">
                  <c:v>141.32503919340502</c:v>
                </c:pt>
                <c:pt idx="31">
                  <c:v>143.06308950514776</c:v>
                </c:pt>
                <c:pt idx="32">
                  <c:v>144.84492892124274</c:v>
                </c:pt>
              </c:numCache>
            </c:numRef>
          </c:yVal>
          <c:smooth val="1"/>
          <c:extLst>
            <c:ext xmlns:c16="http://schemas.microsoft.com/office/drawing/2014/chart" uri="{C3380CC4-5D6E-409C-BE32-E72D297353CC}">
              <c16:uniqueId val="{00000006-E2DE-4338-BDAD-41DB4EF92BFD}"/>
            </c:ext>
          </c:extLst>
        </c:ser>
        <c:dLbls>
          <c:showLegendKey val="0"/>
          <c:showVal val="0"/>
          <c:showCatName val="0"/>
          <c:showSerName val="0"/>
          <c:showPercent val="0"/>
          <c:showBubbleSize val="0"/>
        </c:dLbls>
        <c:axId val="46803822"/>
        <c:axId val="79535206"/>
      </c:scatterChart>
      <c:valAx>
        <c:axId val="4680382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9535206"/>
        <c:crosses val="autoZero"/>
        <c:crossBetween val="midCat"/>
      </c:valAx>
      <c:valAx>
        <c:axId val="79535206"/>
        <c:scaling>
          <c:orientation val="minMax"/>
          <c:min val="90"/>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46803822"/>
        <c:crosses val="autoZero"/>
        <c:crossBetween val="midCat"/>
      </c:valAx>
      <c:spPr>
        <a:noFill/>
        <a:ln>
          <a:noFill/>
        </a:ln>
      </c:spPr>
    </c:plotArea>
    <c:legend>
      <c:legendPos val="r"/>
      <c:layout>
        <c:manualLayout>
          <c:xMode val="edge"/>
          <c:yMode val="edge"/>
          <c:x val="2.3317958276240301E-2"/>
          <c:y val="0.853311765412478"/>
          <c:w val="0.95572604784154302"/>
          <c:h val="0.124685259277055"/>
        </c:manualLayout>
      </c:layout>
      <c:overlay val="1"/>
      <c:spPr>
        <a:noFill/>
        <a:ln>
          <a:noFill/>
        </a:ln>
      </c:spPr>
      <c:txPr>
        <a:bodyPr/>
        <a:lstStyle/>
        <a:p>
          <a:pPr>
            <a:defRPr sz="900" b="0" strike="noStrike" spc="-1">
              <a:solidFill>
                <a:srgbClr val="595959"/>
              </a:solidFill>
              <a:latin typeface="Calibri"/>
            </a:defRPr>
          </a:pPr>
          <a:endParaRPr lang="fr-FR"/>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du PIB (index 2018 = 100)</a:t>
            </a:r>
          </a:p>
        </c:rich>
      </c:tx>
      <c:overlay val="0"/>
      <c:spPr>
        <a:noFill/>
        <a:ln>
          <a:noFill/>
        </a:ln>
      </c:spPr>
    </c:title>
    <c:autoTitleDeleted val="0"/>
    <c:plotArea>
      <c:layout>
        <c:manualLayout>
          <c:layoutTarget val="inner"/>
          <c:xMode val="edge"/>
          <c:yMode val="edge"/>
          <c:x val="5.8284043330896498E-2"/>
          <c:y val="0.16954082692707301"/>
          <c:w val="0.89944839502890905"/>
          <c:h val="0.61032619987533798"/>
        </c:manualLayout>
      </c:layout>
      <c:scatterChart>
        <c:scatterStyle val="lineMarker"/>
        <c:varyColors val="0"/>
        <c:ser>
          <c:idx val="0"/>
          <c:order val="0"/>
          <c:tx>
            <c:strRef>
              <c:f>'2. PIB'!$A$25</c:f>
              <c:strCache>
                <c:ptCount val="1"/>
                <c:pt idx="0">
                  <c:v>AMS2018</c:v>
                </c:pt>
              </c:strCache>
            </c:strRef>
          </c:tx>
          <c:spPr>
            <a:ln w="19080">
              <a:solidFill>
                <a:srgbClr val="5B9BD5"/>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PIB'!$B$24:$AH$24</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PIB'!$B$25:$AH$25</c:f>
              <c:numCache>
                <c:formatCode>0.0</c:formatCode>
                <c:ptCount val="33"/>
                <c:pt idx="0" formatCode="General">
                  <c:v>100</c:v>
                </c:pt>
                <c:pt idx="1">
                  <c:v>101.6</c:v>
                </c:pt>
                <c:pt idx="2">
                  <c:v>102.92079999999999</c:v>
                </c:pt>
                <c:pt idx="3">
                  <c:v>104.25877039999997</c:v>
                </c:pt>
                <c:pt idx="4">
                  <c:v>105.61413441519997</c:v>
                </c:pt>
                <c:pt idx="5">
                  <c:v>106.98711816259755</c:v>
                </c:pt>
                <c:pt idx="6">
                  <c:v>108.37795069871132</c:v>
                </c:pt>
                <c:pt idx="7">
                  <c:v>109.89524200849327</c:v>
                </c:pt>
                <c:pt idx="8">
                  <c:v>111.43377539661218</c:v>
                </c:pt>
                <c:pt idx="9">
                  <c:v>112.99384825216475</c:v>
                </c:pt>
                <c:pt idx="10">
                  <c:v>114.57576212769506</c:v>
                </c:pt>
                <c:pt idx="11">
                  <c:v>116.17982279748279</c:v>
                </c:pt>
                <c:pt idx="12">
                  <c:v>118.15487978503998</c:v>
                </c:pt>
                <c:pt idx="13">
                  <c:v>120.16351274138565</c:v>
                </c:pt>
                <c:pt idx="14">
                  <c:v>122.20629245798919</c:v>
                </c:pt>
                <c:pt idx="15">
                  <c:v>124.283799429775</c:v>
                </c:pt>
                <c:pt idx="16">
                  <c:v>126.39662402008116</c:v>
                </c:pt>
                <c:pt idx="17">
                  <c:v>128.54536662842253</c:v>
                </c:pt>
                <c:pt idx="18">
                  <c:v>130.73063786110569</c:v>
                </c:pt>
                <c:pt idx="19">
                  <c:v>132.95305870474448</c:v>
                </c:pt>
                <c:pt idx="20">
                  <c:v>135.21326070272511</c:v>
                </c:pt>
                <c:pt idx="21">
                  <c:v>137.51188613467141</c:v>
                </c:pt>
                <c:pt idx="22">
                  <c:v>139.84958819896082</c:v>
                </c:pt>
                <c:pt idx="23">
                  <c:v>142.22703119834313</c:v>
                </c:pt>
                <c:pt idx="24">
                  <c:v>144.64489072871496</c:v>
                </c:pt>
                <c:pt idx="25">
                  <c:v>147.1038538711031</c:v>
                </c:pt>
                <c:pt idx="26">
                  <c:v>149.60461938691185</c:v>
                </c:pt>
                <c:pt idx="27">
                  <c:v>152.14789791648934</c:v>
                </c:pt>
                <c:pt idx="28">
                  <c:v>154.73441218106964</c:v>
                </c:pt>
                <c:pt idx="29">
                  <c:v>157.36489718814781</c:v>
                </c:pt>
                <c:pt idx="30">
                  <c:v>160.04010044034629</c:v>
                </c:pt>
                <c:pt idx="31">
                  <c:v>162.76078214783217</c:v>
                </c:pt>
                <c:pt idx="32">
                  <c:v>165.52771544434532</c:v>
                </c:pt>
              </c:numCache>
            </c:numRef>
          </c:yVal>
          <c:smooth val="1"/>
          <c:extLst>
            <c:ext xmlns:c16="http://schemas.microsoft.com/office/drawing/2014/chart" uri="{C3380CC4-5D6E-409C-BE32-E72D297353CC}">
              <c16:uniqueId val="{00000000-40A1-4DD0-BE2F-84E4D9DB6436}"/>
            </c:ext>
          </c:extLst>
        </c:ser>
        <c:ser>
          <c:idx val="1"/>
          <c:order val="1"/>
          <c:tx>
            <c:strRef>
              <c:f>'2. PIB'!$A$43</c:f>
              <c:strCache>
                <c:ptCount val="1"/>
                <c:pt idx="0">
                  <c:v>AME AMS 2023 – run1</c:v>
                </c:pt>
              </c:strCache>
            </c:strRef>
          </c:tx>
          <c:spPr>
            <a:ln w="28800">
              <a:solidFill>
                <a:srgbClr val="314004"/>
              </a:solidFill>
              <a:round/>
            </a:ln>
          </c:spPr>
          <c:marker>
            <c:symbol val="none"/>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PIB'!$B$46:$AH$46</c:f>
              <c:numCache>
                <c:formatCode>0.00</c:formatCode>
                <c:ptCount val="33"/>
                <c:pt idx="0">
                  <c:v>100</c:v>
                </c:pt>
                <c:pt idx="1">
                  <c:v>101.8</c:v>
                </c:pt>
                <c:pt idx="2">
                  <c:v>93.656000000000006</c:v>
                </c:pt>
                <c:pt idx="3">
                  <c:v>100.331619953463</c:v>
                </c:pt>
                <c:pt idx="4">
                  <c:v>101.83103561289001</c:v>
                </c:pt>
                <c:pt idx="5">
                  <c:v>103.21513796855</c:v>
                </c:pt>
                <c:pt idx="6">
                  <c:v>104.566650147178</c:v>
                </c:pt>
                <c:pt idx="7">
                  <c:v>105.187906794448</c:v>
                </c:pt>
                <c:pt idx="8">
                  <c:v>105.87130904605399</c:v>
                </c:pt>
                <c:pt idx="9">
                  <c:v>106.59262847648201</c:v>
                </c:pt>
                <c:pt idx="10">
                  <c:v>107.35912560490399</c:v>
                </c:pt>
                <c:pt idx="11">
                  <c:v>108.121886968542</c:v>
                </c:pt>
                <c:pt idx="12">
                  <c:v>108.951403101143</c:v>
                </c:pt>
                <c:pt idx="13">
                  <c:v>109.850189985173</c:v>
                </c:pt>
                <c:pt idx="14">
                  <c:v>110.822023358027</c:v>
                </c:pt>
                <c:pt idx="15">
                  <c:v>111.85882301091</c:v>
                </c:pt>
                <c:pt idx="16">
                  <c:v>112.973487786612</c:v>
                </c:pt>
                <c:pt idx="17">
                  <c:v>114.165203978835</c:v>
                </c:pt>
                <c:pt idx="18">
                  <c:v>115.455847357856</c:v>
                </c:pt>
                <c:pt idx="19">
                  <c:v>116.842170066327</c:v>
                </c:pt>
                <c:pt idx="20">
                  <c:v>118.330728674892</c:v>
                </c:pt>
                <c:pt idx="21">
                  <c:v>119.927536046104</c:v>
                </c:pt>
                <c:pt idx="22">
                  <c:v>121.64638330530801</c:v>
                </c:pt>
                <c:pt idx="23">
                  <c:v>123.41956279572599</c:v>
                </c:pt>
                <c:pt idx="24">
                  <c:v>125.220678151306</c:v>
                </c:pt>
                <c:pt idx="25">
                  <c:v>127.07826382475599</c:v>
                </c:pt>
                <c:pt idx="26">
                  <c:v>128.97433964576001</c:v>
                </c:pt>
                <c:pt idx="27">
                  <c:v>130.904350206522</c:v>
                </c:pt>
                <c:pt idx="28">
                  <c:v>132.90000550568601</c:v>
                </c:pt>
                <c:pt idx="29">
                  <c:v>134.92807928332499</c:v>
                </c:pt>
                <c:pt idx="30">
                  <c:v>137.00227494119699</c:v>
                </c:pt>
                <c:pt idx="31">
                  <c:v>139.12753213265</c:v>
                </c:pt>
                <c:pt idx="32">
                  <c:v>141.293576744832</c:v>
                </c:pt>
              </c:numCache>
            </c:numRef>
          </c:yVal>
          <c:smooth val="1"/>
          <c:extLst>
            <c:ext xmlns:c16="http://schemas.microsoft.com/office/drawing/2014/chart" uri="{C3380CC4-5D6E-409C-BE32-E72D297353CC}">
              <c16:uniqueId val="{00000001-40A1-4DD0-BE2F-84E4D9DB6436}"/>
            </c:ext>
          </c:extLst>
        </c:ser>
        <c:ser>
          <c:idx val="2"/>
          <c:order val="2"/>
          <c:tx>
            <c:strRef>
              <c:f>'2. PIB'!$A$29</c:f>
              <c:strCache>
                <c:ptCount val="1"/>
                <c:pt idx="0">
                  <c:v>Cadrage Commission mars 2023</c:v>
                </c:pt>
              </c:strCache>
            </c:strRef>
          </c:tx>
          <c:spPr>
            <a:ln w="28800">
              <a:solidFill>
                <a:srgbClr val="314004"/>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PIB'!$B$29:$AH$29</c:f>
              <c:numCache>
                <c:formatCode>0.0</c:formatCode>
                <c:ptCount val="33"/>
                <c:pt idx="0" formatCode="General">
                  <c:v>100</c:v>
                </c:pt>
                <c:pt idx="1">
                  <c:v>101.32000000000001</c:v>
                </c:pt>
                <c:pt idx="2">
                  <c:v>93.36105491344793</c:v>
                </c:pt>
                <c:pt idx="3">
                  <c:v>99.862317790629149</c:v>
                </c:pt>
                <c:pt idx="4">
                  <c:v>102.95699528333211</c:v>
                </c:pt>
                <c:pt idx="5">
                  <c:v>104.77844436769534</c:v>
                </c:pt>
                <c:pt idx="6">
                  <c:v>106.16324957830346</c:v>
                </c:pt>
                <c:pt idx="7">
                  <c:v>107.09129250183186</c:v>
                </c:pt>
                <c:pt idx="8">
                  <c:v>108.0851783950983</c:v>
                </c:pt>
                <c:pt idx="9">
                  <c:v>109.12402486112288</c:v>
                </c:pt>
                <c:pt idx="10">
                  <c:v>110.21490662595988</c:v>
                </c:pt>
                <c:pt idx="11">
                  <c:v>111.31500523446392</c:v>
                </c:pt>
                <c:pt idx="12">
                  <c:v>112.45528331937822</c:v>
                </c:pt>
                <c:pt idx="13">
                  <c:v>113.65676995217876</c:v>
                </c:pt>
                <c:pt idx="14">
                  <c:v>114.90488927626332</c:v>
                </c:pt>
                <c:pt idx="15">
                  <c:v>116.2244702463891</c:v>
                </c:pt>
                <c:pt idx="16">
                  <c:v>117.64446183241947</c:v>
                </c:pt>
                <c:pt idx="17">
                  <c:v>119.17691389390922</c:v>
                </c:pt>
                <c:pt idx="18">
                  <c:v>120.8491815689742</c:v>
                </c:pt>
                <c:pt idx="19">
                  <c:v>122.68681783535681</c:v>
                </c:pt>
                <c:pt idx="20">
                  <c:v>124.58774873479905</c:v>
                </c:pt>
                <c:pt idx="21">
                  <c:v>126.5572926214044</c:v>
                </c:pt>
                <c:pt idx="22">
                  <c:v>128.57346797791951</c:v>
                </c:pt>
                <c:pt idx="23">
                  <c:v>130.65272537175056</c:v>
                </c:pt>
                <c:pt idx="24">
                  <c:v>132.79028630842672</c:v>
                </c:pt>
                <c:pt idx="25">
                  <c:v>134.92632002686142</c:v>
                </c:pt>
                <c:pt idx="26">
                  <c:v>137.04500816018901</c:v>
                </c:pt>
                <c:pt idx="27">
                  <c:v>139.14904344342094</c:v>
                </c:pt>
                <c:pt idx="28">
                  <c:v>141.25018385173161</c:v>
                </c:pt>
                <c:pt idx="29">
                  <c:v>143.35550891152715</c:v>
                </c:pt>
                <c:pt idx="30">
                  <c:v>145.48226310833383</c:v>
                </c:pt>
                <c:pt idx="31">
                  <c:v>147.62327754290612</c:v>
                </c:pt>
                <c:pt idx="32">
                  <c:v>149.78202844732394</c:v>
                </c:pt>
              </c:numCache>
            </c:numRef>
          </c:yVal>
          <c:smooth val="1"/>
          <c:extLst>
            <c:ext xmlns:c16="http://schemas.microsoft.com/office/drawing/2014/chart" uri="{C3380CC4-5D6E-409C-BE32-E72D297353CC}">
              <c16:uniqueId val="{00000002-40A1-4DD0-BE2F-84E4D9DB6436}"/>
            </c:ext>
          </c:extLst>
        </c:ser>
        <c:ser>
          <c:idx val="3"/>
          <c:order val="3"/>
          <c:tx>
            <c:strRef>
              <c:f>'2. PIB'!$A$26</c:f>
              <c:strCache>
                <c:ptCount val="1"/>
                <c:pt idx="0">
                  <c:v>AME 2021</c:v>
                </c:pt>
              </c:strCache>
            </c:strRef>
          </c:tx>
          <c:spPr>
            <a:ln w="1908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PIB'!$B$24:$AH$24</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PIB'!$B$26:$AH$26</c:f>
              <c:numCache>
                <c:formatCode>0.0</c:formatCode>
                <c:ptCount val="33"/>
                <c:pt idx="0" formatCode="General">
                  <c:v>100</c:v>
                </c:pt>
                <c:pt idx="1">
                  <c:v>101.31539403407143</c:v>
                </c:pt>
                <c:pt idx="2">
                  <c:v>92.958615750341849</c:v>
                </c:pt>
                <c:pt idx="3">
                  <c:v>99.838582535791048</c:v>
                </c:pt>
                <c:pt idx="4">
                  <c:v>101.6070362109557</c:v>
                </c:pt>
                <c:pt idx="5">
                  <c:v>103.27448067683179</c:v>
                </c:pt>
                <c:pt idx="6">
                  <c:v>104.91629154979603</c:v>
                </c:pt>
                <c:pt idx="7">
                  <c:v>105.83343399148264</c:v>
                </c:pt>
                <c:pt idx="8">
                  <c:v>106.81564603340267</c:v>
                </c:pt>
                <c:pt idx="9">
                  <c:v>107.84229055622806</c:v>
                </c:pt>
                <c:pt idx="10">
                  <c:v>108.92035918864666</c:v>
                </c:pt>
                <c:pt idx="11">
                  <c:v>110.00753640676869</c:v>
                </c:pt>
                <c:pt idx="12">
                  <c:v>111.17119376391018</c:v>
                </c:pt>
                <c:pt idx="13">
                  <c:v>112.41348307430265</c:v>
                </c:pt>
                <c:pt idx="14">
                  <c:v>113.73671836167573</c:v>
                </c:pt>
                <c:pt idx="15">
                  <c:v>115.12881672813886</c:v>
                </c:pt>
                <c:pt idx="16">
                  <c:v>116.59568081340892</c:v>
                </c:pt>
                <c:pt idx="17">
                  <c:v>118.14101366041143</c:v>
                </c:pt>
                <c:pt idx="18">
                  <c:v>119.78642139262945</c:v>
                </c:pt>
                <c:pt idx="19">
                  <c:v>121.52667496863968</c:v>
                </c:pt>
                <c:pt idx="20">
                  <c:v>123.36429205366608</c:v>
                </c:pt>
                <c:pt idx="21">
                  <c:v>125.29925182122975</c:v>
                </c:pt>
                <c:pt idx="22">
                  <c:v>127.33885823754892</c:v>
                </c:pt>
                <c:pt idx="23">
                  <c:v>129.4116651261217</c:v>
                </c:pt>
                <c:pt idx="24">
                  <c:v>131.51821292031264</c:v>
                </c:pt>
                <c:pt idx="25">
                  <c:v>133.65905085059669</c:v>
                </c:pt>
                <c:pt idx="26">
                  <c:v>135.83473708775759</c:v>
                </c:pt>
                <c:pt idx="27">
                  <c:v>138.04583888841717</c:v>
                </c:pt>
                <c:pt idx="28">
                  <c:v>140.29293274293349</c:v>
                </c:pt>
                <c:pt idx="29">
                  <c:v>142.57660452570659</c:v>
                </c:pt>
                <c:pt idx="30">
                  <c:v>144.8974496479307</c:v>
                </c:pt>
                <c:pt idx="31">
                  <c:v>147.2560732128332</c:v>
                </c:pt>
                <c:pt idx="32">
                  <c:v>149.65309017344023</c:v>
                </c:pt>
              </c:numCache>
            </c:numRef>
          </c:yVal>
          <c:smooth val="1"/>
          <c:extLst>
            <c:ext xmlns:c16="http://schemas.microsoft.com/office/drawing/2014/chart" uri="{C3380CC4-5D6E-409C-BE32-E72D297353CC}">
              <c16:uniqueId val="{00000003-40A1-4DD0-BE2F-84E4D9DB6436}"/>
            </c:ext>
          </c:extLst>
        </c:ser>
        <c:ser>
          <c:idx val="4"/>
          <c:order val="4"/>
          <c:tx>
            <c:strRef>
              <c:f>'2. PIB'!$A$33</c:f>
              <c:strCache>
                <c:ptCount val="1"/>
                <c:pt idx="0">
                  <c:v>AME AMS 2023 – RUN2</c:v>
                </c:pt>
              </c:strCache>
            </c:strRef>
          </c:tx>
          <c:spPr>
            <a:ln w="28800">
              <a:solidFill>
                <a:srgbClr val="83CAFF"/>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PIB'!$B$36:$AH$36</c:f>
              <c:numCache>
                <c:formatCode>0.0</c:formatCode>
                <c:ptCount val="33"/>
                <c:pt idx="0" formatCode="General">
                  <c:v>100</c:v>
                </c:pt>
                <c:pt idx="1">
                  <c:v>101.8</c:v>
                </c:pt>
                <c:pt idx="2">
                  <c:v>93.656000000000006</c:v>
                </c:pt>
                <c:pt idx="3">
                  <c:v>100.01171575179104</c:v>
                </c:pt>
                <c:pt idx="4">
                  <c:v>102.88961044499327</c:v>
                </c:pt>
                <c:pt idx="5">
                  <c:v>104.48258673625133</c:v>
                </c:pt>
                <c:pt idx="6">
                  <c:v>105.63319093881601</c:v>
                </c:pt>
                <c:pt idx="7">
                  <c:v>106.32428545927087</c:v>
                </c:pt>
                <c:pt idx="8">
                  <c:v>107.07304666735502</c:v>
                </c:pt>
                <c:pt idx="9">
                  <c:v>107.87162770638717</c:v>
                </c:pt>
                <c:pt idx="10">
                  <c:v>108.7257898330477</c:v>
                </c:pt>
                <c:pt idx="11">
                  <c:v>109.59234433410036</c:v>
                </c:pt>
                <c:pt idx="12">
                  <c:v>110.50140601381565</c:v>
                </c:pt>
                <c:pt idx="13">
                  <c:v>111.47339834006581</c:v>
                </c:pt>
                <c:pt idx="14">
                  <c:v>112.49396859459337</c:v>
                </c:pt>
                <c:pt idx="15">
                  <c:v>113.58786598798916</c:v>
                </c:pt>
                <c:pt idx="16">
                  <c:v>114.78395809675396</c:v>
                </c:pt>
                <c:pt idx="17">
                  <c:v>116.09476007697451</c:v>
                </c:pt>
                <c:pt idx="18">
                  <c:v>117.54781698132588</c:v>
                </c:pt>
                <c:pt idx="19">
                  <c:v>119.16915108381912</c:v>
                </c:pt>
                <c:pt idx="20">
                  <c:v>120.86069620974855</c:v>
                </c:pt>
                <c:pt idx="21">
                  <c:v>122.62935030643904</c:v>
                </c:pt>
                <c:pt idx="22">
                  <c:v>124.45526763645914</c:v>
                </c:pt>
                <c:pt idx="23">
                  <c:v>126.35579764289167</c:v>
                </c:pt>
                <c:pt idx="24">
                  <c:v>128.32758589784177</c:v>
                </c:pt>
                <c:pt idx="25">
                  <c:v>130.31388609399812</c:v>
                </c:pt>
                <c:pt idx="26">
                  <c:v>132.29977601472348</c:v>
                </c:pt>
                <c:pt idx="27">
                  <c:v>134.28783749859161</c:v>
                </c:pt>
                <c:pt idx="28">
                  <c:v>136.28905434524546</c:v>
                </c:pt>
                <c:pt idx="29">
                  <c:v>138.30983917015243</c:v>
                </c:pt>
                <c:pt idx="30">
                  <c:v>140.36544305732701</c:v>
                </c:pt>
                <c:pt idx="31">
                  <c:v>142.44774028087204</c:v>
                </c:pt>
                <c:pt idx="32">
                  <c:v>144.55928066531143</c:v>
                </c:pt>
              </c:numCache>
            </c:numRef>
          </c:yVal>
          <c:smooth val="1"/>
          <c:extLst>
            <c:ext xmlns:c16="http://schemas.microsoft.com/office/drawing/2014/chart" uri="{C3380CC4-5D6E-409C-BE32-E72D297353CC}">
              <c16:uniqueId val="{00000004-40A1-4DD0-BE2F-84E4D9DB6436}"/>
            </c:ext>
          </c:extLst>
        </c:ser>
        <c:dLbls>
          <c:showLegendKey val="0"/>
          <c:showVal val="0"/>
          <c:showCatName val="0"/>
          <c:showSerName val="0"/>
          <c:showPercent val="0"/>
          <c:showBubbleSize val="0"/>
        </c:dLbls>
        <c:axId val="46803822"/>
        <c:axId val="79535206"/>
      </c:scatterChart>
      <c:valAx>
        <c:axId val="4680382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9535206"/>
        <c:crosses val="autoZero"/>
        <c:crossBetween val="midCat"/>
      </c:valAx>
      <c:valAx>
        <c:axId val="79535206"/>
        <c:scaling>
          <c:orientation val="minMax"/>
          <c:min val="90"/>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46803822"/>
        <c:crosses val="autoZero"/>
        <c:crossBetween val="midCat"/>
      </c:valAx>
      <c:spPr>
        <a:noFill/>
        <a:ln>
          <a:noFill/>
        </a:ln>
      </c:spPr>
    </c:plotArea>
    <c:legend>
      <c:legendPos val="r"/>
      <c:layout>
        <c:manualLayout>
          <c:xMode val="edge"/>
          <c:yMode val="edge"/>
          <c:x val="2.3317958276240301E-2"/>
          <c:y val="0.853311765412478"/>
          <c:w val="0.95572604784154302"/>
          <c:h val="0.124685259277055"/>
        </c:manualLayout>
      </c:layout>
      <c:overlay val="1"/>
      <c:spPr>
        <a:noFill/>
        <a:ln>
          <a:noFill/>
        </a:ln>
      </c:spPr>
      <c:txPr>
        <a:bodyPr/>
        <a:lstStyle/>
        <a:p>
          <a:pPr>
            <a:defRPr sz="900" b="0" strike="noStrike" spc="-1">
              <a:solidFill>
                <a:srgbClr val="595959"/>
              </a:solidFill>
              <a:latin typeface="Calibri"/>
            </a:defRPr>
          </a:pPr>
          <a:endParaRPr lang="fr-FR"/>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300" b="0" strike="noStrike" spc="-1">
                <a:solidFill>
                  <a:srgbClr val="000000"/>
                </a:solidFill>
                <a:latin typeface="Arial"/>
              </a:defRPr>
            </a:pPr>
            <a:r>
              <a:rPr lang="fr-FR" sz="1300" b="0" strike="noStrike" spc="-1">
                <a:solidFill>
                  <a:srgbClr val="000000"/>
                </a:solidFill>
                <a:latin typeface="Arial"/>
              </a:rPr>
              <a:t>Valeur ajoutée brute de l'industrie</a:t>
            </a:r>
          </a:p>
        </c:rich>
      </c:tx>
      <c:overlay val="0"/>
      <c:spPr>
        <a:noFill/>
        <a:ln>
          <a:noFill/>
        </a:ln>
      </c:spPr>
    </c:title>
    <c:autoTitleDeleted val="0"/>
    <c:plotArea>
      <c:layout/>
      <c:scatterChart>
        <c:scatterStyle val="lineMarker"/>
        <c:varyColors val="0"/>
        <c:ser>
          <c:idx val="0"/>
          <c:order val="0"/>
          <c:tx>
            <c:strRef>
              <c:f>'PIB Branches'!$U$43</c:f>
              <c:strCache>
                <c:ptCount val="1"/>
                <c:pt idx="0">
                  <c:v>AME 23</c:v>
                </c:pt>
              </c:strCache>
            </c:strRef>
          </c:tx>
          <c:spPr>
            <a:ln w="28800">
              <a:solidFill>
                <a:srgbClr val="004586"/>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Branches'!$V$43:$AD$43</c:f>
              <c:numCache>
                <c:formatCode>General</c:formatCode>
                <c:ptCount val="9"/>
                <c:pt idx="0">
                  <c:v>100</c:v>
                </c:pt>
                <c:pt idx="1">
                  <c:v>104.08587257617729</c:v>
                </c:pt>
                <c:pt idx="2">
                  <c:v>94.18282548476455</c:v>
                </c:pt>
                <c:pt idx="3">
                  <c:v>96.900492429394717</c:v>
                </c:pt>
                <c:pt idx="4">
                  <c:v>98.914876833496535</c:v>
                </c:pt>
                <c:pt idx="5">
                  <c:v>102.14733298171244</c:v>
                </c:pt>
                <c:pt idx="6">
                  <c:v>107.82791565752009</c:v>
                </c:pt>
                <c:pt idx="7">
                  <c:v>114.52380439506331</c:v>
                </c:pt>
                <c:pt idx="8">
                  <c:v>121.09851201950528</c:v>
                </c:pt>
              </c:numCache>
            </c:numRef>
          </c:yVal>
          <c:smooth val="0"/>
          <c:extLst>
            <c:ext xmlns:c16="http://schemas.microsoft.com/office/drawing/2014/chart" uri="{C3380CC4-5D6E-409C-BE32-E72D297353CC}">
              <c16:uniqueId val="{00000000-B989-4406-89E9-6A5041B39505}"/>
            </c:ext>
          </c:extLst>
        </c:ser>
        <c:ser>
          <c:idx val="1"/>
          <c:order val="1"/>
          <c:tx>
            <c:strRef>
              <c:f>'PIB Branches'!$U$44</c:f>
              <c:strCache>
                <c:ptCount val="1"/>
                <c:pt idx="0">
                  <c:v>AMS 23</c:v>
                </c:pt>
              </c:strCache>
            </c:strRef>
          </c:tx>
          <c:spPr>
            <a:ln w="28800">
              <a:solidFill>
                <a:srgbClr val="FF420E"/>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Branches'!$V$44:$AD$44</c:f>
              <c:numCache>
                <c:formatCode>General</c:formatCode>
                <c:ptCount val="9"/>
                <c:pt idx="0">
                  <c:v>100</c:v>
                </c:pt>
                <c:pt idx="1">
                  <c:v>104.08587257617729</c:v>
                </c:pt>
                <c:pt idx="2">
                  <c:v>94.18282548476455</c:v>
                </c:pt>
                <c:pt idx="3">
                  <c:v>102.5886838113323</c:v>
                </c:pt>
                <c:pt idx="4">
                  <c:v>106.58377838460584</c:v>
                </c:pt>
                <c:pt idx="5">
                  <c:v>111.67083759883585</c:v>
                </c:pt>
                <c:pt idx="6">
                  <c:v>119.82278312216148</c:v>
                </c:pt>
                <c:pt idx="7">
                  <c:v>129.07118525090772</c:v>
                </c:pt>
                <c:pt idx="8">
                  <c:v>137.96080197639128</c:v>
                </c:pt>
              </c:numCache>
            </c:numRef>
          </c:yVal>
          <c:smooth val="0"/>
          <c:extLst>
            <c:ext xmlns:c16="http://schemas.microsoft.com/office/drawing/2014/chart" uri="{C3380CC4-5D6E-409C-BE32-E72D297353CC}">
              <c16:uniqueId val="{00000001-B989-4406-89E9-6A5041B39505}"/>
            </c:ext>
          </c:extLst>
        </c:ser>
        <c:ser>
          <c:idx val="2"/>
          <c:order val="2"/>
          <c:tx>
            <c:strRef>
              <c:f>'PIB Branches'!$U$42</c:f>
              <c:strCache>
                <c:ptCount val="1"/>
                <c:pt idx="0">
                  <c:v>Ecref</c:v>
                </c:pt>
              </c:strCache>
            </c:strRef>
          </c:tx>
          <c:spPr>
            <a:ln w="28800">
              <a:solidFill>
                <a:srgbClr val="FFD320"/>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Branches'!$V$42:$AD$42</c:f>
              <c:numCache>
                <c:formatCode>General</c:formatCode>
                <c:ptCount val="9"/>
                <c:pt idx="0">
                  <c:v>100</c:v>
                </c:pt>
                <c:pt idx="1">
                  <c:v>100.637830425595</c:v>
                </c:pt>
                <c:pt idx="2">
                  <c:v>92.625754616218302</c:v>
                </c:pt>
                <c:pt idx="3">
                  <c:v>105.081100657764</c:v>
                </c:pt>
                <c:pt idx="4">
                  <c:v>108.05230346096801</c:v>
                </c:pt>
                <c:pt idx="5">
                  <c:v>112.373387824452</c:v>
                </c:pt>
                <c:pt idx="6">
                  <c:v>118.559911781263</c:v>
                </c:pt>
                <c:pt idx="7">
                  <c:v>126.625026965546</c:v>
                </c:pt>
                <c:pt idx="8">
                  <c:v>136.11526444239399</c:v>
                </c:pt>
              </c:numCache>
            </c:numRef>
          </c:yVal>
          <c:smooth val="0"/>
          <c:extLst>
            <c:ext xmlns:c16="http://schemas.microsoft.com/office/drawing/2014/chart" uri="{C3380CC4-5D6E-409C-BE32-E72D297353CC}">
              <c16:uniqueId val="{00000002-B989-4406-89E9-6A5041B39505}"/>
            </c:ext>
          </c:extLst>
        </c:ser>
        <c:ser>
          <c:idx val="3"/>
          <c:order val="3"/>
          <c:tx>
            <c:strRef>
              <c:f>'PIB Branches'!$U$41</c:f>
              <c:strCache>
                <c:ptCount val="1"/>
                <c:pt idx="0">
                  <c:v>AME 21</c:v>
                </c:pt>
              </c:strCache>
            </c:strRef>
          </c:tx>
          <c:spPr>
            <a:ln w="28800">
              <a:solidFill>
                <a:srgbClr val="579D1C"/>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Branches'!$V$41:$AD$41</c:f>
              <c:numCache>
                <c:formatCode>General</c:formatCode>
                <c:ptCount val="9"/>
                <c:pt idx="0">
                  <c:v>100</c:v>
                </c:pt>
                <c:pt idx="1">
                  <c:v>101.31539403407101</c:v>
                </c:pt>
                <c:pt idx="2">
                  <c:v>92.958615750341806</c:v>
                </c:pt>
                <c:pt idx="3">
                  <c:v>105.83343399148301</c:v>
                </c:pt>
                <c:pt idx="4">
                  <c:v>111.232002761643</c:v>
                </c:pt>
                <c:pt idx="5">
                  <c:v>118.652524718704</c:v>
                </c:pt>
                <c:pt idx="6">
                  <c:v>126.568085376391</c:v>
                </c:pt>
                <c:pt idx="7">
                  <c:v>135.01170981252699</c:v>
                </c:pt>
                <c:pt idx="8">
                  <c:v>144.01862627766499</c:v>
                </c:pt>
              </c:numCache>
            </c:numRef>
          </c:yVal>
          <c:smooth val="0"/>
          <c:extLst>
            <c:ext xmlns:c16="http://schemas.microsoft.com/office/drawing/2014/chart" uri="{C3380CC4-5D6E-409C-BE32-E72D297353CC}">
              <c16:uniqueId val="{00000003-B989-4406-89E9-6A5041B39505}"/>
            </c:ext>
          </c:extLst>
        </c:ser>
        <c:ser>
          <c:idx val="4"/>
          <c:order val="4"/>
          <c:tx>
            <c:strRef>
              <c:f>'PIB Branches'!$U$39</c:f>
              <c:strCache>
                <c:ptCount val="1"/>
                <c:pt idx="0">
                  <c:v>AMS 18</c:v>
                </c:pt>
              </c:strCache>
            </c:strRef>
          </c:tx>
          <c:spPr>
            <a:ln w="28800">
              <a:solidFill>
                <a:srgbClr val="7E0021"/>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Branches'!$V$39:$AD$39</c:f>
              <c:numCache>
                <c:formatCode>General</c:formatCode>
                <c:ptCount val="9"/>
                <c:pt idx="0">
                  <c:v>100</c:v>
                </c:pt>
                <c:pt idx="1">
                  <c:v>101.4</c:v>
                </c:pt>
                <c:pt idx="2">
                  <c:v>102.81959999999999</c:v>
                </c:pt>
                <c:pt idx="3">
                  <c:v>108.06443294726201</c:v>
                </c:pt>
                <c:pt idx="4">
                  <c:v>114.14018098909099</c:v>
                </c:pt>
                <c:pt idx="5">
                  <c:v>121.754713661197</c:v>
                </c:pt>
                <c:pt idx="6">
                  <c:v>129.87722789871</c:v>
                </c:pt>
                <c:pt idx="7">
                  <c:v>138.54161222531201</c:v>
                </c:pt>
                <c:pt idx="8">
                  <c:v>147.78401593971299</c:v>
                </c:pt>
              </c:numCache>
            </c:numRef>
          </c:yVal>
          <c:smooth val="0"/>
          <c:extLst>
            <c:ext xmlns:c16="http://schemas.microsoft.com/office/drawing/2014/chart" uri="{C3380CC4-5D6E-409C-BE32-E72D297353CC}">
              <c16:uniqueId val="{00000004-B989-4406-89E9-6A5041B39505}"/>
            </c:ext>
          </c:extLst>
        </c:ser>
        <c:ser>
          <c:idx val="5"/>
          <c:order val="5"/>
          <c:tx>
            <c:strRef>
              <c:f>'PIB Branches'!$U$40</c:f>
              <c:strCache>
                <c:ptCount val="1"/>
                <c:pt idx="0">
                  <c:v>AME 18</c:v>
                </c:pt>
              </c:strCache>
            </c:strRef>
          </c:tx>
          <c:spPr>
            <a:ln w="28800">
              <a:solidFill>
                <a:srgbClr val="83CAFF"/>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Branches'!$V$40:$AD$40</c:f>
              <c:numCache>
                <c:formatCode>General</c:formatCode>
                <c:ptCount val="9"/>
                <c:pt idx="0">
                  <c:v>100</c:v>
                </c:pt>
                <c:pt idx="1">
                  <c:v>101.7</c:v>
                </c:pt>
                <c:pt idx="2">
                  <c:v>103.4289</c:v>
                </c:pt>
                <c:pt idx="3">
                  <c:v>112.52439082213699</c:v>
                </c:pt>
                <c:pt idx="4">
                  <c:v>122.419735005332</c:v>
                </c:pt>
                <c:pt idx="5">
                  <c:v>124.887795368493</c:v>
                </c:pt>
                <c:pt idx="6">
                  <c:v>127.40561341129499</c:v>
                </c:pt>
                <c:pt idx="7">
                  <c:v>129.974192280469</c:v>
                </c:pt>
                <c:pt idx="8">
                  <c:v>132.59455534682601</c:v>
                </c:pt>
              </c:numCache>
            </c:numRef>
          </c:yVal>
          <c:smooth val="0"/>
          <c:extLst>
            <c:ext xmlns:c16="http://schemas.microsoft.com/office/drawing/2014/chart" uri="{C3380CC4-5D6E-409C-BE32-E72D297353CC}">
              <c16:uniqueId val="{00000005-B989-4406-89E9-6A5041B39505}"/>
            </c:ext>
          </c:extLst>
        </c:ser>
        <c:dLbls>
          <c:showLegendKey val="0"/>
          <c:showVal val="0"/>
          <c:showCatName val="0"/>
          <c:showSerName val="0"/>
          <c:showPercent val="0"/>
          <c:showBubbleSize val="0"/>
        </c:dLbls>
        <c:axId val="2045967"/>
        <c:axId val="19388873"/>
      </c:scatterChart>
      <c:valAx>
        <c:axId val="2045967"/>
        <c:scaling>
          <c:orientation val="minMax"/>
        </c:scaling>
        <c:delete val="0"/>
        <c:axPos val="b"/>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fr-FR"/>
          </a:p>
        </c:txPr>
        <c:crossAx val="19388873"/>
        <c:crosses val="autoZero"/>
        <c:crossBetween val="midCat"/>
      </c:valAx>
      <c:valAx>
        <c:axId val="19388873"/>
        <c:scaling>
          <c:orientation val="minMax"/>
        </c:scaling>
        <c:delete val="0"/>
        <c:axPos val="l"/>
        <c:majorGridlines>
          <c:spPr>
            <a:ln w="6480">
              <a:solidFill>
                <a:srgbClr val="B3B3B3"/>
              </a:solidFill>
              <a:round/>
            </a:ln>
          </c:spPr>
        </c:majorGridlines>
        <c:title>
          <c:tx>
            <c:rich>
              <a:bodyPr rot="-5400000"/>
              <a:lstStyle/>
              <a:p>
                <a:pPr>
                  <a:defRPr sz="900" b="0" strike="noStrike" spc="-1">
                    <a:solidFill>
                      <a:srgbClr val="000000"/>
                    </a:solidFill>
                    <a:latin typeface="Arial"/>
                  </a:defRPr>
                </a:pPr>
                <a:r>
                  <a:rPr lang="fr-FR" sz="900" b="0" strike="noStrike" spc="-1">
                    <a:solidFill>
                      <a:srgbClr val="000000"/>
                    </a:solidFill>
                    <a:latin typeface="Arial"/>
                  </a:rPr>
                  <a:t>valeur ajoutée brute (indice 2018)</a:t>
                </a:r>
              </a:p>
            </c:rich>
          </c:tx>
          <c:overlay val="0"/>
          <c:spPr>
            <a:noFill/>
            <a:ln>
              <a:noFill/>
            </a:ln>
          </c:spPr>
        </c:title>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fr-FR"/>
          </a:p>
        </c:txPr>
        <c:crossAx val="2045967"/>
        <c:crosses val="autoZero"/>
        <c:crossBetween val="midCat"/>
      </c:valAx>
      <c:spPr>
        <a:noFill/>
        <a:ln>
          <a:solidFill>
            <a:srgbClr val="B3B3B3"/>
          </a:solidFill>
        </a:ln>
      </c:spPr>
    </c:plotArea>
    <c:legend>
      <c:legendPos val="r"/>
      <c:overlay val="0"/>
      <c:spPr>
        <a:noFill/>
        <a:ln>
          <a:noFill/>
        </a:ln>
      </c:spPr>
      <c:txPr>
        <a:bodyPr/>
        <a:lstStyle/>
        <a:p>
          <a:pPr>
            <a:defRPr sz="1000" b="0" strike="noStrike" spc="-1">
              <a:solidFill>
                <a:srgbClr val="000000"/>
              </a:solidFill>
              <a:latin typeface="Arial"/>
            </a:defRPr>
          </a:pPr>
          <a:endParaRPr lang="fr-FR"/>
        </a:p>
      </c:txPr>
    </c:legend>
    <c:plotVisOnly val="1"/>
    <c:dispBlanksAs val="span"/>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EU-ETS prices (€2016/tCO2)</a:t>
            </a:r>
          </a:p>
        </c:rich>
      </c:tx>
      <c:overlay val="0"/>
      <c:spPr>
        <a:noFill/>
        <a:ln>
          <a:noFill/>
        </a:ln>
      </c:spPr>
    </c:title>
    <c:autoTitleDeleted val="0"/>
    <c:plotArea>
      <c:layout/>
      <c:scatterChart>
        <c:scatterStyle val="lineMarker"/>
        <c:varyColors val="0"/>
        <c:ser>
          <c:idx val="0"/>
          <c:order val="0"/>
          <c:tx>
            <c:strRef>
              <c:f>'4. Prix du C'!$A$11</c:f>
              <c:strCache>
                <c:ptCount val="1"/>
                <c:pt idx="0">
                  <c:v>AME 2018 €2016</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C'!$B$11:$J$11</c:f>
              <c:numCache>
                <c:formatCode>#\ ##0.0</c:formatCode>
                <c:ptCount val="9"/>
                <c:pt idx="0">
                  <c:v>7.62</c:v>
                </c:pt>
                <c:pt idx="1">
                  <c:v>12.192</c:v>
                </c:pt>
                <c:pt idx="2">
                  <c:v>15.24</c:v>
                </c:pt>
                <c:pt idx="3">
                  <c:v>22.86</c:v>
                </c:pt>
                <c:pt idx="4">
                  <c:v>34.036000000000001</c:v>
                </c:pt>
                <c:pt idx="5">
                  <c:v>42.671999999999997</c:v>
                </c:pt>
                <c:pt idx="6">
                  <c:v>50.8</c:v>
                </c:pt>
                <c:pt idx="7">
                  <c:v>70.103999999999999</c:v>
                </c:pt>
                <c:pt idx="8">
                  <c:v>89.408000000000001</c:v>
                </c:pt>
              </c:numCache>
            </c:numRef>
          </c:yVal>
          <c:smooth val="1"/>
          <c:extLst>
            <c:ext xmlns:c16="http://schemas.microsoft.com/office/drawing/2014/chart" uri="{C3380CC4-5D6E-409C-BE32-E72D297353CC}">
              <c16:uniqueId val="{00000000-F01D-4653-B111-7E563C985768}"/>
            </c:ext>
          </c:extLst>
        </c:ser>
        <c:ser>
          <c:idx val="1"/>
          <c:order val="1"/>
          <c:tx>
            <c:strRef>
              <c:f>'4. Prix du C'!$A$13</c:f>
              <c:strCache>
                <c:ptCount val="1"/>
                <c:pt idx="0">
                  <c:v>AME 2021 (€2016)</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C'!$B$13:$J$13</c:f>
              <c:numCache>
                <c:formatCode>#\ ##0.0</c:formatCode>
                <c:ptCount val="9"/>
                <c:pt idx="1">
                  <c:v>15.5</c:v>
                </c:pt>
                <c:pt idx="2">
                  <c:v>25</c:v>
                </c:pt>
                <c:pt idx="3">
                  <c:v>28</c:v>
                </c:pt>
                <c:pt idx="4">
                  <c:v>30</c:v>
                </c:pt>
                <c:pt idx="5">
                  <c:v>40</c:v>
                </c:pt>
                <c:pt idx="6">
                  <c:v>53</c:v>
                </c:pt>
                <c:pt idx="7">
                  <c:v>70.103999999999999</c:v>
                </c:pt>
                <c:pt idx="8">
                  <c:v>89.408000000000001</c:v>
                </c:pt>
              </c:numCache>
            </c:numRef>
          </c:yVal>
          <c:smooth val="1"/>
          <c:extLst>
            <c:ext xmlns:c16="http://schemas.microsoft.com/office/drawing/2014/chart" uri="{C3380CC4-5D6E-409C-BE32-E72D297353CC}">
              <c16:uniqueId val="{00000001-F01D-4653-B111-7E563C985768}"/>
            </c:ext>
          </c:extLst>
        </c:ser>
        <c:ser>
          <c:idx val="2"/>
          <c:order val="2"/>
          <c:tx>
            <c:strRef>
              <c:f>'4. Prix du C'!$A$16:$A$16</c:f>
              <c:strCache>
                <c:ptCount val="1"/>
                <c:pt idx="0">
                  <c:v>CaarbonPulse (moyen)</c:v>
                </c:pt>
              </c:strCache>
            </c:strRef>
          </c:tx>
          <c:spPr>
            <a:ln w="1908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C'!$C$10:$F$10</c:f>
              <c:numCache>
                <c:formatCode>General</c:formatCode>
                <c:ptCount val="4"/>
                <c:pt idx="0">
                  <c:v>2018</c:v>
                </c:pt>
                <c:pt idx="1">
                  <c:v>2020</c:v>
                </c:pt>
                <c:pt idx="2">
                  <c:v>2025</c:v>
                </c:pt>
                <c:pt idx="3">
                  <c:v>2030</c:v>
                </c:pt>
              </c:numCache>
            </c:numRef>
          </c:xVal>
          <c:yVal>
            <c:numRef>
              <c:f>'4. Prix du C'!$C$16:$F$16</c:f>
              <c:numCache>
                <c:formatCode>#\ ##0.0</c:formatCode>
                <c:ptCount val="4"/>
                <c:pt idx="0">
                  <c:v>15.5</c:v>
                </c:pt>
                <c:pt idx="1">
                  <c:v>56</c:v>
                </c:pt>
                <c:pt idx="2">
                  <c:v>71.25</c:v>
                </c:pt>
                <c:pt idx="3">
                  <c:v>94.7</c:v>
                </c:pt>
              </c:numCache>
            </c:numRef>
          </c:yVal>
          <c:smooth val="1"/>
          <c:extLst>
            <c:ext xmlns:c16="http://schemas.microsoft.com/office/drawing/2014/chart" uri="{C3380CC4-5D6E-409C-BE32-E72D297353CC}">
              <c16:uniqueId val="{00000002-F01D-4653-B111-7E563C985768}"/>
            </c:ext>
          </c:extLst>
        </c:ser>
        <c:ser>
          <c:idx val="3"/>
          <c:order val="3"/>
          <c:tx>
            <c:strRef>
              <c:f>'4. Prix du C'!$A$18:$A$18</c:f>
              <c:strCache>
                <c:ptCount val="1"/>
                <c:pt idx="0">
                  <c:v>AME-AMS 2023 RUN1</c:v>
                </c:pt>
              </c:strCache>
            </c:strRef>
          </c:tx>
          <c:spPr>
            <a:ln w="19080">
              <a:solidFill>
                <a:srgbClr val="70AD47"/>
              </a:solidFill>
              <a:round/>
            </a:ln>
          </c:spPr>
          <c:marker>
            <c:symbol val="circle"/>
            <c:size val="5"/>
            <c:spPr>
              <a:solidFill>
                <a:srgbClr val="70AD47"/>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'4. Prix du C'!$C$17:$J$17</c:f>
              <c:numCache>
                <c:formatCode>#\ ##0.0</c:formatCode>
                <c:ptCount val="8"/>
                <c:pt idx="0">
                  <c:v>15.5</c:v>
                </c:pt>
                <c:pt idx="1">
                  <c:v>55</c:v>
                </c:pt>
                <c:pt idx="2">
                  <c:v>65</c:v>
                </c:pt>
                <c:pt idx="3">
                  <c:v>85</c:v>
                </c:pt>
                <c:pt idx="4">
                  <c:v>96</c:v>
                </c:pt>
                <c:pt idx="5">
                  <c:v>105</c:v>
                </c:pt>
                <c:pt idx="6">
                  <c:v>125</c:v>
                </c:pt>
                <c:pt idx="7">
                  <c:v>150</c:v>
                </c:pt>
              </c:numCache>
            </c:numRef>
          </c:yVal>
          <c:smooth val="1"/>
          <c:extLst>
            <c:ext xmlns:c16="http://schemas.microsoft.com/office/drawing/2014/chart" uri="{C3380CC4-5D6E-409C-BE32-E72D297353CC}">
              <c16:uniqueId val="{00000003-F01D-4653-B111-7E563C985768}"/>
            </c:ext>
          </c:extLst>
        </c:ser>
        <c:ser>
          <c:idx val="4"/>
          <c:order val="4"/>
          <c:tx>
            <c:strRef>
              <c:f>'4. Prix du C'!$A$14</c:f>
              <c:strCache>
                <c:ptCount val="1"/>
                <c:pt idx="0">
                  <c:v>EU ref 2020 (€2015)</c:v>
                </c:pt>
              </c:strCache>
            </c:strRef>
          </c:tx>
          <c:spPr>
            <a:ln w="19080">
              <a:solidFill>
                <a:srgbClr val="255E91"/>
              </a:solidFill>
              <a:round/>
            </a:ln>
          </c:spPr>
          <c:marker>
            <c:symbol val="circle"/>
            <c:size val="5"/>
            <c:spPr>
              <a:solidFill>
                <a:srgbClr val="255E9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C'!$B$14:$J$14</c:f>
              <c:numCache>
                <c:formatCode>#\ ##0.0</c:formatCode>
                <c:ptCount val="9"/>
                <c:pt idx="0">
                  <c:v>7.5</c:v>
                </c:pt>
                <c:pt idx="1">
                  <c:v>15.5</c:v>
                </c:pt>
                <c:pt idx="2">
                  <c:v>25</c:v>
                </c:pt>
                <c:pt idx="3">
                  <c:v>26.5</c:v>
                </c:pt>
                <c:pt idx="4">
                  <c:v>30</c:v>
                </c:pt>
                <c:pt idx="5">
                  <c:v>50</c:v>
                </c:pt>
                <c:pt idx="6">
                  <c:v>80</c:v>
                </c:pt>
                <c:pt idx="7">
                  <c:v>120</c:v>
                </c:pt>
                <c:pt idx="8">
                  <c:v>150</c:v>
                </c:pt>
              </c:numCache>
            </c:numRef>
          </c:yVal>
          <c:smooth val="1"/>
          <c:extLst>
            <c:ext xmlns:c16="http://schemas.microsoft.com/office/drawing/2014/chart" uri="{C3380CC4-5D6E-409C-BE32-E72D297353CC}">
              <c16:uniqueId val="{00000004-F01D-4653-B111-7E563C985768}"/>
            </c:ext>
          </c:extLst>
        </c:ser>
        <c:ser>
          <c:idx val="5"/>
          <c:order val="5"/>
          <c:tx>
            <c:strRef>
              <c:f>'4. Prix du C'!$B$21:$B$21</c:f>
              <c:strCache>
                <c:ptCount val="1"/>
                <c:pt idx="0">
                  <c:v>AME</c:v>
                </c:pt>
              </c:strCache>
            </c:strRef>
          </c:tx>
          <c:spPr>
            <a:ln w="19080">
              <a:solidFill>
                <a:srgbClr val="639A3F"/>
              </a:solidFill>
              <a:round/>
            </a:ln>
          </c:spPr>
          <c:marker>
            <c:symbol val="square"/>
            <c:size val="5"/>
            <c:spPr>
              <a:solidFill>
                <a:srgbClr val="639A3F"/>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C'!$C$19:$O$19</c:f>
              <c:numCache>
                <c:formatCode>General</c:formatCode>
                <c:ptCount val="13"/>
                <c:pt idx="0">
                  <c:v>2018</c:v>
                </c:pt>
                <c:pt idx="1">
                  <c:v>2019</c:v>
                </c:pt>
                <c:pt idx="2">
                  <c:v>2020</c:v>
                </c:pt>
                <c:pt idx="3">
                  <c:v>2021</c:v>
                </c:pt>
                <c:pt idx="4">
                  <c:v>2022</c:v>
                </c:pt>
                <c:pt idx="5">
                  <c:v>2023</c:v>
                </c:pt>
                <c:pt idx="6">
                  <c:v>2024</c:v>
                </c:pt>
                <c:pt idx="7">
                  <c:v>2025</c:v>
                </c:pt>
                <c:pt idx="8">
                  <c:v>2030</c:v>
                </c:pt>
                <c:pt idx="9">
                  <c:v>2035</c:v>
                </c:pt>
                <c:pt idx="10">
                  <c:v>2040</c:v>
                </c:pt>
                <c:pt idx="11">
                  <c:v>2045</c:v>
                </c:pt>
                <c:pt idx="12">
                  <c:v>2050</c:v>
                </c:pt>
              </c:numCache>
            </c:numRef>
          </c:xVal>
          <c:yVal>
            <c:numRef>
              <c:f>'4. Prix du C'!$C$21:$O$21</c:f>
              <c:numCache>
                <c:formatCode>General</c:formatCode>
                <c:ptCount val="13"/>
                <c:pt idx="0">
                  <c:v>15.2</c:v>
                </c:pt>
                <c:pt idx="1">
                  <c:v>23.75</c:v>
                </c:pt>
                <c:pt idx="2">
                  <c:v>22.799999999999997</c:v>
                </c:pt>
                <c:pt idx="3">
                  <c:v>51.3</c:v>
                </c:pt>
                <c:pt idx="4">
                  <c:v>71.25</c:v>
                </c:pt>
                <c:pt idx="5">
                  <c:v>73.149999999999991</c:v>
                </c:pt>
                <c:pt idx="6">
                  <c:v>74.099999999999994</c:v>
                </c:pt>
                <c:pt idx="7">
                  <c:v>76</c:v>
                </c:pt>
                <c:pt idx="8">
                  <c:v>76</c:v>
                </c:pt>
                <c:pt idx="9">
                  <c:v>77.899999999999991</c:v>
                </c:pt>
                <c:pt idx="10">
                  <c:v>80.75</c:v>
                </c:pt>
                <c:pt idx="11">
                  <c:v>123.5</c:v>
                </c:pt>
                <c:pt idx="12">
                  <c:v>152</c:v>
                </c:pt>
              </c:numCache>
            </c:numRef>
          </c:yVal>
          <c:smooth val="1"/>
          <c:extLst>
            <c:ext xmlns:c16="http://schemas.microsoft.com/office/drawing/2014/chart" uri="{C3380CC4-5D6E-409C-BE32-E72D297353CC}">
              <c16:uniqueId val="{00000005-F01D-4653-B111-7E563C985768}"/>
            </c:ext>
          </c:extLst>
        </c:ser>
        <c:ser>
          <c:idx val="6"/>
          <c:order val="6"/>
          <c:tx>
            <c:strRef>
              <c:f>'4. Prix du C'!$B$23:$B$23</c:f>
              <c:strCache>
                <c:ptCount val="1"/>
                <c:pt idx="0">
                  <c:v>AMS</c:v>
                </c:pt>
              </c:strCache>
            </c:strRef>
          </c:tx>
          <c:spPr>
            <a:ln w="19080">
              <a:solidFill>
                <a:srgbClr val="98B8DF"/>
              </a:solidFill>
              <a:round/>
            </a:ln>
          </c:spPr>
          <c:marker>
            <c:symbol val="square"/>
            <c:size val="5"/>
            <c:spPr>
              <a:solidFill>
                <a:srgbClr val="98B8DF"/>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C'!$C$19:$O$19</c:f>
              <c:numCache>
                <c:formatCode>General</c:formatCode>
                <c:ptCount val="13"/>
                <c:pt idx="0">
                  <c:v>2018</c:v>
                </c:pt>
                <c:pt idx="1">
                  <c:v>2019</c:v>
                </c:pt>
                <c:pt idx="2">
                  <c:v>2020</c:v>
                </c:pt>
                <c:pt idx="3">
                  <c:v>2021</c:v>
                </c:pt>
                <c:pt idx="4">
                  <c:v>2022</c:v>
                </c:pt>
                <c:pt idx="5">
                  <c:v>2023</c:v>
                </c:pt>
                <c:pt idx="6">
                  <c:v>2024</c:v>
                </c:pt>
                <c:pt idx="7">
                  <c:v>2025</c:v>
                </c:pt>
                <c:pt idx="8">
                  <c:v>2030</c:v>
                </c:pt>
                <c:pt idx="9">
                  <c:v>2035</c:v>
                </c:pt>
                <c:pt idx="10">
                  <c:v>2040</c:v>
                </c:pt>
                <c:pt idx="11">
                  <c:v>2045</c:v>
                </c:pt>
                <c:pt idx="12">
                  <c:v>2050</c:v>
                </c:pt>
              </c:numCache>
            </c:numRef>
          </c:xVal>
          <c:yVal>
            <c:numRef>
              <c:f>'4. Prix du C'!$C$23:$O$23</c:f>
              <c:numCache>
                <c:formatCode>General</c:formatCode>
                <c:ptCount val="13"/>
                <c:pt idx="0">
                  <c:v>15.2</c:v>
                </c:pt>
                <c:pt idx="1">
                  <c:v>23.75</c:v>
                </c:pt>
                <c:pt idx="2">
                  <c:v>22.799999999999997</c:v>
                </c:pt>
                <c:pt idx="3">
                  <c:v>51.3</c:v>
                </c:pt>
                <c:pt idx="4">
                  <c:v>71.25</c:v>
                </c:pt>
                <c:pt idx="5">
                  <c:v>73.149999999999991</c:v>
                </c:pt>
                <c:pt idx="6">
                  <c:v>74.099999999999994</c:v>
                </c:pt>
                <c:pt idx="7">
                  <c:v>76</c:v>
                </c:pt>
                <c:pt idx="8">
                  <c:v>76</c:v>
                </c:pt>
                <c:pt idx="9">
                  <c:v>114</c:v>
                </c:pt>
                <c:pt idx="10">
                  <c:v>237.5</c:v>
                </c:pt>
                <c:pt idx="11">
                  <c:v>342</c:v>
                </c:pt>
                <c:pt idx="12">
                  <c:v>389.5</c:v>
                </c:pt>
              </c:numCache>
            </c:numRef>
          </c:yVal>
          <c:smooth val="1"/>
          <c:extLst>
            <c:ext xmlns:c16="http://schemas.microsoft.com/office/drawing/2014/chart" uri="{C3380CC4-5D6E-409C-BE32-E72D297353CC}">
              <c16:uniqueId val="{00000006-F01D-4653-B111-7E563C985768}"/>
            </c:ext>
          </c:extLst>
        </c:ser>
        <c:dLbls>
          <c:showLegendKey val="0"/>
          <c:showVal val="0"/>
          <c:showCatName val="0"/>
          <c:showSerName val="0"/>
          <c:showPercent val="0"/>
          <c:showBubbleSize val="0"/>
        </c:dLbls>
        <c:axId val="77935829"/>
        <c:axId val="76079625"/>
      </c:scatterChart>
      <c:valAx>
        <c:axId val="77935829"/>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6079625"/>
        <c:crosses val="autoZero"/>
        <c:crossBetween val="midCat"/>
      </c:valAx>
      <c:valAx>
        <c:axId val="76079625"/>
        <c:scaling>
          <c:orientation val="minMax"/>
          <c:max val="200"/>
        </c:scaling>
        <c:delete val="0"/>
        <c:axPos val="l"/>
        <c:majorGridlines>
          <c:spPr>
            <a:ln w="9360">
              <a:solidFill>
                <a:srgbClr val="D9D9D9"/>
              </a:solidFill>
              <a:round/>
            </a:ln>
          </c:spPr>
        </c:majorGridlines>
        <c:numFmt formatCode="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7935829"/>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EU-ETS prices (€2016/tCO2)</a:t>
            </a:r>
          </a:p>
        </c:rich>
      </c:tx>
      <c:overlay val="0"/>
      <c:spPr>
        <a:noFill/>
        <a:ln>
          <a:noFill/>
        </a:ln>
      </c:spPr>
    </c:title>
    <c:autoTitleDeleted val="0"/>
    <c:plotArea>
      <c:layout/>
      <c:scatterChart>
        <c:scatterStyle val="lineMarker"/>
        <c:varyColors val="0"/>
        <c:ser>
          <c:idx val="0"/>
          <c:order val="0"/>
          <c:tx>
            <c:strRef>
              <c:f>'4. Prix du C'!$A$11</c:f>
              <c:strCache>
                <c:ptCount val="1"/>
                <c:pt idx="0">
                  <c:v>AME 2018 €2016</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C'!$B$11:$J$11</c:f>
              <c:numCache>
                <c:formatCode>#\ ##0.0</c:formatCode>
                <c:ptCount val="9"/>
                <c:pt idx="0">
                  <c:v>7.62</c:v>
                </c:pt>
                <c:pt idx="1">
                  <c:v>12.192</c:v>
                </c:pt>
                <c:pt idx="2">
                  <c:v>15.24</c:v>
                </c:pt>
                <c:pt idx="3">
                  <c:v>22.86</c:v>
                </c:pt>
                <c:pt idx="4">
                  <c:v>34.036000000000001</c:v>
                </c:pt>
                <c:pt idx="5">
                  <c:v>42.671999999999997</c:v>
                </c:pt>
                <c:pt idx="6">
                  <c:v>50.8</c:v>
                </c:pt>
                <c:pt idx="7">
                  <c:v>70.103999999999999</c:v>
                </c:pt>
                <c:pt idx="8">
                  <c:v>89.408000000000001</c:v>
                </c:pt>
              </c:numCache>
            </c:numRef>
          </c:yVal>
          <c:smooth val="1"/>
          <c:extLst>
            <c:ext xmlns:c16="http://schemas.microsoft.com/office/drawing/2014/chart" uri="{C3380CC4-5D6E-409C-BE32-E72D297353CC}">
              <c16:uniqueId val="{00000000-ADF9-476B-9AAD-357A1C0EB5B9}"/>
            </c:ext>
          </c:extLst>
        </c:ser>
        <c:ser>
          <c:idx val="1"/>
          <c:order val="1"/>
          <c:tx>
            <c:strRef>
              <c:f>'4. Prix du C'!$A$13</c:f>
              <c:strCache>
                <c:ptCount val="1"/>
                <c:pt idx="0">
                  <c:v>AME 2021 (€2016)</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C'!$B$13:$J$13</c:f>
              <c:numCache>
                <c:formatCode>#\ ##0.0</c:formatCode>
                <c:ptCount val="9"/>
                <c:pt idx="1">
                  <c:v>15.5</c:v>
                </c:pt>
                <c:pt idx="2">
                  <c:v>25</c:v>
                </c:pt>
                <c:pt idx="3">
                  <c:v>28</c:v>
                </c:pt>
                <c:pt idx="4">
                  <c:v>30</c:v>
                </c:pt>
                <c:pt idx="5">
                  <c:v>40</c:v>
                </c:pt>
                <c:pt idx="6">
                  <c:v>53</c:v>
                </c:pt>
                <c:pt idx="7">
                  <c:v>70.103999999999999</c:v>
                </c:pt>
                <c:pt idx="8">
                  <c:v>89.408000000000001</c:v>
                </c:pt>
              </c:numCache>
            </c:numRef>
          </c:yVal>
          <c:smooth val="1"/>
          <c:extLst>
            <c:ext xmlns:c16="http://schemas.microsoft.com/office/drawing/2014/chart" uri="{C3380CC4-5D6E-409C-BE32-E72D297353CC}">
              <c16:uniqueId val="{00000001-ADF9-476B-9AAD-357A1C0EB5B9}"/>
            </c:ext>
          </c:extLst>
        </c:ser>
        <c:ser>
          <c:idx val="3"/>
          <c:order val="2"/>
          <c:tx>
            <c:strRef>
              <c:f>'4. Prix du C'!$A$18</c:f>
              <c:strCache>
                <c:ptCount val="1"/>
                <c:pt idx="0">
                  <c:v>AME-AMS 2023 RUN1</c:v>
                </c:pt>
              </c:strCache>
            </c:strRef>
          </c:tx>
          <c:spPr>
            <a:ln w="19080">
              <a:solidFill>
                <a:srgbClr val="70AD47"/>
              </a:solidFill>
              <a:round/>
            </a:ln>
          </c:spPr>
          <c:marker>
            <c:symbol val="circle"/>
            <c:size val="5"/>
            <c:spPr>
              <a:solidFill>
                <a:srgbClr val="70AD47"/>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'4. Prix du C'!$C$17:$J$17</c:f>
              <c:numCache>
                <c:formatCode>#\ ##0.0</c:formatCode>
                <c:ptCount val="8"/>
                <c:pt idx="0">
                  <c:v>15.5</c:v>
                </c:pt>
                <c:pt idx="1">
                  <c:v>55</c:v>
                </c:pt>
                <c:pt idx="2">
                  <c:v>65</c:v>
                </c:pt>
                <c:pt idx="3">
                  <c:v>85</c:v>
                </c:pt>
                <c:pt idx="4">
                  <c:v>96</c:v>
                </c:pt>
                <c:pt idx="5">
                  <c:v>105</c:v>
                </c:pt>
                <c:pt idx="6">
                  <c:v>125</c:v>
                </c:pt>
                <c:pt idx="7">
                  <c:v>150</c:v>
                </c:pt>
              </c:numCache>
            </c:numRef>
          </c:yVal>
          <c:smooth val="1"/>
          <c:extLst>
            <c:ext xmlns:c16="http://schemas.microsoft.com/office/drawing/2014/chart" uri="{C3380CC4-5D6E-409C-BE32-E72D297353CC}">
              <c16:uniqueId val="{00000003-ADF9-476B-9AAD-357A1C0EB5B9}"/>
            </c:ext>
          </c:extLst>
        </c:ser>
        <c:ser>
          <c:idx val="4"/>
          <c:order val="3"/>
          <c:tx>
            <c:strRef>
              <c:f>'4. Prix du C'!$A$14</c:f>
              <c:strCache>
                <c:ptCount val="1"/>
                <c:pt idx="0">
                  <c:v>EU ref 2020 (€2015)</c:v>
                </c:pt>
              </c:strCache>
            </c:strRef>
          </c:tx>
          <c:spPr>
            <a:ln w="19080">
              <a:solidFill>
                <a:srgbClr val="255E91"/>
              </a:solidFill>
              <a:round/>
            </a:ln>
          </c:spPr>
          <c:marker>
            <c:symbol val="circle"/>
            <c:size val="5"/>
            <c:spPr>
              <a:solidFill>
                <a:srgbClr val="255E9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C'!$B$14:$J$14</c:f>
              <c:numCache>
                <c:formatCode>#\ ##0.0</c:formatCode>
                <c:ptCount val="9"/>
                <c:pt idx="0">
                  <c:v>7.5</c:v>
                </c:pt>
                <c:pt idx="1">
                  <c:v>15.5</c:v>
                </c:pt>
                <c:pt idx="2">
                  <c:v>25</c:v>
                </c:pt>
                <c:pt idx="3">
                  <c:v>26.5</c:v>
                </c:pt>
                <c:pt idx="4">
                  <c:v>30</c:v>
                </c:pt>
                <c:pt idx="5">
                  <c:v>50</c:v>
                </c:pt>
                <c:pt idx="6">
                  <c:v>80</c:v>
                </c:pt>
                <c:pt idx="7">
                  <c:v>120</c:v>
                </c:pt>
                <c:pt idx="8">
                  <c:v>150</c:v>
                </c:pt>
              </c:numCache>
            </c:numRef>
          </c:yVal>
          <c:smooth val="1"/>
          <c:extLst>
            <c:ext xmlns:c16="http://schemas.microsoft.com/office/drawing/2014/chart" uri="{C3380CC4-5D6E-409C-BE32-E72D297353CC}">
              <c16:uniqueId val="{00000004-ADF9-476B-9AAD-357A1C0EB5B9}"/>
            </c:ext>
          </c:extLst>
        </c:ser>
        <c:ser>
          <c:idx val="5"/>
          <c:order val="4"/>
          <c:tx>
            <c:strRef>
              <c:f>'4. Prix du C'!$A$25</c:f>
              <c:strCache>
                <c:ptCount val="1"/>
                <c:pt idx="0">
                  <c:v>AME-AMS 2023 – RUN2 (€2015)</c:v>
                </c:pt>
              </c:strCache>
            </c:strRef>
          </c:tx>
          <c:spPr>
            <a:ln w="19080">
              <a:solidFill>
                <a:srgbClr val="639A3F"/>
              </a:solidFill>
              <a:round/>
            </a:ln>
          </c:spPr>
          <c:marker>
            <c:symbol val="square"/>
            <c:size val="5"/>
            <c:spPr>
              <a:solidFill>
                <a:srgbClr val="639A3F"/>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C'!$C$19:$O$19</c:f>
              <c:numCache>
                <c:formatCode>General</c:formatCode>
                <c:ptCount val="13"/>
                <c:pt idx="0">
                  <c:v>2018</c:v>
                </c:pt>
                <c:pt idx="1">
                  <c:v>2019</c:v>
                </c:pt>
                <c:pt idx="2">
                  <c:v>2020</c:v>
                </c:pt>
                <c:pt idx="3">
                  <c:v>2021</c:v>
                </c:pt>
                <c:pt idx="4">
                  <c:v>2022</c:v>
                </c:pt>
                <c:pt idx="5">
                  <c:v>2023</c:v>
                </c:pt>
                <c:pt idx="6">
                  <c:v>2024</c:v>
                </c:pt>
                <c:pt idx="7">
                  <c:v>2025</c:v>
                </c:pt>
                <c:pt idx="8">
                  <c:v>2030</c:v>
                </c:pt>
                <c:pt idx="9">
                  <c:v>2035</c:v>
                </c:pt>
                <c:pt idx="10">
                  <c:v>2040</c:v>
                </c:pt>
                <c:pt idx="11">
                  <c:v>2045</c:v>
                </c:pt>
                <c:pt idx="12">
                  <c:v>2050</c:v>
                </c:pt>
              </c:numCache>
            </c:numRef>
          </c:xVal>
          <c:yVal>
            <c:numRef>
              <c:f>'4. Prix du C'!$C$21:$O$21</c:f>
              <c:numCache>
                <c:formatCode>General</c:formatCode>
                <c:ptCount val="13"/>
                <c:pt idx="0">
                  <c:v>15.2</c:v>
                </c:pt>
                <c:pt idx="1">
                  <c:v>23.75</c:v>
                </c:pt>
                <c:pt idx="2">
                  <c:v>22.799999999999997</c:v>
                </c:pt>
                <c:pt idx="3">
                  <c:v>51.3</c:v>
                </c:pt>
                <c:pt idx="4">
                  <c:v>71.25</c:v>
                </c:pt>
                <c:pt idx="5">
                  <c:v>73.149999999999991</c:v>
                </c:pt>
                <c:pt idx="6">
                  <c:v>74.099999999999994</c:v>
                </c:pt>
                <c:pt idx="7">
                  <c:v>76</c:v>
                </c:pt>
                <c:pt idx="8">
                  <c:v>76</c:v>
                </c:pt>
                <c:pt idx="9">
                  <c:v>77.899999999999991</c:v>
                </c:pt>
                <c:pt idx="10">
                  <c:v>80.75</c:v>
                </c:pt>
                <c:pt idx="11">
                  <c:v>123.5</c:v>
                </c:pt>
                <c:pt idx="12">
                  <c:v>152</c:v>
                </c:pt>
              </c:numCache>
            </c:numRef>
          </c:yVal>
          <c:smooth val="1"/>
          <c:extLst>
            <c:ext xmlns:c16="http://schemas.microsoft.com/office/drawing/2014/chart" uri="{C3380CC4-5D6E-409C-BE32-E72D297353CC}">
              <c16:uniqueId val="{00000005-ADF9-476B-9AAD-357A1C0EB5B9}"/>
            </c:ext>
          </c:extLst>
        </c:ser>
        <c:dLbls>
          <c:showLegendKey val="0"/>
          <c:showVal val="0"/>
          <c:showCatName val="0"/>
          <c:showSerName val="0"/>
          <c:showPercent val="0"/>
          <c:showBubbleSize val="0"/>
        </c:dLbls>
        <c:axId val="77935829"/>
        <c:axId val="76079625"/>
      </c:scatterChart>
      <c:valAx>
        <c:axId val="77935829"/>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6079625"/>
        <c:crosses val="autoZero"/>
        <c:crossBetween val="midCat"/>
      </c:valAx>
      <c:valAx>
        <c:axId val="76079625"/>
        <c:scaling>
          <c:orientation val="minMax"/>
          <c:max val="160"/>
        </c:scaling>
        <c:delete val="0"/>
        <c:axPos val="l"/>
        <c:majorGridlines>
          <c:spPr>
            <a:ln w="9360">
              <a:solidFill>
                <a:srgbClr val="D9D9D9"/>
              </a:solidFill>
              <a:round/>
            </a:ln>
          </c:spPr>
        </c:majorGridlines>
        <c:numFmt formatCode="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7935829"/>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10</xdr:col>
      <xdr:colOff>199080</xdr:colOff>
      <xdr:row>0</xdr:row>
      <xdr:rowOff>0</xdr:rowOff>
    </xdr:from>
    <xdr:to>
      <xdr:col>17</xdr:col>
      <xdr:colOff>195120</xdr:colOff>
      <xdr:row>22</xdr:row>
      <xdr:rowOff>71640</xdr:rowOff>
    </xdr:to>
    <xdr:graphicFrame macro="">
      <xdr:nvGraphicFramePr>
        <xdr:cNvPr id="2" name="Graphique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271080</xdr:colOff>
      <xdr:row>0</xdr:row>
      <xdr:rowOff>83520</xdr:rowOff>
    </xdr:from>
    <xdr:to>
      <xdr:col>17</xdr:col>
      <xdr:colOff>522720</xdr:colOff>
      <xdr:row>13</xdr:row>
      <xdr:rowOff>18720</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618718</xdr:colOff>
      <xdr:row>0</xdr:row>
      <xdr:rowOff>97693</xdr:rowOff>
    </xdr:from>
    <xdr:to>
      <xdr:col>25</xdr:col>
      <xdr:colOff>137665</xdr:colOff>
      <xdr:row>13</xdr:row>
      <xdr:rowOff>32893</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621986</xdr:colOff>
      <xdr:row>43</xdr:row>
      <xdr:rowOff>155696</xdr:rowOff>
    </xdr:from>
    <xdr:to>
      <xdr:col>31</xdr:col>
      <xdr:colOff>4500</xdr:colOff>
      <xdr:row>65</xdr:row>
      <xdr:rowOff>161815</xdr:rowOff>
    </xdr:to>
    <xdr:graphicFrame macro="">
      <xdr:nvGraphicFramePr>
        <xdr:cNvPr id="2" name="Graphique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249840</xdr:colOff>
      <xdr:row>0</xdr:row>
      <xdr:rowOff>0</xdr:rowOff>
    </xdr:from>
    <xdr:to>
      <xdr:col>20</xdr:col>
      <xdr:colOff>147600</xdr:colOff>
      <xdr:row>30</xdr:row>
      <xdr:rowOff>122760</xdr:rowOff>
    </xdr:to>
    <xdr:graphicFrame macro="">
      <xdr:nvGraphicFramePr>
        <xdr:cNvPr id="3" name="Graphique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414514</xdr:colOff>
      <xdr:row>0</xdr:row>
      <xdr:rowOff>61736</xdr:rowOff>
    </xdr:from>
    <xdr:to>
      <xdr:col>25</xdr:col>
      <xdr:colOff>312275</xdr:colOff>
      <xdr:row>30</xdr:row>
      <xdr:rowOff>184496</xdr:rowOff>
    </xdr:to>
    <xdr:graphicFrame macro="">
      <xdr:nvGraphicFramePr>
        <xdr:cNvPr id="5" name="Graphique 1">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insee.fr/fr/statistiques/285984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hyperlink" Target="https://op.europa.eu/en/publication-detail/-/publication/96c2ca82-e85e-11eb-93a8-01aa75ed71a1/language-en/format-PDF/source-2199039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6"/>
  </sheetPr>
  <dimension ref="A2:AH54"/>
  <sheetViews>
    <sheetView topLeftCell="A13" zoomScale="72" zoomScaleNormal="72" workbookViewId="0">
      <selection activeCell="I38" sqref="I38"/>
    </sheetView>
  </sheetViews>
  <sheetFormatPr baseColWidth="10" defaultColWidth="8.5703125" defaultRowHeight="15" x14ac:dyDescent="0.25"/>
  <cols>
    <col min="1" max="1" width="27" customWidth="1"/>
    <col min="2" max="2" width="14.140625" customWidth="1"/>
    <col min="3" max="1025" width="10.42578125" customWidth="1"/>
  </cols>
  <sheetData>
    <row r="2" spans="1:34" x14ac:dyDescent="0.25">
      <c r="B2" s="107" t="s">
        <v>0</v>
      </c>
      <c r="C2" s="107"/>
      <c r="D2" s="107"/>
      <c r="E2" s="107"/>
      <c r="F2" s="107"/>
      <c r="G2" s="107"/>
      <c r="H2" s="107"/>
      <c r="I2" s="107"/>
      <c r="J2" s="107"/>
    </row>
    <row r="3" spans="1:34" x14ac:dyDescent="0.25">
      <c r="B3" s="1" t="s">
        <v>1</v>
      </c>
      <c r="C3" s="2">
        <v>2018</v>
      </c>
      <c r="D3" s="2">
        <v>2020</v>
      </c>
      <c r="E3" s="2">
        <v>2025</v>
      </c>
      <c r="F3" s="2">
        <v>2030</v>
      </c>
      <c r="G3" s="2">
        <v>2035</v>
      </c>
      <c r="H3" s="2">
        <v>2040</v>
      </c>
      <c r="I3" s="2">
        <v>2045</v>
      </c>
      <c r="J3" s="3">
        <v>2050</v>
      </c>
    </row>
    <row r="4" spans="1:34" x14ac:dyDescent="0.25">
      <c r="B4" s="1" t="s">
        <v>2</v>
      </c>
      <c r="C4" s="4">
        <f>B17</f>
        <v>66.992000000000004</v>
      </c>
      <c r="D4" s="4">
        <f>D35</f>
        <v>67.286000000000001</v>
      </c>
      <c r="E4" s="4">
        <f>I35</f>
        <v>67.954999999999998</v>
      </c>
      <c r="F4" s="4">
        <f>N35</f>
        <v>68.554000000000002</v>
      </c>
      <c r="G4" s="4">
        <f>S35</f>
        <v>68.983999999999995</v>
      </c>
      <c r="H4" s="4">
        <f>X35</f>
        <v>69.224999999999994</v>
      </c>
      <c r="I4" s="4">
        <f>AC35</f>
        <v>69.284000000000006</v>
      </c>
      <c r="J4" s="5">
        <f>AH35</f>
        <v>69.206999999999994</v>
      </c>
    </row>
    <row r="5" spans="1:34" x14ac:dyDescent="0.25">
      <c r="B5" s="6" t="s">
        <v>3</v>
      </c>
      <c r="C5" s="4">
        <f>B36</f>
        <v>64.852008205250172</v>
      </c>
      <c r="D5" s="4">
        <f>D36</f>
        <v>65.136535067389033</v>
      </c>
      <c r="E5" s="4">
        <f>I36</f>
        <v>65.774895316523839</v>
      </c>
      <c r="F5" s="4">
        <f>N36</f>
        <v>66.337182447373706</v>
      </c>
      <c r="G5" s="4">
        <f>S36</f>
        <v>66.730362834243564</v>
      </c>
      <c r="H5" s="4">
        <f>X36</f>
        <v>66.932723540145986</v>
      </c>
      <c r="I5" s="4">
        <f>AC36</f>
        <v>66.952823285286541</v>
      </c>
      <c r="J5" s="5">
        <f>AH36</f>
        <v>66.835070971229001</v>
      </c>
    </row>
    <row r="6" spans="1:34" x14ac:dyDescent="0.25">
      <c r="B6" s="7" t="s">
        <v>4</v>
      </c>
      <c r="C6" s="8">
        <f>B37</f>
        <v>2.1399917947498293</v>
      </c>
      <c r="D6" s="8">
        <f>D37</f>
        <v>2.1494649326109743</v>
      </c>
      <c r="E6" s="8">
        <f>I37</f>
        <v>2.1801046834761606</v>
      </c>
      <c r="F6" s="8">
        <f>N37</f>
        <v>2.216817552626289</v>
      </c>
      <c r="G6" s="8">
        <f>S37</f>
        <v>2.2536371657564365</v>
      </c>
      <c r="H6" s="8">
        <f>X37</f>
        <v>2.2922764598540146</v>
      </c>
      <c r="I6" s="8">
        <f>AC37</f>
        <v>2.3311767147134601</v>
      </c>
      <c r="J6" s="9">
        <f>AH37</f>
        <v>2.371929028770996</v>
      </c>
    </row>
    <row r="8" spans="1:34" ht="35.1" customHeight="1" x14ac:dyDescent="0.25">
      <c r="B8" s="108" t="s">
        <v>5</v>
      </c>
      <c r="C8" s="108"/>
      <c r="D8" s="108"/>
      <c r="E8" s="108"/>
      <c r="F8" s="108"/>
      <c r="G8" s="108"/>
      <c r="H8" s="108"/>
      <c r="I8" s="108"/>
      <c r="J8" s="108"/>
      <c r="K8" s="10"/>
      <c r="L8" s="10"/>
      <c r="M8" s="10"/>
    </row>
    <row r="9" spans="1:34" x14ac:dyDescent="0.25">
      <c r="B9" s="10"/>
      <c r="C9" s="10"/>
      <c r="D9" s="10"/>
      <c r="E9" s="10"/>
      <c r="F9" s="10"/>
      <c r="G9" s="10"/>
      <c r="H9" s="10"/>
      <c r="I9" s="10"/>
      <c r="J9" s="10"/>
      <c r="K9" s="10"/>
      <c r="L9" s="10"/>
      <c r="M9" s="10"/>
    </row>
    <row r="10" spans="1:34" x14ac:dyDescent="0.25">
      <c r="A10" t="s">
        <v>6</v>
      </c>
    </row>
    <row r="11" spans="1:34" x14ac:dyDescent="0.25">
      <c r="A11" t="s">
        <v>7</v>
      </c>
      <c r="B11" t="s">
        <v>8</v>
      </c>
    </row>
    <row r="12" spans="1:34" x14ac:dyDescent="0.25">
      <c r="A12" t="s">
        <v>9</v>
      </c>
      <c r="B12" s="11" t="s">
        <v>10</v>
      </c>
    </row>
    <row r="13" spans="1:34" x14ac:dyDescent="0.25">
      <c r="B13" t="s">
        <v>11</v>
      </c>
    </row>
    <row r="14" spans="1:34" x14ac:dyDescent="0.25">
      <c r="A14" t="s">
        <v>12</v>
      </c>
      <c r="B14" t="s">
        <v>13</v>
      </c>
    </row>
    <row r="16" spans="1:34" x14ac:dyDescent="0.25">
      <c r="B16" s="12">
        <v>2018</v>
      </c>
      <c r="C16" s="12">
        <v>2019</v>
      </c>
      <c r="D16" s="12">
        <v>2020</v>
      </c>
      <c r="E16" s="12">
        <v>2021</v>
      </c>
      <c r="F16" s="12">
        <v>2022</v>
      </c>
      <c r="G16" s="12">
        <v>2023</v>
      </c>
      <c r="H16" s="12">
        <v>2024</v>
      </c>
      <c r="I16" s="12">
        <v>2025</v>
      </c>
      <c r="J16" s="12">
        <v>2026</v>
      </c>
      <c r="K16" s="12">
        <v>2027</v>
      </c>
      <c r="L16" s="12">
        <v>2028</v>
      </c>
      <c r="M16" s="12">
        <v>2029</v>
      </c>
      <c r="N16" s="12">
        <v>2030</v>
      </c>
      <c r="O16" s="12">
        <v>2031</v>
      </c>
      <c r="P16" s="12">
        <v>2032</v>
      </c>
      <c r="Q16" s="12">
        <v>2033</v>
      </c>
      <c r="R16" s="12">
        <v>2034</v>
      </c>
      <c r="S16" s="12">
        <v>2035</v>
      </c>
      <c r="T16" s="12">
        <v>2036</v>
      </c>
      <c r="U16" s="12">
        <v>2037</v>
      </c>
      <c r="V16" s="12">
        <v>2038</v>
      </c>
      <c r="W16" s="12">
        <v>2039</v>
      </c>
      <c r="X16" s="12">
        <v>2040</v>
      </c>
      <c r="Y16" s="12">
        <v>2041</v>
      </c>
      <c r="Z16" s="12">
        <v>2042</v>
      </c>
      <c r="AA16" s="12">
        <v>2043</v>
      </c>
      <c r="AB16" s="12">
        <v>2044</v>
      </c>
      <c r="AC16" s="12">
        <v>2045</v>
      </c>
      <c r="AD16" s="12">
        <v>2046</v>
      </c>
      <c r="AE16" s="12">
        <v>2047</v>
      </c>
      <c r="AF16" s="12">
        <v>2048</v>
      </c>
      <c r="AG16" s="12">
        <v>2049</v>
      </c>
      <c r="AH16" s="12">
        <v>2050</v>
      </c>
    </row>
    <row r="17" spans="1:34" x14ac:dyDescent="0.25">
      <c r="A17" t="s">
        <v>14</v>
      </c>
      <c r="B17" s="13">
        <v>66.992000000000004</v>
      </c>
      <c r="C17" s="13">
        <v>67.144000000000005</v>
      </c>
      <c r="D17">
        <v>67.287000000000006</v>
      </c>
      <c r="E17" s="13">
        <v>67.406999999999996</v>
      </c>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row r="18" spans="1:34" x14ac:dyDescent="0.25">
      <c r="A18" t="s">
        <v>15</v>
      </c>
      <c r="D18">
        <v>67.819999999999993</v>
      </c>
      <c r="I18">
        <v>69.093000000000004</v>
      </c>
      <c r="N18">
        <v>70.281000000000006</v>
      </c>
      <c r="S18">
        <v>71.417000000000002</v>
      </c>
      <c r="X18">
        <v>72.448999999999998</v>
      </c>
      <c r="AC18">
        <v>73.311999999999998</v>
      </c>
      <c r="AH18">
        <v>74.025000000000006</v>
      </c>
    </row>
    <row r="19" spans="1:34" x14ac:dyDescent="0.25">
      <c r="A19" t="s">
        <v>16</v>
      </c>
      <c r="B19" s="14">
        <v>66.98</v>
      </c>
      <c r="C19" s="14">
        <v>67.012883000000002</v>
      </c>
      <c r="D19" s="14">
        <v>67.204763</v>
      </c>
      <c r="E19" s="14">
        <v>67.388433000000006</v>
      </c>
      <c r="F19" s="14">
        <v>67.575000000000003</v>
      </c>
      <c r="G19" s="14">
        <v>67.765465000000006</v>
      </c>
      <c r="H19" s="14">
        <v>67.955439999999996</v>
      </c>
      <c r="I19" s="14">
        <v>68.145742999999996</v>
      </c>
      <c r="J19" s="14">
        <v>68.335445000000007</v>
      </c>
      <c r="K19" s="14">
        <v>68.526661000000004</v>
      </c>
      <c r="L19" s="14">
        <v>68.718934000000004</v>
      </c>
      <c r="M19" s="14">
        <v>68.916612999999998</v>
      </c>
      <c r="N19" s="14">
        <v>69.116879999999995</v>
      </c>
      <c r="O19" s="14">
        <v>69.319056000000003</v>
      </c>
      <c r="P19" s="14">
        <v>69.521761999999995</v>
      </c>
      <c r="Q19" s="14">
        <v>69.722271000000006</v>
      </c>
      <c r="R19" s="14">
        <v>69.91583</v>
      </c>
      <c r="S19" s="14">
        <v>70.104962</v>
      </c>
      <c r="T19" s="14">
        <v>70.288808000000003</v>
      </c>
      <c r="U19" s="14">
        <v>70.465976999999995</v>
      </c>
      <c r="V19" s="14">
        <v>70.633769999999998</v>
      </c>
      <c r="W19" s="14">
        <v>70.788492000000005</v>
      </c>
      <c r="X19" s="14">
        <v>70.926210999999995</v>
      </c>
      <c r="Y19" s="14">
        <v>71.046882993855405</v>
      </c>
      <c r="Z19" s="14">
        <v>71.166557698505301</v>
      </c>
      <c r="AA19" s="14">
        <v>71.269278486663197</v>
      </c>
      <c r="AB19" s="14">
        <v>71.366015539588602</v>
      </c>
      <c r="AC19" s="14">
        <v>71.459760724897706</v>
      </c>
      <c r="AD19" s="14">
        <v>71.533560126098493</v>
      </c>
      <c r="AE19" s="14">
        <v>71.606362238093894</v>
      </c>
      <c r="AF19" s="14">
        <v>71.671186036445903</v>
      </c>
      <c r="AG19" s="14">
        <v>71.726036942743804</v>
      </c>
      <c r="AH19" s="14">
        <v>71.776898692220101</v>
      </c>
    </row>
    <row r="20" spans="1:34" x14ac:dyDescent="0.25">
      <c r="A20" t="s">
        <v>195</v>
      </c>
      <c r="B20">
        <v>66.991</v>
      </c>
      <c r="C20">
        <v>67.146000000000001</v>
      </c>
      <c r="D20">
        <v>67.286000000000001</v>
      </c>
      <c r="E20">
        <v>67.406000000000006</v>
      </c>
      <c r="F20">
        <v>67.513000000000005</v>
      </c>
      <c r="G20">
        <v>67.658000000000001</v>
      </c>
      <c r="H20">
        <v>67.811999999999998</v>
      </c>
      <c r="I20">
        <v>67.954999999999998</v>
      </c>
      <c r="J20">
        <v>68.09</v>
      </c>
      <c r="K20">
        <v>68.215999999999994</v>
      </c>
      <c r="L20">
        <v>68.337000000000003</v>
      </c>
      <c r="M20">
        <v>68.45</v>
      </c>
      <c r="N20">
        <v>68.554000000000002</v>
      </c>
      <c r="O20">
        <v>68.653999999999996</v>
      </c>
      <c r="P20">
        <v>68.747</v>
      </c>
      <c r="Q20">
        <v>68.831999999999994</v>
      </c>
      <c r="R20">
        <v>68.909000000000006</v>
      </c>
      <c r="S20">
        <v>68.983999999999995</v>
      </c>
      <c r="T20">
        <v>69.05</v>
      </c>
      <c r="U20">
        <v>69.103999999999999</v>
      </c>
      <c r="V20">
        <v>69.152000000000001</v>
      </c>
      <c r="W20">
        <v>69.192999999999998</v>
      </c>
      <c r="X20">
        <v>69.224999999999994</v>
      </c>
      <c r="Y20">
        <v>69.251999999999995</v>
      </c>
      <c r="Z20">
        <v>69.27</v>
      </c>
      <c r="AA20">
        <v>69.278999999999996</v>
      </c>
      <c r="AB20">
        <v>69.284999999999997</v>
      </c>
      <c r="AC20">
        <v>69.284000000000006</v>
      </c>
      <c r="AD20">
        <v>69.277000000000001</v>
      </c>
      <c r="AE20">
        <v>69.266999999999996</v>
      </c>
      <c r="AF20">
        <v>69.251999999999995</v>
      </c>
      <c r="AG20">
        <v>69.231999999999999</v>
      </c>
      <c r="AH20">
        <v>69.206999999999994</v>
      </c>
    </row>
    <row r="21" spans="1:34" x14ac:dyDescent="0.25">
      <c r="A21" t="s">
        <v>17</v>
      </c>
      <c r="B21">
        <f>B20</f>
        <v>66.991</v>
      </c>
      <c r="C21">
        <f>C20</f>
        <v>67.146000000000001</v>
      </c>
      <c r="D21" s="15">
        <v>67.320216000000002</v>
      </c>
      <c r="E21" s="15">
        <v>67.439599000000001</v>
      </c>
      <c r="F21" s="15">
        <v>67.588901250000006</v>
      </c>
      <c r="G21" s="15">
        <v>67.738203499999997</v>
      </c>
      <c r="H21" s="15">
        <v>67.887505750000003</v>
      </c>
      <c r="I21" s="15">
        <v>68.036807999999994</v>
      </c>
      <c r="J21" s="15">
        <v>68.189108000000004</v>
      </c>
      <c r="K21" s="15">
        <v>68.335925000000003</v>
      </c>
      <c r="L21" s="15">
        <v>68.477953999999997</v>
      </c>
      <c r="M21" s="15">
        <v>68.615684000000002</v>
      </c>
      <c r="N21" s="15">
        <v>68.749399999999994</v>
      </c>
      <c r="O21" s="15">
        <v>68.879193999999998</v>
      </c>
      <c r="P21" s="15">
        <v>69.004981000000001</v>
      </c>
      <c r="Q21" s="15">
        <v>69.126434000000003</v>
      </c>
      <c r="R21" s="15">
        <v>69.243088999999998</v>
      </c>
      <c r="S21" s="15">
        <v>69.354320999999999</v>
      </c>
      <c r="T21" s="15">
        <v>69.459440000000001</v>
      </c>
      <c r="U21" s="15">
        <v>69.557590000000005</v>
      </c>
      <c r="V21" s="15">
        <v>69.647993</v>
      </c>
      <c r="W21" s="15">
        <v>69.729805999999996</v>
      </c>
      <c r="X21" s="15">
        <v>69.802408999999997</v>
      </c>
      <c r="Y21" s="15">
        <v>69.865297999999996</v>
      </c>
      <c r="Z21" s="15">
        <v>69.918087</v>
      </c>
      <c r="AA21" s="15">
        <v>69.960555999999997</v>
      </c>
      <c r="AB21" s="15">
        <v>69.992966999999993</v>
      </c>
      <c r="AC21" s="15">
        <v>70.015780000000007</v>
      </c>
      <c r="AD21" s="15">
        <v>70.029606999999999</v>
      </c>
      <c r="AE21" s="15">
        <v>70.035050999999996</v>
      </c>
      <c r="AF21" s="15">
        <v>70.033175</v>
      </c>
      <c r="AG21" s="15">
        <v>70.024900000000002</v>
      </c>
      <c r="AH21" s="15">
        <v>70.010902999999999</v>
      </c>
    </row>
    <row r="22" spans="1:34" x14ac:dyDescent="0.2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row>
    <row r="23" spans="1:34" x14ac:dyDescent="0.25">
      <c r="A23" t="s">
        <v>18</v>
      </c>
      <c r="B23" s="16"/>
    </row>
    <row r="24" spans="1:34" x14ac:dyDescent="0.25">
      <c r="A24" t="s">
        <v>3</v>
      </c>
      <c r="B24" s="17">
        <v>65125</v>
      </c>
      <c r="C24" s="17">
        <v>65361</v>
      </c>
      <c r="D24" s="17">
        <v>65577</v>
      </c>
      <c r="E24" s="17">
        <v>65777</v>
      </c>
      <c r="F24" s="17">
        <v>65971</v>
      </c>
      <c r="G24" s="17">
        <v>66160</v>
      </c>
      <c r="H24" s="17">
        <v>66345</v>
      </c>
      <c r="I24" s="17">
        <v>66526</v>
      </c>
      <c r="J24" s="17">
        <v>66702</v>
      </c>
      <c r="K24" s="17">
        <v>66881</v>
      </c>
      <c r="L24" s="17">
        <v>67052</v>
      </c>
      <c r="M24" s="17">
        <v>67227</v>
      </c>
      <c r="N24" s="17">
        <v>67390</v>
      </c>
      <c r="O24" s="17">
        <v>67563</v>
      </c>
      <c r="P24" s="17">
        <v>67726</v>
      </c>
      <c r="Q24" s="17">
        <v>67876</v>
      </c>
      <c r="R24" s="17">
        <v>68043</v>
      </c>
      <c r="S24" s="17">
        <v>68192</v>
      </c>
      <c r="T24" s="17">
        <v>68344</v>
      </c>
      <c r="U24" s="17">
        <v>68487</v>
      </c>
      <c r="V24" s="17">
        <v>68627</v>
      </c>
      <c r="W24" s="17">
        <v>68761</v>
      </c>
      <c r="X24" s="17">
        <v>68881</v>
      </c>
      <c r="Y24" s="17">
        <v>68997</v>
      </c>
      <c r="Z24" s="17">
        <v>69111</v>
      </c>
      <c r="AA24" s="17">
        <v>69207</v>
      </c>
      <c r="AB24" s="17">
        <v>69300</v>
      </c>
      <c r="AC24" s="17">
        <v>69389</v>
      </c>
      <c r="AD24" s="17">
        <v>69458</v>
      </c>
      <c r="AE24" s="17">
        <v>69526</v>
      </c>
      <c r="AF24" s="17">
        <v>69586</v>
      </c>
      <c r="AG24" s="17">
        <v>69637</v>
      </c>
      <c r="AH24" s="17">
        <v>69683</v>
      </c>
    </row>
    <row r="25" spans="1:34" x14ac:dyDescent="0.25">
      <c r="A25" s="18" t="s">
        <v>19</v>
      </c>
      <c r="B25" s="19">
        <v>388</v>
      </c>
      <c r="C25" s="19">
        <v>384</v>
      </c>
      <c r="D25" s="19">
        <v>379</v>
      </c>
      <c r="E25" s="19">
        <v>375</v>
      </c>
      <c r="F25" s="19">
        <v>371</v>
      </c>
      <c r="G25" s="19">
        <v>367</v>
      </c>
      <c r="H25" s="19">
        <v>364</v>
      </c>
      <c r="I25" s="19">
        <v>360</v>
      </c>
      <c r="J25" s="19">
        <v>356</v>
      </c>
      <c r="K25" s="19">
        <v>352</v>
      </c>
      <c r="L25" s="19">
        <v>348</v>
      </c>
      <c r="M25" s="19">
        <v>345</v>
      </c>
      <c r="N25" s="19">
        <v>341</v>
      </c>
      <c r="O25" s="19">
        <v>337</v>
      </c>
      <c r="P25" s="19">
        <v>333</v>
      </c>
      <c r="Q25" s="19">
        <v>329</v>
      </c>
      <c r="R25" s="19">
        <v>325</v>
      </c>
      <c r="S25" s="19">
        <v>321</v>
      </c>
      <c r="T25" s="19">
        <v>318</v>
      </c>
      <c r="U25" s="19">
        <v>314</v>
      </c>
      <c r="V25" s="19">
        <v>310</v>
      </c>
      <c r="W25" s="19">
        <v>306</v>
      </c>
      <c r="X25" s="19">
        <v>302</v>
      </c>
      <c r="Y25" s="19">
        <v>299</v>
      </c>
      <c r="Z25" s="19">
        <v>295</v>
      </c>
      <c r="AA25" s="19">
        <v>291</v>
      </c>
      <c r="AB25" s="19">
        <v>287</v>
      </c>
      <c r="AC25" s="19">
        <v>283</v>
      </c>
      <c r="AD25" s="19">
        <v>279</v>
      </c>
      <c r="AE25" s="19">
        <v>275</v>
      </c>
      <c r="AF25" s="19">
        <v>272</v>
      </c>
      <c r="AG25" s="19">
        <v>268</v>
      </c>
      <c r="AH25" s="19">
        <v>264</v>
      </c>
    </row>
    <row r="26" spans="1:34" x14ac:dyDescent="0.25">
      <c r="A26" s="18" t="s">
        <v>20</v>
      </c>
      <c r="B26" s="19">
        <v>369</v>
      </c>
      <c r="C26" s="19">
        <v>364</v>
      </c>
      <c r="D26" s="19">
        <v>360</v>
      </c>
      <c r="E26" s="19">
        <v>355</v>
      </c>
      <c r="F26" s="19">
        <v>351</v>
      </c>
      <c r="G26" s="19">
        <v>347</v>
      </c>
      <c r="H26" s="19">
        <v>343</v>
      </c>
      <c r="I26" s="19">
        <v>339</v>
      </c>
      <c r="J26" s="19">
        <v>335</v>
      </c>
      <c r="K26" s="19">
        <v>331</v>
      </c>
      <c r="L26" s="19">
        <v>328</v>
      </c>
      <c r="M26" s="19">
        <v>324</v>
      </c>
      <c r="N26" s="19">
        <v>320</v>
      </c>
      <c r="O26" s="19">
        <v>316</v>
      </c>
      <c r="P26" s="19">
        <v>312</v>
      </c>
      <c r="Q26" s="19">
        <v>308</v>
      </c>
      <c r="R26" s="19">
        <v>304</v>
      </c>
      <c r="S26" s="19">
        <v>301</v>
      </c>
      <c r="T26" s="19">
        <v>297</v>
      </c>
      <c r="U26" s="19">
        <v>293</v>
      </c>
      <c r="V26" s="19">
        <v>289</v>
      </c>
      <c r="W26" s="19">
        <v>285</v>
      </c>
      <c r="X26" s="19">
        <v>282</v>
      </c>
      <c r="Y26" s="19">
        <v>278</v>
      </c>
      <c r="Z26" s="19">
        <v>274</v>
      </c>
      <c r="AA26" s="19">
        <v>270</v>
      </c>
      <c r="AB26" s="19">
        <v>266</v>
      </c>
      <c r="AC26" s="19">
        <v>263</v>
      </c>
      <c r="AD26" s="19">
        <v>259</v>
      </c>
      <c r="AE26" s="19">
        <v>255</v>
      </c>
      <c r="AF26" s="19">
        <v>251</v>
      </c>
      <c r="AG26" s="19">
        <v>247</v>
      </c>
      <c r="AH26" s="19">
        <v>244</v>
      </c>
    </row>
    <row r="27" spans="1:34" x14ac:dyDescent="0.25">
      <c r="A27" s="18" t="s">
        <v>21</v>
      </c>
      <c r="B27" s="19">
        <v>276</v>
      </c>
      <c r="C27" s="19">
        <v>282</v>
      </c>
      <c r="D27" s="19">
        <v>287</v>
      </c>
      <c r="E27" s="19">
        <v>292</v>
      </c>
      <c r="F27" s="19">
        <v>297</v>
      </c>
      <c r="G27" s="19">
        <v>302</v>
      </c>
      <c r="H27" s="19">
        <v>307</v>
      </c>
      <c r="I27" s="19">
        <v>312</v>
      </c>
      <c r="J27" s="19">
        <v>317</v>
      </c>
      <c r="K27" s="19">
        <v>322</v>
      </c>
      <c r="L27" s="19">
        <v>327</v>
      </c>
      <c r="M27" s="19">
        <v>331</v>
      </c>
      <c r="N27" s="19">
        <v>336</v>
      </c>
      <c r="O27" s="19">
        <v>341</v>
      </c>
      <c r="P27" s="19">
        <v>346</v>
      </c>
      <c r="Q27" s="19">
        <v>351</v>
      </c>
      <c r="R27" s="19">
        <v>355</v>
      </c>
      <c r="S27" s="19">
        <v>360</v>
      </c>
      <c r="T27" s="19">
        <v>365</v>
      </c>
      <c r="U27" s="19">
        <v>369</v>
      </c>
      <c r="V27" s="19">
        <v>374</v>
      </c>
      <c r="W27" s="19">
        <v>378</v>
      </c>
      <c r="X27" s="19">
        <v>382</v>
      </c>
      <c r="Y27" s="19">
        <v>387</v>
      </c>
      <c r="Z27" s="19">
        <v>391</v>
      </c>
      <c r="AA27" s="19">
        <v>395</v>
      </c>
      <c r="AB27" s="19">
        <v>399</v>
      </c>
      <c r="AC27" s="19">
        <v>403</v>
      </c>
      <c r="AD27" s="19">
        <v>407</v>
      </c>
      <c r="AE27" s="19">
        <v>410</v>
      </c>
      <c r="AF27" s="19">
        <v>414</v>
      </c>
      <c r="AG27" s="19">
        <v>418</v>
      </c>
      <c r="AH27" s="19">
        <v>421</v>
      </c>
    </row>
    <row r="28" spans="1:34" x14ac:dyDescent="0.25">
      <c r="A28" s="18" t="s">
        <v>22</v>
      </c>
      <c r="B28" s="19">
        <v>856</v>
      </c>
      <c r="C28" s="19">
        <v>860</v>
      </c>
      <c r="D28" s="19">
        <v>863</v>
      </c>
      <c r="E28" s="19">
        <v>866</v>
      </c>
      <c r="F28" s="19">
        <v>869</v>
      </c>
      <c r="G28" s="19">
        <v>872</v>
      </c>
      <c r="H28" s="19">
        <v>876</v>
      </c>
      <c r="I28" s="19">
        <v>879</v>
      </c>
      <c r="J28" s="19">
        <v>882</v>
      </c>
      <c r="K28" s="19">
        <v>885</v>
      </c>
      <c r="L28" s="19">
        <v>888</v>
      </c>
      <c r="M28" s="19">
        <v>891</v>
      </c>
      <c r="N28" s="19">
        <v>893</v>
      </c>
      <c r="O28" s="19">
        <v>896</v>
      </c>
      <c r="P28" s="19">
        <v>898</v>
      </c>
      <c r="Q28" s="19">
        <v>900</v>
      </c>
      <c r="R28" s="19">
        <v>902</v>
      </c>
      <c r="S28" s="19">
        <v>904</v>
      </c>
      <c r="T28" s="19">
        <v>906</v>
      </c>
      <c r="U28" s="19">
        <v>908</v>
      </c>
      <c r="V28" s="19">
        <v>910</v>
      </c>
      <c r="W28" s="19">
        <v>911</v>
      </c>
      <c r="X28" s="19">
        <v>913</v>
      </c>
      <c r="Y28" s="19">
        <v>914</v>
      </c>
      <c r="Z28" s="19">
        <v>915</v>
      </c>
      <c r="AA28" s="19">
        <v>916</v>
      </c>
      <c r="AB28" s="19">
        <v>917</v>
      </c>
      <c r="AC28" s="19">
        <v>917</v>
      </c>
      <c r="AD28" s="19">
        <v>918</v>
      </c>
      <c r="AE28" s="19">
        <v>918</v>
      </c>
      <c r="AF28" s="19">
        <v>918</v>
      </c>
      <c r="AG28" s="19">
        <v>918</v>
      </c>
      <c r="AH28" s="19">
        <v>918</v>
      </c>
    </row>
    <row r="29" spans="1:34" x14ac:dyDescent="0.25">
      <c r="A29" s="18" t="s">
        <v>23</v>
      </c>
      <c r="B29" s="19">
        <v>260</v>
      </c>
      <c r="C29" s="19">
        <v>267</v>
      </c>
      <c r="D29" s="19">
        <v>275</v>
      </c>
      <c r="E29" s="19">
        <v>282</v>
      </c>
      <c r="F29" s="19">
        <v>290</v>
      </c>
      <c r="G29" s="19">
        <v>298</v>
      </c>
      <c r="H29" s="19">
        <v>306</v>
      </c>
      <c r="I29" s="19">
        <v>315</v>
      </c>
      <c r="J29" s="19">
        <v>323</v>
      </c>
      <c r="K29" s="19">
        <v>333</v>
      </c>
      <c r="L29" s="19">
        <v>342</v>
      </c>
      <c r="M29" s="19">
        <v>352</v>
      </c>
      <c r="N29" s="19">
        <v>362</v>
      </c>
      <c r="O29" s="19">
        <v>372</v>
      </c>
      <c r="P29" s="19">
        <v>383</v>
      </c>
      <c r="Q29" s="19">
        <v>394</v>
      </c>
      <c r="R29" s="19">
        <v>405</v>
      </c>
      <c r="S29" s="19">
        <v>417</v>
      </c>
      <c r="T29" s="19">
        <v>429</v>
      </c>
      <c r="U29" s="19">
        <v>441</v>
      </c>
      <c r="V29" s="19">
        <v>454</v>
      </c>
      <c r="W29" s="19">
        <v>467</v>
      </c>
      <c r="X29" s="19">
        <v>480</v>
      </c>
      <c r="Y29" s="19">
        <v>493</v>
      </c>
      <c r="Z29" s="19">
        <v>507</v>
      </c>
      <c r="AA29" s="19">
        <v>521</v>
      </c>
      <c r="AB29" s="19">
        <v>535</v>
      </c>
      <c r="AC29" s="19">
        <v>550</v>
      </c>
      <c r="AD29" s="19">
        <v>564</v>
      </c>
      <c r="AE29" s="19">
        <v>579</v>
      </c>
      <c r="AF29" s="19">
        <v>595</v>
      </c>
      <c r="AG29" s="19">
        <v>610</v>
      </c>
      <c r="AH29" s="19">
        <v>626</v>
      </c>
    </row>
    <row r="30" spans="1:34" x14ac:dyDescent="0.25">
      <c r="A30" t="s">
        <v>24</v>
      </c>
      <c r="B30" s="20">
        <f t="shared" ref="B30:AH30" si="0">SUM(B25:B29)</f>
        <v>2149</v>
      </c>
      <c r="C30" s="20">
        <f t="shared" si="0"/>
        <v>2157</v>
      </c>
      <c r="D30" s="20">
        <f t="shared" si="0"/>
        <v>2164</v>
      </c>
      <c r="E30" s="20">
        <f t="shared" si="0"/>
        <v>2170</v>
      </c>
      <c r="F30" s="20">
        <f t="shared" si="0"/>
        <v>2178</v>
      </c>
      <c r="G30" s="20">
        <f t="shared" si="0"/>
        <v>2186</v>
      </c>
      <c r="H30" s="20">
        <f t="shared" si="0"/>
        <v>2196</v>
      </c>
      <c r="I30" s="20">
        <f t="shared" si="0"/>
        <v>2205</v>
      </c>
      <c r="J30" s="20">
        <f t="shared" si="0"/>
        <v>2213</v>
      </c>
      <c r="K30" s="20">
        <f t="shared" si="0"/>
        <v>2223</v>
      </c>
      <c r="L30" s="20">
        <f t="shared" si="0"/>
        <v>2233</v>
      </c>
      <c r="M30" s="20">
        <f t="shared" si="0"/>
        <v>2243</v>
      </c>
      <c r="N30" s="20">
        <f t="shared" si="0"/>
        <v>2252</v>
      </c>
      <c r="O30" s="20">
        <f t="shared" si="0"/>
        <v>2262</v>
      </c>
      <c r="P30" s="20">
        <f t="shared" si="0"/>
        <v>2272</v>
      </c>
      <c r="Q30" s="20">
        <f t="shared" si="0"/>
        <v>2282</v>
      </c>
      <c r="R30" s="20">
        <f t="shared" si="0"/>
        <v>2291</v>
      </c>
      <c r="S30" s="20">
        <f t="shared" si="0"/>
        <v>2303</v>
      </c>
      <c r="T30" s="20">
        <f t="shared" si="0"/>
        <v>2315</v>
      </c>
      <c r="U30" s="20">
        <f t="shared" si="0"/>
        <v>2325</v>
      </c>
      <c r="V30" s="20">
        <f t="shared" si="0"/>
        <v>2337</v>
      </c>
      <c r="W30" s="20">
        <f t="shared" si="0"/>
        <v>2347</v>
      </c>
      <c r="X30" s="20">
        <f t="shared" si="0"/>
        <v>2359</v>
      </c>
      <c r="Y30" s="20">
        <f t="shared" si="0"/>
        <v>2371</v>
      </c>
      <c r="Z30" s="20">
        <f t="shared" si="0"/>
        <v>2382</v>
      </c>
      <c r="AA30" s="20">
        <f t="shared" si="0"/>
        <v>2393</v>
      </c>
      <c r="AB30" s="20">
        <f t="shared" si="0"/>
        <v>2404</v>
      </c>
      <c r="AC30" s="20">
        <f t="shared" si="0"/>
        <v>2416</v>
      </c>
      <c r="AD30" s="20">
        <f t="shared" si="0"/>
        <v>2427</v>
      </c>
      <c r="AE30" s="20">
        <f t="shared" si="0"/>
        <v>2437</v>
      </c>
      <c r="AF30" s="20">
        <f t="shared" si="0"/>
        <v>2450</v>
      </c>
      <c r="AG30" s="20">
        <f t="shared" si="0"/>
        <v>2461</v>
      </c>
      <c r="AH30" s="20">
        <f t="shared" si="0"/>
        <v>2473</v>
      </c>
    </row>
    <row r="31" spans="1:34" x14ac:dyDescent="0.25">
      <c r="A31" s="21" t="s">
        <v>25</v>
      </c>
      <c r="B31" s="20">
        <f t="shared" ref="B31:AH31" si="1">B24+B30</f>
        <v>67274</v>
      </c>
      <c r="C31" s="20">
        <f t="shared" si="1"/>
        <v>67518</v>
      </c>
      <c r="D31" s="20">
        <f t="shared" si="1"/>
        <v>67741</v>
      </c>
      <c r="E31" s="20">
        <f t="shared" si="1"/>
        <v>67947</v>
      </c>
      <c r="F31" s="20">
        <f t="shared" si="1"/>
        <v>68149</v>
      </c>
      <c r="G31" s="20">
        <f t="shared" si="1"/>
        <v>68346</v>
      </c>
      <c r="H31" s="20">
        <f t="shared" si="1"/>
        <v>68541</v>
      </c>
      <c r="I31" s="20">
        <f t="shared" si="1"/>
        <v>68731</v>
      </c>
      <c r="J31" s="20">
        <f t="shared" si="1"/>
        <v>68915</v>
      </c>
      <c r="K31" s="20">
        <f t="shared" si="1"/>
        <v>69104</v>
      </c>
      <c r="L31" s="20">
        <f t="shared" si="1"/>
        <v>69285</v>
      </c>
      <c r="M31" s="20">
        <f t="shared" si="1"/>
        <v>69470</v>
      </c>
      <c r="N31" s="20">
        <f t="shared" si="1"/>
        <v>69642</v>
      </c>
      <c r="O31" s="20">
        <f t="shared" si="1"/>
        <v>69825</v>
      </c>
      <c r="P31" s="20">
        <f t="shared" si="1"/>
        <v>69998</v>
      </c>
      <c r="Q31" s="20">
        <f t="shared" si="1"/>
        <v>70158</v>
      </c>
      <c r="R31" s="20">
        <f t="shared" si="1"/>
        <v>70334</v>
      </c>
      <c r="S31" s="20">
        <f t="shared" si="1"/>
        <v>70495</v>
      </c>
      <c r="T31" s="20">
        <f t="shared" si="1"/>
        <v>70659</v>
      </c>
      <c r="U31" s="20">
        <f t="shared" si="1"/>
        <v>70812</v>
      </c>
      <c r="V31" s="20">
        <f t="shared" si="1"/>
        <v>70964</v>
      </c>
      <c r="W31" s="20">
        <f t="shared" si="1"/>
        <v>71108</v>
      </c>
      <c r="X31" s="20">
        <f t="shared" si="1"/>
        <v>71240</v>
      </c>
      <c r="Y31" s="20">
        <f t="shared" si="1"/>
        <v>71368</v>
      </c>
      <c r="Z31" s="20">
        <f t="shared" si="1"/>
        <v>71493</v>
      </c>
      <c r="AA31" s="20">
        <f t="shared" si="1"/>
        <v>71600</v>
      </c>
      <c r="AB31" s="20">
        <f t="shared" si="1"/>
        <v>71704</v>
      </c>
      <c r="AC31" s="20">
        <f t="shared" si="1"/>
        <v>71805</v>
      </c>
      <c r="AD31" s="20">
        <f t="shared" si="1"/>
        <v>71885</v>
      </c>
      <c r="AE31" s="20">
        <f t="shared" si="1"/>
        <v>71963</v>
      </c>
      <c r="AF31" s="20">
        <f t="shared" si="1"/>
        <v>72036</v>
      </c>
      <c r="AG31" s="20">
        <f t="shared" si="1"/>
        <v>72098</v>
      </c>
      <c r="AH31" s="20">
        <f t="shared" si="1"/>
        <v>72156</v>
      </c>
    </row>
    <row r="32" spans="1:34" x14ac:dyDescent="0.25">
      <c r="A32" s="18" t="s">
        <v>26</v>
      </c>
      <c r="B32" s="22">
        <f t="shared" ref="B32:AH32" si="2">B30/B31</f>
        <v>3.1943990248833133E-2</v>
      </c>
      <c r="C32" s="22">
        <f t="shared" si="2"/>
        <v>3.1947036345863322E-2</v>
      </c>
      <c r="D32" s="22">
        <f t="shared" si="2"/>
        <v>3.1945203052804065E-2</v>
      </c>
      <c r="E32" s="22">
        <f t="shared" si="2"/>
        <v>3.1936656511692939E-2</v>
      </c>
      <c r="F32" s="22">
        <f t="shared" si="2"/>
        <v>3.1959383116406698E-2</v>
      </c>
      <c r="G32" s="22">
        <f t="shared" si="2"/>
        <v>3.1984315102566351E-2</v>
      </c>
      <c r="H32" s="22">
        <f t="shared" si="2"/>
        <v>3.2039217402722461E-2</v>
      </c>
      <c r="I32" s="22">
        <f t="shared" si="2"/>
        <v>3.2081593458555817E-2</v>
      </c>
      <c r="J32" s="22">
        <f t="shared" si="2"/>
        <v>3.2112022056156132E-2</v>
      </c>
      <c r="K32" s="22">
        <f t="shared" si="2"/>
        <v>3.2168904839083121E-2</v>
      </c>
      <c r="L32" s="22">
        <f t="shared" si="2"/>
        <v>3.2229198239157104E-2</v>
      </c>
      <c r="M32" s="22">
        <f t="shared" si="2"/>
        <v>3.2287318266877786E-2</v>
      </c>
      <c r="N32" s="22">
        <f t="shared" si="2"/>
        <v>3.2336808247896386E-2</v>
      </c>
      <c r="O32" s="22">
        <f t="shared" si="2"/>
        <v>3.2395273899033294E-2</v>
      </c>
      <c r="P32" s="22">
        <f t="shared" si="2"/>
        <v>3.2458070230578014E-2</v>
      </c>
      <c r="Q32" s="22">
        <f t="shared" si="2"/>
        <v>3.2526582855839675E-2</v>
      </c>
      <c r="R32" s="22">
        <f t="shared" si="2"/>
        <v>3.2573150965393691E-2</v>
      </c>
      <c r="S32" s="22">
        <f t="shared" si="2"/>
        <v>3.2668983615859279E-2</v>
      </c>
      <c r="T32" s="22">
        <f t="shared" si="2"/>
        <v>3.2762988437424818E-2</v>
      </c>
      <c r="U32" s="22">
        <f t="shared" si="2"/>
        <v>3.283341806473479E-2</v>
      </c>
      <c r="V32" s="22">
        <f t="shared" si="2"/>
        <v>3.293219097006933E-2</v>
      </c>
      <c r="W32" s="22">
        <f t="shared" si="2"/>
        <v>3.3006131518253927E-2</v>
      </c>
      <c r="X32" s="22">
        <f t="shared" si="2"/>
        <v>3.3113419427288043E-2</v>
      </c>
      <c r="Y32" s="22">
        <f t="shared" si="2"/>
        <v>3.3222172402197062E-2</v>
      </c>
      <c r="Z32" s="22">
        <f t="shared" si="2"/>
        <v>3.3317947211615122E-2</v>
      </c>
      <c r="AA32" s="22">
        <f t="shared" si="2"/>
        <v>3.3421787709497205E-2</v>
      </c>
      <c r="AB32" s="22">
        <f t="shared" si="2"/>
        <v>3.3526720963962961E-2</v>
      </c>
      <c r="AC32" s="22">
        <f t="shared" si="2"/>
        <v>3.3646681985934124E-2</v>
      </c>
      <c r="AD32" s="22">
        <f t="shared" si="2"/>
        <v>3.3762259163942411E-2</v>
      </c>
      <c r="AE32" s="22">
        <f t="shared" si="2"/>
        <v>3.3864624876672737E-2</v>
      </c>
      <c r="AF32" s="22">
        <f t="shared" si="2"/>
        <v>3.4010772391581984E-2</v>
      </c>
      <c r="AG32" s="22">
        <f t="shared" si="2"/>
        <v>3.4134095259230494E-2</v>
      </c>
      <c r="AH32" s="22">
        <f t="shared" si="2"/>
        <v>3.427296413326681E-2</v>
      </c>
    </row>
    <row r="34" spans="1:34" x14ac:dyDescent="0.25">
      <c r="D34" s="15"/>
      <c r="E34" s="15"/>
      <c r="F34" s="15"/>
      <c r="G34" s="15"/>
      <c r="H34" s="15"/>
      <c r="I34" s="15"/>
      <c r="J34" s="15"/>
      <c r="K34" s="15"/>
      <c r="L34" s="15"/>
      <c r="M34" s="15"/>
      <c r="N34" s="15"/>
      <c r="O34" s="15"/>
      <c r="P34" s="15"/>
      <c r="Q34" s="15"/>
      <c r="R34" s="15"/>
      <c r="S34" s="15"/>
      <c r="T34" s="15"/>
      <c r="U34" s="15"/>
      <c r="V34" s="15"/>
      <c r="W34" s="15"/>
      <c r="X34" s="15"/>
      <c r="Y34" s="106">
        <f>Y35-X35</f>
        <v>2.7000000000001023E-2</v>
      </c>
      <c r="Z34" s="106">
        <f t="shared" ref="Z34:AD34" si="3">Z35-Y35</f>
        <v>1.8000000000000682E-2</v>
      </c>
      <c r="AA34" s="106">
        <f t="shared" si="3"/>
        <v>9.0000000000003411E-3</v>
      </c>
      <c r="AB34" s="106">
        <f t="shared" si="3"/>
        <v>6.0000000000002274E-3</v>
      </c>
      <c r="AC34" s="106">
        <f t="shared" si="3"/>
        <v>-9.9999999999056399E-4</v>
      </c>
      <c r="AD34" s="106">
        <f t="shared" si="3"/>
        <v>-7.0000000000050022E-3</v>
      </c>
      <c r="AE34" s="106">
        <f>AE35-AD35</f>
        <v>-1.0000000000005116E-2</v>
      </c>
      <c r="AF34" s="106">
        <f t="shared" ref="AF34" si="4">AF35-AE35</f>
        <v>-1.5000000000000568E-2</v>
      </c>
      <c r="AG34" s="106">
        <f>AG35-AF35</f>
        <v>-1.9999999999996021E-2</v>
      </c>
      <c r="AH34" s="15"/>
    </row>
    <row r="35" spans="1:34" x14ac:dyDescent="0.25">
      <c r="A35" s="12" t="s">
        <v>27</v>
      </c>
      <c r="B35" s="23">
        <f>B17</f>
        <v>66.992000000000004</v>
      </c>
      <c r="C35" s="23">
        <f>C17</f>
        <v>67.144000000000005</v>
      </c>
      <c r="D35" s="14">
        <f t="shared" ref="D35:AH35" si="5">D20</f>
        <v>67.286000000000001</v>
      </c>
      <c r="E35" s="14">
        <f t="shared" si="5"/>
        <v>67.406000000000006</v>
      </c>
      <c r="F35" s="14">
        <f>F20</f>
        <v>67.513000000000005</v>
      </c>
      <c r="G35" s="14">
        <f t="shared" si="5"/>
        <v>67.658000000000001</v>
      </c>
      <c r="H35" s="14">
        <f t="shared" si="5"/>
        <v>67.811999999999998</v>
      </c>
      <c r="I35" s="14">
        <f t="shared" si="5"/>
        <v>67.954999999999998</v>
      </c>
      <c r="J35" s="14">
        <f t="shared" si="5"/>
        <v>68.09</v>
      </c>
      <c r="K35" s="14">
        <f t="shared" si="5"/>
        <v>68.215999999999994</v>
      </c>
      <c r="L35" s="14">
        <f t="shared" si="5"/>
        <v>68.337000000000003</v>
      </c>
      <c r="M35" s="14">
        <f t="shared" si="5"/>
        <v>68.45</v>
      </c>
      <c r="N35" s="14">
        <f t="shared" si="5"/>
        <v>68.554000000000002</v>
      </c>
      <c r="O35" s="14">
        <f t="shared" si="5"/>
        <v>68.653999999999996</v>
      </c>
      <c r="P35" s="14">
        <f t="shared" si="5"/>
        <v>68.747</v>
      </c>
      <c r="Q35" s="14">
        <f t="shared" si="5"/>
        <v>68.831999999999994</v>
      </c>
      <c r="R35" s="14">
        <f t="shared" si="5"/>
        <v>68.909000000000006</v>
      </c>
      <c r="S35" s="14">
        <f t="shared" si="5"/>
        <v>68.983999999999995</v>
      </c>
      <c r="T35" s="14">
        <f t="shared" si="5"/>
        <v>69.05</v>
      </c>
      <c r="U35" s="14">
        <f t="shared" si="5"/>
        <v>69.103999999999999</v>
      </c>
      <c r="V35" s="14">
        <f t="shared" si="5"/>
        <v>69.152000000000001</v>
      </c>
      <c r="W35" s="14">
        <f t="shared" si="5"/>
        <v>69.192999999999998</v>
      </c>
      <c r="X35" s="14">
        <f t="shared" si="5"/>
        <v>69.224999999999994</v>
      </c>
      <c r="Y35" s="14">
        <f t="shared" si="5"/>
        <v>69.251999999999995</v>
      </c>
      <c r="Z35" s="14">
        <f t="shared" si="5"/>
        <v>69.27</v>
      </c>
      <c r="AA35" s="14">
        <f t="shared" si="5"/>
        <v>69.278999999999996</v>
      </c>
      <c r="AB35" s="14">
        <f t="shared" si="5"/>
        <v>69.284999999999997</v>
      </c>
      <c r="AC35" s="14">
        <f t="shared" si="5"/>
        <v>69.284000000000006</v>
      </c>
      <c r="AD35" s="14">
        <f t="shared" si="5"/>
        <v>69.277000000000001</v>
      </c>
      <c r="AE35" s="14">
        <f t="shared" si="5"/>
        <v>69.266999999999996</v>
      </c>
      <c r="AF35" s="14">
        <f t="shared" si="5"/>
        <v>69.251999999999995</v>
      </c>
      <c r="AG35" s="14">
        <f t="shared" si="5"/>
        <v>69.231999999999999</v>
      </c>
      <c r="AH35" s="14">
        <f t="shared" si="5"/>
        <v>69.206999999999994</v>
      </c>
    </row>
    <row r="36" spans="1:34" x14ac:dyDescent="0.25">
      <c r="A36" s="24" t="s">
        <v>28</v>
      </c>
      <c r="B36" s="23">
        <f t="shared" ref="B36:AH36" si="6">B35-B37</f>
        <v>64.852008205250172</v>
      </c>
      <c r="C36" s="25">
        <f t="shared" si="6"/>
        <v>64.998948191593357</v>
      </c>
      <c r="D36" s="25">
        <f t="shared" si="6"/>
        <v>65.136535067389033</v>
      </c>
      <c r="E36" s="25">
        <f t="shared" si="6"/>
        <v>65.25327773117283</v>
      </c>
      <c r="F36" s="25">
        <f t="shared" si="6"/>
        <v>65.355326167662042</v>
      </c>
      <c r="G36" s="25">
        <f t="shared" si="6"/>
        <v>65.494005208790568</v>
      </c>
      <c r="H36" s="25">
        <f t="shared" si="6"/>
        <v>65.639356589486582</v>
      </c>
      <c r="I36" s="25">
        <f t="shared" si="6"/>
        <v>65.774895316523839</v>
      </c>
      <c r="J36" s="25">
        <f t="shared" si="6"/>
        <v>65.903492418196336</v>
      </c>
      <c r="K36" s="25">
        <f t="shared" si="6"/>
        <v>66.021565987497098</v>
      </c>
      <c r="L36" s="25">
        <f t="shared" si="6"/>
        <v>66.134553279930728</v>
      </c>
      <c r="M36" s="25">
        <f t="shared" si="6"/>
        <v>66.239933064632226</v>
      </c>
      <c r="N36" s="25">
        <f t="shared" si="6"/>
        <v>66.337182447373706</v>
      </c>
      <c r="O36" s="25">
        <f t="shared" si="6"/>
        <v>66.42993486573576</v>
      </c>
      <c r="P36" s="25">
        <f t="shared" si="6"/>
        <v>66.51560504585845</v>
      </c>
      <c r="Q36" s="25">
        <f t="shared" si="6"/>
        <v>66.593130248866842</v>
      </c>
      <c r="R36" s="25">
        <f t="shared" si="6"/>
        <v>66.664416740125688</v>
      </c>
      <c r="S36" s="25">
        <f t="shared" si="6"/>
        <v>66.730362834243564</v>
      </c>
      <c r="T36" s="25">
        <f t="shared" si="6"/>
        <v>66.787715648395817</v>
      </c>
      <c r="U36" s="25">
        <f t="shared" si="6"/>
        <v>66.835079478054567</v>
      </c>
      <c r="V36" s="25">
        <f t="shared" si="6"/>
        <v>66.874673130037763</v>
      </c>
      <c r="W36" s="25">
        <f t="shared" si="6"/>
        <v>66.90920674185746</v>
      </c>
      <c r="X36" s="25">
        <f t="shared" si="6"/>
        <v>66.932723540145986</v>
      </c>
      <c r="Y36" s="25">
        <f t="shared" si="6"/>
        <v>66.951298116803045</v>
      </c>
      <c r="Z36" s="25">
        <f t="shared" si="6"/>
        <v>66.962065796651416</v>
      </c>
      <c r="AA36" s="25">
        <f t="shared" si="6"/>
        <v>66.963571969273744</v>
      </c>
      <c r="AB36" s="25">
        <f t="shared" si="6"/>
        <v>66.962101138011818</v>
      </c>
      <c r="AC36" s="25">
        <f t="shared" si="6"/>
        <v>66.952823285286541</v>
      </c>
      <c r="AD36" s="25">
        <f t="shared" si="6"/>
        <v>66.938051971899569</v>
      </c>
      <c r="AE36" s="25">
        <f t="shared" si="6"/>
        <v>66.921299028667505</v>
      </c>
      <c r="AF36" s="25">
        <f t="shared" si="6"/>
        <v>66.896685990338156</v>
      </c>
      <c r="AG36" s="25">
        <f t="shared" si="6"/>
        <v>66.868828317012955</v>
      </c>
      <c r="AH36" s="25">
        <f t="shared" si="6"/>
        <v>66.835070971229001</v>
      </c>
    </row>
    <row r="37" spans="1:34" x14ac:dyDescent="0.25">
      <c r="A37" s="24" t="s">
        <v>29</v>
      </c>
      <c r="B37" s="26">
        <f t="shared" ref="B37:AH37" si="7">B35*B32</f>
        <v>2.1399917947498293</v>
      </c>
      <c r="C37" s="26">
        <f t="shared" si="7"/>
        <v>2.145051808406647</v>
      </c>
      <c r="D37" s="26">
        <f t="shared" si="7"/>
        <v>2.1494649326109743</v>
      </c>
      <c r="E37" s="26">
        <f t="shared" si="7"/>
        <v>2.1527222688271745</v>
      </c>
      <c r="F37" s="26">
        <f t="shared" si="7"/>
        <v>2.1576738323379656</v>
      </c>
      <c r="G37" s="26">
        <f t="shared" si="7"/>
        <v>2.1639947912094342</v>
      </c>
      <c r="H37" s="26">
        <f t="shared" si="7"/>
        <v>2.1726434105134156</v>
      </c>
      <c r="I37" s="26">
        <f t="shared" si="7"/>
        <v>2.1801046834761606</v>
      </c>
      <c r="J37" s="26">
        <f t="shared" si="7"/>
        <v>2.1865075818036712</v>
      </c>
      <c r="K37" s="26">
        <f t="shared" si="7"/>
        <v>2.194434012502894</v>
      </c>
      <c r="L37" s="26">
        <f t="shared" si="7"/>
        <v>2.202446720069279</v>
      </c>
      <c r="M37" s="26">
        <f t="shared" si="7"/>
        <v>2.2100669353677844</v>
      </c>
      <c r="N37" s="26">
        <f t="shared" si="7"/>
        <v>2.216817552626289</v>
      </c>
      <c r="O37" s="26">
        <f t="shared" si="7"/>
        <v>2.2240651342642317</v>
      </c>
      <c r="P37" s="26">
        <f t="shared" si="7"/>
        <v>2.2313949541415465</v>
      </c>
      <c r="Q37" s="26">
        <f t="shared" si="7"/>
        <v>2.2388697511331563</v>
      </c>
      <c r="R37" s="26">
        <f t="shared" si="7"/>
        <v>2.2445832598743141</v>
      </c>
      <c r="S37" s="26">
        <f t="shared" si="7"/>
        <v>2.2536371657564365</v>
      </c>
      <c r="T37" s="26">
        <f t="shared" si="7"/>
        <v>2.2622843516041837</v>
      </c>
      <c r="U37" s="26">
        <f t="shared" si="7"/>
        <v>2.2689205219454327</v>
      </c>
      <c r="V37" s="26">
        <f t="shared" si="7"/>
        <v>2.2773268699622342</v>
      </c>
      <c r="W37" s="26">
        <f t="shared" si="7"/>
        <v>2.283793258142544</v>
      </c>
      <c r="X37" s="26">
        <f t="shared" si="7"/>
        <v>2.2922764598540146</v>
      </c>
      <c r="Y37" s="26">
        <f t="shared" si="7"/>
        <v>2.3007018831969508</v>
      </c>
      <c r="Z37" s="26">
        <f t="shared" si="7"/>
        <v>2.3079342033485792</v>
      </c>
      <c r="AA37" s="26">
        <f t="shared" si="7"/>
        <v>2.3154280307262569</v>
      </c>
      <c r="AB37" s="26">
        <f t="shared" si="7"/>
        <v>2.3228988619881736</v>
      </c>
      <c r="AC37" s="26">
        <f t="shared" si="7"/>
        <v>2.3311767147134601</v>
      </c>
      <c r="AD37" s="26">
        <f t="shared" si="7"/>
        <v>2.3389480281004382</v>
      </c>
      <c r="AE37" s="26">
        <f t="shared" si="7"/>
        <v>2.3457009713324903</v>
      </c>
      <c r="AF37" s="26">
        <f t="shared" si="7"/>
        <v>2.3553140096618352</v>
      </c>
      <c r="AG37" s="26">
        <f t="shared" si="7"/>
        <v>2.3631716829870455</v>
      </c>
      <c r="AH37" s="26">
        <f t="shared" si="7"/>
        <v>2.371929028770996</v>
      </c>
    </row>
    <row r="38" spans="1:34" x14ac:dyDescent="0.25">
      <c r="A38" s="18" t="s">
        <v>19</v>
      </c>
      <c r="B38" s="27">
        <v>0.38800000000000001</v>
      </c>
      <c r="C38" s="27">
        <v>0.38400000000000001</v>
      </c>
      <c r="D38" s="27">
        <v>0.379</v>
      </c>
      <c r="E38" s="27">
        <v>0.375</v>
      </c>
      <c r="F38" s="27">
        <v>0.371</v>
      </c>
      <c r="G38" s="27">
        <v>0.36699999999999999</v>
      </c>
      <c r="H38" s="27">
        <v>0.36399999999999999</v>
      </c>
      <c r="I38" s="27">
        <v>0.36</v>
      </c>
      <c r="J38" s="27">
        <v>0.35599999999999998</v>
      </c>
      <c r="K38" s="27">
        <v>0.35199999999999998</v>
      </c>
      <c r="L38" s="27">
        <v>0.34799999999999998</v>
      </c>
      <c r="M38" s="27">
        <v>0.34499999999999997</v>
      </c>
      <c r="N38" s="27">
        <v>0.34100000000000003</v>
      </c>
      <c r="O38" s="27">
        <v>0.33700000000000002</v>
      </c>
      <c r="P38" s="27">
        <v>0.33300000000000002</v>
      </c>
      <c r="Q38" s="27">
        <v>0.32900000000000001</v>
      </c>
      <c r="R38" s="27">
        <v>0.32500000000000001</v>
      </c>
      <c r="S38" s="27">
        <v>0.32100000000000001</v>
      </c>
      <c r="T38" s="27">
        <v>0.318</v>
      </c>
      <c r="U38" s="27">
        <v>0.314</v>
      </c>
      <c r="V38" s="27">
        <v>0.31</v>
      </c>
      <c r="W38" s="27">
        <v>0.30599999999999999</v>
      </c>
      <c r="X38" s="27">
        <v>0.30199999999999999</v>
      </c>
      <c r="Y38" s="27">
        <v>0.29899999999999999</v>
      </c>
      <c r="Z38" s="27">
        <v>0.29499999999999998</v>
      </c>
      <c r="AA38" s="27">
        <v>0.29099999999999998</v>
      </c>
      <c r="AB38" s="27">
        <v>0.28699999999999998</v>
      </c>
      <c r="AC38" s="27">
        <v>0.28299999999999997</v>
      </c>
      <c r="AD38" s="27">
        <v>0.27900000000000003</v>
      </c>
      <c r="AE38" s="27">
        <v>0.27500000000000002</v>
      </c>
      <c r="AF38" s="27">
        <v>0.27200000000000002</v>
      </c>
      <c r="AG38" s="27">
        <v>0.26800000000000002</v>
      </c>
      <c r="AH38" s="27">
        <v>0.26400000000000001</v>
      </c>
    </row>
    <row r="39" spans="1:34" x14ac:dyDescent="0.25">
      <c r="A39" s="18" t="s">
        <v>20</v>
      </c>
      <c r="B39" s="27">
        <v>0.36899999999999999</v>
      </c>
      <c r="C39" s="27">
        <v>0.36399999999999999</v>
      </c>
      <c r="D39" s="27">
        <v>0.36</v>
      </c>
      <c r="E39" s="27">
        <v>0.35499999999999998</v>
      </c>
      <c r="F39" s="27">
        <v>0.35099999999999998</v>
      </c>
      <c r="G39" s="27">
        <v>0.34699999999999998</v>
      </c>
      <c r="H39" s="27">
        <v>0.34300000000000003</v>
      </c>
      <c r="I39" s="27">
        <v>0.33900000000000002</v>
      </c>
      <c r="J39" s="27">
        <v>0.33500000000000002</v>
      </c>
      <c r="K39" s="27">
        <v>0.33100000000000002</v>
      </c>
      <c r="L39" s="27">
        <v>0.32800000000000001</v>
      </c>
      <c r="M39" s="27">
        <v>0.32400000000000001</v>
      </c>
      <c r="N39" s="27">
        <v>0.32</v>
      </c>
      <c r="O39" s="27">
        <v>0.316</v>
      </c>
      <c r="P39" s="27">
        <v>0.312</v>
      </c>
      <c r="Q39" s="27">
        <v>0.308</v>
      </c>
      <c r="R39" s="27">
        <v>0.30399999999999999</v>
      </c>
      <c r="S39" s="27">
        <v>0.30099999999999999</v>
      </c>
      <c r="T39" s="27">
        <v>0.29699999999999999</v>
      </c>
      <c r="U39" s="27">
        <v>0.29299999999999998</v>
      </c>
      <c r="V39" s="27">
        <v>0.28899999999999998</v>
      </c>
      <c r="W39" s="27">
        <v>0.28499999999999998</v>
      </c>
      <c r="X39" s="27">
        <v>0.28199999999999997</v>
      </c>
      <c r="Y39" s="27">
        <v>0.27800000000000002</v>
      </c>
      <c r="Z39" s="27">
        <v>0.27400000000000002</v>
      </c>
      <c r="AA39" s="27">
        <v>0.27</v>
      </c>
      <c r="AB39" s="27">
        <v>0.26600000000000001</v>
      </c>
      <c r="AC39" s="27">
        <v>0.26300000000000001</v>
      </c>
      <c r="AD39" s="27">
        <v>0.25900000000000001</v>
      </c>
      <c r="AE39" s="27">
        <v>0.255</v>
      </c>
      <c r="AF39" s="27">
        <v>0.251</v>
      </c>
      <c r="AG39" s="27">
        <v>0.247</v>
      </c>
      <c r="AH39" s="27">
        <v>0.24399999999999999</v>
      </c>
    </row>
    <row r="40" spans="1:34" x14ac:dyDescent="0.25">
      <c r="A40" s="18" t="s">
        <v>21</v>
      </c>
      <c r="B40" s="27">
        <v>0.27600000000000002</v>
      </c>
      <c r="C40" s="27">
        <v>0.28199999999999997</v>
      </c>
      <c r="D40" s="27">
        <v>0.28699999999999998</v>
      </c>
      <c r="E40" s="27">
        <v>0.29199999999999998</v>
      </c>
      <c r="F40" s="27">
        <v>0.29699999999999999</v>
      </c>
      <c r="G40" s="27">
        <v>0.30199999999999999</v>
      </c>
      <c r="H40" s="27">
        <v>0.307</v>
      </c>
      <c r="I40" s="27">
        <v>0.312</v>
      </c>
      <c r="J40" s="27">
        <v>0.317</v>
      </c>
      <c r="K40" s="27">
        <v>0.32200000000000001</v>
      </c>
      <c r="L40" s="27">
        <v>0.32700000000000001</v>
      </c>
      <c r="M40" s="27">
        <v>0.33100000000000002</v>
      </c>
      <c r="N40" s="27">
        <v>0.33600000000000002</v>
      </c>
      <c r="O40" s="27">
        <v>0.34100000000000003</v>
      </c>
      <c r="P40" s="27">
        <v>0.34599999999999997</v>
      </c>
      <c r="Q40" s="27">
        <v>0.35099999999999998</v>
      </c>
      <c r="R40" s="27">
        <v>0.35499999999999998</v>
      </c>
      <c r="S40" s="27">
        <v>0.36</v>
      </c>
      <c r="T40" s="27">
        <v>0.36499999999999999</v>
      </c>
      <c r="U40" s="27">
        <v>0.36899999999999999</v>
      </c>
      <c r="V40" s="27">
        <v>0.374</v>
      </c>
      <c r="W40" s="27">
        <v>0.378</v>
      </c>
      <c r="X40" s="27">
        <v>0.38200000000000001</v>
      </c>
      <c r="Y40" s="27">
        <v>0.38700000000000001</v>
      </c>
      <c r="Z40" s="27">
        <v>0.39100000000000001</v>
      </c>
      <c r="AA40" s="27">
        <v>0.39500000000000002</v>
      </c>
      <c r="AB40" s="27">
        <v>0.39900000000000002</v>
      </c>
      <c r="AC40" s="27">
        <v>0.40300000000000002</v>
      </c>
      <c r="AD40" s="27">
        <v>0.40699999999999997</v>
      </c>
      <c r="AE40" s="27">
        <v>0.41</v>
      </c>
      <c r="AF40" s="27">
        <v>0.41399999999999998</v>
      </c>
      <c r="AG40" s="27">
        <v>0.41799999999999998</v>
      </c>
      <c r="AH40" s="27">
        <v>0.42099999999999999</v>
      </c>
    </row>
    <row r="41" spans="1:34" x14ac:dyDescent="0.25">
      <c r="A41" s="18" t="s">
        <v>22</v>
      </c>
      <c r="B41" s="27">
        <v>0.85599999999999998</v>
      </c>
      <c r="C41" s="27">
        <v>0.86</v>
      </c>
      <c r="D41" s="27">
        <v>0.86299999999999999</v>
      </c>
      <c r="E41" s="27">
        <v>0.86599999999999999</v>
      </c>
      <c r="F41" s="27">
        <v>0.86899999999999999</v>
      </c>
      <c r="G41" s="27">
        <v>0.872</v>
      </c>
      <c r="H41" s="27">
        <v>0.876</v>
      </c>
      <c r="I41" s="27">
        <v>0.879</v>
      </c>
      <c r="J41" s="27">
        <v>0.88200000000000001</v>
      </c>
      <c r="K41" s="27">
        <v>0.88500000000000001</v>
      </c>
      <c r="L41" s="27">
        <v>0.88800000000000001</v>
      </c>
      <c r="M41" s="27">
        <v>0.89100000000000001</v>
      </c>
      <c r="N41" s="27">
        <v>0.89300000000000002</v>
      </c>
      <c r="O41" s="27">
        <v>0.89600000000000002</v>
      </c>
      <c r="P41" s="27">
        <v>0.89800000000000002</v>
      </c>
      <c r="Q41" s="27">
        <v>0.9</v>
      </c>
      <c r="R41" s="27">
        <v>0.90200000000000002</v>
      </c>
      <c r="S41" s="27">
        <v>0.90400000000000003</v>
      </c>
      <c r="T41" s="27">
        <v>0.90600000000000003</v>
      </c>
      <c r="U41" s="27">
        <v>0.90800000000000003</v>
      </c>
      <c r="V41" s="27">
        <v>0.91</v>
      </c>
      <c r="W41" s="27">
        <v>0.91100000000000003</v>
      </c>
      <c r="X41" s="27">
        <v>0.91300000000000003</v>
      </c>
      <c r="Y41" s="27">
        <v>0.91400000000000003</v>
      </c>
      <c r="Z41" s="27">
        <v>0.91500000000000004</v>
      </c>
      <c r="AA41" s="27">
        <v>0.91600000000000004</v>
      </c>
      <c r="AB41" s="27">
        <v>0.91700000000000004</v>
      </c>
      <c r="AC41" s="27">
        <v>0.91700000000000004</v>
      </c>
      <c r="AD41" s="27">
        <v>0.91800000000000004</v>
      </c>
      <c r="AE41" s="27">
        <v>0.91800000000000004</v>
      </c>
      <c r="AF41" s="27">
        <v>0.91800000000000004</v>
      </c>
      <c r="AG41" s="27">
        <v>0.91800000000000004</v>
      </c>
      <c r="AH41" s="27">
        <v>0.91800000000000004</v>
      </c>
    </row>
    <row r="42" spans="1:34" x14ac:dyDescent="0.25">
      <c r="A42" s="18" t="s">
        <v>23</v>
      </c>
      <c r="B42" s="27">
        <v>0.26</v>
      </c>
      <c r="C42" s="27">
        <v>0.26700000000000002</v>
      </c>
      <c r="D42" s="27">
        <v>0.27500000000000002</v>
      </c>
      <c r="E42" s="27">
        <v>0.28199999999999997</v>
      </c>
      <c r="F42" s="27">
        <v>0.28999999999999998</v>
      </c>
      <c r="G42" s="27">
        <v>0.29799999999999999</v>
      </c>
      <c r="H42" s="27">
        <v>0.30599999999999999</v>
      </c>
      <c r="I42" s="27">
        <v>0.315</v>
      </c>
      <c r="J42" s="27">
        <v>0.32300000000000001</v>
      </c>
      <c r="K42" s="27">
        <v>0.33300000000000002</v>
      </c>
      <c r="L42" s="27">
        <v>0.34200000000000003</v>
      </c>
      <c r="M42" s="27">
        <v>0.35199999999999998</v>
      </c>
      <c r="N42" s="27">
        <v>0.36199999999999999</v>
      </c>
      <c r="O42" s="27">
        <v>0.372</v>
      </c>
      <c r="P42" s="27">
        <v>0.38300000000000001</v>
      </c>
      <c r="Q42" s="27">
        <v>0.39400000000000002</v>
      </c>
      <c r="R42" s="27">
        <v>0.40500000000000003</v>
      </c>
      <c r="S42" s="27">
        <v>0.41699999999999998</v>
      </c>
      <c r="T42" s="27">
        <v>0.42899999999999999</v>
      </c>
      <c r="U42" s="27">
        <v>0.441</v>
      </c>
      <c r="V42" s="27">
        <v>0.45400000000000001</v>
      </c>
      <c r="W42" s="27">
        <v>0.46700000000000003</v>
      </c>
      <c r="X42" s="27">
        <v>0.48</v>
      </c>
      <c r="Y42" s="27">
        <v>0.49299999999999999</v>
      </c>
      <c r="Z42" s="27">
        <v>0.50700000000000001</v>
      </c>
      <c r="AA42" s="27">
        <v>0.52100000000000002</v>
      </c>
      <c r="AB42" s="27">
        <v>0.53500000000000003</v>
      </c>
      <c r="AC42" s="27">
        <v>0.55000000000000004</v>
      </c>
      <c r="AD42" s="27">
        <v>0.56399999999999995</v>
      </c>
      <c r="AE42" s="27">
        <v>0.57899999999999996</v>
      </c>
      <c r="AF42" s="27">
        <v>0.59499999999999997</v>
      </c>
      <c r="AG42" s="27">
        <v>0.61</v>
      </c>
      <c r="AH42" s="27">
        <v>0.626</v>
      </c>
    </row>
    <row r="44" spans="1:34" x14ac:dyDescent="0.25">
      <c r="B44" s="27"/>
    </row>
    <row r="45" spans="1:34" x14ac:dyDescent="0.2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row>
    <row r="46" spans="1:34" x14ac:dyDescent="0.25">
      <c r="B46" t="s">
        <v>14</v>
      </c>
    </row>
    <row r="47" spans="1:34" x14ac:dyDescent="0.25">
      <c r="A47" s="18" t="s">
        <v>19</v>
      </c>
      <c r="B47">
        <v>0.3876</v>
      </c>
    </row>
    <row r="48" spans="1:34" x14ac:dyDescent="0.25">
      <c r="A48" s="18" t="s">
        <v>20</v>
      </c>
      <c r="B48">
        <v>0.36880000000000002</v>
      </c>
    </row>
    <row r="49" spans="1:2" x14ac:dyDescent="0.25">
      <c r="A49" s="18" t="s">
        <v>21</v>
      </c>
      <c r="B49">
        <v>0.28349999999999997</v>
      </c>
    </row>
    <row r="50" spans="1:2" x14ac:dyDescent="0.25">
      <c r="A50" s="18" t="s">
        <v>22</v>
      </c>
      <c r="B50">
        <v>0.85599999999999998</v>
      </c>
    </row>
    <row r="51" spans="1:2" x14ac:dyDescent="0.25">
      <c r="A51" s="18" t="s">
        <v>23</v>
      </c>
      <c r="B51">
        <v>0.26040000000000002</v>
      </c>
    </row>
    <row r="53" spans="1:2" x14ac:dyDescent="0.25">
      <c r="A53" s="18" t="s">
        <v>30</v>
      </c>
      <c r="B53">
        <f>SUM(B47:B51)</f>
        <v>2.1562999999999999</v>
      </c>
    </row>
    <row r="54" spans="1:2" x14ac:dyDescent="0.25">
      <c r="A54" s="18" t="s">
        <v>31</v>
      </c>
      <c r="B54">
        <v>64.73</v>
      </c>
    </row>
  </sheetData>
  <mergeCells count="2">
    <mergeCell ref="B2:J2"/>
    <mergeCell ref="B8:J8"/>
  </mergeCells>
  <hyperlinks>
    <hyperlink ref="B12" r:id="rId1" xr:uid="{00000000-0004-0000-0000-000000000000}"/>
  </hyperlinks>
  <pageMargins left="0.7" right="0.7" top="0.75" bottom="0.75" header="0.51180555555555496" footer="0.51180555555555496"/>
  <pageSetup paperSize="9" firstPageNumber="0" orientation="portrait"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DD7EE"/>
  </sheetPr>
  <dimension ref="B3:V19"/>
  <sheetViews>
    <sheetView zoomScale="72" zoomScaleNormal="72" workbookViewId="0">
      <selection activeCell="C29" sqref="C29"/>
    </sheetView>
  </sheetViews>
  <sheetFormatPr baseColWidth="10" defaultColWidth="8.5703125" defaultRowHeight="15" x14ac:dyDescent="0.25"/>
  <cols>
    <col min="1" max="1" width="10.42578125" customWidth="1"/>
    <col min="2" max="2" width="13.140625" customWidth="1"/>
    <col min="3" max="3" width="16.85546875" customWidth="1"/>
    <col min="4" max="1023" width="10.42578125" customWidth="1"/>
    <col min="1024" max="1025" width="11.5703125" customWidth="1"/>
  </cols>
  <sheetData>
    <row r="3" spans="2:22" ht="36" customHeight="1" x14ac:dyDescent="0.25">
      <c r="B3" s="108" t="s">
        <v>32</v>
      </c>
      <c r="C3" s="108"/>
      <c r="D3" s="108"/>
      <c r="E3" s="108"/>
      <c r="F3" s="108"/>
      <c r="G3" s="108"/>
      <c r="H3" s="108"/>
      <c r="I3" s="108"/>
    </row>
    <row r="5" spans="2:22" x14ac:dyDescent="0.25">
      <c r="C5" t="s">
        <v>33</v>
      </c>
      <c r="D5" s="28">
        <v>2018</v>
      </c>
      <c r="E5" s="28">
        <v>2020</v>
      </c>
      <c r="F5" s="28">
        <f t="shared" ref="F5:K5" si="0">E5+5</f>
        <v>2025</v>
      </c>
      <c r="G5" s="28">
        <f t="shared" si="0"/>
        <v>2030</v>
      </c>
      <c r="H5" s="28">
        <f t="shared" si="0"/>
        <v>2035</v>
      </c>
      <c r="I5" s="28">
        <f t="shared" si="0"/>
        <v>2040</v>
      </c>
      <c r="J5" s="28">
        <f t="shared" si="0"/>
        <v>2045</v>
      </c>
      <c r="K5" s="28">
        <f t="shared" si="0"/>
        <v>2050</v>
      </c>
    </row>
    <row r="6" spans="2:22" ht="14.45" customHeight="1" x14ac:dyDescent="0.25">
      <c r="B6" s="110" t="s">
        <v>34</v>
      </c>
      <c r="C6" s="29" t="s">
        <v>35</v>
      </c>
      <c r="D6" s="29">
        <v>29.9</v>
      </c>
      <c r="E6" s="29">
        <v>30</v>
      </c>
      <c r="F6" s="29">
        <v>30.2</v>
      </c>
      <c r="G6" s="29">
        <v>30.5</v>
      </c>
      <c r="H6" s="29">
        <v>31</v>
      </c>
      <c r="I6" s="29">
        <v>31.1</v>
      </c>
      <c r="J6" s="29">
        <v>31.2</v>
      </c>
      <c r="K6" s="29">
        <v>31.3</v>
      </c>
      <c r="S6" s="12" t="s">
        <v>36</v>
      </c>
    </row>
    <row r="7" spans="2:22" x14ac:dyDescent="0.25">
      <c r="B7" s="110"/>
      <c r="C7" s="29" t="s">
        <v>37</v>
      </c>
      <c r="D7" s="30">
        <f>'1. Population'!B17</f>
        <v>66.992000000000004</v>
      </c>
      <c r="E7" s="30">
        <f>'1. Population'!D18</f>
        <v>67.819999999999993</v>
      </c>
      <c r="F7" s="30">
        <f>'1. Population'!I18</f>
        <v>69.093000000000004</v>
      </c>
      <c r="G7" s="30">
        <f>'1. Population'!N18</f>
        <v>70.281000000000006</v>
      </c>
      <c r="H7" s="30">
        <f>'1. Population'!S18</f>
        <v>71.417000000000002</v>
      </c>
      <c r="I7" s="30">
        <f>'1. Population'!X18</f>
        <v>72.448999999999998</v>
      </c>
      <c r="J7" s="30">
        <f>'1. Population'!AC18</f>
        <v>73.311999999999998</v>
      </c>
      <c r="K7" s="30">
        <f>'1. Population'!AH18</f>
        <v>74.025000000000006</v>
      </c>
      <c r="S7" s="31" t="s">
        <v>38</v>
      </c>
      <c r="T7" t="s">
        <v>39</v>
      </c>
      <c r="U7">
        <v>27.122</v>
      </c>
      <c r="V7" t="s">
        <v>40</v>
      </c>
    </row>
    <row r="8" spans="2:22" x14ac:dyDescent="0.25">
      <c r="B8" s="110"/>
      <c r="C8" s="29" t="s">
        <v>41</v>
      </c>
      <c r="D8" s="32">
        <f t="shared" ref="D8:K8" si="1">D6/D7</f>
        <v>0.44632194888941956</v>
      </c>
      <c r="E8" s="32">
        <f t="shared" si="1"/>
        <v>0.44234739015039815</v>
      </c>
      <c r="F8" s="32">
        <f t="shared" si="1"/>
        <v>0.43709203537261371</v>
      </c>
      <c r="G8" s="32">
        <f t="shared" si="1"/>
        <v>0.43397219732217807</v>
      </c>
      <c r="H8" s="32">
        <f t="shared" si="1"/>
        <v>0.43407031939174145</v>
      </c>
      <c r="I8" s="32">
        <f t="shared" si="1"/>
        <v>0.42926748471338461</v>
      </c>
      <c r="J8" s="32">
        <f t="shared" si="1"/>
        <v>0.42557835006547362</v>
      </c>
      <c r="K8" s="32">
        <f t="shared" si="1"/>
        <v>0.42283012495778449</v>
      </c>
      <c r="S8" t="s">
        <v>42</v>
      </c>
      <c r="T8" t="s">
        <v>43</v>
      </c>
      <c r="U8" s="33">
        <f>U7*(1-'1. Population'!B32)*1.091</f>
        <v>28.644876070250024</v>
      </c>
      <c r="V8" t="s">
        <v>44</v>
      </c>
    </row>
    <row r="9" spans="2:22" ht="14.45" customHeight="1" x14ac:dyDescent="0.25">
      <c r="B9" s="111" t="s">
        <v>45</v>
      </c>
      <c r="C9" s="34" t="s">
        <v>35</v>
      </c>
      <c r="D9" s="34">
        <v>29.9</v>
      </c>
      <c r="E9" s="34">
        <v>30</v>
      </c>
      <c r="F9" s="34">
        <v>30.2</v>
      </c>
      <c r="G9" s="34">
        <v>30.5</v>
      </c>
      <c r="H9" s="34">
        <v>31</v>
      </c>
      <c r="I9" s="34">
        <v>31</v>
      </c>
      <c r="J9" s="34">
        <v>31</v>
      </c>
      <c r="K9" s="34">
        <v>30.8</v>
      </c>
      <c r="M9" t="s">
        <v>46</v>
      </c>
      <c r="S9" t="s">
        <v>47</v>
      </c>
    </row>
    <row r="10" spans="2:22" x14ac:dyDescent="0.25">
      <c r="B10" s="111"/>
      <c r="C10" s="34" t="s">
        <v>37</v>
      </c>
      <c r="D10" s="35">
        <f>'1. Population'!B17</f>
        <v>66.992000000000004</v>
      </c>
      <c r="E10" s="36">
        <f>'1. Population'!D17</f>
        <v>67.287000000000006</v>
      </c>
      <c r="F10" s="35">
        <f>'1. Population'!I31/1000</f>
        <v>68.730999999999995</v>
      </c>
      <c r="G10" s="35">
        <f>'1. Population'!N31/1000</f>
        <v>69.641999999999996</v>
      </c>
      <c r="H10" s="35">
        <f>'1. Population'!S31/1000</f>
        <v>70.495000000000005</v>
      </c>
      <c r="I10" s="35">
        <f>'1. Population'!X31/1000</f>
        <v>71.239999999999995</v>
      </c>
      <c r="J10" s="35">
        <f>'1. Population'!AC31/1000</f>
        <v>71.805000000000007</v>
      </c>
      <c r="K10" s="35">
        <f>'1. Population'!AH31/1000</f>
        <v>72.156000000000006</v>
      </c>
      <c r="M10" t="s">
        <v>48</v>
      </c>
      <c r="N10" t="s">
        <v>49</v>
      </c>
      <c r="T10" t="s">
        <v>50</v>
      </c>
      <c r="U10">
        <v>20.64</v>
      </c>
      <c r="V10" t="s">
        <v>40</v>
      </c>
    </row>
    <row r="11" spans="2:22" x14ac:dyDescent="0.25">
      <c r="B11" s="111"/>
      <c r="C11" s="34" t="s">
        <v>41</v>
      </c>
      <c r="D11" s="37">
        <f t="shared" ref="D11:K11" si="2">D9/D10</f>
        <v>0.44632194888941956</v>
      </c>
      <c r="E11" s="37">
        <f t="shared" si="2"/>
        <v>0.44585135315885682</v>
      </c>
      <c r="F11" s="37">
        <f t="shared" si="2"/>
        <v>0.43939415984053776</v>
      </c>
      <c r="G11" s="37">
        <f t="shared" si="2"/>
        <v>0.43795410815312602</v>
      </c>
      <c r="H11" s="37">
        <f t="shared" si="2"/>
        <v>0.43974749982268241</v>
      </c>
      <c r="I11" s="37">
        <f t="shared" si="2"/>
        <v>0.43514879281302643</v>
      </c>
      <c r="J11" s="37">
        <f t="shared" si="2"/>
        <v>0.43172481024998255</v>
      </c>
      <c r="K11" s="37">
        <f t="shared" si="2"/>
        <v>0.42685292976329064</v>
      </c>
      <c r="T11" t="s">
        <v>50</v>
      </c>
      <c r="U11" s="38">
        <f>U10*(1-'1. Population'!B32)</f>
        <v>19.980676041264086</v>
      </c>
      <c r="V11" t="s">
        <v>44</v>
      </c>
    </row>
    <row r="12" spans="2:22" ht="13.7" customHeight="1" x14ac:dyDescent="0.25">
      <c r="B12" s="112" t="s">
        <v>27</v>
      </c>
      <c r="C12" s="28" t="s">
        <v>51</v>
      </c>
      <c r="D12" s="40">
        <f>'1. Population'!B36</f>
        <v>64.852008205250172</v>
      </c>
      <c r="E12" s="41">
        <f>'1. Population'!D36</f>
        <v>65.136535067389033</v>
      </c>
      <c r="F12" s="41">
        <f>'1. Population'!I36</f>
        <v>65.774895316523839</v>
      </c>
      <c r="G12" s="41">
        <f>'1. Population'!N36</f>
        <v>66.337182447373706</v>
      </c>
      <c r="H12" s="41">
        <f>'1. Population'!S36</f>
        <v>66.730362834243564</v>
      </c>
      <c r="I12" s="41">
        <f>'1. Population'!X36</f>
        <v>66.932723540145986</v>
      </c>
      <c r="J12" s="41">
        <f>'1. Population'!AC36</f>
        <v>66.952823285286541</v>
      </c>
      <c r="K12" s="41">
        <f>'1. Population'!AH36</f>
        <v>66.835070971229001</v>
      </c>
      <c r="T12" t="s">
        <v>52</v>
      </c>
      <c r="U12" s="42">
        <f>U11/U8</f>
        <v>0.69753054585617857</v>
      </c>
      <c r="V12" t="s">
        <v>44</v>
      </c>
    </row>
    <row r="13" spans="2:22" x14ac:dyDescent="0.25">
      <c r="B13" s="112"/>
      <c r="C13" s="43" t="s">
        <v>53</v>
      </c>
      <c r="D13" s="44">
        <f t="shared" ref="D13:K13" si="3">D12*D11</f>
        <v>28.944874691559885</v>
      </c>
      <c r="E13" s="44">
        <f t="shared" si="3"/>
        <v>29.041212299874729</v>
      </c>
      <c r="F13" s="44">
        <f t="shared" si="3"/>
        <v>28.901104866203315</v>
      </c>
      <c r="G13" s="44">
        <f t="shared" si="3"/>
        <v>29.052641576130757</v>
      </c>
      <c r="H13" s="44">
        <f t="shared" si="3"/>
        <v>29.344510218619053</v>
      </c>
      <c r="I13" s="44">
        <f t="shared" si="3"/>
        <v>29.125693848182564</v>
      </c>
      <c r="J13" s="44">
        <f t="shared" si="3"/>
        <v>28.905194928540947</v>
      </c>
      <c r="K13" s="44">
        <f t="shared" si="3"/>
        <v>28.528745855006559</v>
      </c>
      <c r="M13" t="s">
        <v>54</v>
      </c>
    </row>
    <row r="15" spans="2:22" ht="13.7" customHeight="1" x14ac:dyDescent="0.25">
      <c r="B15" s="113" t="s">
        <v>55</v>
      </c>
      <c r="C15" s="28" t="s">
        <v>56</v>
      </c>
      <c r="D15" s="41">
        <f>U11</f>
        <v>19.980676041264086</v>
      </c>
      <c r="E15" s="41">
        <f>E13*'PIB Branches'!G55/'PIB Branches'!$E55*$U12</f>
        <v>20.502829124323728</v>
      </c>
      <c r="F15" s="41">
        <f>F13*'PIB Branches'!H55/'PIB Branches'!$E55*$U12</f>
        <v>20.559037895415152</v>
      </c>
      <c r="G15" s="41">
        <f>G13*'PIB Branches'!I55/'PIB Branches'!$E55*$U12</f>
        <v>20.764913987331532</v>
      </c>
      <c r="H15" s="41">
        <f>H13*'PIB Branches'!J55/'PIB Branches'!$E55*$U12</f>
        <v>21.060406601192167</v>
      </c>
      <c r="I15" s="41">
        <f>I13*'PIB Branches'!K55/'PIB Branches'!$E55*$U12</f>
        <v>21.012104693189357</v>
      </c>
      <c r="J15" s="41">
        <f>J13*'PIB Branches'!L55/'PIB Branches'!$E55*$U12</f>
        <v>20.948300505198961</v>
      </c>
      <c r="K15" s="41">
        <f>K13*'PIB Branches'!M55/'PIB Branches'!$E55*$U12</f>
        <v>20.749881408566928</v>
      </c>
      <c r="M15" t="s">
        <v>57</v>
      </c>
    </row>
    <row r="16" spans="2:22" x14ac:dyDescent="0.25">
      <c r="B16" s="113"/>
      <c r="C16" s="28" t="s">
        <v>58</v>
      </c>
      <c r="D16" s="41">
        <f>U11</f>
        <v>19.980676041264086</v>
      </c>
      <c r="E16" s="41">
        <f>E13*'PIB Branches'!G88/'PIB Branches'!$E88*$U12</f>
        <v>20.502829124323728</v>
      </c>
      <c r="F16" s="41">
        <f>F13*'PIB Branches'!H88/'PIB Branches'!$E88*$U12</f>
        <v>20.369407322900869</v>
      </c>
      <c r="G16" s="41">
        <f>G13*'PIB Branches'!I88/'PIB Branches'!$E88*$U12</f>
        <v>20.5161116103037</v>
      </c>
      <c r="H16" s="41">
        <f>H13*'PIB Branches'!J88/'PIB Branches'!$E88*$U12</f>
        <v>20.761149622511962</v>
      </c>
      <c r="I16" s="41">
        <f>I13*'PIB Branches'!K88/'PIB Branches'!$E88*$U12</f>
        <v>20.661449568802336</v>
      </c>
      <c r="J16" s="41">
        <f>J13*'PIB Branches'!L88/'PIB Branches'!$E88*$U12</f>
        <v>20.554764268232141</v>
      </c>
      <c r="K16" s="41">
        <f>K13*'PIB Branches'!M88/'PIB Branches'!$E88*$U12</f>
        <v>20.327289361212269</v>
      </c>
      <c r="M16" t="s">
        <v>57</v>
      </c>
    </row>
    <row r="17" spans="2:11" x14ac:dyDescent="0.25">
      <c r="D17" t="s">
        <v>59</v>
      </c>
    </row>
    <row r="18" spans="2:11" ht="13.7" customHeight="1" x14ac:dyDescent="0.25">
      <c r="B18" s="109" t="s">
        <v>60</v>
      </c>
      <c r="C18" s="28" t="s">
        <v>56</v>
      </c>
      <c r="E18" s="42"/>
      <c r="F18" s="42">
        <f t="shared" ref="F18:K19" si="4">(F15/E15)^(1/5)-1</f>
        <v>5.477023011599691E-4</v>
      </c>
      <c r="G18" s="42">
        <f t="shared" si="4"/>
        <v>1.9948050531490846E-3</v>
      </c>
      <c r="H18" s="42">
        <f t="shared" si="4"/>
        <v>2.8300126344016352E-3</v>
      </c>
      <c r="I18" s="42">
        <f t="shared" si="4"/>
        <v>-4.5912011141091558E-4</v>
      </c>
      <c r="J18" s="42">
        <f t="shared" si="4"/>
        <v>-6.0804786686508017E-4</v>
      </c>
      <c r="K18" s="42">
        <f t="shared" si="4"/>
        <v>-1.9015877260797343E-3</v>
      </c>
    </row>
    <row r="19" spans="2:11" x14ac:dyDescent="0.25">
      <c r="B19" s="109"/>
      <c r="C19" s="28" t="s">
        <v>58</v>
      </c>
      <c r="E19" s="42"/>
      <c r="F19" s="42">
        <f t="shared" si="4"/>
        <v>-1.3048975714267108E-3</v>
      </c>
      <c r="G19" s="42">
        <f t="shared" si="4"/>
        <v>1.4363055887438581E-3</v>
      </c>
      <c r="H19" s="42">
        <f t="shared" si="4"/>
        <v>2.3774063393564582E-3</v>
      </c>
      <c r="I19" s="42">
        <f t="shared" si="4"/>
        <v>-9.6229854990825814E-4</v>
      </c>
      <c r="J19" s="42">
        <f t="shared" si="4"/>
        <v>-1.0348386542270438E-3</v>
      </c>
      <c r="K19" s="42">
        <f t="shared" si="4"/>
        <v>-2.2232180125031364E-3</v>
      </c>
    </row>
  </sheetData>
  <mergeCells count="6">
    <mergeCell ref="B18:B19"/>
    <mergeCell ref="B3:I3"/>
    <mergeCell ref="B6:B8"/>
    <mergeCell ref="B9:B11"/>
    <mergeCell ref="B12:B13"/>
    <mergeCell ref="B15:B16"/>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AD47"/>
  </sheetPr>
  <dimension ref="A2:AJ46"/>
  <sheetViews>
    <sheetView topLeftCell="B1" zoomScale="78" zoomScaleNormal="78" workbookViewId="0">
      <selection activeCell="J4" sqref="C4:J4"/>
    </sheetView>
  </sheetViews>
  <sheetFormatPr baseColWidth="10" defaultColWidth="8.5703125" defaultRowHeight="15" x14ac:dyDescent="0.25"/>
  <cols>
    <col min="1" max="1" width="22.140625" customWidth="1"/>
    <col min="2" max="2" width="14.42578125" customWidth="1"/>
    <col min="3" max="9" width="10.42578125" customWidth="1"/>
    <col min="10" max="10" width="12.5703125" customWidth="1"/>
    <col min="11" max="1025" width="10.42578125" customWidth="1"/>
  </cols>
  <sheetData>
    <row r="2" spans="1:34" x14ac:dyDescent="0.25">
      <c r="B2" s="107" t="s">
        <v>61</v>
      </c>
      <c r="C2" s="107"/>
      <c r="D2" s="107"/>
      <c r="E2" s="107"/>
      <c r="F2" s="107"/>
      <c r="G2" s="107"/>
      <c r="H2" s="107"/>
      <c r="I2" s="107"/>
      <c r="J2" s="107"/>
    </row>
    <row r="3" spans="1:34" x14ac:dyDescent="0.25">
      <c r="B3" s="1" t="s">
        <v>62</v>
      </c>
      <c r="C3" s="2">
        <v>2019</v>
      </c>
      <c r="D3" s="2">
        <v>2020</v>
      </c>
      <c r="E3" s="2">
        <v>2025</v>
      </c>
      <c r="F3" s="2">
        <v>2030</v>
      </c>
      <c r="G3" s="2">
        <v>2035</v>
      </c>
      <c r="H3" s="2">
        <v>2040</v>
      </c>
      <c r="I3" s="2">
        <v>2045</v>
      </c>
      <c r="J3" s="3">
        <v>2050</v>
      </c>
    </row>
    <row r="4" spans="1:34" x14ac:dyDescent="0.25">
      <c r="B4" s="45" t="s">
        <v>63</v>
      </c>
      <c r="C4" s="8">
        <f>C33</f>
        <v>1.8</v>
      </c>
      <c r="D4" s="8">
        <f>D33</f>
        <v>-8</v>
      </c>
      <c r="E4" s="8">
        <f>I33</f>
        <v>0.86511706657129139</v>
      </c>
      <c r="F4" s="8">
        <f>N33</f>
        <v>0.98142949960160353</v>
      </c>
      <c r="G4" s="8">
        <f>S33</f>
        <v>1.2508123421932189</v>
      </c>
      <c r="H4" s="8">
        <f>X33</f>
        <v>1.5352199748178559</v>
      </c>
      <c r="I4" s="8">
        <f>AC33</f>
        <v>1.5012512059417378</v>
      </c>
      <c r="J4" s="9">
        <f>AH33</f>
        <v>1.4462158775368021</v>
      </c>
    </row>
    <row r="6" spans="1:34" ht="104.85" customHeight="1" x14ac:dyDescent="0.25">
      <c r="B6" s="108" t="s">
        <v>64</v>
      </c>
      <c r="C6" s="108"/>
      <c r="D6" s="108"/>
      <c r="E6" s="108"/>
      <c r="F6" s="108"/>
      <c r="G6" s="108"/>
      <c r="H6" s="108"/>
      <c r="I6" s="108"/>
      <c r="J6" s="108"/>
    </row>
    <row r="9" spans="1:34" x14ac:dyDescent="0.25">
      <c r="A9" t="s">
        <v>65</v>
      </c>
    </row>
    <row r="10" spans="1:34" x14ac:dyDescent="0.25">
      <c r="A10" t="s">
        <v>66</v>
      </c>
      <c r="B10" t="s">
        <v>67</v>
      </c>
    </row>
    <row r="14" spans="1:34" x14ac:dyDescent="0.25">
      <c r="D14" s="38"/>
      <c r="E14" s="38"/>
      <c r="F14" s="38"/>
      <c r="G14" s="38"/>
      <c r="H14" s="38"/>
      <c r="I14" s="38"/>
      <c r="J14" s="38"/>
      <c r="K14" s="38"/>
      <c r="L14" s="38"/>
      <c r="M14" s="38"/>
      <c r="N14" s="38"/>
      <c r="O14" s="38"/>
      <c r="P14" s="38"/>
      <c r="Q14" s="38"/>
      <c r="R14" s="38"/>
      <c r="S14" s="38"/>
      <c r="T14" s="38"/>
      <c r="U14" s="38"/>
      <c r="V14" s="38"/>
      <c r="W14" s="38"/>
      <c r="X14" s="38"/>
    </row>
    <row r="15" spans="1:34" x14ac:dyDescent="0.25">
      <c r="A15" s="46" t="s">
        <v>68</v>
      </c>
      <c r="B15" s="47">
        <v>2018</v>
      </c>
      <c r="C15" s="47">
        <v>2019</v>
      </c>
      <c r="D15" s="48">
        <v>2020</v>
      </c>
      <c r="E15" s="48">
        <v>2021</v>
      </c>
      <c r="F15" s="48">
        <v>2022</v>
      </c>
      <c r="G15" s="48">
        <v>2023</v>
      </c>
      <c r="H15" s="48">
        <v>2024</v>
      </c>
      <c r="I15" s="48">
        <v>2025</v>
      </c>
      <c r="J15" s="48">
        <v>2026</v>
      </c>
      <c r="K15" s="48">
        <v>2027</v>
      </c>
      <c r="L15" s="48">
        <v>2028</v>
      </c>
      <c r="M15" s="48">
        <v>2029</v>
      </c>
      <c r="N15" s="48">
        <v>2030</v>
      </c>
      <c r="O15" s="48">
        <v>2031</v>
      </c>
      <c r="P15" s="48">
        <v>2032</v>
      </c>
      <c r="Q15" s="48">
        <v>2033</v>
      </c>
      <c r="R15" s="48">
        <v>2034</v>
      </c>
      <c r="S15" s="48">
        <v>2035</v>
      </c>
      <c r="T15" s="48">
        <v>2036</v>
      </c>
      <c r="U15" s="48">
        <v>2037</v>
      </c>
      <c r="V15" s="48">
        <v>2038</v>
      </c>
      <c r="W15" s="48">
        <v>2039</v>
      </c>
      <c r="X15" s="48">
        <v>2040</v>
      </c>
      <c r="Y15" s="48">
        <v>2041</v>
      </c>
      <c r="Z15" s="48">
        <v>2042</v>
      </c>
      <c r="AA15" s="48">
        <v>2043</v>
      </c>
      <c r="AB15" s="48">
        <v>2044</v>
      </c>
      <c r="AC15" s="48">
        <v>2045</v>
      </c>
      <c r="AD15" s="48">
        <v>2046</v>
      </c>
      <c r="AE15" s="48">
        <v>2047</v>
      </c>
      <c r="AF15" s="48">
        <v>2048</v>
      </c>
      <c r="AG15" s="48">
        <v>2049</v>
      </c>
      <c r="AH15" s="48">
        <v>2050</v>
      </c>
    </row>
    <row r="16" spans="1:34" x14ac:dyDescent="0.25">
      <c r="A16" t="s">
        <v>15</v>
      </c>
      <c r="B16">
        <v>1.6</v>
      </c>
      <c r="C16">
        <v>1.6</v>
      </c>
      <c r="D16">
        <v>1.3</v>
      </c>
      <c r="E16">
        <v>1.3</v>
      </c>
      <c r="F16">
        <v>1.3</v>
      </c>
      <c r="G16">
        <v>1.3</v>
      </c>
      <c r="H16">
        <v>1.3</v>
      </c>
      <c r="I16">
        <v>1.4</v>
      </c>
      <c r="J16">
        <v>1.4</v>
      </c>
      <c r="K16">
        <v>1.4</v>
      </c>
      <c r="L16">
        <v>1.4</v>
      </c>
      <c r="M16">
        <v>1.4</v>
      </c>
      <c r="N16">
        <v>1.7</v>
      </c>
      <c r="O16">
        <v>1.7</v>
      </c>
      <c r="P16">
        <v>1.7</v>
      </c>
      <c r="Q16">
        <v>1.7</v>
      </c>
      <c r="R16">
        <v>1.7</v>
      </c>
      <c r="S16">
        <v>1.7</v>
      </c>
      <c r="T16">
        <v>1.7</v>
      </c>
      <c r="U16">
        <v>1.7</v>
      </c>
      <c r="V16">
        <v>1.7</v>
      </c>
      <c r="W16">
        <v>1.7</v>
      </c>
      <c r="X16">
        <v>1.7</v>
      </c>
      <c r="Y16">
        <v>1.7</v>
      </c>
      <c r="Z16">
        <v>1.7</v>
      </c>
      <c r="AA16">
        <v>1.7</v>
      </c>
      <c r="AB16">
        <v>1.7</v>
      </c>
      <c r="AC16">
        <v>1.7</v>
      </c>
      <c r="AD16">
        <v>1.7</v>
      </c>
      <c r="AE16">
        <v>1.7</v>
      </c>
      <c r="AF16">
        <v>1.7</v>
      </c>
      <c r="AG16">
        <v>1.7</v>
      </c>
      <c r="AH16">
        <v>1.7</v>
      </c>
    </row>
    <row r="17" spans="1:34" x14ac:dyDescent="0.25">
      <c r="A17" t="s">
        <v>16</v>
      </c>
      <c r="B17" s="38"/>
      <c r="C17" s="38">
        <v>1.3153940340714401</v>
      </c>
      <c r="D17" s="38">
        <v>-8.2482808890021904</v>
      </c>
      <c r="E17" s="38">
        <v>7.4011071807767301</v>
      </c>
      <c r="F17" s="38">
        <v>1.7713128835044101</v>
      </c>
      <c r="G17" s="38">
        <v>1.64107184704625</v>
      </c>
      <c r="H17" s="38">
        <v>1.5897546636926001</v>
      </c>
      <c r="I17" s="38">
        <v>0.87416589753490703</v>
      </c>
      <c r="J17" s="38">
        <v>0.92807348762686803</v>
      </c>
      <c r="K17" s="38">
        <v>0.96113683804743799</v>
      </c>
      <c r="L17" s="38">
        <v>0.99967148959665397</v>
      </c>
      <c r="M17" s="38">
        <v>0.99813958218690801</v>
      </c>
      <c r="N17" s="38">
        <v>1.0577978519932401</v>
      </c>
      <c r="O17" s="38">
        <v>1.11745612179957</v>
      </c>
      <c r="P17" s="38">
        <v>1.1771143916058999</v>
      </c>
      <c r="Q17" s="38">
        <v>1.2239656520037301</v>
      </c>
      <c r="R17" s="38">
        <v>1.2741068022386299</v>
      </c>
      <c r="S17" s="38">
        <v>1.32537743784484</v>
      </c>
      <c r="T17" s="38">
        <v>1.39274895418422</v>
      </c>
      <c r="U17" s="38">
        <v>1.4527970330678199</v>
      </c>
      <c r="V17" s="38">
        <v>1.5121100659592599</v>
      </c>
      <c r="W17" s="38">
        <v>1.5684925802694301</v>
      </c>
      <c r="X17" s="38">
        <v>1.62778818442522</v>
      </c>
      <c r="Y17" s="38">
        <f t="shared" ref="Y17:AH17" si="0">X17</f>
        <v>1.62778818442522</v>
      </c>
      <c r="Z17" s="38">
        <f t="shared" si="0"/>
        <v>1.62778818442522</v>
      </c>
      <c r="AA17" s="38">
        <f t="shared" si="0"/>
        <v>1.62778818442522</v>
      </c>
      <c r="AB17" s="38">
        <f t="shared" si="0"/>
        <v>1.62778818442522</v>
      </c>
      <c r="AC17" s="38">
        <f t="shared" si="0"/>
        <v>1.62778818442522</v>
      </c>
      <c r="AD17" s="38">
        <f t="shared" si="0"/>
        <v>1.62778818442522</v>
      </c>
      <c r="AE17" s="38">
        <f t="shared" si="0"/>
        <v>1.62778818442522</v>
      </c>
      <c r="AF17" s="38">
        <f t="shared" si="0"/>
        <v>1.62778818442522</v>
      </c>
      <c r="AG17" s="38">
        <f t="shared" si="0"/>
        <v>1.62778818442522</v>
      </c>
      <c r="AH17" s="38">
        <f t="shared" si="0"/>
        <v>1.62778818442522</v>
      </c>
    </row>
    <row r="18" spans="1:34" x14ac:dyDescent="0.25">
      <c r="A18" s="49" t="s">
        <v>69</v>
      </c>
      <c r="B18" s="38"/>
      <c r="C18" s="15">
        <f>('1. Population'!C19-'1. Population'!B19)/'1. Population'!B19*100</f>
        <v>4.9093759331140963E-2</v>
      </c>
      <c r="D18" s="15">
        <f>('1. Population'!D19-'1. Population'!C19)/'1. Population'!C19*100</f>
        <v>0.28633300256608507</v>
      </c>
      <c r="E18" s="15">
        <f>('1. Population'!E19-'1. Population'!D19)/'1. Population'!D19*100</f>
        <v>0.2732990814951709</v>
      </c>
      <c r="F18" s="15">
        <f>('1. Population'!F19-'1. Population'!E19)/'1. Population'!E19*100</f>
        <v>0.27685315074769073</v>
      </c>
      <c r="G18" s="15">
        <f>('1. Population'!G19-'1. Population'!F19)/'1. Population'!F19*100</f>
        <v>0.28185719570847678</v>
      </c>
      <c r="H18" s="15">
        <f>('1. Population'!H19-'1. Population'!G19)/'1. Population'!G19*100</f>
        <v>0.28034191162119193</v>
      </c>
      <c r="I18" s="15">
        <f>('1. Population'!I19-'1. Population'!H19)/'1. Population'!H19*100</f>
        <v>0.28004086207079248</v>
      </c>
      <c r="J18" s="15">
        <f>('1. Population'!J19-'1. Population'!I19)/'1. Population'!I19*100</f>
        <v>0.27837688995482979</v>
      </c>
      <c r="K18" s="15">
        <f>('1. Population'!K19-'1. Population'!J19)/'1. Population'!J19*100</f>
        <v>0.27981964557338751</v>
      </c>
      <c r="L18" s="15">
        <f>('1. Population'!L19-'1. Population'!K19)/'1. Population'!K19*100</f>
        <v>0.28058130542797077</v>
      </c>
      <c r="M18" s="15">
        <f>('1. Population'!M19-'1. Population'!L19)/'1. Population'!L19*100</f>
        <v>0.28766307696215676</v>
      </c>
      <c r="N18" s="15">
        <f>('1. Population'!N19-'1. Population'!M19)/'1. Population'!M19*100</f>
        <v>0.2905932129891477</v>
      </c>
      <c r="O18" s="15">
        <f>('1. Population'!O19-'1. Population'!N19)/'1. Population'!N19*100</f>
        <v>0.29251320372101375</v>
      </c>
      <c r="P18" s="15">
        <f>('1. Population'!P19-'1. Population'!O19)/'1. Population'!O19*100</f>
        <v>0.29242464005856061</v>
      </c>
      <c r="Q18" s="15">
        <f>('1. Population'!Q19-'1. Population'!P19)/'1. Population'!P19*100</f>
        <v>0.28841185009092685</v>
      </c>
      <c r="R18" s="15">
        <f>('1. Population'!R19-'1. Population'!Q19)/'1. Population'!Q19*100</f>
        <v>0.2776143077726102</v>
      </c>
      <c r="S18" s="15">
        <f>('1. Population'!S19-'1. Population'!R19)/'1. Population'!R19*100</f>
        <v>0.27051384500477321</v>
      </c>
      <c r="T18" s="15">
        <f>('1. Population'!T19-'1. Population'!S19)/'1. Population'!S19*100</f>
        <v>0.26224391933912267</v>
      </c>
      <c r="U18" s="15">
        <f>('1. Population'!U19-'1. Population'!T19)/'1. Population'!T19*100</f>
        <v>0.25205862076931529</v>
      </c>
      <c r="V18" s="15">
        <f>('1. Population'!V19-'1. Population'!U19)/'1. Population'!U19*100</f>
        <v>0.23811917061762047</v>
      </c>
      <c r="W18" s="15">
        <f>('1. Population'!W19-'1. Population'!V19)/'1. Population'!V19*100</f>
        <v>0.21904819748401749</v>
      </c>
      <c r="X18" s="15">
        <f>('1. Population'!X19-'1. Population'!W19)/'1. Population'!W19*100</f>
        <v>0.19454998419798225</v>
      </c>
      <c r="Y18" s="15">
        <f>('1. Population'!Y19-'1. Population'!X19)/'1. Population'!X19*100</f>
        <v>0.17013737538497606</v>
      </c>
      <c r="Z18" s="15">
        <f>('1. Population'!Z19-'1. Population'!Y19)/'1. Population'!Y19*100</f>
        <v>0.16844469399205853</v>
      </c>
      <c r="AA18" s="15">
        <f>('1. Population'!AA19-'1. Population'!Z19)/'1. Population'!Z19*100</f>
        <v>0.14433856502244932</v>
      </c>
      <c r="AB18" s="15">
        <f>('1. Population'!AB19-'1. Population'!AA19)/'1. Population'!AA19*100</f>
        <v>0.13573457593443733</v>
      </c>
      <c r="AC18" s="15">
        <f>('1. Population'!AC19-'1. Population'!AB19)/'1. Population'!AB19*100</f>
        <v>0.13135830072662588</v>
      </c>
      <c r="AD18" s="15">
        <f>('1. Population'!AD19-'1. Population'!AC19)/'1. Population'!AC19*100</f>
        <v>0.10327406704438427</v>
      </c>
      <c r="AE18" s="15">
        <f>('1. Population'!AE19-'1. Population'!AD19)/'1. Population'!AD19*100</f>
        <v>0.10177336604953827</v>
      </c>
      <c r="AF18" s="15">
        <f>('1. Population'!AF19-'1. Population'!AE19)/'1. Population'!AE19*100</f>
        <v>9.0527987075320782E-2</v>
      </c>
      <c r="AG18" s="15">
        <f>('1. Population'!AG19-'1. Population'!AF19)/'1. Population'!AF19*100</f>
        <v>7.6531322182959632E-2</v>
      </c>
      <c r="AH18" s="15">
        <f>('1. Population'!AH19-'1. Population'!AG19)/'1. Population'!AG19*100</f>
        <v>7.0911138610513652E-2</v>
      </c>
    </row>
    <row r="19" spans="1:34" x14ac:dyDescent="0.25">
      <c r="A19" s="49" t="s">
        <v>70</v>
      </c>
      <c r="B19" s="38"/>
      <c r="C19" s="38">
        <f t="shared" ref="C19:AH19" si="1">C17-C18</f>
        <v>1.2663002747402992</v>
      </c>
      <c r="D19" s="38">
        <f t="shared" si="1"/>
        <v>-8.5346138915682754</v>
      </c>
      <c r="E19" s="38">
        <f t="shared" si="1"/>
        <v>7.1278080992815589</v>
      </c>
      <c r="F19" s="38">
        <f t="shared" si="1"/>
        <v>1.4944597327567193</v>
      </c>
      <c r="G19" s="38">
        <f t="shared" si="1"/>
        <v>1.3592146513377732</v>
      </c>
      <c r="H19" s="38">
        <f t="shared" si="1"/>
        <v>1.3094127520714083</v>
      </c>
      <c r="I19" s="38">
        <f t="shared" si="1"/>
        <v>0.59412503546411455</v>
      </c>
      <c r="J19" s="38">
        <f t="shared" si="1"/>
        <v>0.64969659767203825</v>
      </c>
      <c r="K19" s="38">
        <f t="shared" si="1"/>
        <v>0.68131719247405043</v>
      </c>
      <c r="L19" s="38">
        <f t="shared" si="1"/>
        <v>0.7190901841686832</v>
      </c>
      <c r="M19" s="38">
        <f t="shared" si="1"/>
        <v>0.71047650522475125</v>
      </c>
      <c r="N19" s="38">
        <f t="shared" si="1"/>
        <v>0.7672046390040923</v>
      </c>
      <c r="O19" s="38">
        <f t="shared" si="1"/>
        <v>0.82494291807855624</v>
      </c>
      <c r="P19" s="38">
        <f t="shared" si="1"/>
        <v>0.88468975154733931</v>
      </c>
      <c r="Q19" s="38">
        <f t="shared" si="1"/>
        <v>0.93555380191280324</v>
      </c>
      <c r="R19" s="38">
        <f t="shared" si="1"/>
        <v>0.99649249446601973</v>
      </c>
      <c r="S19" s="38">
        <f t="shared" si="1"/>
        <v>1.0548635928400667</v>
      </c>
      <c r="T19" s="38">
        <f t="shared" si="1"/>
        <v>1.1305050348450973</v>
      </c>
      <c r="U19" s="38">
        <f t="shared" si="1"/>
        <v>1.2007384122985045</v>
      </c>
      <c r="V19" s="38">
        <f t="shared" si="1"/>
        <v>1.2739908953416395</v>
      </c>
      <c r="W19" s="38">
        <f t="shared" si="1"/>
        <v>1.3494443827854126</v>
      </c>
      <c r="X19" s="38">
        <f t="shared" si="1"/>
        <v>1.4332382002272377</v>
      </c>
      <c r="Y19" s="38">
        <f t="shared" si="1"/>
        <v>1.457650809040244</v>
      </c>
      <c r="Z19" s="38">
        <f t="shared" si="1"/>
        <v>1.4593434904331615</v>
      </c>
      <c r="AA19" s="38">
        <f t="shared" si="1"/>
        <v>1.4834496194027706</v>
      </c>
      <c r="AB19" s="38">
        <f t="shared" si="1"/>
        <v>1.4920536084907827</v>
      </c>
      <c r="AC19" s="38">
        <f t="shared" si="1"/>
        <v>1.4964298836985941</v>
      </c>
      <c r="AD19" s="38">
        <f t="shared" si="1"/>
        <v>1.5245141173808356</v>
      </c>
      <c r="AE19" s="38">
        <f t="shared" si="1"/>
        <v>1.5260148183756816</v>
      </c>
      <c r="AF19" s="38">
        <f t="shared" si="1"/>
        <v>1.5372601973498992</v>
      </c>
      <c r="AG19" s="38">
        <f t="shared" si="1"/>
        <v>1.5512568622422604</v>
      </c>
      <c r="AH19" s="38">
        <f t="shared" si="1"/>
        <v>1.5568770458147063</v>
      </c>
    </row>
    <row r="20" spans="1:34" x14ac:dyDescent="0.25">
      <c r="A20" t="s">
        <v>71</v>
      </c>
      <c r="C20">
        <v>1.8</v>
      </c>
      <c r="D20">
        <v>-8</v>
      </c>
      <c r="E20" s="50">
        <v>7</v>
      </c>
      <c r="F20" s="50">
        <v>3.4</v>
      </c>
      <c r="G20" s="50">
        <v>2</v>
      </c>
      <c r="H20" s="50">
        <v>1.4</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row>
    <row r="21" spans="1:34" x14ac:dyDescent="0.25">
      <c r="A21" t="s">
        <v>72</v>
      </c>
      <c r="C21">
        <v>1.8</v>
      </c>
      <c r="D21">
        <v>-8</v>
      </c>
      <c r="E21" s="50">
        <v>6</v>
      </c>
      <c r="F21" s="50">
        <v>4</v>
      </c>
      <c r="G21">
        <v>1.6</v>
      </c>
      <c r="H21" s="38">
        <v>1.4</v>
      </c>
      <c r="I21" s="38">
        <v>1.4</v>
      </c>
      <c r="J21" s="38">
        <v>1.4</v>
      </c>
      <c r="K21" s="38">
        <v>1.4</v>
      </c>
      <c r="L21" s="38"/>
      <c r="M21" s="38"/>
      <c r="N21" s="38"/>
      <c r="O21" s="38"/>
      <c r="P21" s="38"/>
      <c r="Q21" s="38"/>
      <c r="R21" s="38"/>
      <c r="S21" s="38"/>
      <c r="T21" s="38"/>
      <c r="U21" s="38"/>
      <c r="V21" s="38"/>
      <c r="W21" s="38"/>
      <c r="X21" s="38"/>
      <c r="Y21" s="38"/>
      <c r="Z21" s="38"/>
      <c r="AA21" s="38"/>
      <c r="AB21" s="38"/>
      <c r="AC21" s="38"/>
      <c r="AD21" s="38"/>
      <c r="AE21" s="38"/>
      <c r="AF21" s="38"/>
      <c r="AG21" s="38"/>
      <c r="AH21" s="38"/>
    </row>
    <row r="22" spans="1:34" x14ac:dyDescent="0.25">
      <c r="A22" t="s">
        <v>73</v>
      </c>
      <c r="C22">
        <v>1.32</v>
      </c>
      <c r="D22" s="27">
        <v>-7.8552557111647001</v>
      </c>
      <c r="E22" s="27">
        <v>6.9635704986499301</v>
      </c>
      <c r="F22" s="27">
        <v>3.0989441875275201</v>
      </c>
      <c r="G22" s="27">
        <v>1.76913582156386</v>
      </c>
      <c r="H22" s="27">
        <v>1.3216508595493801</v>
      </c>
      <c r="I22" s="27">
        <v>0.87416589753490703</v>
      </c>
      <c r="J22" s="27">
        <v>0.92807348762686803</v>
      </c>
      <c r="K22" s="27">
        <v>0.96113683804743799</v>
      </c>
      <c r="L22" s="27">
        <v>0.99967148959665397</v>
      </c>
      <c r="M22" s="27">
        <v>0.99813958218690801</v>
      </c>
      <c r="N22" s="27">
        <v>1.0243705082819099</v>
      </c>
      <c r="O22" s="27">
        <v>1.0684127924770499</v>
      </c>
      <c r="P22" s="27">
        <v>1.09814780466638</v>
      </c>
      <c r="Q22" s="27">
        <v>1.1484115066271401</v>
      </c>
      <c r="R22" s="27">
        <v>1.2217664516087501</v>
      </c>
      <c r="S22" s="27">
        <v>1.3026130066986801</v>
      </c>
      <c r="T22" s="27">
        <v>1.4031808849771199</v>
      </c>
      <c r="U22" s="27">
        <v>1.5206029883899299</v>
      </c>
      <c r="V22" s="27">
        <v>1.5494173970615499</v>
      </c>
      <c r="W22" s="27">
        <v>1.5808487645103599</v>
      </c>
      <c r="X22" s="27">
        <v>1.5930929895493899</v>
      </c>
      <c r="Y22" s="27">
        <v>1.6171745434976801</v>
      </c>
      <c r="Z22" s="27">
        <v>1.6360630293735401</v>
      </c>
      <c r="AA22" s="27">
        <v>1.6085767851071699</v>
      </c>
      <c r="AB22" s="27">
        <v>1.5702556275942401</v>
      </c>
      <c r="AC22" s="27">
        <v>1.53528779448321</v>
      </c>
      <c r="AD22" s="27">
        <v>1.50999270732682</v>
      </c>
      <c r="AE22" s="27">
        <v>1.4904936775200801</v>
      </c>
      <c r="AF22" s="27">
        <v>1.4835524724196001</v>
      </c>
      <c r="AG22" s="27">
        <v>1.4716669845711501</v>
      </c>
      <c r="AH22" s="27">
        <v>1.4623377426303199</v>
      </c>
    </row>
    <row r="24" spans="1:34" x14ac:dyDescent="0.25">
      <c r="A24" t="s">
        <v>74</v>
      </c>
      <c r="B24">
        <v>2018</v>
      </c>
      <c r="C24">
        <v>2019</v>
      </c>
      <c r="D24">
        <v>2020</v>
      </c>
      <c r="E24">
        <v>2021</v>
      </c>
      <c r="F24">
        <v>2022</v>
      </c>
      <c r="G24">
        <v>2023</v>
      </c>
      <c r="H24">
        <v>2024</v>
      </c>
      <c r="I24">
        <v>2025</v>
      </c>
      <c r="J24">
        <v>2026</v>
      </c>
      <c r="K24">
        <v>2027</v>
      </c>
      <c r="L24">
        <v>2028</v>
      </c>
      <c r="M24">
        <v>2029</v>
      </c>
      <c r="N24">
        <v>2030</v>
      </c>
      <c r="O24">
        <v>2031</v>
      </c>
      <c r="P24">
        <v>2032</v>
      </c>
      <c r="Q24">
        <v>2033</v>
      </c>
      <c r="R24">
        <v>2034</v>
      </c>
      <c r="S24">
        <v>2035</v>
      </c>
      <c r="T24">
        <v>2036</v>
      </c>
      <c r="U24">
        <v>2037</v>
      </c>
      <c r="V24">
        <v>2038</v>
      </c>
      <c r="W24">
        <v>2039</v>
      </c>
      <c r="X24">
        <v>2040</v>
      </c>
      <c r="Y24">
        <v>2041</v>
      </c>
      <c r="Z24">
        <v>2042</v>
      </c>
      <c r="AA24">
        <v>2043</v>
      </c>
      <c r="AB24">
        <v>2044</v>
      </c>
      <c r="AC24">
        <v>2045</v>
      </c>
      <c r="AD24">
        <v>2046</v>
      </c>
      <c r="AE24">
        <v>2047</v>
      </c>
      <c r="AF24">
        <v>2048</v>
      </c>
      <c r="AG24">
        <v>2049</v>
      </c>
      <c r="AH24">
        <v>2050</v>
      </c>
    </row>
    <row r="25" spans="1:34" x14ac:dyDescent="0.25">
      <c r="A25" t="s">
        <v>75</v>
      </c>
      <c r="B25">
        <v>100</v>
      </c>
      <c r="C25" s="14">
        <f>B25*(1+(C16/100))</f>
        <v>101.6</v>
      </c>
      <c r="D25" s="14">
        <f t="shared" ref="D25:AH25" si="2">C25*(1+(D16/100))</f>
        <v>102.92079999999999</v>
      </c>
      <c r="E25" s="14">
        <f t="shared" si="2"/>
        <v>104.25877039999997</v>
      </c>
      <c r="F25" s="14">
        <f t="shared" si="2"/>
        <v>105.61413441519997</v>
      </c>
      <c r="G25" s="14">
        <f t="shared" si="2"/>
        <v>106.98711816259755</v>
      </c>
      <c r="H25" s="14">
        <f t="shared" si="2"/>
        <v>108.37795069871132</v>
      </c>
      <c r="I25" s="14">
        <f t="shared" si="2"/>
        <v>109.89524200849327</v>
      </c>
      <c r="J25" s="14">
        <f t="shared" si="2"/>
        <v>111.43377539661218</v>
      </c>
      <c r="K25" s="14">
        <f t="shared" si="2"/>
        <v>112.99384825216475</v>
      </c>
      <c r="L25" s="14">
        <f t="shared" si="2"/>
        <v>114.57576212769506</v>
      </c>
      <c r="M25" s="14">
        <f t="shared" si="2"/>
        <v>116.17982279748279</v>
      </c>
      <c r="N25" s="14">
        <f t="shared" si="2"/>
        <v>118.15487978503998</v>
      </c>
      <c r="O25" s="14">
        <f t="shared" si="2"/>
        <v>120.16351274138565</v>
      </c>
      <c r="P25" s="14">
        <f t="shared" si="2"/>
        <v>122.20629245798919</v>
      </c>
      <c r="Q25" s="14">
        <f t="shared" si="2"/>
        <v>124.283799429775</v>
      </c>
      <c r="R25" s="14">
        <f t="shared" si="2"/>
        <v>126.39662402008116</v>
      </c>
      <c r="S25" s="14">
        <f t="shared" si="2"/>
        <v>128.54536662842253</v>
      </c>
      <c r="T25" s="14">
        <f t="shared" si="2"/>
        <v>130.73063786110569</v>
      </c>
      <c r="U25" s="14">
        <f t="shared" si="2"/>
        <v>132.95305870474448</v>
      </c>
      <c r="V25" s="14">
        <f t="shared" si="2"/>
        <v>135.21326070272511</v>
      </c>
      <c r="W25" s="14">
        <f t="shared" si="2"/>
        <v>137.51188613467141</v>
      </c>
      <c r="X25" s="14">
        <f t="shared" si="2"/>
        <v>139.84958819896082</v>
      </c>
      <c r="Y25" s="14">
        <f t="shared" si="2"/>
        <v>142.22703119834313</v>
      </c>
      <c r="Z25" s="14">
        <f t="shared" si="2"/>
        <v>144.64489072871496</v>
      </c>
      <c r="AA25" s="14">
        <f t="shared" si="2"/>
        <v>147.1038538711031</v>
      </c>
      <c r="AB25" s="14">
        <f t="shared" si="2"/>
        <v>149.60461938691185</v>
      </c>
      <c r="AC25" s="14">
        <f t="shared" si="2"/>
        <v>152.14789791648934</v>
      </c>
      <c r="AD25" s="14">
        <f t="shared" si="2"/>
        <v>154.73441218106964</v>
      </c>
      <c r="AE25" s="14">
        <f t="shared" si="2"/>
        <v>157.36489718814781</v>
      </c>
      <c r="AF25" s="14">
        <f t="shared" si="2"/>
        <v>160.04010044034629</v>
      </c>
      <c r="AG25" s="14">
        <f t="shared" si="2"/>
        <v>162.76078214783217</v>
      </c>
      <c r="AH25" s="14">
        <f t="shared" si="2"/>
        <v>165.52771544434532</v>
      </c>
    </row>
    <row r="26" spans="1:34" x14ac:dyDescent="0.25">
      <c r="A26" t="s">
        <v>16</v>
      </c>
      <c r="B26">
        <v>100</v>
      </c>
      <c r="C26" s="14">
        <f>B26*(1+(C17/100))</f>
        <v>101.31539403407143</v>
      </c>
      <c r="D26" s="14">
        <f t="shared" ref="D26:AH26" si="3">C26*(1+(D17/100))</f>
        <v>92.958615750341849</v>
      </c>
      <c r="E26" s="14">
        <f t="shared" si="3"/>
        <v>99.838582535791048</v>
      </c>
      <c r="F26" s="14">
        <f t="shared" si="3"/>
        <v>101.6070362109557</v>
      </c>
      <c r="G26" s="14">
        <f t="shared" si="3"/>
        <v>103.27448067683179</v>
      </c>
      <c r="H26" s="14">
        <f t="shared" si="3"/>
        <v>104.91629154979603</v>
      </c>
      <c r="I26" s="14">
        <f t="shared" si="3"/>
        <v>105.83343399148264</v>
      </c>
      <c r="J26" s="14">
        <f t="shared" si="3"/>
        <v>106.81564603340267</v>
      </c>
      <c r="K26" s="14">
        <f t="shared" si="3"/>
        <v>107.84229055622806</v>
      </c>
      <c r="L26" s="14">
        <f t="shared" si="3"/>
        <v>108.92035918864666</v>
      </c>
      <c r="M26" s="14">
        <f t="shared" si="3"/>
        <v>110.00753640676869</v>
      </c>
      <c r="N26" s="14">
        <f t="shared" si="3"/>
        <v>111.17119376391018</v>
      </c>
      <c r="O26" s="14">
        <f t="shared" si="3"/>
        <v>112.41348307430265</v>
      </c>
      <c r="P26" s="14">
        <f t="shared" si="3"/>
        <v>113.73671836167573</v>
      </c>
      <c r="Q26" s="14">
        <f t="shared" si="3"/>
        <v>115.12881672813886</v>
      </c>
      <c r="R26" s="14">
        <f t="shared" si="3"/>
        <v>116.59568081340892</v>
      </c>
      <c r="S26" s="14">
        <f t="shared" si="3"/>
        <v>118.14101366041143</v>
      </c>
      <c r="T26" s="14">
        <f t="shared" si="3"/>
        <v>119.78642139262945</v>
      </c>
      <c r="U26" s="14">
        <f t="shared" si="3"/>
        <v>121.52667496863968</v>
      </c>
      <c r="V26" s="14">
        <f t="shared" si="3"/>
        <v>123.36429205366608</v>
      </c>
      <c r="W26" s="14">
        <f t="shared" si="3"/>
        <v>125.29925182122975</v>
      </c>
      <c r="X26" s="14">
        <f t="shared" si="3"/>
        <v>127.33885823754892</v>
      </c>
      <c r="Y26" s="14">
        <f t="shared" si="3"/>
        <v>129.4116651261217</v>
      </c>
      <c r="Z26" s="14">
        <f t="shared" si="3"/>
        <v>131.51821292031264</v>
      </c>
      <c r="AA26" s="14">
        <f t="shared" si="3"/>
        <v>133.65905085059669</v>
      </c>
      <c r="AB26" s="14">
        <f t="shared" si="3"/>
        <v>135.83473708775759</v>
      </c>
      <c r="AC26" s="14">
        <f t="shared" si="3"/>
        <v>138.04583888841717</v>
      </c>
      <c r="AD26" s="14">
        <f t="shared" si="3"/>
        <v>140.29293274293349</v>
      </c>
      <c r="AE26" s="14">
        <f t="shared" si="3"/>
        <v>142.57660452570659</v>
      </c>
      <c r="AF26" s="14">
        <f t="shared" si="3"/>
        <v>144.8974496479307</v>
      </c>
      <c r="AG26" s="14">
        <f t="shared" si="3"/>
        <v>147.2560732128332</v>
      </c>
      <c r="AH26" s="14">
        <f t="shared" si="3"/>
        <v>149.65309017344023</v>
      </c>
    </row>
    <row r="27" spans="1:34" x14ac:dyDescent="0.25">
      <c r="A27" t="s">
        <v>71</v>
      </c>
      <c r="B27">
        <v>100</v>
      </c>
      <c r="C27" s="14">
        <f t="shared" ref="C27:H27" si="4">B27*(1+(C20/100))</f>
        <v>101.8</v>
      </c>
      <c r="D27" s="14">
        <f t="shared" si="4"/>
        <v>93.656000000000006</v>
      </c>
      <c r="E27" s="14">
        <f t="shared" si="4"/>
        <v>100.21192000000001</v>
      </c>
      <c r="F27" s="14">
        <f t="shared" si="4"/>
        <v>103.61912528000001</v>
      </c>
      <c r="G27" s="14">
        <f t="shared" si="4"/>
        <v>105.69150778560001</v>
      </c>
      <c r="H27" s="14">
        <f t="shared" si="4"/>
        <v>107.17118889459842</v>
      </c>
    </row>
    <row r="28" spans="1:34" x14ac:dyDescent="0.25">
      <c r="A28" t="s">
        <v>76</v>
      </c>
      <c r="B28">
        <v>100</v>
      </c>
      <c r="C28" s="14">
        <f>B28*(1+(C17/100))</f>
        <v>101.31539403407143</v>
      </c>
      <c r="D28" s="14">
        <f>C28*(1+(D17/100))</f>
        <v>92.958615750341849</v>
      </c>
      <c r="E28" s="14">
        <f>D28*(1+(E17/100))</f>
        <v>99.838582535791048</v>
      </c>
      <c r="F28" s="14">
        <f>E28*(1+(F17/100))</f>
        <v>101.6070362109557</v>
      </c>
      <c r="G28" s="14">
        <f>F28*(1+(G17/100))</f>
        <v>103.27448067683179</v>
      </c>
      <c r="H28" s="14">
        <f t="shared" ref="H28:K29" si="5">G28*(1+(H21/100))</f>
        <v>104.72032340630743</v>
      </c>
      <c r="I28" s="14">
        <f t="shared" si="5"/>
        <v>106.18640793399574</v>
      </c>
      <c r="J28" s="14">
        <f t="shared" si="5"/>
        <v>107.67301764507168</v>
      </c>
      <c r="K28" s="14">
        <f t="shared" si="5"/>
        <v>109.18043989210268</v>
      </c>
    </row>
    <row r="29" spans="1:34" x14ac:dyDescent="0.25">
      <c r="A29" t="s">
        <v>73</v>
      </c>
      <c r="B29">
        <v>100</v>
      </c>
      <c r="C29" s="14">
        <f>B29*(1+(C22/100))</f>
        <v>101.32000000000001</v>
      </c>
      <c r="D29" s="14">
        <f>C29*(1+(D22/100))</f>
        <v>93.36105491344793</v>
      </c>
      <c r="E29" s="14">
        <f>D29*(1+(E22/100))</f>
        <v>99.862317790629149</v>
      </c>
      <c r="F29" s="14">
        <f>E29*(1+(F22/100))</f>
        <v>102.95699528333211</v>
      </c>
      <c r="G29" s="14">
        <f>F29*(1+(G22/100))</f>
        <v>104.77844436769534</v>
      </c>
      <c r="H29" s="14">
        <f t="shared" si="5"/>
        <v>106.16324957830346</v>
      </c>
      <c r="I29" s="14">
        <f t="shared" si="5"/>
        <v>107.09129250183186</v>
      </c>
      <c r="J29" s="14">
        <f t="shared" si="5"/>
        <v>108.0851783950983</v>
      </c>
      <c r="K29" s="14">
        <f t="shared" si="5"/>
        <v>109.12402486112288</v>
      </c>
      <c r="L29" s="14">
        <f t="shared" ref="L29:AH29" si="6">K29*(1+(L22/100))</f>
        <v>110.21490662595988</v>
      </c>
      <c r="M29" s="14">
        <f t="shared" si="6"/>
        <v>111.31500523446392</v>
      </c>
      <c r="N29" s="14">
        <f t="shared" si="6"/>
        <v>112.45528331937822</v>
      </c>
      <c r="O29" s="14">
        <f t="shared" si="6"/>
        <v>113.65676995217876</v>
      </c>
      <c r="P29" s="14">
        <f t="shared" si="6"/>
        <v>114.90488927626332</v>
      </c>
      <c r="Q29" s="14">
        <f t="shared" si="6"/>
        <v>116.2244702463891</v>
      </c>
      <c r="R29" s="14">
        <f t="shared" si="6"/>
        <v>117.64446183241947</v>
      </c>
      <c r="S29" s="14">
        <f t="shared" si="6"/>
        <v>119.17691389390922</v>
      </c>
      <c r="T29" s="14">
        <f t="shared" si="6"/>
        <v>120.8491815689742</v>
      </c>
      <c r="U29" s="14">
        <f t="shared" si="6"/>
        <v>122.68681783535681</v>
      </c>
      <c r="V29" s="14">
        <f t="shared" si="6"/>
        <v>124.58774873479905</v>
      </c>
      <c r="W29" s="14">
        <f t="shared" si="6"/>
        <v>126.5572926214044</v>
      </c>
      <c r="X29" s="14">
        <f t="shared" si="6"/>
        <v>128.57346797791951</v>
      </c>
      <c r="Y29" s="14">
        <f t="shared" si="6"/>
        <v>130.65272537175056</v>
      </c>
      <c r="Z29" s="14">
        <f t="shared" si="6"/>
        <v>132.79028630842672</v>
      </c>
      <c r="AA29" s="14">
        <f t="shared" si="6"/>
        <v>134.92632002686142</v>
      </c>
      <c r="AB29" s="14">
        <f t="shared" si="6"/>
        <v>137.04500816018901</v>
      </c>
      <c r="AC29" s="14">
        <f t="shared" si="6"/>
        <v>139.14904344342094</v>
      </c>
      <c r="AD29" s="14">
        <f t="shared" si="6"/>
        <v>141.25018385173161</v>
      </c>
      <c r="AE29" s="14">
        <f t="shared" si="6"/>
        <v>143.35550891152715</v>
      </c>
      <c r="AF29" s="14">
        <f t="shared" si="6"/>
        <v>145.48226310833383</v>
      </c>
      <c r="AG29" s="14">
        <f t="shared" si="6"/>
        <v>147.62327754290612</v>
      </c>
      <c r="AH29" s="14">
        <f t="shared" si="6"/>
        <v>149.78202844732394</v>
      </c>
    </row>
    <row r="30" spans="1:34" x14ac:dyDescent="0.25">
      <c r="A30" s="49" t="s">
        <v>69</v>
      </c>
      <c r="C30" s="38">
        <f>('1. Population'!C21-'1. Population'!B21)/'1. Population'!B21*100</f>
        <v>0.23137436372050146</v>
      </c>
      <c r="D30" s="38">
        <f>('1. Population'!D21-'1. Population'!C21)/'1. Population'!C21*100</f>
        <v>0.25945849343222421</v>
      </c>
      <c r="E30" s="38">
        <f>('1. Population'!E21-'1. Population'!D21)/'1. Population'!D21*100</f>
        <v>0.17733603231457118</v>
      </c>
      <c r="F30" s="38">
        <f>('1. Population'!F21-'1. Population'!E21)/'1. Population'!E21*100</f>
        <v>0.2213866218273409</v>
      </c>
      <c r="G30" s="38">
        <f>('1. Population'!G21-'1. Population'!F21)/'1. Population'!F21*100</f>
        <v>0.22089758412812038</v>
      </c>
      <c r="H30" s="38">
        <f>('1. Population'!H21-'1. Population'!G21)/'1. Population'!G21*100</f>
        <v>0.22041070221179576</v>
      </c>
      <c r="I30" s="38">
        <f>('1. Population'!I21-'1. Population'!H21)/'1. Population'!H21*100</f>
        <v>0.21992596185490429</v>
      </c>
      <c r="J30" s="38">
        <f>('1. Population'!J21-'1. Population'!I21)/'1. Population'!I21*100</f>
        <v>0.22384941986110077</v>
      </c>
      <c r="K30" s="38">
        <f>('1. Population'!K21-'1. Population'!J21)/'1. Population'!J21*100</f>
        <v>0.21530857978080403</v>
      </c>
      <c r="L30" s="38">
        <f>('1. Population'!L21-'1. Population'!K21)/'1. Population'!K21*100</f>
        <v>0.20783943438241853</v>
      </c>
      <c r="M30" s="38">
        <f>('1. Population'!M21-'1. Population'!L21)/'1. Population'!L21*100</f>
        <v>0.20113042512923912</v>
      </c>
      <c r="N30" s="38">
        <f>('1. Population'!N21-'1. Population'!M21)/'1. Population'!M21*100</f>
        <v>0.19487672818359228</v>
      </c>
      <c r="O30" s="38">
        <f>('1. Population'!O21-'1. Population'!N21)/'1. Population'!N21*100</f>
        <v>0.18879292037458359</v>
      </c>
      <c r="P30" s="38">
        <f>('1. Population'!P21-'1. Population'!O21)/'1. Population'!O21*100</f>
        <v>0.18261973274542462</v>
      </c>
      <c r="Q30" s="38">
        <f>('1. Population'!Q21-'1. Population'!P21)/'1. Population'!P21*100</f>
        <v>0.17600613497741921</v>
      </c>
      <c r="R30" s="38">
        <f>('1. Population'!R21-'1. Population'!Q21)/'1. Population'!Q21*100</f>
        <v>0.16875599282322939</v>
      </c>
      <c r="S30" s="38">
        <f>('1. Population'!S21-'1. Population'!R21)/'1. Population'!R21*100</f>
        <v>0.16063985822469751</v>
      </c>
      <c r="T30" s="38">
        <f>('1. Population'!T21-'1. Population'!S21)/'1. Population'!S21*100</f>
        <v>0.15156806163526851</v>
      </c>
      <c r="U30" s="38">
        <f>('1. Population'!U21-'1. Population'!T21)/'1. Population'!T21*100</f>
        <v>0.14130548705835225</v>
      </c>
      <c r="V30" s="38">
        <f>('1. Population'!V21-'1. Population'!U21)/'1. Population'!U21*100</f>
        <v>0.12996856274059365</v>
      </c>
      <c r="W30" s="38">
        <f>('1. Population'!W21-'1. Population'!V21)/'1. Population'!V21*100</f>
        <v>0.11746641428705175</v>
      </c>
      <c r="X30" s="38">
        <f>('1. Population'!X21-'1. Population'!W21)/'1. Population'!W21*100</f>
        <v>0.10412046750854416</v>
      </c>
      <c r="Y30" s="38">
        <f>('1. Population'!Y21-'1. Population'!X21)/'1. Population'!X21*100</f>
        <v>9.009574440331769E-2</v>
      </c>
      <c r="Z30" s="38">
        <f>('1. Population'!Z21-'1. Population'!Y21)/'1. Population'!Y21*100</f>
        <v>7.5558254972309988E-2</v>
      </c>
      <c r="AA30" s="38">
        <f>('1. Population'!AA21-'1. Population'!Z21)/'1. Population'!Z21*100</f>
        <v>6.0741078342141971E-2</v>
      </c>
      <c r="AB30" s="38">
        <f>('1. Population'!AB21-'1. Population'!AA21)/'1. Population'!AA21*100</f>
        <v>4.632753347471423E-2</v>
      </c>
      <c r="AC30" s="38">
        <f>('1. Population'!AC21-'1. Population'!AB21)/'1. Population'!AB21*100</f>
        <v>3.2593274692889529E-2</v>
      </c>
      <c r="AD30" s="38">
        <f>('1. Population'!AD21-'1. Population'!AC21)/'1. Population'!AC21*100</f>
        <v>1.9748405288053692E-2</v>
      </c>
      <c r="AE30" s="38">
        <f>('1. Population'!AE21-'1. Population'!AD21)/'1. Population'!AD21*100</f>
        <v>7.7738548497025229E-3</v>
      </c>
      <c r="AF30" s="38">
        <f>('1. Population'!AF21-'1. Population'!AE21)/'1. Population'!AE21*100</f>
        <v>-2.6786587190402275E-3</v>
      </c>
      <c r="AG30" s="38">
        <f>('1. Population'!AG21-'1. Population'!AF21)/'1. Population'!AF21*100</f>
        <v>-1.1815828712603119E-2</v>
      </c>
      <c r="AH30" s="38">
        <f>('1. Population'!AH21-'1. Population'!AG21)/'1. Population'!AG21*100</f>
        <v>-1.9988604053705707E-2</v>
      </c>
    </row>
    <row r="31" spans="1:34" x14ac:dyDescent="0.25">
      <c r="A31" s="49" t="s">
        <v>70</v>
      </c>
      <c r="C31" s="38">
        <f t="shared" ref="C31:AH31" si="7">C22-C30</f>
        <v>1.0886256362794986</v>
      </c>
      <c r="D31" s="38">
        <f t="shared" si="7"/>
        <v>-8.1147142045969236</v>
      </c>
      <c r="E31" s="38">
        <f t="shared" si="7"/>
        <v>6.7862344663353591</v>
      </c>
      <c r="F31" s="38">
        <f t="shared" si="7"/>
        <v>2.8775575657001791</v>
      </c>
      <c r="G31" s="38">
        <f t="shared" si="7"/>
        <v>1.5482382374357395</v>
      </c>
      <c r="H31" s="38">
        <f t="shared" si="7"/>
        <v>1.1012401573375843</v>
      </c>
      <c r="I31" s="38">
        <f t="shared" si="7"/>
        <v>0.65423993568000272</v>
      </c>
      <c r="J31" s="38">
        <f t="shared" si="7"/>
        <v>0.70422406776576729</v>
      </c>
      <c r="K31" s="38">
        <f t="shared" si="7"/>
        <v>0.74582825826663401</v>
      </c>
      <c r="L31" s="38">
        <f t="shared" si="7"/>
        <v>0.7918320552142355</v>
      </c>
      <c r="M31" s="38">
        <f t="shared" si="7"/>
        <v>0.79700915705766895</v>
      </c>
      <c r="N31" s="38">
        <f t="shared" si="7"/>
        <v>0.82949378009831765</v>
      </c>
      <c r="O31" s="38">
        <f t="shared" si="7"/>
        <v>0.87961987210246628</v>
      </c>
      <c r="P31" s="38">
        <f t="shared" si="7"/>
        <v>0.91552807192095531</v>
      </c>
      <c r="Q31" s="38">
        <f t="shared" si="7"/>
        <v>0.97240537164972085</v>
      </c>
      <c r="R31" s="38">
        <f t="shared" si="7"/>
        <v>1.0530104587855207</v>
      </c>
      <c r="S31" s="38">
        <f t="shared" si="7"/>
        <v>1.1419731484739826</v>
      </c>
      <c r="T31" s="38">
        <f t="shared" si="7"/>
        <v>1.2516128233418513</v>
      </c>
      <c r="U31" s="38">
        <f t="shared" si="7"/>
        <v>1.3792975013315776</v>
      </c>
      <c r="V31" s="38">
        <f t="shared" si="7"/>
        <v>1.4194488343209564</v>
      </c>
      <c r="W31" s="38">
        <f t="shared" si="7"/>
        <v>1.4633823502233081</v>
      </c>
      <c r="X31" s="38">
        <f t="shared" si="7"/>
        <v>1.4889725220408458</v>
      </c>
      <c r="Y31" s="38">
        <f t="shared" si="7"/>
        <v>1.5270787990943624</v>
      </c>
      <c r="Z31" s="38">
        <f t="shared" si="7"/>
        <v>1.5605047744012301</v>
      </c>
      <c r="AA31" s="38">
        <f t="shared" si="7"/>
        <v>1.5478357067650279</v>
      </c>
      <c r="AB31" s="38">
        <f t="shared" si="7"/>
        <v>1.5239280941195259</v>
      </c>
      <c r="AC31" s="38">
        <f t="shared" si="7"/>
        <v>1.5026945197903205</v>
      </c>
      <c r="AD31" s="38">
        <f t="shared" si="7"/>
        <v>1.4902443020387663</v>
      </c>
      <c r="AE31" s="38">
        <f t="shared" si="7"/>
        <v>1.4827198226703775</v>
      </c>
      <c r="AF31" s="38">
        <f t="shared" si="7"/>
        <v>1.4862311311386402</v>
      </c>
      <c r="AG31" s="38">
        <f t="shared" si="7"/>
        <v>1.4834828132837532</v>
      </c>
      <c r="AH31" s="38">
        <f t="shared" si="7"/>
        <v>1.4823263466840255</v>
      </c>
    </row>
    <row r="33" spans="1:36" x14ac:dyDescent="0.25">
      <c r="A33" s="51" t="s">
        <v>77</v>
      </c>
      <c r="B33" s="51"/>
      <c r="C33" s="52">
        <f>C20</f>
        <v>1.8</v>
      </c>
      <c r="D33" s="52">
        <f>D20</f>
        <v>-8</v>
      </c>
      <c r="E33" s="52">
        <f>E34+E35</f>
        <v>6.9645776580840213</v>
      </c>
      <c r="F33" s="52">
        <f t="shared" ref="F33:AH33" si="8">F34+F35</f>
        <v>3.0362971437792807</v>
      </c>
      <c r="G33" s="52">
        <f t="shared" si="8"/>
        <v>1.7630116884747928</v>
      </c>
      <c r="H33" s="52">
        <f t="shared" si="8"/>
        <v>1.3288555169402867</v>
      </c>
      <c r="I33" s="52">
        <f t="shared" si="8"/>
        <v>0.86511706657129139</v>
      </c>
      <c r="J33" s="52">
        <f t="shared" si="8"/>
        <v>0.9028849462883265</v>
      </c>
      <c r="K33" s="52">
        <f t="shared" si="8"/>
        <v>0.93087745785539977</v>
      </c>
      <c r="L33" s="52">
        <f t="shared" si="8"/>
        <v>0.96920979650661465</v>
      </c>
      <c r="M33" s="52">
        <f t="shared" si="8"/>
        <v>0.96236613790259851</v>
      </c>
      <c r="N33" s="52">
        <f t="shared" si="8"/>
        <v>0.98142949960160353</v>
      </c>
      <c r="O33" s="52">
        <f t="shared" si="8"/>
        <v>1.0254902808313433</v>
      </c>
      <c r="P33" s="52">
        <f t="shared" si="8"/>
        <v>1.0509899532388736</v>
      </c>
      <c r="Q33" s="52">
        <f t="shared" si="8"/>
        <v>1.0960471305628279</v>
      </c>
      <c r="R33" s="52">
        <f t="shared" si="8"/>
        <v>1.164877032472196</v>
      </c>
      <c r="S33" s="52">
        <f t="shared" si="8"/>
        <v>1.2508123421932189</v>
      </c>
      <c r="T33" s="52">
        <f t="shared" si="8"/>
        <v>1.3472871826135702</v>
      </c>
      <c r="U33" s="52">
        <f t="shared" si="8"/>
        <v>1.4575017011867579</v>
      </c>
      <c r="V33" s="52">
        <f t="shared" si="8"/>
        <v>1.4889093575902344</v>
      </c>
      <c r="W33" s="52">
        <f t="shared" si="8"/>
        <v>1.5226720309266815</v>
      </c>
      <c r="X33" s="52">
        <f t="shared" si="8"/>
        <v>1.5352199748178559</v>
      </c>
      <c r="Y33" s="52">
        <f t="shared" si="8"/>
        <v>1.5660820493652197</v>
      </c>
      <c r="Z33" s="52">
        <f t="shared" si="8"/>
        <v>1.5864968035123037</v>
      </c>
      <c r="AA33" s="52">
        <f t="shared" si="8"/>
        <v>1.560828344270442</v>
      </c>
      <c r="AB33" s="52">
        <f t="shared" si="8"/>
        <v>1.5325887272118053</v>
      </c>
      <c r="AC33" s="52">
        <f t="shared" si="8"/>
        <v>1.5012512059417378</v>
      </c>
      <c r="AD33" s="52">
        <f t="shared" si="8"/>
        <v>1.4801409592756392</v>
      </c>
      <c r="AE33" s="52">
        <f t="shared" si="8"/>
        <v>1.4682850174680664</v>
      </c>
      <c r="AF33" s="52">
        <f t="shared" si="8"/>
        <v>1.4645757974299469</v>
      </c>
      <c r="AG33" s="52">
        <f t="shared" si="8"/>
        <v>1.4546027809381228</v>
      </c>
      <c r="AH33" s="52">
        <f t="shared" si="8"/>
        <v>1.4462158775368021</v>
      </c>
      <c r="AJ33" s="16"/>
    </row>
    <row r="34" spans="1:36" x14ac:dyDescent="0.25">
      <c r="A34" s="49" t="s">
        <v>78</v>
      </c>
      <c r="C34" s="38"/>
      <c r="D34" s="38"/>
      <c r="E34" s="38">
        <f>('1. Population'!E20-'1. Population'!D20)/'1. Population'!D20*100</f>
        <v>0.17834319174866176</v>
      </c>
      <c r="F34" s="38">
        <f>('1. Population'!F20-'1. Population'!E20)/'1. Population'!E20*100</f>
        <v>0.15873957807910172</v>
      </c>
      <c r="G34" s="38">
        <f>('1. Population'!G20-'1. Population'!F20)/'1. Population'!F20*100</f>
        <v>0.21477345103905324</v>
      </c>
      <c r="H34" s="38">
        <f>('1. Population'!H20-'1. Population'!G20)/'1. Population'!G20*100</f>
        <v>0.22761535960270238</v>
      </c>
      <c r="I34" s="38">
        <f>('1. Population'!I20-'1. Population'!H20)/'1. Population'!H20*100</f>
        <v>0.21087713089128868</v>
      </c>
      <c r="J34" s="38">
        <f>('1. Population'!J20-'1. Population'!I20)/'1. Population'!I20*100</f>
        <v>0.19866087852255923</v>
      </c>
      <c r="K34" s="38">
        <f>('1. Population'!K20-'1. Population'!J20)/'1. Population'!J20*100</f>
        <v>0.1850491995887657</v>
      </c>
      <c r="L34" s="38">
        <f>('1. Population'!L20-'1. Population'!K20)/'1. Population'!K20*100</f>
        <v>0.1773777412923791</v>
      </c>
      <c r="M34" s="38">
        <f>('1. Population'!M20-'1. Population'!L20)/'1. Population'!L20*100</f>
        <v>0.16535698084492959</v>
      </c>
      <c r="N34" s="38">
        <f>('1. Population'!N20-'1. Population'!M20)/'1. Population'!M20*100</f>
        <v>0.15193571950328591</v>
      </c>
      <c r="O34" s="38">
        <f>('1. Population'!O20-'1. Population'!N20)/'1. Population'!N20*100</f>
        <v>0.14587040872887697</v>
      </c>
      <c r="P34" s="38">
        <f>('1. Population'!P20-'1. Population'!O20)/'1. Population'!O20*100</f>
        <v>0.13546188131791814</v>
      </c>
      <c r="Q34" s="38">
        <f>('1. Population'!Q20-'1. Population'!P20)/'1. Population'!P20*100</f>
        <v>0.12364175891310711</v>
      </c>
      <c r="R34" s="38">
        <f>('1. Population'!R20-'1. Population'!Q20)/'1. Population'!Q20*100</f>
        <v>0.11186657368667538</v>
      </c>
      <c r="S34" s="38">
        <f>('1. Population'!S20-'1. Population'!R20)/'1. Population'!R20*100</f>
        <v>0.10883919371923642</v>
      </c>
      <c r="T34" s="38">
        <f>('1. Population'!T20-'1. Population'!S20)/'1. Population'!S20*100</f>
        <v>9.5674359271718815E-2</v>
      </c>
      <c r="U34" s="38">
        <f>('1. Population'!U20-'1. Population'!T20)/'1. Population'!T20*100</f>
        <v>7.8204199855180373E-2</v>
      </c>
      <c r="V34" s="38">
        <f>('1. Population'!V20-'1. Population'!U20)/'1. Population'!U20*100</f>
        <v>6.946052326927793E-2</v>
      </c>
      <c r="W34" s="38">
        <f>('1. Population'!W20-'1. Population'!V20)/'1. Population'!V20*100</f>
        <v>5.9289680703373461E-2</v>
      </c>
      <c r="X34" s="38">
        <f>('1. Population'!X20-'1. Population'!W20)/'1. Population'!W20*100</f>
        <v>4.6247452777009923E-2</v>
      </c>
      <c r="Y34" s="38">
        <f>('1. Population'!Y20-'1. Population'!X20)/'1. Population'!X20*100</f>
        <v>3.9003250270857381E-2</v>
      </c>
      <c r="Z34" s="38">
        <f>('1. Population'!Z20-'1. Population'!Y20)/'1. Population'!Y20*100</f>
        <v>2.5992029111073591E-2</v>
      </c>
      <c r="AA34" s="38">
        <f>('1. Population'!AA20-'1. Population'!Z20)/'1. Population'!Z20*100</f>
        <v>1.2992637505414092E-2</v>
      </c>
      <c r="AB34" s="38">
        <f>('1. Population'!AB20-'1. Population'!AA20)/'1. Population'!AA20*100</f>
        <v>8.6606330922793743E-3</v>
      </c>
      <c r="AC34" s="38">
        <f>('1. Population'!AC20-'1. Population'!AB20)/'1. Population'!AB20*100</f>
        <v>-1.4433138485827582E-3</v>
      </c>
      <c r="AD34" s="38">
        <f>('1. Population'!AD20-'1. Population'!AC20)/'1. Population'!AC20*100</f>
        <v>-1.0103342763127132E-2</v>
      </c>
      <c r="AE34" s="38">
        <f>('1. Population'!AE20-'1. Population'!AD20)/'1. Population'!AD20*100</f>
        <v>-1.4434805202311178E-2</v>
      </c>
      <c r="AF34" s="38">
        <f>('1. Population'!AF20-'1. Population'!AE20)/'1. Population'!AE20*100</f>
        <v>-2.1655333708693273E-2</v>
      </c>
      <c r="AG34" s="38">
        <f>('1. Population'!AG20-'1. Population'!AF20)/'1. Population'!AF20*100</f>
        <v>-2.8880032345630486E-2</v>
      </c>
      <c r="AH34" s="38">
        <f>('1. Population'!AH20-'1. Population'!AG20)/'1. Population'!AG20*100</f>
        <v>-3.6110469147223372E-2</v>
      </c>
    </row>
    <row r="35" spans="1:36" x14ac:dyDescent="0.25">
      <c r="A35" s="49" t="s">
        <v>79</v>
      </c>
      <c r="C35" s="38"/>
      <c r="D35" s="38"/>
      <c r="E35" s="38">
        <f t="shared" ref="E35:AH35" si="9">E31</f>
        <v>6.7862344663353591</v>
      </c>
      <c r="F35" s="38">
        <f t="shared" si="9"/>
        <v>2.8775575657001791</v>
      </c>
      <c r="G35" s="38">
        <f t="shared" si="9"/>
        <v>1.5482382374357395</v>
      </c>
      <c r="H35" s="38">
        <f t="shared" si="9"/>
        <v>1.1012401573375843</v>
      </c>
      <c r="I35" s="38">
        <f t="shared" si="9"/>
        <v>0.65423993568000272</v>
      </c>
      <c r="J35" s="38">
        <f t="shared" si="9"/>
        <v>0.70422406776576729</v>
      </c>
      <c r="K35" s="38">
        <f t="shared" si="9"/>
        <v>0.74582825826663401</v>
      </c>
      <c r="L35" s="38">
        <f t="shared" si="9"/>
        <v>0.7918320552142355</v>
      </c>
      <c r="M35" s="38">
        <f t="shared" si="9"/>
        <v>0.79700915705766895</v>
      </c>
      <c r="N35" s="38">
        <f t="shared" si="9"/>
        <v>0.82949378009831765</v>
      </c>
      <c r="O35" s="38">
        <f t="shared" si="9"/>
        <v>0.87961987210246628</v>
      </c>
      <c r="P35" s="38">
        <f t="shared" si="9"/>
        <v>0.91552807192095531</v>
      </c>
      <c r="Q35" s="38">
        <f t="shared" si="9"/>
        <v>0.97240537164972085</v>
      </c>
      <c r="R35" s="38">
        <f t="shared" si="9"/>
        <v>1.0530104587855207</v>
      </c>
      <c r="S35" s="38">
        <f t="shared" si="9"/>
        <v>1.1419731484739826</v>
      </c>
      <c r="T35" s="38">
        <f t="shared" si="9"/>
        <v>1.2516128233418513</v>
      </c>
      <c r="U35" s="38">
        <f t="shared" si="9"/>
        <v>1.3792975013315776</v>
      </c>
      <c r="V35" s="38">
        <f t="shared" si="9"/>
        <v>1.4194488343209564</v>
      </c>
      <c r="W35" s="38">
        <f t="shared" si="9"/>
        <v>1.4633823502233081</v>
      </c>
      <c r="X35" s="38">
        <f t="shared" si="9"/>
        <v>1.4889725220408458</v>
      </c>
      <c r="Y35" s="38">
        <f t="shared" si="9"/>
        <v>1.5270787990943624</v>
      </c>
      <c r="Z35" s="38">
        <f t="shared" si="9"/>
        <v>1.5605047744012301</v>
      </c>
      <c r="AA35" s="38">
        <f t="shared" si="9"/>
        <v>1.5478357067650279</v>
      </c>
      <c r="AB35" s="38">
        <f t="shared" si="9"/>
        <v>1.5239280941195259</v>
      </c>
      <c r="AC35" s="38">
        <f t="shared" si="9"/>
        <v>1.5026945197903205</v>
      </c>
      <c r="AD35" s="38">
        <f t="shared" si="9"/>
        <v>1.4902443020387663</v>
      </c>
      <c r="AE35" s="38">
        <f t="shared" si="9"/>
        <v>1.4827198226703775</v>
      </c>
      <c r="AF35" s="38">
        <f t="shared" si="9"/>
        <v>1.4862311311386402</v>
      </c>
      <c r="AG35" s="38">
        <f t="shared" si="9"/>
        <v>1.4834828132837532</v>
      </c>
      <c r="AH35" s="38">
        <f t="shared" si="9"/>
        <v>1.4823263466840255</v>
      </c>
    </row>
    <row r="36" spans="1:36" x14ac:dyDescent="0.25">
      <c r="A36" t="s">
        <v>74</v>
      </c>
      <c r="B36">
        <v>100</v>
      </c>
      <c r="C36" s="14">
        <f>B36*(1+C33/100)</f>
        <v>101.8</v>
      </c>
      <c r="D36" s="14">
        <f>C36*(1+D33/100)</f>
        <v>93.656000000000006</v>
      </c>
      <c r="E36" s="14">
        <f t="shared" ref="E36:AH36" si="10">D36*(1+E35/100)</f>
        <v>100.01171575179104</v>
      </c>
      <c r="F36" s="14">
        <f t="shared" si="10"/>
        <v>102.88961044499327</v>
      </c>
      <c r="G36" s="14">
        <f t="shared" si="10"/>
        <v>104.48258673625133</v>
      </c>
      <c r="H36" s="14">
        <f t="shared" si="10"/>
        <v>105.63319093881601</v>
      </c>
      <c r="I36" s="14">
        <f t="shared" si="10"/>
        <v>106.32428545927087</v>
      </c>
      <c r="J36" s="14">
        <f t="shared" si="10"/>
        <v>107.07304666735502</v>
      </c>
      <c r="K36" s="14">
        <f t="shared" si="10"/>
        <v>107.87162770638717</v>
      </c>
      <c r="L36" s="14">
        <f t="shared" si="10"/>
        <v>108.7257898330477</v>
      </c>
      <c r="M36" s="14">
        <f t="shared" si="10"/>
        <v>109.59234433410036</v>
      </c>
      <c r="N36" s="14">
        <f t="shared" si="10"/>
        <v>110.50140601381565</v>
      </c>
      <c r="O36" s="14">
        <f t="shared" si="10"/>
        <v>111.47339834006581</v>
      </c>
      <c r="P36" s="14">
        <f t="shared" si="10"/>
        <v>112.49396859459337</v>
      </c>
      <c r="Q36" s="14">
        <f t="shared" si="10"/>
        <v>113.58786598798916</v>
      </c>
      <c r="R36" s="14">
        <f t="shared" si="10"/>
        <v>114.78395809675396</v>
      </c>
      <c r="S36" s="14">
        <f t="shared" si="10"/>
        <v>116.09476007697451</v>
      </c>
      <c r="T36" s="14">
        <f t="shared" si="10"/>
        <v>117.54781698132588</v>
      </c>
      <c r="U36" s="14">
        <f t="shared" si="10"/>
        <v>119.16915108381912</v>
      </c>
      <c r="V36" s="14">
        <f t="shared" si="10"/>
        <v>120.86069620974855</v>
      </c>
      <c r="W36" s="14">
        <f t="shared" si="10"/>
        <v>122.62935030643904</v>
      </c>
      <c r="X36" s="14">
        <f t="shared" si="10"/>
        <v>124.45526763645914</v>
      </c>
      <c r="Y36" s="14">
        <f t="shared" si="10"/>
        <v>126.35579764289167</v>
      </c>
      <c r="Z36" s="14">
        <f t="shared" si="10"/>
        <v>128.32758589784177</v>
      </c>
      <c r="AA36" s="14">
        <f t="shared" si="10"/>
        <v>130.31388609399812</v>
      </c>
      <c r="AB36" s="14">
        <f t="shared" si="10"/>
        <v>132.29977601472348</v>
      </c>
      <c r="AC36" s="14">
        <f t="shared" si="10"/>
        <v>134.28783749859161</v>
      </c>
      <c r="AD36" s="14">
        <f t="shared" si="10"/>
        <v>136.28905434524546</v>
      </c>
      <c r="AE36" s="14">
        <f t="shared" si="10"/>
        <v>138.30983917015243</v>
      </c>
      <c r="AF36" s="14">
        <f t="shared" si="10"/>
        <v>140.36544305732701</v>
      </c>
      <c r="AG36" s="14">
        <f t="shared" si="10"/>
        <v>142.44774028087204</v>
      </c>
      <c r="AH36" s="14">
        <f t="shared" si="10"/>
        <v>144.55928066531143</v>
      </c>
    </row>
    <row r="37" spans="1:36" x14ac:dyDescent="0.25">
      <c r="D37" s="14"/>
      <c r="E37" s="14"/>
      <c r="F37" s="14"/>
      <c r="G37" s="14"/>
    </row>
    <row r="38" spans="1:36" x14ac:dyDescent="0.25">
      <c r="A38" s="12" t="s">
        <v>80</v>
      </c>
    </row>
    <row r="39" spans="1:36" x14ac:dyDescent="0.25">
      <c r="A39" t="s">
        <v>81</v>
      </c>
      <c r="B39" s="53">
        <v>2863726.0764961899</v>
      </c>
      <c r="C39" s="53">
        <v>2906391.9485202902</v>
      </c>
      <c r="D39" s="53">
        <v>2669280.2573897</v>
      </c>
      <c r="E39" s="53">
        <v>2823768.0962066599</v>
      </c>
      <c r="F39" s="53">
        <v>2935513.4370345101</v>
      </c>
      <c r="G39">
        <v>2992562</v>
      </c>
      <c r="H39">
        <v>3034071</v>
      </c>
      <c r="I39">
        <v>3071890</v>
      </c>
      <c r="J39">
        <v>3109641</v>
      </c>
      <c r="K39">
        <v>3148105</v>
      </c>
      <c r="L39">
        <v>3187267</v>
      </c>
      <c r="M39">
        <v>3226815</v>
      </c>
      <c r="N39">
        <v>3266564</v>
      </c>
      <c r="O39">
        <v>3306480</v>
      </c>
      <c r="P39">
        <v>3346445</v>
      </c>
      <c r="Q39">
        <v>3386504</v>
      </c>
      <c r="R39">
        <v>3426783</v>
      </c>
      <c r="S39">
        <v>3467468</v>
      </c>
      <c r="T39">
        <v>3508727</v>
      </c>
      <c r="U39">
        <v>3550510</v>
      </c>
      <c r="V39">
        <v>3592766</v>
      </c>
      <c r="W39">
        <v>3635469</v>
      </c>
      <c r="X39">
        <v>3678671</v>
      </c>
      <c r="Y39">
        <v>3722469</v>
      </c>
      <c r="Z39">
        <v>3766844</v>
      </c>
      <c r="AA39">
        <v>3811787</v>
      </c>
      <c r="AB39">
        <v>3857318</v>
      </c>
      <c r="AC39">
        <v>3903525</v>
      </c>
      <c r="AD39">
        <v>3950559</v>
      </c>
      <c r="AE39">
        <v>3998416</v>
      </c>
      <c r="AF39">
        <v>4047162</v>
      </c>
      <c r="AG39">
        <v>4096935</v>
      </c>
      <c r="AH39">
        <v>4147962</v>
      </c>
    </row>
    <row r="40" spans="1:36" x14ac:dyDescent="0.25">
      <c r="A40" t="s">
        <v>74</v>
      </c>
      <c r="B40" s="14">
        <v>100</v>
      </c>
      <c r="C40" s="14">
        <f t="shared" ref="C40:AH40" si="11">C39/$B39*100</f>
        <v>101.48987266534593</v>
      </c>
      <c r="D40" s="14">
        <f t="shared" si="11"/>
        <v>93.21004125700469</v>
      </c>
      <c r="E40" s="14">
        <f t="shared" si="11"/>
        <v>98.604685670969644</v>
      </c>
      <c r="F40" s="14">
        <f t="shared" si="11"/>
        <v>102.50678167606564</v>
      </c>
      <c r="G40" s="14">
        <f t="shared" si="11"/>
        <v>104.49889130672172</v>
      </c>
      <c r="H40" s="14">
        <f t="shared" si="11"/>
        <v>105.94836653204729</v>
      </c>
      <c r="I40" s="14">
        <f t="shared" si="11"/>
        <v>107.26898865126448</v>
      </c>
      <c r="J40" s="14">
        <f t="shared" si="11"/>
        <v>108.58723624169706</v>
      </c>
      <c r="K40" s="14">
        <f t="shared" si="11"/>
        <v>109.93038146482752</v>
      </c>
      <c r="L40" s="14">
        <f t="shared" si="11"/>
        <v>111.29790052754163</v>
      </c>
      <c r="M40" s="14">
        <f t="shared" si="11"/>
        <v>112.67889853306272</v>
      </c>
      <c r="N40" s="14">
        <f t="shared" si="11"/>
        <v>114.06691536631493</v>
      </c>
      <c r="O40" s="14">
        <f t="shared" si="11"/>
        <v>115.4607637629059</v>
      </c>
      <c r="P40" s="14">
        <f t="shared" si="11"/>
        <v>116.85632321700348</v>
      </c>
      <c r="Q40" s="14">
        <f t="shared" si="11"/>
        <v>118.25516510795042</v>
      </c>
      <c r="R40" s="14">
        <f t="shared" si="11"/>
        <v>119.66168929790652</v>
      </c>
      <c r="S40" s="14">
        <f t="shared" si="11"/>
        <v>121.08239082148866</v>
      </c>
      <c r="T40" s="14">
        <f t="shared" si="11"/>
        <v>122.52313616157653</v>
      </c>
      <c r="U40" s="14">
        <f t="shared" si="11"/>
        <v>123.98217934112262</v>
      </c>
      <c r="V40" s="14">
        <f t="shared" si="11"/>
        <v>125.4577394635384</v>
      </c>
      <c r="W40" s="14">
        <f t="shared" si="11"/>
        <v>126.94890862075916</v>
      </c>
      <c r="X40" s="14">
        <f t="shared" si="11"/>
        <v>128.45750262891437</v>
      </c>
      <c r="Y40" s="14">
        <f t="shared" si="11"/>
        <v>129.98690868347626</v>
      </c>
      <c r="Z40" s="14">
        <f t="shared" si="11"/>
        <v>131.53646331316673</v>
      </c>
      <c r="AA40" s="14">
        <f t="shared" si="11"/>
        <v>133.10585224211724</v>
      </c>
      <c r="AB40" s="14">
        <f t="shared" si="11"/>
        <v>134.69577386114682</v>
      </c>
      <c r="AC40" s="14">
        <f t="shared" si="11"/>
        <v>136.30930108985908</v>
      </c>
      <c r="AD40" s="14">
        <f t="shared" si="11"/>
        <v>137.95170677893768</v>
      </c>
      <c r="AE40" s="14">
        <f t="shared" si="11"/>
        <v>139.62285125021873</v>
      </c>
      <c r="AF40" s="14">
        <f t="shared" si="11"/>
        <v>141.32503919340502</v>
      </c>
      <c r="AG40" s="14">
        <f t="shared" si="11"/>
        <v>143.06308950514776</v>
      </c>
      <c r="AH40" s="14">
        <f t="shared" si="11"/>
        <v>144.84492892124274</v>
      </c>
    </row>
    <row r="42" spans="1:36" x14ac:dyDescent="0.25">
      <c r="A42" s="16" t="s">
        <v>82</v>
      </c>
    </row>
    <row r="43" spans="1:36" x14ac:dyDescent="0.25">
      <c r="A43" s="54" t="s">
        <v>83</v>
      </c>
      <c r="B43" s="55"/>
      <c r="C43" s="55">
        <v>1.8</v>
      </c>
      <c r="D43" s="55">
        <v>-8</v>
      </c>
      <c r="E43" s="55">
        <v>7.27639650938558</v>
      </c>
      <c r="F43" s="55">
        <v>1.6428276852789701</v>
      </c>
      <c r="G43" s="55">
        <v>1.6555109476340699</v>
      </c>
      <c r="H43" s="55">
        <v>1.4571232395160101</v>
      </c>
      <c r="I43" s="55">
        <v>0.88911028620158195</v>
      </c>
      <c r="J43" s="55">
        <v>0.79675542120144205</v>
      </c>
      <c r="K43" s="55">
        <v>0.82816007059447405</v>
      </c>
      <c r="L43" s="55">
        <v>0.86571775015107999</v>
      </c>
      <c r="M43" s="55">
        <v>0.85688938955858496</v>
      </c>
      <c r="N43" s="55">
        <v>1.0596022998227901</v>
      </c>
      <c r="O43" s="55">
        <v>0.97071551283075497</v>
      </c>
      <c r="P43" s="55">
        <v>0.88468975154733898</v>
      </c>
      <c r="Q43" s="55">
        <v>1.0811142094819399</v>
      </c>
      <c r="R43" s="55">
        <v>1.14184133167533</v>
      </c>
      <c r="S43" s="55">
        <v>1.200001473827</v>
      </c>
      <c r="T43" s="55">
        <v>1.1305050348451</v>
      </c>
      <c r="U43" s="55">
        <v>1.3456659485303799</v>
      </c>
      <c r="V43" s="55">
        <v>1.4187086956310899</v>
      </c>
      <c r="W43" s="55">
        <v>1.3494443827854099</v>
      </c>
      <c r="X43" s="55">
        <v>1.4332382002272399</v>
      </c>
      <c r="Y43" s="55">
        <v>1.6021594795604699</v>
      </c>
      <c r="Z43" s="55">
        <v>1.4593434904331599</v>
      </c>
      <c r="AA43" s="55">
        <v>1.48344961940277</v>
      </c>
      <c r="AB43" s="55">
        <v>1.4920536084907801</v>
      </c>
      <c r="AC43" s="55">
        <v>1.4964298836985901</v>
      </c>
      <c r="AD43" s="55">
        <v>1.5245141173808401</v>
      </c>
      <c r="AE43" s="55">
        <v>1.5260148183756801</v>
      </c>
      <c r="AF43" s="55">
        <v>1.5372601973499</v>
      </c>
      <c r="AG43" s="55">
        <v>1.4069567179421201</v>
      </c>
      <c r="AH43" s="55">
        <v>1.5568770458147101</v>
      </c>
    </row>
    <row r="44" spans="1:36" x14ac:dyDescent="0.25">
      <c r="A44" s="56" t="s">
        <v>78</v>
      </c>
      <c r="B44" s="55"/>
      <c r="C44" s="55"/>
      <c r="D44" s="55"/>
      <c r="E44" s="55">
        <v>0.14858841010402499</v>
      </c>
      <c r="F44" s="55">
        <v>0.14836795252224699</v>
      </c>
      <c r="G44" s="55">
        <v>0.2962962962963</v>
      </c>
      <c r="H44" s="55">
        <v>0.1477104874446</v>
      </c>
      <c r="I44" s="55">
        <v>0.29498525073746701</v>
      </c>
      <c r="J44" s="55">
        <v>0.147058823529403</v>
      </c>
      <c r="K44" s="55">
        <v>0.14684287812042399</v>
      </c>
      <c r="L44" s="55">
        <v>0.14662756598239601</v>
      </c>
      <c r="M44" s="55">
        <v>0.14641288433383401</v>
      </c>
      <c r="N44" s="55">
        <v>0.292397660818697</v>
      </c>
      <c r="O44" s="55">
        <v>0.145772594752199</v>
      </c>
      <c r="P44" s="55">
        <v>0</v>
      </c>
      <c r="Q44" s="55">
        <v>0.14556040756913299</v>
      </c>
      <c r="R44" s="55">
        <v>0.14534883720931499</v>
      </c>
      <c r="S44" s="55">
        <v>0.14513788098692901</v>
      </c>
      <c r="T44" s="55">
        <v>0</v>
      </c>
      <c r="U44" s="55">
        <v>0.14492753623187599</v>
      </c>
      <c r="V44" s="55">
        <v>0.144717800289448</v>
      </c>
      <c r="W44" s="55">
        <v>0</v>
      </c>
      <c r="X44" s="55">
        <v>0</v>
      </c>
      <c r="Y44" s="55">
        <v>0.14450867052022301</v>
      </c>
      <c r="Z44" s="55">
        <v>0</v>
      </c>
      <c r="AA44" s="55">
        <v>0</v>
      </c>
      <c r="AB44" s="55">
        <v>0</v>
      </c>
      <c r="AC44" s="55">
        <v>0</v>
      </c>
      <c r="AD44" s="55">
        <v>0</v>
      </c>
      <c r="AE44" s="55">
        <v>0</v>
      </c>
      <c r="AF44" s="55">
        <v>0</v>
      </c>
      <c r="AG44" s="55">
        <v>-0.14430014430013599</v>
      </c>
      <c r="AH44" s="55">
        <v>0</v>
      </c>
    </row>
    <row r="45" spans="1:36" x14ac:dyDescent="0.25">
      <c r="A45" s="56" t="s">
        <v>84</v>
      </c>
      <c r="B45" s="55"/>
      <c r="C45" s="55"/>
      <c r="D45" s="55"/>
      <c r="E45" s="55">
        <v>7.1278080992815598</v>
      </c>
      <c r="F45" s="55">
        <v>1.4944597327567199</v>
      </c>
      <c r="G45" s="55">
        <v>1.3592146513377701</v>
      </c>
      <c r="H45" s="55">
        <v>1.3094127520714101</v>
      </c>
      <c r="I45" s="55">
        <v>0.59412503546411499</v>
      </c>
      <c r="J45" s="55">
        <v>0.64969659767203802</v>
      </c>
      <c r="K45" s="55">
        <v>0.68131719247405098</v>
      </c>
      <c r="L45" s="55">
        <v>0.71909018416868298</v>
      </c>
      <c r="M45" s="55">
        <v>0.71047650522475103</v>
      </c>
      <c r="N45" s="55">
        <v>0.76720463900409197</v>
      </c>
      <c r="O45" s="55">
        <v>0.82494291807855602</v>
      </c>
      <c r="P45" s="55">
        <v>0.88468975154733898</v>
      </c>
      <c r="Q45" s="55">
        <v>0.93555380191280302</v>
      </c>
      <c r="R45" s="55">
        <v>0.99649249446601995</v>
      </c>
      <c r="S45" s="55">
        <v>1.05486359284007</v>
      </c>
      <c r="T45" s="55">
        <v>1.1305050348451</v>
      </c>
      <c r="U45" s="55">
        <v>1.2007384122985001</v>
      </c>
      <c r="V45" s="55">
        <v>1.2739908953416399</v>
      </c>
      <c r="W45" s="55">
        <v>1.3494443827854099</v>
      </c>
      <c r="X45" s="55">
        <v>1.4332382002272399</v>
      </c>
      <c r="Y45" s="55">
        <v>1.45765080904024</v>
      </c>
      <c r="Z45" s="55">
        <v>1.4593434904331599</v>
      </c>
      <c r="AA45" s="55">
        <v>1.48344961940277</v>
      </c>
      <c r="AB45" s="55">
        <v>1.4920536084907801</v>
      </c>
      <c r="AC45" s="55">
        <v>1.4964298836985901</v>
      </c>
      <c r="AD45" s="55">
        <v>1.5245141173808401</v>
      </c>
      <c r="AE45" s="55">
        <v>1.5260148183756801</v>
      </c>
      <c r="AF45" s="55">
        <v>1.5372601973499</v>
      </c>
      <c r="AG45" s="55">
        <v>1.55125686224226</v>
      </c>
      <c r="AH45" s="55">
        <v>1.5568770458147101</v>
      </c>
    </row>
    <row r="46" spans="1:36" x14ac:dyDescent="0.25">
      <c r="A46" s="57" t="s">
        <v>74</v>
      </c>
      <c r="B46" s="55">
        <v>100</v>
      </c>
      <c r="C46" s="55">
        <v>101.8</v>
      </c>
      <c r="D46" s="55">
        <v>93.656000000000006</v>
      </c>
      <c r="E46" s="55">
        <v>100.331619953463</v>
      </c>
      <c r="F46" s="55">
        <v>101.83103561289001</v>
      </c>
      <c r="G46" s="55">
        <v>103.21513796855</v>
      </c>
      <c r="H46" s="55">
        <v>104.566650147178</v>
      </c>
      <c r="I46" s="55">
        <v>105.187906794448</v>
      </c>
      <c r="J46" s="55">
        <v>105.87130904605399</v>
      </c>
      <c r="K46" s="55">
        <v>106.59262847648201</v>
      </c>
      <c r="L46" s="55">
        <v>107.35912560490399</v>
      </c>
      <c r="M46" s="55">
        <v>108.121886968542</v>
      </c>
      <c r="N46" s="55">
        <v>108.951403101143</v>
      </c>
      <c r="O46" s="55">
        <v>109.850189985173</v>
      </c>
      <c r="P46" s="55">
        <v>110.822023358027</v>
      </c>
      <c r="Q46" s="55">
        <v>111.85882301091</v>
      </c>
      <c r="R46" s="55">
        <v>112.973487786612</v>
      </c>
      <c r="S46" s="55">
        <v>114.165203978835</v>
      </c>
      <c r="T46" s="55">
        <v>115.455847357856</v>
      </c>
      <c r="U46" s="55">
        <v>116.842170066327</v>
      </c>
      <c r="V46" s="55">
        <v>118.330728674892</v>
      </c>
      <c r="W46" s="55">
        <v>119.927536046104</v>
      </c>
      <c r="X46" s="55">
        <v>121.64638330530801</v>
      </c>
      <c r="Y46" s="55">
        <v>123.41956279572599</v>
      </c>
      <c r="Z46" s="55">
        <v>125.220678151306</v>
      </c>
      <c r="AA46" s="55">
        <v>127.07826382475599</v>
      </c>
      <c r="AB46" s="55">
        <v>128.97433964576001</v>
      </c>
      <c r="AC46" s="55">
        <v>130.904350206522</v>
      </c>
      <c r="AD46" s="55">
        <v>132.90000550568601</v>
      </c>
      <c r="AE46" s="55">
        <v>134.92807928332499</v>
      </c>
      <c r="AF46" s="55">
        <v>137.00227494119699</v>
      </c>
      <c r="AG46" s="55">
        <v>139.12753213265</v>
      </c>
      <c r="AH46" s="55">
        <v>141.293576744832</v>
      </c>
    </row>
  </sheetData>
  <mergeCells count="2">
    <mergeCell ref="B2:J2"/>
    <mergeCell ref="B6:J6"/>
  </mergeCells>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4"/>
  </sheetPr>
  <dimension ref="A2:AK98"/>
  <sheetViews>
    <sheetView tabSelected="1" topLeftCell="A35" zoomScale="110" zoomScaleNormal="110" workbookViewId="0">
      <selection activeCell="N46" sqref="N46"/>
    </sheetView>
  </sheetViews>
  <sheetFormatPr baseColWidth="10" defaultColWidth="8.5703125" defaultRowHeight="15" x14ac:dyDescent="0.25"/>
  <cols>
    <col min="1" max="3" width="10.42578125" customWidth="1"/>
    <col min="4" max="4" width="16.85546875" customWidth="1"/>
    <col min="5" max="1000" width="10.42578125" customWidth="1"/>
    <col min="1001" max="1025" width="11.5703125" customWidth="1"/>
  </cols>
  <sheetData>
    <row r="2" spans="1:37" ht="126.75" customHeight="1" x14ac:dyDescent="0.25">
      <c r="B2" s="108" t="s">
        <v>85</v>
      </c>
      <c r="C2" s="108"/>
      <c r="D2" s="108"/>
      <c r="E2" s="108"/>
      <c r="F2" s="108"/>
      <c r="G2" s="108"/>
      <c r="H2" s="108"/>
      <c r="I2" s="108"/>
    </row>
    <row r="3" spans="1:37" x14ac:dyDescent="0.25">
      <c r="Y3" s="12"/>
    </row>
    <row r="4" spans="1:37" x14ac:dyDescent="0.25">
      <c r="B4" s="114" t="s">
        <v>86</v>
      </c>
      <c r="C4" s="114"/>
      <c r="D4" s="114"/>
      <c r="E4" s="115" t="s">
        <v>87</v>
      </c>
      <c r="F4" s="115"/>
      <c r="G4" s="115"/>
      <c r="H4" s="115"/>
      <c r="I4" s="115"/>
      <c r="J4" s="115"/>
      <c r="L4" s="115" t="s">
        <v>88</v>
      </c>
      <c r="M4" s="115"/>
      <c r="N4" s="115"/>
      <c r="O4" s="115"/>
      <c r="P4" s="115"/>
      <c r="Q4" s="115"/>
      <c r="R4" s="115"/>
    </row>
    <row r="5" spans="1:37" x14ac:dyDescent="0.25">
      <c r="E5" s="58">
        <v>2015</v>
      </c>
      <c r="F5" s="59">
        <v>2016</v>
      </c>
      <c r="G5" s="59">
        <v>2017</v>
      </c>
      <c r="H5" s="59">
        <v>2018</v>
      </c>
      <c r="I5" s="59">
        <v>2019</v>
      </c>
      <c r="J5" s="59">
        <v>2020</v>
      </c>
      <c r="K5" s="59">
        <v>2015</v>
      </c>
      <c r="L5" s="59">
        <v>2020</v>
      </c>
      <c r="M5" s="59">
        <v>2025</v>
      </c>
      <c r="N5" s="59">
        <v>2030</v>
      </c>
      <c r="O5" s="59">
        <v>2035</v>
      </c>
      <c r="P5" s="59">
        <v>2040</v>
      </c>
      <c r="Q5" s="59">
        <v>2045</v>
      </c>
      <c r="R5" s="60">
        <v>2050</v>
      </c>
    </row>
    <row r="6" spans="1:37" x14ac:dyDescent="0.25">
      <c r="A6" s="115" t="s">
        <v>89</v>
      </c>
      <c r="B6" s="115" t="s">
        <v>90</v>
      </c>
      <c r="C6" s="115"/>
      <c r="D6" s="115"/>
      <c r="E6" s="61"/>
      <c r="F6" s="62"/>
      <c r="G6" s="62"/>
      <c r="H6" s="62"/>
      <c r="I6" s="62"/>
      <c r="J6" s="62"/>
      <c r="K6" s="62">
        <v>2198432</v>
      </c>
      <c r="L6" s="63">
        <v>2148555.85993557</v>
      </c>
      <c r="M6" s="63">
        <v>2446132.0012574298</v>
      </c>
      <c r="N6" s="63">
        <v>2568653.9102448202</v>
      </c>
      <c r="O6" s="63">
        <v>2722186.4268937302</v>
      </c>
      <c r="P6" s="63">
        <v>2936818.36483631</v>
      </c>
      <c r="Q6" s="63">
        <v>3178380.9884028598</v>
      </c>
      <c r="R6" s="62">
        <v>3421254.9352878798</v>
      </c>
      <c r="Z6" s="53"/>
      <c r="AA6" s="53"/>
      <c r="AB6" s="53"/>
      <c r="AC6" s="53"/>
      <c r="AD6" s="53"/>
      <c r="AE6" s="53"/>
      <c r="AF6" s="53"/>
      <c r="AG6" s="53"/>
      <c r="AH6" s="53"/>
      <c r="AI6" s="53"/>
      <c r="AJ6" s="53"/>
      <c r="AK6" s="53"/>
    </row>
    <row r="7" spans="1:37" x14ac:dyDescent="0.25">
      <c r="A7" s="115"/>
      <c r="B7" s="115" t="s">
        <v>91</v>
      </c>
      <c r="C7" s="115"/>
      <c r="D7" s="115"/>
      <c r="E7" s="64">
        <v>1967.5</v>
      </c>
      <c r="F7" s="65">
        <v>1996.8</v>
      </c>
      <c r="G7" s="65">
        <v>2046.1</v>
      </c>
      <c r="H7" s="65">
        <v>2101.8000000000002</v>
      </c>
      <c r="I7" s="65">
        <v>2169.3000000000002</v>
      </c>
      <c r="J7" s="65">
        <v>2054.3000000000002</v>
      </c>
      <c r="K7" s="66">
        <v>1967467</v>
      </c>
      <c r="L7" s="67">
        <v>1918757.33744364</v>
      </c>
      <c r="M7" s="67">
        <v>2184506.2598973499</v>
      </c>
      <c r="N7" s="67">
        <v>2293923.8534777202</v>
      </c>
      <c r="O7" s="67">
        <v>2431035.31906704</v>
      </c>
      <c r="P7" s="67">
        <v>2622711.3250096701</v>
      </c>
      <c r="Q7" s="67">
        <v>2838437.64847345</v>
      </c>
      <c r="R7" s="66">
        <v>3055335.0428346498</v>
      </c>
      <c r="AF7" s="53"/>
      <c r="AG7" s="53"/>
      <c r="AH7" s="53"/>
      <c r="AI7" s="53"/>
      <c r="AJ7" s="53"/>
      <c r="AK7" s="53"/>
    </row>
    <row r="8" spans="1:37" x14ac:dyDescent="0.25">
      <c r="A8" s="115"/>
      <c r="B8" s="115" t="s">
        <v>92</v>
      </c>
      <c r="C8" s="115"/>
      <c r="D8" s="115"/>
      <c r="E8" s="68">
        <v>35.299999999999997</v>
      </c>
      <c r="F8" s="69">
        <v>32.1</v>
      </c>
      <c r="G8" s="69">
        <v>35.4</v>
      </c>
      <c r="H8" s="69">
        <v>39</v>
      </c>
      <c r="I8" s="69">
        <v>37.1</v>
      </c>
      <c r="J8" s="69">
        <v>36.799999999999997</v>
      </c>
      <c r="K8" s="69">
        <v>35299</v>
      </c>
      <c r="L8" s="70">
        <v>34104.681647137397</v>
      </c>
      <c r="M8" s="70">
        <v>35181.630853972099</v>
      </c>
      <c r="N8" s="70">
        <v>35288.436990753398</v>
      </c>
      <c r="O8" s="70">
        <v>35427.548239017902</v>
      </c>
      <c r="P8" s="70">
        <v>35570.259103377903</v>
      </c>
      <c r="Q8" s="70">
        <v>35606.058204860601</v>
      </c>
      <c r="R8" s="69">
        <v>35635.050576822803</v>
      </c>
      <c r="AF8" s="53"/>
      <c r="AG8" s="53"/>
      <c r="AH8" s="53"/>
      <c r="AI8" s="53"/>
      <c r="AJ8" s="53"/>
      <c r="AK8" s="53"/>
    </row>
    <row r="9" spans="1:37" x14ac:dyDescent="0.25">
      <c r="A9" s="115"/>
      <c r="B9" s="115" t="s">
        <v>93</v>
      </c>
      <c r="C9" s="115"/>
      <c r="D9" s="115"/>
      <c r="E9" s="68">
        <v>107.9</v>
      </c>
      <c r="F9" s="65">
        <v>108.4</v>
      </c>
      <c r="G9" s="65">
        <v>113.1</v>
      </c>
      <c r="H9" s="65">
        <v>117.4</v>
      </c>
      <c r="I9" s="65">
        <v>124.1</v>
      </c>
      <c r="J9" s="65">
        <v>106.7</v>
      </c>
      <c r="K9" s="65">
        <v>107884</v>
      </c>
      <c r="L9" s="70">
        <v>90720.938362229004</v>
      </c>
      <c r="M9" s="70">
        <v>114692.586912556</v>
      </c>
      <c r="N9" s="70">
        <v>118532.702148422</v>
      </c>
      <c r="O9" s="70">
        <v>123943.531769516</v>
      </c>
      <c r="P9" s="70">
        <v>130758.83396874899</v>
      </c>
      <c r="Q9" s="70">
        <v>138885.61966657001</v>
      </c>
      <c r="R9" s="65">
        <v>147322.870789687</v>
      </c>
      <c r="AF9" s="53"/>
      <c r="AG9" s="53"/>
      <c r="AH9" s="53"/>
      <c r="AI9" s="53"/>
      <c r="AJ9" s="53"/>
      <c r="AK9" s="53"/>
    </row>
    <row r="10" spans="1:37" x14ac:dyDescent="0.25">
      <c r="A10" s="115"/>
      <c r="B10" s="115" t="s">
        <v>94</v>
      </c>
      <c r="C10" s="115"/>
      <c r="D10" s="115"/>
      <c r="E10" s="68">
        <f>1099.9+443.6</f>
        <v>1543.5</v>
      </c>
      <c r="F10" s="65">
        <f>1125.2+449.9</f>
        <v>1575.1</v>
      </c>
      <c r="G10" s="65">
        <f>1154.6+460</f>
        <v>1614.6</v>
      </c>
      <c r="H10" s="65">
        <f>1189.9+466.7</f>
        <v>1656.6000000000001</v>
      </c>
      <c r="I10" s="65">
        <f>1233.2+474.2</f>
        <v>1707.4</v>
      </c>
      <c r="J10" s="65">
        <f>1158.2+480.6</f>
        <v>1638.8000000000002</v>
      </c>
      <c r="K10" s="65">
        <v>1557627</v>
      </c>
      <c r="L10" s="70">
        <v>1544431.62068959</v>
      </c>
      <c r="M10" s="70">
        <v>1755919.7893245199</v>
      </c>
      <c r="N10" s="70">
        <v>1852620.8452788501</v>
      </c>
      <c r="O10" s="70">
        <v>1971488.25196016</v>
      </c>
      <c r="P10" s="70">
        <v>2137995.5946368598</v>
      </c>
      <c r="Q10" s="70">
        <v>2324423.6735998699</v>
      </c>
      <c r="R10" s="65">
        <v>2511046.8666440998</v>
      </c>
      <c r="AF10" s="53"/>
      <c r="AG10" s="53"/>
      <c r="AH10" s="53"/>
      <c r="AI10" s="53"/>
      <c r="AJ10" s="53"/>
      <c r="AK10" s="53"/>
    </row>
    <row r="11" spans="1:37" x14ac:dyDescent="0.25">
      <c r="A11" s="115"/>
      <c r="B11" s="115" t="s">
        <v>95</v>
      </c>
      <c r="C11" s="115"/>
      <c r="D11" s="115"/>
      <c r="E11" s="64">
        <v>280.8</v>
      </c>
      <c r="F11" s="71">
        <v>281.10000000000002</v>
      </c>
      <c r="G11" s="71">
        <v>282.89999999999998</v>
      </c>
      <c r="H11" s="71">
        <v>288.8</v>
      </c>
      <c r="I11" s="71">
        <v>300.60000000000002</v>
      </c>
      <c r="J11" s="71">
        <v>272</v>
      </c>
      <c r="K11" s="69">
        <v>266657</v>
      </c>
      <c r="L11" s="72">
        <v>249767.07351702399</v>
      </c>
      <c r="M11" s="72">
        <v>278556.68674860703</v>
      </c>
      <c r="N11" s="72">
        <v>287397.68703646399</v>
      </c>
      <c r="O11" s="72">
        <v>300201.11106429499</v>
      </c>
      <c r="P11" s="72">
        <v>318622.22612492502</v>
      </c>
      <c r="Q11" s="72">
        <v>340000.5311044</v>
      </c>
      <c r="R11" s="69">
        <v>362055.96433595498</v>
      </c>
      <c r="S11" s="59">
        <v>2020</v>
      </c>
      <c r="T11" s="59">
        <v>2025</v>
      </c>
      <c r="U11" s="59">
        <v>2030</v>
      </c>
      <c r="V11" s="59">
        <v>2035</v>
      </c>
      <c r="W11" s="59">
        <v>2040</v>
      </c>
      <c r="X11" s="59">
        <v>2045</v>
      </c>
      <c r="Y11" s="60">
        <v>2050</v>
      </c>
      <c r="AF11" s="53"/>
      <c r="AG11" s="53"/>
      <c r="AH11" s="53"/>
      <c r="AI11" s="53"/>
      <c r="AJ11" s="53"/>
      <c r="AK11" s="53"/>
    </row>
    <row r="12" spans="1:37" x14ac:dyDescent="0.25">
      <c r="A12" s="115"/>
      <c r="C12" s="115" t="s">
        <v>96</v>
      </c>
      <c r="D12" s="115"/>
      <c r="E12" s="73"/>
      <c r="F12" s="74"/>
      <c r="G12" s="74"/>
      <c r="H12" s="74"/>
      <c r="I12" s="74"/>
      <c r="J12" s="75"/>
      <c r="K12" s="76">
        <v>38198.758106634399</v>
      </c>
      <c r="L12" s="77">
        <v>33799.104389439402</v>
      </c>
      <c r="M12" s="77">
        <v>37412.914324007397</v>
      </c>
      <c r="N12" s="77">
        <v>37670.554532624803</v>
      </c>
      <c r="O12" s="77">
        <v>38190.528460966001</v>
      </c>
      <c r="P12" s="77">
        <v>38688.180380096201</v>
      </c>
      <c r="Q12" s="77">
        <v>39102.222375101599</v>
      </c>
      <c r="R12" s="76">
        <v>39596.801192232597</v>
      </c>
      <c r="S12" s="42">
        <f t="shared" ref="S12:S20" si="0">L12/L$11</f>
        <v>0.13532249833217377</v>
      </c>
      <c r="T12" s="42">
        <f t="shared" ref="T12:T20" si="1">M12/M$11</f>
        <v>0.13430987696149602</v>
      </c>
      <c r="U12" s="42">
        <f t="shared" ref="U12:U20" si="2">N12/N$11</f>
        <v>0.13107466145976776</v>
      </c>
      <c r="V12" s="42">
        <f t="shared" ref="V12:V20" si="3">O12/O$11</f>
        <v>0.12721647939799469</v>
      </c>
      <c r="W12" s="42">
        <f t="shared" ref="W12:W20" si="4">P12/P$11</f>
        <v>0.12142335721716847</v>
      </c>
      <c r="X12" s="42">
        <f t="shared" ref="X12:X20" si="5">Q12/Q$11</f>
        <v>0.115006356749175</v>
      </c>
      <c r="Y12" s="42">
        <f t="shared" ref="Y12:Y20" si="6">R12/R$11</f>
        <v>0.10936652090473607</v>
      </c>
    </row>
    <row r="13" spans="1:37" x14ac:dyDescent="0.25">
      <c r="A13" s="115"/>
      <c r="C13" s="115" t="s">
        <v>97</v>
      </c>
      <c r="D13" s="115"/>
      <c r="E13" s="78"/>
      <c r="F13" s="79"/>
      <c r="G13" s="79"/>
      <c r="H13" s="79"/>
      <c r="I13" s="79"/>
      <c r="J13" s="80"/>
      <c r="K13" s="81">
        <v>228458.24189336601</v>
      </c>
      <c r="L13" s="82">
        <v>215980.157747688</v>
      </c>
      <c r="M13" s="82">
        <v>241198.67860881699</v>
      </c>
      <c r="N13" s="82">
        <v>249919.95987452299</v>
      </c>
      <c r="O13" s="82">
        <v>262381.63601811201</v>
      </c>
      <c r="P13" s="82">
        <v>280598.20835280098</v>
      </c>
      <c r="Q13" s="82">
        <v>301926.58039878099</v>
      </c>
      <c r="R13" s="81">
        <v>323853.201737786</v>
      </c>
      <c r="S13" s="42">
        <f t="shared" si="0"/>
        <v>0.86472630161544051</v>
      </c>
      <c r="T13" s="42">
        <f t="shared" si="1"/>
        <v>0.86588723259224776</v>
      </c>
      <c r="U13" s="42">
        <f t="shared" si="2"/>
        <v>0.86959628120741983</v>
      </c>
      <c r="V13" s="42">
        <f t="shared" si="3"/>
        <v>0.87401953672955235</v>
      </c>
      <c r="W13" s="42">
        <f t="shared" si="4"/>
        <v>0.88066112576460498</v>
      </c>
      <c r="X13" s="42">
        <f t="shared" si="5"/>
        <v>0.888017966966269</v>
      </c>
      <c r="Y13" s="42">
        <f>R13/R$11</f>
        <v>0.89448381918459352</v>
      </c>
      <c r="AF13" s="42"/>
      <c r="AG13" s="42"/>
      <c r="AH13" s="42"/>
      <c r="AI13" s="42"/>
      <c r="AJ13" s="42"/>
      <c r="AK13" s="42"/>
    </row>
    <row r="14" spans="1:37" x14ac:dyDescent="0.25">
      <c r="A14" s="115"/>
      <c r="D14" t="s">
        <v>98</v>
      </c>
      <c r="E14" s="73"/>
      <c r="F14" s="74"/>
      <c r="G14" s="74"/>
      <c r="H14" s="74"/>
      <c r="I14" s="83">
        <f t="shared" ref="I14:I20" si="7">L14/K14</f>
        <v>0.92514597305960911</v>
      </c>
      <c r="J14" s="75"/>
      <c r="K14" s="69">
        <v>3543.4455515626701</v>
      </c>
      <c r="L14" s="72">
        <v>3278.2043827841899</v>
      </c>
      <c r="M14" s="72">
        <v>3284.4635152983701</v>
      </c>
      <c r="N14" s="72">
        <v>3241.2816038088299</v>
      </c>
      <c r="O14" s="72">
        <v>3211.8723666749502</v>
      </c>
      <c r="P14" s="72">
        <v>3187.4827743647802</v>
      </c>
      <c r="Q14" s="72">
        <v>3167.8939139362201</v>
      </c>
      <c r="R14" s="69">
        <v>3150.5383461557399</v>
      </c>
      <c r="S14" s="42">
        <f t="shared" si="0"/>
        <v>1.3125046214551371E-2</v>
      </c>
      <c r="T14" s="42">
        <f t="shared" si="1"/>
        <v>1.1791005822317761E-2</v>
      </c>
      <c r="U14" s="42">
        <f t="shared" si="2"/>
        <v>1.1278036497898426E-2</v>
      </c>
      <c r="V14" s="42">
        <f t="shared" si="3"/>
        <v>1.0699068885148308E-2</v>
      </c>
      <c r="W14" s="42">
        <f t="shared" si="4"/>
        <v>1.0003956136804579E-2</v>
      </c>
      <c r="X14" s="42">
        <f t="shared" si="5"/>
        <v>9.3173204866656284E-3</v>
      </c>
      <c r="Y14" s="42">
        <f t="shared" si="6"/>
        <v>8.7017993252345022E-3</v>
      </c>
      <c r="AB14" s="22"/>
      <c r="AC14" s="22"/>
      <c r="AD14" s="22"/>
      <c r="AE14" s="22"/>
      <c r="AF14" s="22"/>
      <c r="AG14" s="22"/>
      <c r="AH14" s="22"/>
      <c r="AI14" s="22"/>
      <c r="AJ14" s="22"/>
      <c r="AK14" s="22"/>
    </row>
    <row r="15" spans="1:37" x14ac:dyDescent="0.25">
      <c r="A15" s="115"/>
      <c r="D15" t="s">
        <v>99</v>
      </c>
      <c r="E15" s="84"/>
      <c r="F15" s="83"/>
      <c r="G15" s="83"/>
      <c r="H15" s="85"/>
      <c r="I15" s="83">
        <f t="shared" si="7"/>
        <v>0.9708799884003263</v>
      </c>
      <c r="J15" s="86"/>
      <c r="K15" s="65">
        <v>2717.5544484373299</v>
      </c>
      <c r="L15" s="70">
        <v>2638.41923137609</v>
      </c>
      <c r="M15" s="70">
        <v>2692.8347259417501</v>
      </c>
      <c r="N15" s="70">
        <v>2728.7514701121099</v>
      </c>
      <c r="O15" s="70">
        <v>2753.8673507685899</v>
      </c>
      <c r="P15" s="70">
        <v>2768.9057020452701</v>
      </c>
      <c r="Q15" s="70">
        <v>2773.8133147020499</v>
      </c>
      <c r="R15" s="65">
        <v>2772.8759226799398</v>
      </c>
      <c r="S15" s="42">
        <f t="shared" si="0"/>
        <v>1.056351901883599E-2</v>
      </c>
      <c r="T15" s="42">
        <f t="shared" si="1"/>
        <v>9.6670977723539286E-3</v>
      </c>
      <c r="U15" s="42">
        <f t="shared" si="2"/>
        <v>9.4946883471817775E-3</v>
      </c>
      <c r="V15" s="42">
        <f t="shared" si="3"/>
        <v>9.173408256236552E-3</v>
      </c>
      <c r="W15" s="42">
        <f t="shared" si="4"/>
        <v>8.6902465522277813E-3</v>
      </c>
      <c r="X15" s="42">
        <f t="shared" si="5"/>
        <v>8.1582617112157616E-3</v>
      </c>
      <c r="Y15" s="42">
        <f t="shared" si="6"/>
        <v>7.6586942236006456E-3</v>
      </c>
      <c r="AB15" s="22"/>
      <c r="AC15" s="22"/>
      <c r="AD15" s="22"/>
      <c r="AE15" s="22"/>
      <c r="AF15" s="22"/>
      <c r="AG15" s="22"/>
      <c r="AH15" s="22"/>
      <c r="AI15" s="22"/>
      <c r="AJ15" s="22"/>
      <c r="AK15" s="22"/>
    </row>
    <row r="16" spans="1:37" x14ac:dyDescent="0.25">
      <c r="A16" s="115"/>
      <c r="D16" t="s">
        <v>100</v>
      </c>
      <c r="E16" s="84"/>
      <c r="F16" s="83"/>
      <c r="G16" s="83"/>
      <c r="H16" s="83"/>
      <c r="I16" s="83">
        <f t="shared" si="7"/>
        <v>1.0730506187250288</v>
      </c>
      <c r="J16" s="86"/>
      <c r="K16" s="87">
        <v>32007</v>
      </c>
      <c r="L16" s="88">
        <v>34345.131153531998</v>
      </c>
      <c r="M16" s="88">
        <v>35555.747003791701</v>
      </c>
      <c r="N16" s="88">
        <v>36238.720925132999</v>
      </c>
      <c r="O16" s="88">
        <v>37339.876306079103</v>
      </c>
      <c r="P16" s="88">
        <v>38689.939312575501</v>
      </c>
      <c r="Q16" s="88">
        <v>40179.322077012999</v>
      </c>
      <c r="R16" s="87">
        <v>41801.949466668601</v>
      </c>
      <c r="S16" s="42">
        <f t="shared" si="0"/>
        <v>0.13750864223178341</v>
      </c>
      <c r="T16" s="42">
        <f t="shared" si="1"/>
        <v>0.12764276965959248</v>
      </c>
      <c r="U16" s="42">
        <f t="shared" si="2"/>
        <v>0.12609259767819619</v>
      </c>
      <c r="V16" s="42">
        <f t="shared" si="3"/>
        <v>0.12438287178118373</v>
      </c>
      <c r="W16" s="42">
        <f t="shared" si="4"/>
        <v>0.12142887764962761</v>
      </c>
      <c r="X16" s="42">
        <f t="shared" si="5"/>
        <v>0.11817429210037206</v>
      </c>
      <c r="Y16" s="42">
        <f t="shared" si="6"/>
        <v>0.11545714912703439</v>
      </c>
      <c r="AB16" s="42"/>
      <c r="AC16" s="42"/>
      <c r="AD16" s="42"/>
      <c r="AE16" s="42"/>
      <c r="AF16" s="42"/>
      <c r="AG16" s="42"/>
      <c r="AH16" s="42"/>
      <c r="AI16" s="42"/>
      <c r="AJ16" s="42"/>
      <c r="AK16" s="42"/>
    </row>
    <row r="17" spans="1:25" x14ac:dyDescent="0.25">
      <c r="A17" s="115"/>
      <c r="D17" t="s">
        <v>101</v>
      </c>
      <c r="E17" s="84"/>
      <c r="F17" s="83"/>
      <c r="G17" s="83"/>
      <c r="H17" s="83"/>
      <c r="I17" s="83">
        <f t="shared" si="7"/>
        <v>1.0189343973985083</v>
      </c>
      <c r="J17" s="86"/>
      <c r="K17" s="87">
        <v>7803</v>
      </c>
      <c r="L17" s="88">
        <v>7950.7451029005597</v>
      </c>
      <c r="M17" s="88">
        <v>8792.1443255419508</v>
      </c>
      <c r="N17" s="88">
        <v>9209.2747024927194</v>
      </c>
      <c r="O17" s="88">
        <v>9684.9649237064095</v>
      </c>
      <c r="P17" s="88">
        <v>10315.6169877547</v>
      </c>
      <c r="Q17" s="88">
        <v>11086.1893055862</v>
      </c>
      <c r="R17" s="87">
        <v>11854.0000180978</v>
      </c>
      <c r="S17" s="42">
        <f t="shared" si="0"/>
        <v>3.1832639070252154E-2</v>
      </c>
      <c r="T17" s="42">
        <f t="shared" si="1"/>
        <v>3.1563214037926585E-2</v>
      </c>
      <c r="U17" s="42">
        <f t="shared" si="2"/>
        <v>3.2043663250930339E-2</v>
      </c>
      <c r="V17" s="42">
        <f t="shared" si="3"/>
        <v>3.2261589203885895E-2</v>
      </c>
      <c r="W17" s="42">
        <f t="shared" si="4"/>
        <v>3.2375698058522022E-2</v>
      </c>
      <c r="X17" s="42">
        <f t="shared" si="5"/>
        <v>3.2606388200558702E-2</v>
      </c>
      <c r="Y17" s="42">
        <f t="shared" si="6"/>
        <v>3.2740794754863828E-2</v>
      </c>
    </row>
    <row r="18" spans="1:25" x14ac:dyDescent="0.25">
      <c r="A18" s="115"/>
      <c r="D18" t="s">
        <v>102</v>
      </c>
      <c r="E18" s="84"/>
      <c r="F18" s="83"/>
      <c r="G18" s="83"/>
      <c r="H18" s="83"/>
      <c r="I18" s="83">
        <f t="shared" si="7"/>
        <v>0.94554204292728961</v>
      </c>
      <c r="J18" s="86"/>
      <c r="K18" s="87">
        <v>8172</v>
      </c>
      <c r="L18" s="88">
        <v>7726.9695748018103</v>
      </c>
      <c r="M18" s="88">
        <v>8664.1815334448002</v>
      </c>
      <c r="N18" s="88">
        <v>9019.5503831533806</v>
      </c>
      <c r="O18" s="88">
        <v>9544.2983277668991</v>
      </c>
      <c r="P18" s="88">
        <v>10251.7984700383</v>
      </c>
      <c r="Q18" s="88">
        <v>11074.661156968299</v>
      </c>
      <c r="R18" s="87">
        <v>11958.9894272893</v>
      </c>
      <c r="S18" s="42">
        <f t="shared" si="0"/>
        <v>3.0936702208168139E-2</v>
      </c>
      <c r="T18" s="42">
        <f t="shared" si="1"/>
        <v>3.1103836115282654E-2</v>
      </c>
      <c r="U18" s="42">
        <f t="shared" si="2"/>
        <v>3.1383517648174437E-2</v>
      </c>
      <c r="V18" s="42">
        <f t="shared" si="3"/>
        <v>3.1793014669165454E-2</v>
      </c>
      <c r="W18" s="42">
        <f t="shared" si="4"/>
        <v>3.2175402810784418E-2</v>
      </c>
      <c r="X18" s="42">
        <f t="shared" si="5"/>
        <v>3.257248193405831E-2</v>
      </c>
      <c r="Y18" s="42">
        <f t="shared" si="6"/>
        <v>3.3030775916710067E-2</v>
      </c>
    </row>
    <row r="19" spans="1:25" x14ac:dyDescent="0.25">
      <c r="A19" s="115"/>
      <c r="D19" t="s">
        <v>103</v>
      </c>
      <c r="E19" s="84"/>
      <c r="F19" s="83"/>
      <c r="G19" s="83"/>
      <c r="H19" s="83"/>
      <c r="I19" s="83">
        <f t="shared" si="7"/>
        <v>0.95399984177680597</v>
      </c>
      <c r="J19" s="86"/>
      <c r="K19" s="65">
        <v>43787</v>
      </c>
      <c r="L19" s="70">
        <v>41772.791071881002</v>
      </c>
      <c r="M19" s="70">
        <v>47270.194852360401</v>
      </c>
      <c r="N19" s="70">
        <v>48849.282509802099</v>
      </c>
      <c r="O19" s="70">
        <v>51241.160430527299</v>
      </c>
      <c r="P19" s="70">
        <v>54771.525504404199</v>
      </c>
      <c r="Q19" s="70">
        <v>59466.088876425303</v>
      </c>
      <c r="R19" s="65">
        <v>64466.392324292603</v>
      </c>
      <c r="S19" s="42">
        <f t="shared" si="0"/>
        <v>0.16724698929954748</v>
      </c>
      <c r="T19" s="42">
        <f t="shared" si="1"/>
        <v>0.16969685920704894</v>
      </c>
      <c r="U19" s="42">
        <f t="shared" si="2"/>
        <v>0.16997103565278268</v>
      </c>
      <c r="V19" s="42">
        <f t="shared" si="3"/>
        <v>0.17068944298328337</v>
      </c>
      <c r="W19" s="42">
        <f t="shared" si="4"/>
        <v>0.17190114503477685</v>
      </c>
      <c r="X19" s="42">
        <f t="shared" si="5"/>
        <v>0.1748999881949177</v>
      </c>
      <c r="Y19" s="42">
        <f t="shared" si="6"/>
        <v>0.17805642959792167</v>
      </c>
    </row>
    <row r="20" spans="1:25" x14ac:dyDescent="0.25">
      <c r="A20" s="115"/>
      <c r="D20" t="s">
        <v>104</v>
      </c>
      <c r="E20" s="78"/>
      <c r="F20" s="79"/>
      <c r="G20" s="79"/>
      <c r="H20" s="79"/>
      <c r="I20" s="83">
        <f t="shared" si="7"/>
        <v>0.90773867160861388</v>
      </c>
      <c r="J20" s="80"/>
      <c r="K20" s="65">
        <v>130428.24189336599</v>
      </c>
      <c r="L20" s="70">
        <v>118394.759036531</v>
      </c>
      <c r="M20" s="70">
        <v>134944.06964320299</v>
      </c>
      <c r="N20" s="70">
        <v>140596.88054085599</v>
      </c>
      <c r="O20" s="70">
        <v>148511.460678862</v>
      </c>
      <c r="P20" s="70">
        <v>160427.22514580601</v>
      </c>
      <c r="Q20" s="70">
        <v>173877.47063622199</v>
      </c>
      <c r="R20" s="65">
        <v>187424.67822396901</v>
      </c>
      <c r="S20" s="42">
        <f t="shared" si="0"/>
        <v>0.47402068402927927</v>
      </c>
      <c r="T20" s="42">
        <f t="shared" si="1"/>
        <v>0.48444024524526264</v>
      </c>
      <c r="U20" s="42">
        <f t="shared" si="2"/>
        <v>0.48920672254059427</v>
      </c>
      <c r="V20" s="42">
        <f t="shared" si="3"/>
        <v>0.49470656571639021</v>
      </c>
      <c r="W20" s="42">
        <f t="shared" si="4"/>
        <v>0.50350293228729714</v>
      </c>
      <c r="X20" s="42">
        <f t="shared" si="5"/>
        <v>0.51140352655164367</v>
      </c>
      <c r="Y20" s="42">
        <f t="shared" si="6"/>
        <v>0.51766769970969451</v>
      </c>
    </row>
    <row r="21" spans="1:25" x14ac:dyDescent="0.25">
      <c r="A21" s="115" t="s">
        <v>105</v>
      </c>
      <c r="B21" s="115" t="s">
        <v>92</v>
      </c>
      <c r="C21" s="115"/>
      <c r="D21" s="115"/>
      <c r="E21" s="89">
        <f t="shared" ref="E21:J24" si="8">E8/E$7</f>
        <v>1.7941550190597202E-2</v>
      </c>
      <c r="F21" s="89">
        <f t="shared" si="8"/>
        <v>1.6075721153846156E-2</v>
      </c>
      <c r="G21" s="89">
        <f t="shared" si="8"/>
        <v>1.7301207174624897E-2</v>
      </c>
      <c r="H21" s="89">
        <f t="shared" si="8"/>
        <v>1.8555523836711389E-2</v>
      </c>
      <c r="I21" s="89">
        <f t="shared" si="8"/>
        <v>1.7102291061632784E-2</v>
      </c>
      <c r="J21" s="89">
        <f t="shared" si="8"/>
        <v>1.7913644550455139E-2</v>
      </c>
      <c r="K21" s="90">
        <v>1.79413428535269</v>
      </c>
      <c r="L21" s="90">
        <v>1.7774358946595601</v>
      </c>
      <c r="M21" s="90">
        <v>1.6105072116215999</v>
      </c>
      <c r="N21" s="90">
        <v>1.53834387036231</v>
      </c>
      <c r="O21" s="90">
        <v>1.4573029014080301</v>
      </c>
      <c r="P21" s="90">
        <v>1.3562399629797901</v>
      </c>
      <c r="Q21" s="90">
        <v>1.2544245325948999</v>
      </c>
      <c r="R21" s="91">
        <v>1.16632218978386</v>
      </c>
      <c r="S21" s="42"/>
      <c r="T21" s="42"/>
      <c r="U21" s="42"/>
      <c r="V21" s="42"/>
      <c r="W21" s="42"/>
      <c r="X21" s="42"/>
      <c r="Y21" s="42"/>
    </row>
    <row r="22" spans="1:25" x14ac:dyDescent="0.25">
      <c r="A22" s="115"/>
      <c r="B22" s="115" t="s">
        <v>93</v>
      </c>
      <c r="C22" s="115"/>
      <c r="D22" s="115"/>
      <c r="E22" s="89">
        <f t="shared" si="8"/>
        <v>5.4841168996188058E-2</v>
      </c>
      <c r="F22" s="89">
        <f t="shared" si="8"/>
        <v>5.4286858974358976E-2</v>
      </c>
      <c r="G22" s="89">
        <f t="shared" si="8"/>
        <v>5.5275890718928695E-2</v>
      </c>
      <c r="H22" s="89">
        <f t="shared" si="8"/>
        <v>5.5856884575126081E-2</v>
      </c>
      <c r="I22" s="89">
        <f t="shared" si="8"/>
        <v>5.7207394090259524E-2</v>
      </c>
      <c r="J22" s="89">
        <f t="shared" si="8"/>
        <v>5.1939833519933795E-2</v>
      </c>
      <c r="K22" s="83">
        <v>5.4833956554290397</v>
      </c>
      <c r="L22" s="83">
        <v>4.72810900012486</v>
      </c>
      <c r="M22" s="83">
        <v>5.2502750400882396</v>
      </c>
      <c r="N22" s="83">
        <v>5.1672465922841901</v>
      </c>
      <c r="O22" s="83">
        <v>5.0983846593015096</v>
      </c>
      <c r="P22" s="83">
        <v>4.9856357701992504</v>
      </c>
      <c r="Q22" s="83">
        <v>4.8930304930694701</v>
      </c>
      <c r="R22" s="92">
        <v>4.8218237517089104</v>
      </c>
    </row>
    <row r="23" spans="1:25" x14ac:dyDescent="0.25">
      <c r="A23" s="115"/>
      <c r="B23" s="115" t="s">
        <v>94</v>
      </c>
      <c r="C23" s="115"/>
      <c r="D23" s="115"/>
      <c r="E23" s="89">
        <f t="shared" si="8"/>
        <v>0.78449809402795423</v>
      </c>
      <c r="F23" s="89">
        <f t="shared" si="8"/>
        <v>0.78881209935897434</v>
      </c>
      <c r="G23" s="89">
        <f t="shared" si="8"/>
        <v>0.78911099164263721</v>
      </c>
      <c r="H23" s="89">
        <f t="shared" si="8"/>
        <v>0.7881815586640023</v>
      </c>
      <c r="I23" s="89">
        <f t="shared" si="8"/>
        <v>0.78707417139169311</v>
      </c>
      <c r="J23" s="89">
        <f t="shared" si="8"/>
        <v>0.79774132307842094</v>
      </c>
      <c r="K23" s="83">
        <v>79.169155060796498</v>
      </c>
      <c r="L23" s="83">
        <v>80.491242459415503</v>
      </c>
      <c r="M23" s="83">
        <v>80.3806252039317</v>
      </c>
      <c r="N23" s="83">
        <v>80.762089921606005</v>
      </c>
      <c r="O23" s="83">
        <v>81.096651969530498</v>
      </c>
      <c r="P23" s="83">
        <v>81.518525285240003</v>
      </c>
      <c r="Q23" s="83">
        <v>81.890954160996998</v>
      </c>
      <c r="R23" s="92">
        <v>82.185646792910205</v>
      </c>
    </row>
    <row r="24" spans="1:25" x14ac:dyDescent="0.25">
      <c r="A24" s="115"/>
      <c r="B24" s="115" t="s">
        <v>95</v>
      </c>
      <c r="C24" s="115"/>
      <c r="D24" s="115"/>
      <c r="E24" s="89">
        <f t="shared" si="8"/>
        <v>0.14271918678526049</v>
      </c>
      <c r="F24" s="89">
        <f t="shared" si="8"/>
        <v>0.14077524038461539</v>
      </c>
      <c r="G24" s="89">
        <f t="shared" si="8"/>
        <v>0.13826303699721421</v>
      </c>
      <c r="H24" s="89">
        <f t="shared" si="8"/>
        <v>0.13740603292416023</v>
      </c>
      <c r="I24" s="89">
        <f t="shared" si="8"/>
        <v>0.13857004563684139</v>
      </c>
      <c r="J24" s="89">
        <f t="shared" si="8"/>
        <v>0.13240519885119018</v>
      </c>
      <c r="K24" s="83">
        <v>13.553314998421801</v>
      </c>
      <c r="L24" s="83">
        <v>13.017126691475699</v>
      </c>
      <c r="M24" s="83">
        <v>12.751471207122799</v>
      </c>
      <c r="N24" s="83">
        <v>12.5286498329381</v>
      </c>
      <c r="O24" s="83">
        <v>12.348693937507401</v>
      </c>
      <c r="P24" s="83">
        <v>12.148581625686599</v>
      </c>
      <c r="Q24" s="83">
        <v>11.978439311050501</v>
      </c>
      <c r="R24" s="92">
        <v>11.8499594728587</v>
      </c>
    </row>
    <row r="25" spans="1:25" x14ac:dyDescent="0.25">
      <c r="A25" s="115"/>
      <c r="C25" s="115" t="s">
        <v>96</v>
      </c>
      <c r="D25" s="115"/>
      <c r="F25" s="83"/>
      <c r="G25" s="83"/>
      <c r="H25" s="83"/>
      <c r="I25" s="83"/>
      <c r="J25" s="83"/>
      <c r="K25" s="83">
        <v>1.9415196344657599</v>
      </c>
      <c r="L25" s="83">
        <v>1.76151010499691</v>
      </c>
      <c r="M25" s="83">
        <v>1.7126485289067299</v>
      </c>
      <c r="N25" s="83">
        <v>1.64218853540034</v>
      </c>
      <c r="O25" s="83">
        <v>1.57095736789305</v>
      </c>
      <c r="P25" s="83">
        <v>1.47512156641767</v>
      </c>
      <c r="Q25" s="83">
        <v>1.37759666470501</v>
      </c>
      <c r="R25" s="92">
        <v>1.2959888404086699</v>
      </c>
    </row>
    <row r="26" spans="1:25" x14ac:dyDescent="0.25">
      <c r="A26" s="115"/>
      <c r="C26" s="115" t="s">
        <v>97</v>
      </c>
      <c r="D26" s="115"/>
      <c r="F26" s="83"/>
      <c r="G26" s="83"/>
      <c r="H26" s="83"/>
      <c r="I26" s="83"/>
      <c r="J26" s="83"/>
      <c r="K26" s="83">
        <v>11.6117953639561</v>
      </c>
      <c r="L26" s="83">
        <v>11.256251821579401</v>
      </c>
      <c r="M26" s="83">
        <v>11.0413361150153</v>
      </c>
      <c r="N26" s="83">
        <v>10.8948673032729</v>
      </c>
      <c r="O26" s="83">
        <v>10.792999754475201</v>
      </c>
      <c r="P26" s="83">
        <v>10.6987835709203</v>
      </c>
      <c r="Q26" s="83">
        <v>10.6370693244279</v>
      </c>
      <c r="R26" s="92">
        <v>10.5995970064653</v>
      </c>
    </row>
    <row r="27" spans="1:25" x14ac:dyDescent="0.25">
      <c r="A27" s="115"/>
      <c r="D27" t="s">
        <v>98</v>
      </c>
      <c r="F27" s="83"/>
      <c r="G27" s="83"/>
      <c r="H27" s="83"/>
      <c r="I27" s="83"/>
      <c r="J27" s="83"/>
      <c r="K27" s="83">
        <v>0.18010190521938499</v>
      </c>
      <c r="L27" s="83">
        <v>0.17085038940628799</v>
      </c>
      <c r="M27" s="83">
        <v>0.150352671246303</v>
      </c>
      <c r="N27" s="83">
        <v>0.141298570085265</v>
      </c>
      <c r="O27" s="83">
        <v>0.13211952707900501</v>
      </c>
      <c r="P27" s="83">
        <v>0.121533877707759</v>
      </c>
      <c r="Q27" s="83">
        <v>0.111606957991132</v>
      </c>
      <c r="R27" s="92">
        <v>0.10311596934497801</v>
      </c>
    </row>
    <row r="28" spans="1:25" x14ac:dyDescent="0.25">
      <c r="A28" s="115"/>
      <c r="D28" t="s">
        <v>99</v>
      </c>
      <c r="F28" s="83"/>
      <c r="G28" s="83"/>
      <c r="I28" s="83"/>
      <c r="J28" s="83"/>
      <c r="K28" s="83">
        <v>0.13812452500790801</v>
      </c>
      <c r="L28" s="83">
        <v>0.13750666537600101</v>
      </c>
      <c r="M28" s="83">
        <v>0.123269718900612</v>
      </c>
      <c r="N28" s="83">
        <v>0.118955625574718</v>
      </c>
      <c r="O28" s="83">
        <v>0.113279610920069</v>
      </c>
      <c r="P28" s="83">
        <v>0.10557416958708001</v>
      </c>
      <c r="Q28" s="83">
        <v>9.7723242791464798E-2</v>
      </c>
      <c r="R28" s="92">
        <v>9.0755216164684294E-2</v>
      </c>
    </row>
    <row r="29" spans="1:25" x14ac:dyDescent="0.25">
      <c r="A29" s="115"/>
      <c r="D29" t="s">
        <v>100</v>
      </c>
      <c r="F29" s="83"/>
      <c r="G29" s="83"/>
      <c r="I29" s="83"/>
      <c r="J29" s="83"/>
      <c r="K29" s="83">
        <v>1.6268125462841301</v>
      </c>
      <c r="L29" s="83">
        <v>1.7899674171039299</v>
      </c>
      <c r="M29" s="83">
        <v>1.6276331021117101</v>
      </c>
      <c r="N29" s="83">
        <v>1.57977000283566</v>
      </c>
      <c r="O29" s="83">
        <v>1.5359660146940599</v>
      </c>
      <c r="P29" s="83">
        <v>1.47518863184201</v>
      </c>
      <c r="Q29" s="83">
        <v>1.41554358605066</v>
      </c>
      <c r="R29" s="92">
        <v>1.36816253800716</v>
      </c>
    </row>
    <row r="30" spans="1:25" x14ac:dyDescent="0.25">
      <c r="A30" s="115"/>
      <c r="D30" t="s">
        <v>101</v>
      </c>
      <c r="F30" s="83"/>
      <c r="G30" s="83"/>
      <c r="I30" s="83"/>
      <c r="J30" s="83"/>
      <c r="K30" s="83">
        <v>0.39660131529525</v>
      </c>
      <c r="L30" s="83">
        <v>0.41436949570149001</v>
      </c>
      <c r="M30" s="83">
        <v>0.40247741500887602</v>
      </c>
      <c r="N30" s="83">
        <v>0.40146383623549298</v>
      </c>
      <c r="O30" s="83">
        <v>0.39838849101637902</v>
      </c>
      <c r="P30" s="83">
        <v>0.39331881055253798</v>
      </c>
      <c r="Q30" s="83">
        <v>0.390573642212943</v>
      </c>
      <c r="R30" s="92">
        <v>0.38797709095432098</v>
      </c>
    </row>
    <row r="31" spans="1:25" x14ac:dyDescent="0.25">
      <c r="A31" s="115"/>
      <c r="D31" t="s">
        <v>102</v>
      </c>
      <c r="F31" s="83"/>
      <c r="G31" s="83"/>
      <c r="I31" s="83"/>
      <c r="J31" s="83"/>
      <c r="K31" s="83">
        <v>0.41535639479594799</v>
      </c>
      <c r="L31" s="83">
        <v>0.40270697206018002</v>
      </c>
      <c r="M31" s="83">
        <v>0.39661967065509401</v>
      </c>
      <c r="N31" s="83">
        <v>0.39319310313980999</v>
      </c>
      <c r="O31" s="83">
        <v>0.39260220750020702</v>
      </c>
      <c r="P31" s="83">
        <v>0.39088550738615901</v>
      </c>
      <c r="Q31" s="83">
        <v>0.39016749805740403</v>
      </c>
      <c r="R31" s="92">
        <v>0.39141335597008903</v>
      </c>
    </row>
    <row r="32" spans="1:25" x14ac:dyDescent="0.25">
      <c r="A32" s="115"/>
      <c r="D32" t="s">
        <v>103</v>
      </c>
      <c r="F32" s="83"/>
      <c r="G32" s="83"/>
      <c r="I32" s="83"/>
      <c r="J32" s="83"/>
      <c r="K32" s="83">
        <v>2.2255519406424602</v>
      </c>
      <c r="L32" s="83">
        <v>2.1770752484800902</v>
      </c>
      <c r="M32" s="83">
        <v>2.16388461411786</v>
      </c>
      <c r="N32" s="83">
        <v>2.1295075874355498</v>
      </c>
      <c r="O32" s="83">
        <v>2.1077916897641802</v>
      </c>
      <c r="P32" s="83">
        <v>2.0883550920039702</v>
      </c>
      <c r="Q32" s="83">
        <v>2.0950288940962598</v>
      </c>
      <c r="R32" s="92">
        <v>2.1099614746172799</v>
      </c>
    </row>
    <row r="33" spans="1:30" x14ac:dyDescent="0.25">
      <c r="A33" s="115"/>
      <c r="D33" t="s">
        <v>104</v>
      </c>
      <c r="F33" s="83"/>
      <c r="G33" s="83"/>
      <c r="I33" s="83"/>
      <c r="J33" s="83"/>
      <c r="K33" s="83">
        <v>6.6292467367109902</v>
      </c>
      <c r="L33" s="83">
        <v>6.17038729838906</v>
      </c>
      <c r="M33" s="83">
        <v>6.1773258388165102</v>
      </c>
      <c r="N33" s="83">
        <v>6.1290997226304</v>
      </c>
      <c r="O33" s="83">
        <v>6.1089799689070796</v>
      </c>
      <c r="P33" s="83">
        <v>6.1168464716647701</v>
      </c>
      <c r="Q33" s="83">
        <v>6.1258161062560603</v>
      </c>
      <c r="R33" s="92">
        <v>6.1343412619678501</v>
      </c>
    </row>
    <row r="36" spans="1:30" x14ac:dyDescent="0.25">
      <c r="B36" s="114" t="s">
        <v>106</v>
      </c>
      <c r="C36" s="114"/>
      <c r="D36" s="114"/>
    </row>
    <row r="37" spans="1:30" x14ac:dyDescent="0.25">
      <c r="E37" s="59">
        <v>2018</v>
      </c>
      <c r="F37" s="59">
        <v>2019</v>
      </c>
      <c r="G37" s="59">
        <v>2020</v>
      </c>
      <c r="H37" s="59">
        <v>2025</v>
      </c>
      <c r="I37" s="59">
        <v>2030</v>
      </c>
      <c r="J37" s="59">
        <v>2035</v>
      </c>
      <c r="K37" s="59">
        <v>2040</v>
      </c>
      <c r="L37" s="59">
        <v>2045</v>
      </c>
      <c r="M37" s="60">
        <v>2050</v>
      </c>
    </row>
    <row r="38" spans="1:30" x14ac:dyDescent="0.25">
      <c r="A38" s="115" t="s">
        <v>107</v>
      </c>
      <c r="B38" s="115" t="s">
        <v>90</v>
      </c>
      <c r="C38" s="115"/>
      <c r="D38" s="115"/>
      <c r="U38" t="s">
        <v>108</v>
      </c>
      <c r="V38">
        <v>2018</v>
      </c>
      <c r="W38">
        <v>2019</v>
      </c>
      <c r="X38">
        <v>2020</v>
      </c>
      <c r="Y38">
        <v>2025</v>
      </c>
      <c r="Z38">
        <v>2030</v>
      </c>
      <c r="AA38">
        <v>2035</v>
      </c>
      <c r="AB38">
        <v>2040</v>
      </c>
      <c r="AC38">
        <v>2045</v>
      </c>
      <c r="AD38">
        <v>2050</v>
      </c>
    </row>
    <row r="39" spans="1:30" x14ac:dyDescent="0.25">
      <c r="A39" s="115"/>
      <c r="B39" s="115" t="s">
        <v>91</v>
      </c>
      <c r="C39" s="115"/>
      <c r="D39" s="115"/>
      <c r="E39" s="93">
        <f>H7</f>
        <v>2101.8000000000002</v>
      </c>
      <c r="F39" s="93">
        <f>I7</f>
        <v>2169.3000000000002</v>
      </c>
      <c r="G39" s="93">
        <f>J7</f>
        <v>2054.3000000000002</v>
      </c>
      <c r="H39" s="53">
        <f>M7*'2. PIB'!I36/'2. PIB'!I26/1000</f>
        <v>2194.637917386131</v>
      </c>
      <c r="I39" s="53">
        <f>N7*'2. PIB'!N36/'2. PIB'!N26/1000</f>
        <v>2280.1033479610492</v>
      </c>
      <c r="J39" s="53">
        <f>O7*'2. PIB'!S36/'2. PIB'!S26/1000</f>
        <v>2388.9287332254662</v>
      </c>
      <c r="K39" s="53">
        <f>P7*'2. PIB'!X36/'2. PIB'!X26/1000</f>
        <v>2563.3199826429804</v>
      </c>
      <c r="L39" s="53">
        <f>Q7*'2. PIB'!AC36/'2. PIB'!AC26/1000</f>
        <v>2761.1672815157149</v>
      </c>
      <c r="M39" s="53">
        <f>R7*'2. PIB'!AH36/'2. PIB'!AH26/1000</f>
        <v>2951.339230428282</v>
      </c>
      <c r="N39" s="120">
        <f t="shared" ref="N39:N42" si="9">(M39/G39)^(1/30)-1</f>
        <v>1.215068993809143E-2</v>
      </c>
      <c r="O39" t="s">
        <v>109</v>
      </c>
      <c r="S39" s="105"/>
      <c r="U39" t="s">
        <v>110</v>
      </c>
      <c r="V39">
        <v>100</v>
      </c>
      <c r="W39">
        <v>101.4</v>
      </c>
      <c r="X39">
        <v>102.81959999999999</v>
      </c>
      <c r="Y39">
        <v>108.06443294726201</v>
      </c>
      <c r="Z39">
        <v>114.14018098909099</v>
      </c>
      <c r="AA39">
        <v>121.754713661197</v>
      </c>
      <c r="AB39">
        <v>129.87722789871</v>
      </c>
      <c r="AC39">
        <v>138.54161222531201</v>
      </c>
      <c r="AD39">
        <v>147.78401593971299</v>
      </c>
    </row>
    <row r="40" spans="1:30" x14ac:dyDescent="0.25">
      <c r="A40" s="115"/>
      <c r="B40" s="115" t="s">
        <v>92</v>
      </c>
      <c r="C40" s="115"/>
      <c r="D40" s="115"/>
      <c r="E40" s="53">
        <f t="shared" ref="E40:M40" si="10">E$39*E53</f>
        <v>39</v>
      </c>
      <c r="F40" s="53">
        <f t="shared" si="10"/>
        <v>37.1</v>
      </c>
      <c r="G40" s="53">
        <f t="shared" si="10"/>
        <v>36.799999999999997</v>
      </c>
      <c r="H40" s="53">
        <f t="shared" si="10"/>
        <v>35.34480192848573</v>
      </c>
      <c r="I40" s="53">
        <f t="shared" si="10"/>
        <v>35.075830091284615</v>
      </c>
      <c r="J40" s="53">
        <f t="shared" si="10"/>
        <v>34.813927741864816</v>
      </c>
      <c r="K40" s="53">
        <f t="shared" si="10"/>
        <v>34.764769983650716</v>
      </c>
      <c r="L40" s="53">
        <f t="shared" si="10"/>
        <v>34.63675976531681</v>
      </c>
      <c r="M40" s="53">
        <f t="shared" si="10"/>
        <v>34.422124340281258</v>
      </c>
      <c r="N40" s="120">
        <f t="shared" si="9"/>
        <v>-2.2241342099741379E-3</v>
      </c>
      <c r="S40" s="105"/>
      <c r="U40" t="s">
        <v>111</v>
      </c>
      <c r="V40">
        <v>100</v>
      </c>
      <c r="W40">
        <v>101.7</v>
      </c>
      <c r="X40">
        <v>103.4289</v>
      </c>
      <c r="Y40">
        <v>112.52439082213699</v>
      </c>
      <c r="Z40">
        <v>122.419735005332</v>
      </c>
      <c r="AA40">
        <v>124.887795368493</v>
      </c>
      <c r="AB40">
        <v>127.40561341129499</v>
      </c>
      <c r="AC40">
        <v>129.974192280469</v>
      </c>
      <c r="AD40">
        <v>132.59455534682601</v>
      </c>
    </row>
    <row r="41" spans="1:30" x14ac:dyDescent="0.25">
      <c r="A41" s="115"/>
      <c r="B41" s="115" t="s">
        <v>93</v>
      </c>
      <c r="C41" s="115"/>
      <c r="D41" s="115"/>
      <c r="E41" s="53">
        <f t="shared" ref="E41:M41" si="11">E$39*E54</f>
        <v>117.4</v>
      </c>
      <c r="F41" s="53">
        <f t="shared" si="11"/>
        <v>124.1</v>
      </c>
      <c r="G41" s="53">
        <f t="shared" si="11"/>
        <v>106.7</v>
      </c>
      <c r="H41" s="53">
        <f t="shared" si="11"/>
        <v>115.2245267968364</v>
      </c>
      <c r="I41" s="53">
        <f t="shared" si="11"/>
        <v>117.81856254807504</v>
      </c>
      <c r="J41" s="53">
        <f t="shared" si="11"/>
        <v>121.79677605641305</v>
      </c>
      <c r="K41" s="53">
        <f t="shared" si="11"/>
        <v>127.79779795931364</v>
      </c>
      <c r="L41" s="53">
        <f t="shared" si="11"/>
        <v>135.10475704922126</v>
      </c>
      <c r="M41" s="53">
        <f t="shared" si="11"/>
        <v>142.30837600629388</v>
      </c>
      <c r="N41" s="120">
        <f t="shared" si="9"/>
        <v>9.6453933941842429E-3</v>
      </c>
      <c r="U41" t="s">
        <v>112</v>
      </c>
      <c r="V41">
        <v>100</v>
      </c>
      <c r="W41">
        <v>101.31539403407101</v>
      </c>
      <c r="X41">
        <v>92.958615750341806</v>
      </c>
      <c r="Y41">
        <v>105.83343399148301</v>
      </c>
      <c r="Z41">
        <v>111.232002761643</v>
      </c>
      <c r="AA41">
        <v>118.652524718704</v>
      </c>
      <c r="AB41">
        <v>126.568085376391</v>
      </c>
      <c r="AC41">
        <v>135.01170981252699</v>
      </c>
      <c r="AD41">
        <v>144.01862627766499</v>
      </c>
    </row>
    <row r="42" spans="1:30" x14ac:dyDescent="0.25">
      <c r="A42" s="115"/>
      <c r="B42" s="115" t="s">
        <v>94</v>
      </c>
      <c r="C42" s="115"/>
      <c r="D42" s="115"/>
      <c r="E42" s="53">
        <f t="shared" ref="E42:M42" si="12">E$39*E55</f>
        <v>1656.6000000000001</v>
      </c>
      <c r="F42" s="53">
        <f t="shared" si="12"/>
        <v>1707.4</v>
      </c>
      <c r="G42" s="53">
        <f t="shared" si="12"/>
        <v>1638.8000000000002</v>
      </c>
      <c r="H42" s="53">
        <f t="shared" si="12"/>
        <v>1764.0636789575181</v>
      </c>
      <c r="I42" s="53">
        <f t="shared" si="12"/>
        <v>1841.4591161858516</v>
      </c>
      <c r="J42" s="53">
        <f t="shared" si="12"/>
        <v>1937.34122058397</v>
      </c>
      <c r="K42" s="53">
        <f t="shared" si="12"/>
        <v>2089.5806481924278</v>
      </c>
      <c r="L42" s="53">
        <f t="shared" si="12"/>
        <v>2261.1462328144812</v>
      </c>
      <c r="M42" s="53">
        <f t="shared" si="12"/>
        <v>2425.577235580382</v>
      </c>
      <c r="N42" s="120">
        <f t="shared" si="9"/>
        <v>1.3155963580143482E-2</v>
      </c>
      <c r="U42" t="s">
        <v>113</v>
      </c>
      <c r="V42">
        <v>100</v>
      </c>
      <c r="W42">
        <v>100.637830425595</v>
      </c>
      <c r="X42">
        <v>92.625754616218302</v>
      </c>
      <c r="Y42">
        <v>105.081100657764</v>
      </c>
      <c r="Z42">
        <v>108.05230346096801</v>
      </c>
      <c r="AA42">
        <v>112.373387824452</v>
      </c>
      <c r="AB42">
        <v>118.559911781263</v>
      </c>
      <c r="AC42">
        <v>126.625026965546</v>
      </c>
      <c r="AD42">
        <v>136.11526444239399</v>
      </c>
    </row>
    <row r="43" spans="1:30" x14ac:dyDescent="0.25">
      <c r="A43" s="115"/>
      <c r="B43" s="115" t="s">
        <v>95</v>
      </c>
      <c r="C43" s="115"/>
      <c r="D43" s="115"/>
      <c r="E43" s="53">
        <f t="shared" ref="E43:M43" si="13">E$39*E56</f>
        <v>288.8</v>
      </c>
      <c r="F43" s="53">
        <f t="shared" si="13"/>
        <v>300.60000000000002</v>
      </c>
      <c r="G43" s="53">
        <f t="shared" si="13"/>
        <v>272</v>
      </c>
      <c r="H43" s="53">
        <f t="shared" si="13"/>
        <v>279.84862213609193</v>
      </c>
      <c r="I43" s="53">
        <f t="shared" si="13"/>
        <v>285.666164295138</v>
      </c>
      <c r="J43" s="53">
        <f t="shared" si="13"/>
        <v>295.0014976511855</v>
      </c>
      <c r="K43" s="53">
        <f t="shared" si="13"/>
        <v>311.40702041891808</v>
      </c>
      <c r="L43" s="53">
        <f t="shared" si="13"/>
        <v>330.74474709294287</v>
      </c>
      <c r="M43" s="53">
        <f t="shared" si="13"/>
        <v>349.73250271233127</v>
      </c>
      <c r="N43" s="120">
        <f>(M43/G43)^(1/30)-1</f>
        <v>8.4140850283769275E-3</v>
      </c>
      <c r="U43" t="s">
        <v>114</v>
      </c>
      <c r="V43">
        <v>100</v>
      </c>
      <c r="W43">
        <f t="shared" ref="W43:AD43" si="14">F43/$E43*100</f>
        <v>104.08587257617729</v>
      </c>
      <c r="X43">
        <f t="shared" si="14"/>
        <v>94.18282548476455</v>
      </c>
      <c r="Y43">
        <f t="shared" si="14"/>
        <v>96.900492429394717</v>
      </c>
      <c r="Z43">
        <f t="shared" si="14"/>
        <v>98.914876833496535</v>
      </c>
      <c r="AA43">
        <f t="shared" si="14"/>
        <v>102.14733298171244</v>
      </c>
      <c r="AB43">
        <f t="shared" si="14"/>
        <v>107.82791565752009</v>
      </c>
      <c r="AC43">
        <f t="shared" si="14"/>
        <v>114.52380439506331</v>
      </c>
      <c r="AD43">
        <f t="shared" si="14"/>
        <v>121.09851201950528</v>
      </c>
    </row>
    <row r="44" spans="1:30" x14ac:dyDescent="0.25">
      <c r="A44" s="115"/>
      <c r="C44" s="115" t="s">
        <v>96</v>
      </c>
      <c r="D44" s="115"/>
      <c r="G44" s="14">
        <f t="shared" ref="G44:M52" si="15">G$43*G57</f>
        <v>36.807719546351329</v>
      </c>
      <c r="H44" s="14">
        <f t="shared" si="15"/>
        <v>37.586434006942689</v>
      </c>
      <c r="I44" s="14">
        <f t="shared" si="15"/>
        <v>37.44359577549568</v>
      </c>
      <c r="J44" s="14">
        <f t="shared" si="15"/>
        <v>37.529051948319712</v>
      </c>
      <c r="K44" s="14">
        <f t="shared" si="15"/>
        <v>37.81208588026022</v>
      </c>
      <c r="L44" s="14">
        <f t="shared" si="15"/>
        <v>38.03774837708665</v>
      </c>
      <c r="M44" s="14">
        <f t="shared" si="15"/>
        <v>38.249027068953822</v>
      </c>
      <c r="N44" s="120">
        <f t="shared" ref="N44:N52" si="16">(M44/G44)^(1/30)-1</f>
        <v>1.2811710121429787E-3</v>
      </c>
      <c r="U44" t="s">
        <v>115</v>
      </c>
      <c r="V44">
        <v>100</v>
      </c>
      <c r="W44">
        <f t="shared" ref="W44:AD44" si="17">F76/$E76*100</f>
        <v>104.08587257617729</v>
      </c>
      <c r="X44">
        <f t="shared" si="17"/>
        <v>94.18282548476455</v>
      </c>
      <c r="Y44">
        <f t="shared" si="17"/>
        <v>102.5886838113323</v>
      </c>
      <c r="Z44">
        <f t="shared" si="17"/>
        <v>106.58377838460584</v>
      </c>
      <c r="AA44">
        <f t="shared" si="17"/>
        <v>111.67083759883585</v>
      </c>
      <c r="AB44">
        <f t="shared" si="17"/>
        <v>119.82278312216148</v>
      </c>
      <c r="AC44">
        <f t="shared" si="17"/>
        <v>129.07118525090772</v>
      </c>
      <c r="AD44">
        <f t="shared" si="17"/>
        <v>137.96080197639128</v>
      </c>
    </row>
    <row r="45" spans="1:30" x14ac:dyDescent="0.25">
      <c r="A45" s="115"/>
      <c r="C45" s="115" t="s">
        <v>97</v>
      </c>
      <c r="D45" s="115"/>
      <c r="G45" s="14">
        <f t="shared" si="15"/>
        <v>235.20555403939966</v>
      </c>
      <c r="H45" s="14">
        <f t="shared" si="15"/>
        <v>242.31734896617436</v>
      </c>
      <c r="I45" s="14">
        <f t="shared" si="15"/>
        <v>248.41423413783988</v>
      </c>
      <c r="J45" s="14">
        <f t="shared" si="15"/>
        <v>257.83707231161316</v>
      </c>
      <c r="K45" s="14">
        <f t="shared" si="15"/>
        <v>274.24405717312573</v>
      </c>
      <c r="L45" s="14">
        <f t="shared" si="15"/>
        <v>293.70727789824792</v>
      </c>
      <c r="M45" s="14">
        <f t="shared" si="15"/>
        <v>312.83006471911244</v>
      </c>
      <c r="N45" s="120">
        <f t="shared" si="16"/>
        <v>9.5520082862576849E-3</v>
      </c>
    </row>
    <row r="46" spans="1:30" x14ac:dyDescent="0.25">
      <c r="A46" s="115"/>
      <c r="D46" t="s">
        <v>98</v>
      </c>
      <c r="G46" s="14">
        <f t="shared" si="15"/>
        <v>3.570012570357981</v>
      </c>
      <c r="H46" s="14">
        <f t="shared" si="15"/>
        <v>3.2996967329742737</v>
      </c>
      <c r="I46" s="14">
        <f t="shared" si="15"/>
        <v>3.2217534271352068</v>
      </c>
      <c r="J46" s="14">
        <f t="shared" si="15"/>
        <v>3.1562413445919479</v>
      </c>
      <c r="K46" s="14">
        <f t="shared" si="15"/>
        <v>3.115302172963871</v>
      </c>
      <c r="L46" s="14">
        <f t="shared" si="15"/>
        <v>3.0816548079461192</v>
      </c>
      <c r="M46" s="14">
        <f t="shared" si="15"/>
        <v>3.0433020561147375</v>
      </c>
      <c r="N46" s="120">
        <f t="shared" si="16"/>
        <v>-5.3067355413218831E-3</v>
      </c>
    </row>
    <row r="47" spans="1:30" x14ac:dyDescent="0.25">
      <c r="A47" s="115"/>
      <c r="D47" t="s">
        <v>99</v>
      </c>
      <c r="G47" s="14">
        <f t="shared" si="15"/>
        <v>2.8732771731233924</v>
      </c>
      <c r="H47" s="14">
        <f t="shared" si="15"/>
        <v>2.7053239916481311</v>
      </c>
      <c r="I47" s="14">
        <f t="shared" si="15"/>
        <v>2.7123112013171626</v>
      </c>
      <c r="J47" s="14">
        <f t="shared" si="15"/>
        <v>2.7061691741555323</v>
      </c>
      <c r="K47" s="14">
        <f t="shared" si="15"/>
        <v>2.7062037855350285</v>
      </c>
      <c r="L47" s="14">
        <f t="shared" si="15"/>
        <v>2.698302206394096</v>
      </c>
      <c r="M47" s="14">
        <f t="shared" si="15"/>
        <v>2.6784942983283302</v>
      </c>
      <c r="N47" s="120">
        <f t="shared" si="16"/>
        <v>-2.337212550351353E-3</v>
      </c>
    </row>
    <row r="48" spans="1:30" x14ac:dyDescent="0.25">
      <c r="A48" s="115"/>
      <c r="D48" t="s">
        <v>100</v>
      </c>
      <c r="G48" s="14">
        <f t="shared" si="15"/>
        <v>37.402350687044972</v>
      </c>
      <c r="H48" s="14">
        <f t="shared" si="15"/>
        <v>35.720653214871383</v>
      </c>
      <c r="I48" s="14">
        <f t="shared" si="15"/>
        <v>36.020388724740272</v>
      </c>
      <c r="J48" s="14">
        <f t="shared" si="15"/>
        <v>36.693133457604659</v>
      </c>
      <c r="K48" s="14">
        <f t="shared" si="15"/>
        <v>37.813804981684008</v>
      </c>
      <c r="L48" s="14">
        <f t="shared" si="15"/>
        <v>39.085526353625092</v>
      </c>
      <c r="M48" s="14">
        <f t="shared" si="15"/>
        <v>40.379117720228457</v>
      </c>
      <c r="N48" s="120">
        <f t="shared" si="16"/>
        <v>2.555901032810004E-3</v>
      </c>
    </row>
    <row r="49" spans="1:15" x14ac:dyDescent="0.25">
      <c r="A49" s="115"/>
      <c r="D49" t="s">
        <v>101</v>
      </c>
      <c r="G49" s="14">
        <f t="shared" si="15"/>
        <v>8.6584778271085998</v>
      </c>
      <c r="H49" s="14">
        <f t="shared" si="15"/>
        <v>8.8329219587003127</v>
      </c>
      <c r="I49" s="14">
        <f t="shared" si="15"/>
        <v>9.1537903708583297</v>
      </c>
      <c r="J49" s="14">
        <f t="shared" si="15"/>
        <v>9.5172171317536591</v>
      </c>
      <c r="K49" s="14">
        <f t="shared" si="15"/>
        <v>10.082019666386888</v>
      </c>
      <c r="L49" s="14">
        <f t="shared" si="15"/>
        <v>10.784391619008105</v>
      </c>
      <c r="M49" s="14">
        <f t="shared" si="15"/>
        <v>11.450520090409285</v>
      </c>
      <c r="N49" s="120">
        <f t="shared" si="16"/>
        <v>9.3600745583377609E-3</v>
      </c>
    </row>
    <row r="50" spans="1:15" x14ac:dyDescent="0.25">
      <c r="A50" s="115"/>
      <c r="D50" t="s">
        <v>102</v>
      </c>
      <c r="G50" s="14">
        <f t="shared" si="15"/>
        <v>8.414783000621723</v>
      </c>
      <c r="H50" s="14">
        <f t="shared" si="15"/>
        <v>8.7043656800086779</v>
      </c>
      <c r="I50" s="14">
        <f t="shared" si="15"/>
        <v>8.9652091086427514</v>
      </c>
      <c r="J50" s="14">
        <f t="shared" si="15"/>
        <v>9.3789869422499326</v>
      </c>
      <c r="K50" s="14">
        <f t="shared" si="15"/>
        <v>10.019646320084851</v>
      </c>
      <c r="L50" s="14">
        <f t="shared" si="15"/>
        <v>10.773177299469564</v>
      </c>
      <c r="M50" s="14">
        <f t="shared" si="15"/>
        <v>11.551935927881223</v>
      </c>
      <c r="N50" s="120">
        <f t="shared" si="16"/>
        <v>1.0618075731564369E-2</v>
      </c>
    </row>
    <row r="51" spans="1:15" x14ac:dyDescent="0.25">
      <c r="A51" s="115"/>
      <c r="D51" t="s">
        <v>103</v>
      </c>
      <c r="G51" s="14">
        <f t="shared" si="15"/>
        <v>45.49118108947679</v>
      </c>
      <c r="H51" s="14">
        <f t="shared" si="15"/>
        <v>47.489432229915046</v>
      </c>
      <c r="I51" s="14">
        <f t="shared" si="15"/>
        <v>48.554973796202667</v>
      </c>
      <c r="J51" s="14">
        <f t="shared" si="15"/>
        <v>50.353641313315123</v>
      </c>
      <c r="K51" s="14">
        <f t="shared" si="15"/>
        <v>53.531223381880196</v>
      </c>
      <c r="L51" s="14">
        <f t="shared" si="15"/>
        <v>57.847252362086849</v>
      </c>
      <c r="M51" s="14">
        <f t="shared" si="15"/>
        <v>62.272120747303276</v>
      </c>
      <c r="N51" s="120">
        <f t="shared" si="16"/>
        <v>1.0521476882712655E-2</v>
      </c>
    </row>
    <row r="52" spans="1:15" x14ac:dyDescent="0.25">
      <c r="A52" s="115"/>
      <c r="D52" t="s">
        <v>104</v>
      </c>
      <c r="G52" s="14">
        <f t="shared" si="15"/>
        <v>128.93362605596388</v>
      </c>
      <c r="H52" s="14">
        <f t="shared" si="15"/>
        <v>135.56993513915731</v>
      </c>
      <c r="I52" s="14">
        <f t="shared" si="15"/>
        <v>139.74980797556731</v>
      </c>
      <c r="J52" s="14">
        <f t="shared" si="15"/>
        <v>145.93917778420968</v>
      </c>
      <c r="K52" s="14">
        <f t="shared" si="15"/>
        <v>156.79434791577543</v>
      </c>
      <c r="L52" s="14">
        <f t="shared" si="15"/>
        <v>169.1440300517626</v>
      </c>
      <c r="M52" s="14">
        <f t="shared" si="15"/>
        <v>181.04522019280716</v>
      </c>
      <c r="N52" s="120">
        <f t="shared" si="16"/>
        <v>1.1379226064757608E-2</v>
      </c>
    </row>
    <row r="53" spans="1:15" x14ac:dyDescent="0.25">
      <c r="A53" s="115" t="s">
        <v>105</v>
      </c>
      <c r="B53" s="115" t="s">
        <v>92</v>
      </c>
      <c r="C53" s="115"/>
      <c r="D53" s="115"/>
      <c r="E53" s="42">
        <f t="shared" ref="E53:G56" si="18">H21</f>
        <v>1.8555523836711389E-2</v>
      </c>
      <c r="F53" s="42">
        <f t="shared" si="18"/>
        <v>1.7102291061632784E-2</v>
      </c>
      <c r="G53" s="42">
        <f t="shared" si="18"/>
        <v>1.7913644550455139E-2</v>
      </c>
      <c r="H53" s="42">
        <f t="shared" ref="H53:M56" si="19">M21/100</f>
        <v>1.6105072116216E-2</v>
      </c>
      <c r="I53" s="42">
        <f t="shared" si="19"/>
        <v>1.53834387036231E-2</v>
      </c>
      <c r="J53" s="42">
        <f t="shared" si="19"/>
        <v>1.4573029014080301E-2</v>
      </c>
      <c r="K53" s="42">
        <f t="shared" si="19"/>
        <v>1.3562399629797901E-2</v>
      </c>
      <c r="L53" s="42">
        <f t="shared" si="19"/>
        <v>1.2544245325948999E-2</v>
      </c>
      <c r="M53" s="42">
        <f t="shared" si="19"/>
        <v>1.16632218978386E-2</v>
      </c>
      <c r="O53" t="s">
        <v>116</v>
      </c>
    </row>
    <row r="54" spans="1:15" x14ac:dyDescent="0.25">
      <c r="A54" s="115"/>
      <c r="B54" s="115" t="s">
        <v>93</v>
      </c>
      <c r="C54" s="115"/>
      <c r="D54" s="115"/>
      <c r="E54" s="42">
        <f t="shared" si="18"/>
        <v>5.5856884575126081E-2</v>
      </c>
      <c r="F54" s="42">
        <f t="shared" si="18"/>
        <v>5.7207394090259524E-2</v>
      </c>
      <c r="G54" s="42">
        <f t="shared" si="18"/>
        <v>5.1939833519933795E-2</v>
      </c>
      <c r="H54" s="42">
        <f t="shared" si="19"/>
        <v>5.2502750400882398E-2</v>
      </c>
      <c r="I54" s="42">
        <f t="shared" si="19"/>
        <v>5.1672465922841901E-2</v>
      </c>
      <c r="J54" s="42">
        <f t="shared" si="19"/>
        <v>5.0983846593015095E-2</v>
      </c>
      <c r="K54" s="42">
        <f t="shared" si="19"/>
        <v>4.9856357701992503E-2</v>
      </c>
      <c r="L54" s="42">
        <f t="shared" si="19"/>
        <v>4.8930304930694703E-2</v>
      </c>
      <c r="M54" s="42">
        <f t="shared" si="19"/>
        <v>4.8218237517089105E-2</v>
      </c>
      <c r="O54" t="s">
        <v>116</v>
      </c>
    </row>
    <row r="55" spans="1:15" x14ac:dyDescent="0.25">
      <c r="A55" s="115"/>
      <c r="B55" s="115" t="s">
        <v>94</v>
      </c>
      <c r="C55" s="115"/>
      <c r="D55" s="115"/>
      <c r="E55" s="42">
        <f t="shared" si="18"/>
        <v>0.7881815586640023</v>
      </c>
      <c r="F55" s="42">
        <f t="shared" si="18"/>
        <v>0.78707417139169311</v>
      </c>
      <c r="G55" s="42">
        <f t="shared" si="18"/>
        <v>0.79774132307842094</v>
      </c>
      <c r="H55" s="42">
        <f t="shared" si="19"/>
        <v>0.80380625203931699</v>
      </c>
      <c r="I55" s="42">
        <f t="shared" si="19"/>
        <v>0.80762089921606006</v>
      </c>
      <c r="J55" s="42">
        <f t="shared" si="19"/>
        <v>0.81096651969530498</v>
      </c>
      <c r="K55" s="42">
        <f t="shared" si="19"/>
        <v>0.81518525285240007</v>
      </c>
      <c r="L55" s="42">
        <f t="shared" si="19"/>
        <v>0.81890954160996998</v>
      </c>
      <c r="M55" s="42">
        <f t="shared" si="19"/>
        <v>0.82185646792910205</v>
      </c>
      <c r="O55" t="s">
        <v>116</v>
      </c>
    </row>
    <row r="56" spans="1:15" x14ac:dyDescent="0.25">
      <c r="A56" s="115"/>
      <c r="B56" s="115" t="s">
        <v>95</v>
      </c>
      <c r="C56" s="115"/>
      <c r="D56" s="115"/>
      <c r="E56" s="42">
        <f t="shared" si="18"/>
        <v>0.13740603292416023</v>
      </c>
      <c r="F56" s="42">
        <f t="shared" si="18"/>
        <v>0.13857004563684139</v>
      </c>
      <c r="G56" s="42">
        <f t="shared" si="18"/>
        <v>0.13240519885119018</v>
      </c>
      <c r="H56" s="42">
        <f t="shared" si="19"/>
        <v>0.127514712071228</v>
      </c>
      <c r="I56" s="42">
        <f t="shared" si="19"/>
        <v>0.12528649832938099</v>
      </c>
      <c r="J56" s="42">
        <f t="shared" si="19"/>
        <v>0.123486939375074</v>
      </c>
      <c r="K56" s="42">
        <f t="shared" si="19"/>
        <v>0.121485816256866</v>
      </c>
      <c r="L56" s="42">
        <f t="shared" si="19"/>
        <v>0.11978439311050501</v>
      </c>
      <c r="M56" s="42">
        <f t="shared" si="19"/>
        <v>0.118499594728587</v>
      </c>
      <c r="O56" t="s">
        <v>116</v>
      </c>
    </row>
    <row r="57" spans="1:15" x14ac:dyDescent="0.25">
      <c r="A57" s="115"/>
      <c r="C57" s="115" t="s">
        <v>96</v>
      </c>
      <c r="D57" s="115"/>
      <c r="G57" s="94">
        <v>0.135322498332174</v>
      </c>
      <c r="H57" s="94">
        <v>0.13430987696149599</v>
      </c>
      <c r="I57" s="94">
        <v>0.13107466145976801</v>
      </c>
      <c r="J57" s="94">
        <v>0.12721647939799499</v>
      </c>
      <c r="K57" s="94">
        <v>0.121423357217168</v>
      </c>
      <c r="L57" s="94">
        <v>0.115006356749175</v>
      </c>
      <c r="M57" s="94">
        <v>0.109366520904736</v>
      </c>
      <c r="O57" t="s">
        <v>116</v>
      </c>
    </row>
    <row r="58" spans="1:15" x14ac:dyDescent="0.25">
      <c r="A58" s="115"/>
      <c r="C58" s="115" t="s">
        <v>97</v>
      </c>
      <c r="D58" s="115"/>
      <c r="G58" s="94">
        <v>0.86472630161543995</v>
      </c>
      <c r="H58" s="94">
        <v>0.86588723259224798</v>
      </c>
      <c r="I58" s="94">
        <v>0.86959628120742005</v>
      </c>
      <c r="J58" s="94">
        <v>0.87401953672955202</v>
      </c>
      <c r="K58" s="94">
        <v>0.88066112576460498</v>
      </c>
      <c r="L58" s="94">
        <v>0.888017966966269</v>
      </c>
      <c r="M58" s="94">
        <v>0.89448381918459396</v>
      </c>
    </row>
    <row r="59" spans="1:15" x14ac:dyDescent="0.25">
      <c r="A59" s="115"/>
      <c r="D59" t="s">
        <v>98</v>
      </c>
      <c r="G59" s="94">
        <v>1.3125046214551401E-2</v>
      </c>
      <c r="H59" s="94">
        <v>1.1791005822317799E-2</v>
      </c>
      <c r="I59" s="94">
        <v>1.12780364978984E-2</v>
      </c>
      <c r="J59" s="94">
        <v>1.0699068885148299E-2</v>
      </c>
      <c r="K59" s="94">
        <v>1.00039561368046E-2</v>
      </c>
      <c r="L59" s="94">
        <v>9.3173204866656301E-3</v>
      </c>
      <c r="M59" s="94">
        <v>8.7017993252345004E-3</v>
      </c>
    </row>
    <row r="60" spans="1:15" x14ac:dyDescent="0.25">
      <c r="A60" s="115"/>
      <c r="D60" t="s">
        <v>99</v>
      </c>
      <c r="G60" s="94">
        <v>1.0563519018836001E-2</v>
      </c>
      <c r="H60" s="94">
        <v>9.6670977723539303E-3</v>
      </c>
      <c r="I60" s="94">
        <v>9.4946883471817792E-3</v>
      </c>
      <c r="J60" s="94">
        <v>9.1734082562365503E-3</v>
      </c>
      <c r="K60" s="94">
        <v>8.6902465522277796E-3</v>
      </c>
      <c r="L60" s="94">
        <v>8.1582617112157599E-3</v>
      </c>
      <c r="M60" s="94">
        <v>7.6586942236006499E-3</v>
      </c>
    </row>
    <row r="61" spans="1:15" x14ac:dyDescent="0.25">
      <c r="A61" s="115"/>
      <c r="D61" t="s">
        <v>100</v>
      </c>
      <c r="G61" s="94">
        <v>0.137508642231783</v>
      </c>
      <c r="H61" s="94">
        <v>0.12764276965959201</v>
      </c>
      <c r="I61" s="94">
        <v>0.126092597678196</v>
      </c>
      <c r="J61" s="94">
        <v>0.124382871781184</v>
      </c>
      <c r="K61" s="94">
        <v>0.12142887764962799</v>
      </c>
      <c r="L61" s="94">
        <v>0.118174292100372</v>
      </c>
      <c r="M61" s="94">
        <v>0.115457149127034</v>
      </c>
    </row>
    <row r="62" spans="1:15" x14ac:dyDescent="0.25">
      <c r="A62" s="115"/>
      <c r="D62" t="s">
        <v>101</v>
      </c>
      <c r="G62" s="94">
        <v>3.1832639070252203E-2</v>
      </c>
      <c r="H62" s="94">
        <v>3.1563214037926599E-2</v>
      </c>
      <c r="I62" s="94">
        <v>3.2043663250930297E-2</v>
      </c>
      <c r="J62" s="94">
        <v>3.2261589203885901E-2</v>
      </c>
      <c r="K62" s="94">
        <v>3.2375698058522001E-2</v>
      </c>
      <c r="L62" s="94">
        <v>3.2606388200558702E-2</v>
      </c>
      <c r="M62" s="94">
        <v>3.27407947548638E-2</v>
      </c>
    </row>
    <row r="63" spans="1:15" x14ac:dyDescent="0.25">
      <c r="A63" s="115"/>
      <c r="D63" t="s">
        <v>102</v>
      </c>
      <c r="G63" s="94">
        <v>3.0936702208168101E-2</v>
      </c>
      <c r="H63" s="94">
        <v>3.1103836115282699E-2</v>
      </c>
      <c r="I63" s="94">
        <v>3.1383517648174403E-2</v>
      </c>
      <c r="J63" s="94">
        <v>3.1793014669165502E-2</v>
      </c>
      <c r="K63" s="94">
        <v>3.2175402810784397E-2</v>
      </c>
      <c r="L63" s="94">
        <v>3.2572481934058303E-2</v>
      </c>
      <c r="M63" s="94">
        <v>3.3030775916710102E-2</v>
      </c>
    </row>
    <row r="64" spans="1:15" x14ac:dyDescent="0.25">
      <c r="A64" s="115"/>
      <c r="D64" t="s">
        <v>103</v>
      </c>
      <c r="G64" s="94">
        <v>0.16724698929954701</v>
      </c>
      <c r="H64" s="94">
        <v>0.16969685920704899</v>
      </c>
      <c r="I64" s="94">
        <v>0.16997103565278299</v>
      </c>
      <c r="J64" s="94">
        <v>0.17068944298328301</v>
      </c>
      <c r="K64" s="94">
        <v>0.17190114503477699</v>
      </c>
      <c r="L64" s="94">
        <v>0.174899988194918</v>
      </c>
      <c r="M64" s="94">
        <v>0.17805642959792201</v>
      </c>
    </row>
    <row r="65" spans="1:16" x14ac:dyDescent="0.25">
      <c r="A65" s="115"/>
      <c r="D65" t="s">
        <v>104</v>
      </c>
      <c r="G65" s="94">
        <v>0.47402068402927899</v>
      </c>
      <c r="H65" s="94">
        <v>0.48444024524526302</v>
      </c>
      <c r="I65" s="94">
        <v>0.489206722540594</v>
      </c>
      <c r="J65" s="94">
        <v>0.49470656571638999</v>
      </c>
      <c r="K65" s="94">
        <v>0.50350293228729703</v>
      </c>
      <c r="L65" s="94">
        <v>0.51140352655164401</v>
      </c>
      <c r="M65" s="94">
        <v>0.51766769970969495</v>
      </c>
    </row>
    <row r="66" spans="1:16" x14ac:dyDescent="0.25">
      <c r="G66" s="42"/>
    </row>
    <row r="68" spans="1:16" x14ac:dyDescent="0.25">
      <c r="B68" s="114" t="s">
        <v>117</v>
      </c>
      <c r="C68" s="114"/>
      <c r="D68" s="114"/>
    </row>
    <row r="70" spans="1:16" x14ac:dyDescent="0.25">
      <c r="E70" s="59">
        <v>2018</v>
      </c>
      <c r="F70" s="59">
        <v>2019</v>
      </c>
      <c r="G70" s="59">
        <v>2020</v>
      </c>
      <c r="H70" s="59">
        <v>2025</v>
      </c>
      <c r="I70" s="59">
        <v>2030</v>
      </c>
      <c r="J70" s="59">
        <v>2035</v>
      </c>
      <c r="K70" s="59">
        <v>2040</v>
      </c>
      <c r="L70" s="59">
        <v>2045</v>
      </c>
      <c r="M70" s="60">
        <v>2050</v>
      </c>
    </row>
    <row r="71" spans="1:16" x14ac:dyDescent="0.25">
      <c r="A71" s="115" t="s">
        <v>107</v>
      </c>
      <c r="B71" s="115" t="s">
        <v>90</v>
      </c>
      <c r="C71" s="115"/>
      <c r="D71" s="115"/>
    </row>
    <row r="72" spans="1:16" x14ac:dyDescent="0.25">
      <c r="A72" s="115"/>
      <c r="B72" s="115" t="s">
        <v>91</v>
      </c>
      <c r="C72" s="115"/>
      <c r="D72" s="115"/>
      <c r="E72" s="93">
        <f>H7</f>
        <v>2101.8000000000002</v>
      </c>
      <c r="F72" s="93">
        <f>I7</f>
        <v>2169.3000000000002</v>
      </c>
      <c r="G72" s="93">
        <f>J7</f>
        <v>2054.3000000000002</v>
      </c>
      <c r="H72" s="53">
        <f>M7*'2. PIB'!I36/'2. PIB'!I26/1000</f>
        <v>2194.637917386131</v>
      </c>
      <c r="I72" s="53">
        <f>N7*'2. PIB'!N36/'2. PIB'!N26/1000</f>
        <v>2280.1033479610492</v>
      </c>
      <c r="J72" s="53">
        <f>O7*'2. PIB'!S36/'2. PIB'!S26/1000</f>
        <v>2388.9287332254662</v>
      </c>
      <c r="K72" s="53">
        <f>P7*'2. PIB'!X36/'2. PIB'!X26/1000</f>
        <v>2563.3199826429804</v>
      </c>
      <c r="L72" s="53">
        <f>Q7*'2. PIB'!AC36/'2. PIB'!AC26/1000</f>
        <v>2761.1672815157149</v>
      </c>
      <c r="M72" s="53">
        <f>R7*'2. PIB'!AH36/'2. PIB'!AH26/1000</f>
        <v>2951.339230428282</v>
      </c>
      <c r="N72" s="120">
        <f t="shared" ref="N72:N75" si="20">(M72/G72)^(1/30)-1</f>
        <v>1.215068993809143E-2</v>
      </c>
      <c r="O72" s="105"/>
      <c r="P72" s="105"/>
    </row>
    <row r="73" spans="1:16" x14ac:dyDescent="0.25">
      <c r="A73" s="115"/>
      <c r="B73" s="115" t="s">
        <v>92</v>
      </c>
      <c r="C73" s="115"/>
      <c r="D73" s="115"/>
      <c r="E73" s="53">
        <f t="shared" ref="E73:M73" si="21">E$72*E86</f>
        <v>39</v>
      </c>
      <c r="F73" s="53">
        <f t="shared" si="21"/>
        <v>37.1</v>
      </c>
      <c r="G73" s="53">
        <f t="shared" si="21"/>
        <v>36.799999999999997</v>
      </c>
      <c r="H73" s="53">
        <f t="shared" si="21"/>
        <v>35.34480192848573</v>
      </c>
      <c r="I73" s="53">
        <f t="shared" si="21"/>
        <v>35.075830091284615</v>
      </c>
      <c r="J73" s="53">
        <f t="shared" si="21"/>
        <v>34.813927741864816</v>
      </c>
      <c r="K73" s="53">
        <f t="shared" si="21"/>
        <v>34.764769983650716</v>
      </c>
      <c r="L73" s="53">
        <f t="shared" si="21"/>
        <v>34.63675976531681</v>
      </c>
      <c r="M73" s="53">
        <f t="shared" si="21"/>
        <v>34.422124340281258</v>
      </c>
      <c r="N73" s="120">
        <f t="shared" si="20"/>
        <v>-2.2241342099741379E-3</v>
      </c>
      <c r="O73" s="105"/>
      <c r="P73" s="105"/>
    </row>
    <row r="74" spans="1:16" x14ac:dyDescent="0.25">
      <c r="A74" s="115"/>
      <c r="B74" s="115" t="s">
        <v>93</v>
      </c>
      <c r="C74" s="115"/>
      <c r="D74" s="115"/>
      <c r="E74" s="53">
        <f t="shared" ref="E74:M74" si="22">E$72*E87</f>
        <v>117.4</v>
      </c>
      <c r="F74" s="53">
        <f t="shared" si="22"/>
        <v>124.1</v>
      </c>
      <c r="G74" s="53">
        <f t="shared" si="22"/>
        <v>106.7</v>
      </c>
      <c r="H74" s="53">
        <f t="shared" si="22"/>
        <v>115.2245267968364</v>
      </c>
      <c r="I74" s="53">
        <f t="shared" si="22"/>
        <v>117.81856254807504</v>
      </c>
      <c r="J74" s="53">
        <f t="shared" si="22"/>
        <v>121.79677605641307</v>
      </c>
      <c r="K74" s="53">
        <f t="shared" si="22"/>
        <v>127.79779795931364</v>
      </c>
      <c r="L74" s="53">
        <f t="shared" si="22"/>
        <v>135.10475704922126</v>
      </c>
      <c r="M74" s="53">
        <f t="shared" si="22"/>
        <v>142.30837600629386</v>
      </c>
      <c r="N74" s="120">
        <f t="shared" si="20"/>
        <v>9.6453933941842429E-3</v>
      </c>
      <c r="O74" s="105"/>
      <c r="P74" s="105"/>
    </row>
    <row r="75" spans="1:16" x14ac:dyDescent="0.25">
      <c r="A75" s="115"/>
      <c r="B75" s="115" t="s">
        <v>94</v>
      </c>
      <c r="C75" s="115"/>
      <c r="D75" s="115"/>
      <c r="E75" s="53">
        <f t="shared" ref="E75:M75" si="23">E$72*E88</f>
        <v>1656.6000000000001</v>
      </c>
      <c r="F75" s="53">
        <f t="shared" si="23"/>
        <v>1707.4</v>
      </c>
      <c r="G75" s="53">
        <f t="shared" si="23"/>
        <v>1638.8000000000002</v>
      </c>
      <c r="H75" s="53">
        <f t="shared" si="23"/>
        <v>1747.7924698136812</v>
      </c>
      <c r="I75" s="53">
        <f t="shared" si="23"/>
        <v>1819.3950033469478</v>
      </c>
      <c r="J75" s="53">
        <f t="shared" si="23"/>
        <v>1909.8126504417503</v>
      </c>
      <c r="K75" s="53">
        <f t="shared" si="23"/>
        <v>2054.7092170432138</v>
      </c>
      <c r="L75" s="53">
        <f t="shared" si="23"/>
        <v>2218.6681816965552</v>
      </c>
      <c r="M75" s="53">
        <f t="shared" si="23"/>
        <v>2376.1779339738887</v>
      </c>
      <c r="N75" s="120">
        <f t="shared" si="20"/>
        <v>1.2461303667357093E-2</v>
      </c>
      <c r="O75" s="105"/>
      <c r="P75" s="105"/>
    </row>
    <row r="76" spans="1:16" x14ac:dyDescent="0.25">
      <c r="A76" s="115"/>
      <c r="B76" s="115" t="s">
        <v>95</v>
      </c>
      <c r="C76" s="115"/>
      <c r="D76" s="115"/>
      <c r="E76" s="53">
        <f t="shared" ref="E76:M76" si="24">E$72*E89</f>
        <v>288.8</v>
      </c>
      <c r="F76" s="53">
        <f t="shared" si="24"/>
        <v>300.60000000000002</v>
      </c>
      <c r="G76" s="53">
        <f t="shared" si="24"/>
        <v>272</v>
      </c>
      <c r="H76" s="53">
        <f t="shared" si="24"/>
        <v>296.27611884712769</v>
      </c>
      <c r="I76" s="53">
        <f t="shared" si="24"/>
        <v>307.81395197474166</v>
      </c>
      <c r="J76" s="53">
        <f t="shared" si="24"/>
        <v>322.50537898543797</v>
      </c>
      <c r="K76" s="53">
        <f t="shared" si="24"/>
        <v>346.04819765680236</v>
      </c>
      <c r="L76" s="53">
        <f t="shared" si="24"/>
        <v>372.75758300462155</v>
      </c>
      <c r="M76" s="53">
        <f t="shared" si="24"/>
        <v>398.43079610781808</v>
      </c>
      <c r="N76" s="120">
        <f>(M76/G76)^(1/30)-1</f>
        <v>1.2805691400392449E-2</v>
      </c>
      <c r="O76" s="105"/>
      <c r="P76" s="105"/>
    </row>
    <row r="77" spans="1:16" x14ac:dyDescent="0.25">
      <c r="A77" s="115"/>
      <c r="C77" s="115" t="s">
        <v>96</v>
      </c>
      <c r="D77" s="115"/>
      <c r="G77" s="14">
        <f t="shared" ref="G77:M85" si="25">G$76*G90</f>
        <v>36.807719546351329</v>
      </c>
      <c r="H77" s="14">
        <f t="shared" si="25"/>
        <v>39.792809068987282</v>
      </c>
      <c r="I77" s="14">
        <f t="shared" si="25"/>
        <v>40.346609547682554</v>
      </c>
      <c r="J77" s="14">
        <f t="shared" si="25"/>
        <v>41.027998901443539</v>
      </c>
      <c r="K77" s="14">
        <f t="shared" si="25"/>
        <v>42.018333918439069</v>
      </c>
      <c r="L77" s="14">
        <f t="shared" si="25"/>
        <v>42.86949157198972</v>
      </c>
      <c r="M77" s="14">
        <f t="shared" si="25"/>
        <v>43.574989991616292</v>
      </c>
      <c r="N77" s="120">
        <f t="shared" ref="N77:N85" si="26">(M77/G77)^(1/30)-1</f>
        <v>5.6417138051090276E-3</v>
      </c>
      <c r="O77" s="105"/>
      <c r="P77" s="105"/>
    </row>
    <row r="78" spans="1:16" x14ac:dyDescent="0.25">
      <c r="A78" s="115"/>
      <c r="C78" s="115" t="s">
        <v>97</v>
      </c>
      <c r="D78" s="115"/>
      <c r="G78" s="14">
        <f t="shared" si="25"/>
        <v>235.20555403939966</v>
      </c>
      <c r="H78" s="14">
        <f t="shared" si="25"/>
        <v>256.54170863171134</v>
      </c>
      <c r="I78" s="14">
        <f t="shared" si="25"/>
        <v>267.67386794099474</v>
      </c>
      <c r="J78" s="14">
        <f t="shared" si="25"/>
        <v>281.87600193364108</v>
      </c>
      <c r="K78" s="14">
        <f t="shared" si="25"/>
        <v>304.7511953172521</v>
      </c>
      <c r="L78" s="14">
        <f t="shared" si="25"/>
        <v>331.01543103102432</v>
      </c>
      <c r="M78" s="14">
        <f t="shared" si="25"/>
        <v>356.38990018327939</v>
      </c>
      <c r="N78" s="120">
        <f t="shared" si="26"/>
        <v>1.3948570272345195E-2</v>
      </c>
      <c r="O78" s="105"/>
      <c r="P78" s="105"/>
    </row>
    <row r="79" spans="1:16" x14ac:dyDescent="0.25">
      <c r="A79" s="115"/>
      <c r="D79" t="s">
        <v>98</v>
      </c>
      <c r="G79" s="14">
        <f t="shared" si="25"/>
        <v>3.570012570357981</v>
      </c>
      <c r="H79" s="14">
        <f t="shared" si="25"/>
        <v>3.4933934423402029</v>
      </c>
      <c r="I79" s="14">
        <f t="shared" si="25"/>
        <v>3.4715369849334814</v>
      </c>
      <c r="J79" s="14">
        <f t="shared" si="25"/>
        <v>3.4505072655960594</v>
      </c>
      <c r="K79" s="14">
        <f t="shared" si="25"/>
        <v>3.4618509905789394</v>
      </c>
      <c r="L79" s="14">
        <f t="shared" si="25"/>
        <v>3.4731018646889247</v>
      </c>
      <c r="M79" s="14">
        <f t="shared" si="25"/>
        <v>3.4670648327236564</v>
      </c>
      <c r="N79" s="120">
        <f t="shared" si="26"/>
        <v>-9.7488283988467206E-4</v>
      </c>
      <c r="O79" s="105"/>
      <c r="P79" s="105"/>
    </row>
    <row r="80" spans="1:16" x14ac:dyDescent="0.25">
      <c r="A80" s="115"/>
      <c r="D80" t="s">
        <v>99</v>
      </c>
      <c r="G80" s="14">
        <f t="shared" si="25"/>
        <v>2.8732771731233924</v>
      </c>
      <c r="H80" s="14">
        <f t="shared" si="25"/>
        <v>2.8641302085087363</v>
      </c>
      <c r="I80" s="14">
        <f t="shared" si="25"/>
        <v>2.9225975429145512</v>
      </c>
      <c r="J80" s="14">
        <f t="shared" si="25"/>
        <v>2.9584735062657144</v>
      </c>
      <c r="K80" s="14">
        <f t="shared" si="25"/>
        <v>3.0072441565916637</v>
      </c>
      <c r="L80" s="14">
        <f t="shared" si="25"/>
        <v>3.0410539169919346</v>
      </c>
      <c r="M80" s="14">
        <f t="shared" si="25"/>
        <v>3.0514596366555549</v>
      </c>
      <c r="N80" s="120">
        <f t="shared" si="26"/>
        <v>2.0075723148493818E-3</v>
      </c>
    </row>
    <row r="81" spans="1:15" x14ac:dyDescent="0.25">
      <c r="A81" s="115"/>
      <c r="D81" t="s">
        <v>100</v>
      </c>
      <c r="G81" s="14">
        <f t="shared" si="25"/>
        <v>37.402350687044972</v>
      </c>
      <c r="H81" s="14">
        <f t="shared" si="25"/>
        <v>37.817504393641826</v>
      </c>
      <c r="I81" s="14">
        <f t="shared" si="25"/>
        <v>38.813060806086646</v>
      </c>
      <c r="J81" s="14">
        <f t="shared" si="25"/>
        <v>40.114145203087887</v>
      </c>
      <c r="K81" s="14">
        <f t="shared" si="25"/>
        <v>42.020244254142142</v>
      </c>
      <c r="L81" s="14">
        <f t="shared" si="25"/>
        <v>44.050363496616811</v>
      </c>
      <c r="M81" s="14">
        <f t="shared" si="25"/>
        <v>46.00168384302323</v>
      </c>
      <c r="N81" s="120">
        <f t="shared" si="26"/>
        <v>6.9219952282846275E-3</v>
      </c>
    </row>
    <row r="82" spans="1:15" x14ac:dyDescent="0.25">
      <c r="A82" s="115"/>
      <c r="D82" t="s">
        <v>101</v>
      </c>
      <c r="G82" s="14">
        <f t="shared" si="25"/>
        <v>8.6584778271085998</v>
      </c>
      <c r="H82" s="14">
        <f t="shared" si="25"/>
        <v>9.3514265534980705</v>
      </c>
      <c r="I82" s="14">
        <f t="shared" si="25"/>
        <v>9.8634866210166532</v>
      </c>
      <c r="J82" s="14">
        <f t="shared" si="25"/>
        <v>10.404536052871737</v>
      </c>
      <c r="K82" s="14">
        <f t="shared" si="25"/>
        <v>11.203551961032375</v>
      </c>
      <c r="L82" s="14">
        <f t="shared" si="25"/>
        <v>12.154278456150672</v>
      </c>
      <c r="M82" s="14">
        <f t="shared" si="25"/>
        <v>13.044940919383059</v>
      </c>
      <c r="N82" s="120">
        <f t="shared" si="26"/>
        <v>1.3755800680076424E-2</v>
      </c>
    </row>
    <row r="83" spans="1:15" x14ac:dyDescent="0.25">
      <c r="A83" s="115"/>
      <c r="D83" t="s">
        <v>102</v>
      </c>
      <c r="G83" s="14">
        <f t="shared" si="25"/>
        <v>8.414783000621723</v>
      </c>
      <c r="H83" s="14">
        <f t="shared" si="25"/>
        <v>9.2153238454930797</v>
      </c>
      <c r="I83" s="14">
        <f t="shared" si="25"/>
        <v>9.6602845941536124</v>
      </c>
      <c r="J83" s="14">
        <f t="shared" si="25"/>
        <v>10.25341824496881</v>
      </c>
      <c r="K83" s="14">
        <f t="shared" si="25"/>
        <v>11.134240151553554</v>
      </c>
      <c r="L83" s="14">
        <f t="shared" si="25"/>
        <v>12.141639638201275</v>
      </c>
      <c r="M83" s="14">
        <f t="shared" si="25"/>
        <v>13.16047834455375</v>
      </c>
      <c r="N83" s="120">
        <f t="shared" si="26"/>
        <v>1.5019280402294166E-2</v>
      </c>
    </row>
    <row r="84" spans="1:15" x14ac:dyDescent="0.25">
      <c r="A84" s="115"/>
      <c r="D84" t="s">
        <v>103</v>
      </c>
      <c r="G84" s="14">
        <f t="shared" si="25"/>
        <v>45.49118108947679</v>
      </c>
      <c r="H84" s="14">
        <f t="shared" si="25"/>
        <v>50.277126826411944</v>
      </c>
      <c r="I84" s="14">
        <f t="shared" si="25"/>
        <v>52.319456205522847</v>
      </c>
      <c r="J84" s="14">
        <f t="shared" si="25"/>
        <v>55.04826349813699</v>
      </c>
      <c r="K84" s="14">
        <f t="shared" si="25"/>
        <v>59.486081414425158</v>
      </c>
      <c r="L84" s="14">
        <f t="shared" si="25"/>
        <v>65.195296867074475</v>
      </c>
      <c r="M84" s="14">
        <f t="shared" si="25"/>
        <v>70.943164996815725</v>
      </c>
      <c r="N84" s="120">
        <f t="shared" si="26"/>
        <v>1.492226086899695E-2</v>
      </c>
    </row>
    <row r="85" spans="1:15" x14ac:dyDescent="0.25">
      <c r="A85" s="115"/>
      <c r="D85" t="s">
        <v>104</v>
      </c>
      <c r="G85" s="14">
        <f t="shared" si="25"/>
        <v>128.93362605596388</v>
      </c>
      <c r="H85" s="14">
        <f t="shared" si="25"/>
        <v>143.52807567461724</v>
      </c>
      <c r="I85" s="14">
        <f t="shared" si="25"/>
        <v>150.58465459783116</v>
      </c>
      <c r="J85" s="14">
        <f t="shared" si="25"/>
        <v>159.54552846294882</v>
      </c>
      <c r="K85" s="14">
        <f t="shared" si="25"/>
        <v>174.23628223293414</v>
      </c>
      <c r="L85" s="14">
        <f t="shared" si="25"/>
        <v>190.62954249743063</v>
      </c>
      <c r="M85" s="14">
        <f t="shared" si="25"/>
        <v>206.25475371463668</v>
      </c>
      <c r="N85" s="120">
        <f t="shared" si="26"/>
        <v>1.5783745517284897E-2</v>
      </c>
    </row>
    <row r="86" spans="1:15" x14ac:dyDescent="0.25">
      <c r="A86" s="115" t="s">
        <v>105</v>
      </c>
      <c r="B86" s="115" t="s">
        <v>92</v>
      </c>
      <c r="C86" s="115"/>
      <c r="D86" s="115"/>
      <c r="E86" s="42">
        <f t="shared" ref="E86:G89" si="27">H21</f>
        <v>1.8555523836711389E-2</v>
      </c>
      <c r="F86" s="42">
        <f t="shared" si="27"/>
        <v>1.7102291061632784E-2</v>
      </c>
      <c r="G86" s="42">
        <f t="shared" si="27"/>
        <v>1.7913644550455139E-2</v>
      </c>
      <c r="H86" s="42">
        <v>1.6105072116216E-2</v>
      </c>
      <c r="I86" s="42">
        <v>1.53834387036231E-2</v>
      </c>
      <c r="J86" s="42">
        <v>1.4573029014080301E-2</v>
      </c>
      <c r="K86" s="42">
        <v>1.3562399629797901E-2</v>
      </c>
      <c r="L86" s="42">
        <v>1.2544245325948999E-2</v>
      </c>
      <c r="M86" s="42">
        <v>1.16632218978386E-2</v>
      </c>
      <c r="O86" t="s">
        <v>116</v>
      </c>
    </row>
    <row r="87" spans="1:15" x14ac:dyDescent="0.25">
      <c r="A87" s="115"/>
      <c r="B87" s="115" t="s">
        <v>93</v>
      </c>
      <c r="C87" s="115"/>
      <c r="D87" s="115"/>
      <c r="E87" s="42">
        <f t="shared" si="27"/>
        <v>5.5856884575126081E-2</v>
      </c>
      <c r="F87" s="42">
        <f t="shared" si="27"/>
        <v>5.7207394090259524E-2</v>
      </c>
      <c r="G87" s="42">
        <f t="shared" si="27"/>
        <v>5.1939833519933795E-2</v>
      </c>
      <c r="H87" s="42">
        <v>5.2502750400882398E-2</v>
      </c>
      <c r="I87" s="42">
        <v>5.1672465922841901E-2</v>
      </c>
      <c r="J87" s="42">
        <v>5.0983846593015102E-2</v>
      </c>
      <c r="K87" s="42">
        <v>4.9856357701992503E-2</v>
      </c>
      <c r="L87" s="42">
        <v>4.8930304930694703E-2</v>
      </c>
      <c r="M87" s="42">
        <v>4.8218237517089098E-2</v>
      </c>
      <c r="O87" t="s">
        <v>116</v>
      </c>
    </row>
    <row r="88" spans="1:15" x14ac:dyDescent="0.25">
      <c r="A88" s="115"/>
      <c r="B88" s="115" t="s">
        <v>94</v>
      </c>
      <c r="C88" s="115"/>
      <c r="D88" s="115"/>
      <c r="E88" s="42">
        <f t="shared" si="27"/>
        <v>0.7881815586640023</v>
      </c>
      <c r="F88" s="42">
        <f t="shared" si="27"/>
        <v>0.78707417139169311</v>
      </c>
      <c r="G88" s="42">
        <f t="shared" si="27"/>
        <v>0.79774132307842094</v>
      </c>
      <c r="H88" s="42">
        <f t="shared" ref="H88:M88" si="28">1-H89-H86-H87</f>
        <v>0.79639217748290159</v>
      </c>
      <c r="I88" s="42">
        <f t="shared" si="28"/>
        <v>0.79794409537353495</v>
      </c>
      <c r="J88" s="42">
        <f t="shared" si="28"/>
        <v>0.79944312439290455</v>
      </c>
      <c r="K88" s="42">
        <f t="shared" si="28"/>
        <v>0.80158124266820963</v>
      </c>
      <c r="L88" s="42">
        <f t="shared" si="28"/>
        <v>0.80352544974335627</v>
      </c>
      <c r="M88" s="42">
        <f t="shared" si="28"/>
        <v>0.80511854058507226</v>
      </c>
      <c r="O88" t="s">
        <v>118</v>
      </c>
    </row>
    <row r="89" spans="1:15" x14ac:dyDescent="0.25">
      <c r="A89" s="115"/>
      <c r="B89" s="115" t="s">
        <v>95</v>
      </c>
      <c r="C89" s="115"/>
      <c r="D89" s="115"/>
      <c r="E89" s="42">
        <f t="shared" si="27"/>
        <v>0.13740603292416023</v>
      </c>
      <c r="F89" s="42">
        <f t="shared" si="27"/>
        <v>0.13857004563684139</v>
      </c>
      <c r="G89" s="42">
        <f t="shared" si="27"/>
        <v>0.13240519885119018</v>
      </c>
      <c r="H89" s="42">
        <v>0.13500000000000001</v>
      </c>
      <c r="I89" s="42">
        <v>0.13500000000000001</v>
      </c>
      <c r="J89" s="42">
        <f>I89</f>
        <v>0.13500000000000001</v>
      </c>
      <c r="K89" s="42">
        <f>J89</f>
        <v>0.13500000000000001</v>
      </c>
      <c r="L89" s="42">
        <f>K89</f>
        <v>0.13500000000000001</v>
      </c>
      <c r="M89" s="42">
        <f>L89</f>
        <v>0.13500000000000001</v>
      </c>
      <c r="O89" t="s">
        <v>119</v>
      </c>
    </row>
    <row r="90" spans="1:15" x14ac:dyDescent="0.25">
      <c r="A90" s="115"/>
      <c r="C90" s="115" t="s">
        <v>96</v>
      </c>
      <c r="D90" s="115"/>
      <c r="G90" s="42">
        <v>0.135322498332174</v>
      </c>
      <c r="H90" s="42">
        <v>0.13430987696149599</v>
      </c>
      <c r="I90" s="42">
        <v>0.13107466145976801</v>
      </c>
      <c r="J90" s="42">
        <v>0.12721647939799499</v>
      </c>
      <c r="K90" s="42">
        <v>0.121423357217168</v>
      </c>
      <c r="L90" s="42">
        <v>0.115006356749175</v>
      </c>
      <c r="M90" s="42">
        <v>0.109366520904736</v>
      </c>
    </row>
    <row r="91" spans="1:15" x14ac:dyDescent="0.25">
      <c r="A91" s="115"/>
      <c r="C91" s="115" t="s">
        <v>97</v>
      </c>
      <c r="D91" s="115"/>
      <c r="G91" s="42">
        <v>0.86472630161543995</v>
      </c>
      <c r="H91" s="42">
        <v>0.86588723259224798</v>
      </c>
      <c r="I91" s="42">
        <v>0.86959628120742005</v>
      </c>
      <c r="J91" s="42">
        <v>0.87401953672955202</v>
      </c>
      <c r="K91" s="42">
        <v>0.88066112576460498</v>
      </c>
      <c r="L91" s="42">
        <v>0.888017966966269</v>
      </c>
      <c r="M91" s="42">
        <v>0.89448381918459396</v>
      </c>
    </row>
    <row r="92" spans="1:15" x14ac:dyDescent="0.25">
      <c r="A92" s="115"/>
      <c r="D92" t="s">
        <v>98</v>
      </c>
      <c r="G92" s="42">
        <v>1.3125046214551401E-2</v>
      </c>
      <c r="H92" s="42">
        <v>1.1791005822317799E-2</v>
      </c>
      <c r="I92" s="42">
        <v>1.12780364978984E-2</v>
      </c>
      <c r="J92" s="42">
        <v>1.0699068885148299E-2</v>
      </c>
      <c r="K92" s="42">
        <v>1.00039561368046E-2</v>
      </c>
      <c r="L92" s="42">
        <v>9.3173204866656301E-3</v>
      </c>
      <c r="M92" s="42">
        <v>8.7017993252345004E-3</v>
      </c>
    </row>
    <row r="93" spans="1:15" x14ac:dyDescent="0.25">
      <c r="A93" s="115"/>
      <c r="D93" t="s">
        <v>99</v>
      </c>
      <c r="G93" s="42">
        <v>1.0563519018836001E-2</v>
      </c>
      <c r="H93" s="42">
        <v>9.6670977723539303E-3</v>
      </c>
      <c r="I93" s="42">
        <v>9.4946883471817792E-3</v>
      </c>
      <c r="J93" s="42">
        <v>9.1734082562365503E-3</v>
      </c>
      <c r="K93" s="42">
        <v>8.6902465522277796E-3</v>
      </c>
      <c r="L93" s="42">
        <v>8.1582617112157599E-3</v>
      </c>
      <c r="M93" s="42">
        <v>7.6586942236006499E-3</v>
      </c>
    </row>
    <row r="94" spans="1:15" x14ac:dyDescent="0.25">
      <c r="A94" s="115"/>
      <c r="D94" t="s">
        <v>100</v>
      </c>
      <c r="G94" s="42">
        <v>0.137508642231783</v>
      </c>
      <c r="H94" s="42">
        <v>0.12764276965959201</v>
      </c>
      <c r="I94" s="42">
        <v>0.126092597678196</v>
      </c>
      <c r="J94" s="42">
        <v>0.124382871781184</v>
      </c>
      <c r="K94" s="42">
        <v>0.12142887764962799</v>
      </c>
      <c r="L94" s="42">
        <v>0.118174292100372</v>
      </c>
      <c r="M94" s="42">
        <v>0.115457149127034</v>
      </c>
    </row>
    <row r="95" spans="1:15" x14ac:dyDescent="0.25">
      <c r="A95" s="115"/>
      <c r="D95" t="s">
        <v>101</v>
      </c>
      <c r="G95" s="42">
        <v>3.1832639070252203E-2</v>
      </c>
      <c r="H95" s="42">
        <v>3.1563214037926599E-2</v>
      </c>
      <c r="I95" s="42">
        <v>3.2043663250930297E-2</v>
      </c>
      <c r="J95" s="42">
        <v>3.2261589203885901E-2</v>
      </c>
      <c r="K95" s="42">
        <v>3.2375698058522001E-2</v>
      </c>
      <c r="L95" s="42">
        <v>3.2606388200558702E-2</v>
      </c>
      <c r="M95" s="42">
        <v>3.27407947548638E-2</v>
      </c>
    </row>
    <row r="96" spans="1:15" x14ac:dyDescent="0.25">
      <c r="A96" s="115"/>
      <c r="D96" t="s">
        <v>102</v>
      </c>
      <c r="G96" s="42">
        <v>3.0936702208168101E-2</v>
      </c>
      <c r="H96" s="42">
        <v>3.1103836115282699E-2</v>
      </c>
      <c r="I96" s="42">
        <v>3.1383517648174403E-2</v>
      </c>
      <c r="J96" s="42">
        <v>3.1793014669165502E-2</v>
      </c>
      <c r="K96" s="42">
        <v>3.2175402810784397E-2</v>
      </c>
      <c r="L96" s="42">
        <v>3.2572481934058303E-2</v>
      </c>
      <c r="M96" s="42">
        <v>3.3030775916710102E-2</v>
      </c>
    </row>
    <row r="97" spans="1:13" x14ac:dyDescent="0.25">
      <c r="A97" s="115"/>
      <c r="D97" t="s">
        <v>103</v>
      </c>
      <c r="G97" s="42">
        <v>0.16724698929954701</v>
      </c>
      <c r="H97" s="42">
        <v>0.16969685920704899</v>
      </c>
      <c r="I97" s="42">
        <v>0.16997103565278299</v>
      </c>
      <c r="J97" s="42">
        <v>0.17068944298328301</v>
      </c>
      <c r="K97" s="42">
        <v>0.17190114503477699</v>
      </c>
      <c r="L97" s="42">
        <v>0.174899988194918</v>
      </c>
      <c r="M97" s="42">
        <v>0.17805642959792201</v>
      </c>
    </row>
    <row r="98" spans="1:13" x14ac:dyDescent="0.25">
      <c r="A98" s="115"/>
      <c r="D98" t="s">
        <v>104</v>
      </c>
      <c r="G98" s="42">
        <v>0.47402068402927899</v>
      </c>
      <c r="H98" s="42">
        <v>0.48444024524526302</v>
      </c>
      <c r="I98" s="42">
        <v>0.489206722540594</v>
      </c>
      <c r="J98" s="42">
        <v>0.49470656571638999</v>
      </c>
      <c r="K98" s="42">
        <v>0.50350293228729703</v>
      </c>
      <c r="L98" s="42">
        <v>0.51140352655164401</v>
      </c>
      <c r="M98" s="42">
        <v>0.51766769970969495</v>
      </c>
    </row>
  </sheetData>
  <mergeCells count="54">
    <mergeCell ref="A86:A98"/>
    <mergeCell ref="B86:D86"/>
    <mergeCell ref="B87:D87"/>
    <mergeCell ref="B88:D88"/>
    <mergeCell ref="B89:D89"/>
    <mergeCell ref="C90:D90"/>
    <mergeCell ref="C91:D91"/>
    <mergeCell ref="B68:D68"/>
    <mergeCell ref="A71:A85"/>
    <mergeCell ref="B71:D71"/>
    <mergeCell ref="B72:D72"/>
    <mergeCell ref="B73:D73"/>
    <mergeCell ref="B74:D74"/>
    <mergeCell ref="B75:D75"/>
    <mergeCell ref="B76:D76"/>
    <mergeCell ref="C77:D77"/>
    <mergeCell ref="C78:D78"/>
    <mergeCell ref="A53:A65"/>
    <mergeCell ref="B53:D53"/>
    <mergeCell ref="B54:D54"/>
    <mergeCell ref="B55:D55"/>
    <mergeCell ref="B56:D56"/>
    <mergeCell ref="C57:D57"/>
    <mergeCell ref="C58:D58"/>
    <mergeCell ref="B36:D36"/>
    <mergeCell ref="A38:A52"/>
    <mergeCell ref="B38:D38"/>
    <mergeCell ref="B39:D39"/>
    <mergeCell ref="B40:D40"/>
    <mergeCell ref="B41:D41"/>
    <mergeCell ref="B42:D42"/>
    <mergeCell ref="B43:D43"/>
    <mergeCell ref="C44:D44"/>
    <mergeCell ref="C45:D45"/>
    <mergeCell ref="A21:A33"/>
    <mergeCell ref="B21:D21"/>
    <mergeCell ref="B22:D22"/>
    <mergeCell ref="B23:D23"/>
    <mergeCell ref="B24:D24"/>
    <mergeCell ref="C25:D25"/>
    <mergeCell ref="C26:D26"/>
    <mergeCell ref="B2:I2"/>
    <mergeCell ref="B4:D4"/>
    <mergeCell ref="E4:J4"/>
    <mergeCell ref="L4:R4"/>
    <mergeCell ref="A6:A20"/>
    <mergeCell ref="B6:D6"/>
    <mergeCell ref="B7:D7"/>
    <mergeCell ref="B8:D8"/>
    <mergeCell ref="B9:D9"/>
    <mergeCell ref="B10:D10"/>
    <mergeCell ref="B11:D11"/>
    <mergeCell ref="C12:D12"/>
    <mergeCell ref="C13:D13"/>
  </mergeCell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D966"/>
  </sheetPr>
  <dimension ref="A2:J38"/>
  <sheetViews>
    <sheetView zoomScale="72" zoomScaleNormal="72" workbookViewId="0">
      <selection activeCell="H21" sqref="H21"/>
    </sheetView>
  </sheetViews>
  <sheetFormatPr baseColWidth="10" defaultColWidth="8.5703125" defaultRowHeight="15" x14ac:dyDescent="0.25"/>
  <cols>
    <col min="1" max="1" width="10.42578125" customWidth="1"/>
    <col min="2" max="3" width="14.85546875" customWidth="1"/>
    <col min="4" max="1025" width="10.42578125" customWidth="1"/>
  </cols>
  <sheetData>
    <row r="2" spans="2:9" ht="42.6" customHeight="1" x14ac:dyDescent="0.25">
      <c r="B2" s="116" t="s">
        <v>120</v>
      </c>
      <c r="C2" s="116"/>
      <c r="D2" s="116"/>
      <c r="E2" s="116"/>
      <c r="F2" s="116"/>
      <c r="G2" s="116"/>
      <c r="H2" s="116"/>
      <c r="I2" s="116"/>
    </row>
    <row r="30" spans="1:10" ht="14.45" customHeight="1" x14ac:dyDescent="0.25">
      <c r="A30" s="117"/>
    </row>
    <row r="31" spans="1:10" x14ac:dyDescent="0.25">
      <c r="A31" s="117"/>
      <c r="D31" s="14"/>
      <c r="E31" s="14"/>
      <c r="F31" s="14"/>
      <c r="G31" s="14"/>
      <c r="H31" s="14"/>
      <c r="I31" s="14"/>
      <c r="J31" s="14"/>
    </row>
    <row r="32" spans="1:10" x14ac:dyDescent="0.25">
      <c r="A32" s="117"/>
      <c r="D32" s="14"/>
      <c r="E32" s="14"/>
      <c r="F32" s="14"/>
      <c r="G32" s="14"/>
      <c r="H32" s="14"/>
      <c r="I32" s="14"/>
      <c r="J32" s="14"/>
    </row>
    <row r="33" spans="1:10" ht="14.45" customHeight="1" x14ac:dyDescent="0.25">
      <c r="A33" s="117"/>
    </row>
    <row r="34" spans="1:10" x14ac:dyDescent="0.25">
      <c r="A34" s="117"/>
      <c r="D34" s="14"/>
      <c r="E34" s="14"/>
      <c r="F34" s="14"/>
      <c r="G34" s="14"/>
      <c r="H34" s="14"/>
      <c r="I34" s="14"/>
      <c r="J34" s="14"/>
    </row>
    <row r="35" spans="1:10" x14ac:dyDescent="0.25">
      <c r="A35" s="117"/>
      <c r="D35" s="14"/>
      <c r="E35" s="14"/>
      <c r="F35" s="14"/>
      <c r="G35" s="14"/>
      <c r="H35" s="14"/>
      <c r="I35" s="14"/>
      <c r="J35" s="14"/>
    </row>
    <row r="36" spans="1:10" ht="14.45" customHeight="1" x14ac:dyDescent="0.25">
      <c r="A36" s="117"/>
    </row>
    <row r="37" spans="1:10" x14ac:dyDescent="0.25">
      <c r="A37" s="117"/>
      <c r="D37" s="14"/>
      <c r="E37" s="14"/>
      <c r="F37" s="14"/>
      <c r="G37" s="14"/>
      <c r="H37" s="14"/>
      <c r="I37" s="14"/>
      <c r="J37" s="14"/>
    </row>
    <row r="38" spans="1:10" x14ac:dyDescent="0.25">
      <c r="A38" s="117"/>
      <c r="D38" s="14"/>
      <c r="E38" s="14"/>
      <c r="F38" s="14"/>
      <c r="G38" s="14"/>
      <c r="H38" s="14"/>
    </row>
  </sheetData>
  <mergeCells count="4">
    <mergeCell ref="B2:I2"/>
    <mergeCell ref="A30:A32"/>
    <mergeCell ref="A33:A35"/>
    <mergeCell ref="A36:A38"/>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C5BCD"/>
  </sheetPr>
  <dimension ref="A2:W30"/>
  <sheetViews>
    <sheetView zoomScale="72" zoomScaleNormal="72" workbookViewId="0">
      <selection activeCell="C4" sqref="C4:J5"/>
    </sheetView>
  </sheetViews>
  <sheetFormatPr baseColWidth="10" defaultColWidth="8.5703125" defaultRowHeight="15" x14ac:dyDescent="0.25"/>
  <cols>
    <col min="1" max="1" width="19.42578125" customWidth="1"/>
    <col min="2" max="1025" width="10.42578125" customWidth="1"/>
  </cols>
  <sheetData>
    <row r="2" spans="1:23" x14ac:dyDescent="0.25">
      <c r="B2" s="107" t="s">
        <v>61</v>
      </c>
      <c r="C2" s="107"/>
      <c r="D2" s="107"/>
      <c r="E2" s="107"/>
      <c r="F2" s="107"/>
      <c r="G2" s="107"/>
      <c r="H2" s="107"/>
      <c r="I2" s="107"/>
      <c r="J2" s="107"/>
    </row>
    <row r="3" spans="1:23" x14ac:dyDescent="0.25">
      <c r="B3" s="1" t="s">
        <v>121</v>
      </c>
      <c r="C3" s="2">
        <v>2018</v>
      </c>
      <c r="D3" s="2">
        <v>2020</v>
      </c>
      <c r="E3" s="2">
        <v>2025</v>
      </c>
      <c r="F3" s="2">
        <v>2030</v>
      </c>
      <c r="G3" s="2">
        <v>2035</v>
      </c>
      <c r="H3" s="2">
        <v>2040</v>
      </c>
      <c r="I3" s="2">
        <v>2045</v>
      </c>
      <c r="J3" s="3">
        <v>2050</v>
      </c>
      <c r="W3" t="s">
        <v>122</v>
      </c>
    </row>
    <row r="4" spans="1:23" x14ac:dyDescent="0.25">
      <c r="B4" s="1" t="s">
        <v>123</v>
      </c>
      <c r="C4" s="2">
        <v>44.6</v>
      </c>
      <c r="D4" s="2">
        <f t="shared" ref="D4:J4" si="0">C4</f>
        <v>44.6</v>
      </c>
      <c r="E4" s="2">
        <f t="shared" si="0"/>
        <v>44.6</v>
      </c>
      <c r="F4" s="2">
        <f t="shared" si="0"/>
        <v>44.6</v>
      </c>
      <c r="G4" s="2">
        <f t="shared" si="0"/>
        <v>44.6</v>
      </c>
      <c r="H4" s="2">
        <f t="shared" si="0"/>
        <v>44.6</v>
      </c>
      <c r="I4" s="2">
        <f t="shared" si="0"/>
        <v>44.6</v>
      </c>
      <c r="J4" s="3">
        <f t="shared" si="0"/>
        <v>44.6</v>
      </c>
      <c r="W4" s="42">
        <v>1.6E-2</v>
      </c>
    </row>
    <row r="5" spans="1:23" x14ac:dyDescent="0.25">
      <c r="B5" s="45" t="s">
        <v>124</v>
      </c>
      <c r="C5" s="95">
        <f>C25</f>
        <v>15.2</v>
      </c>
      <c r="D5" s="95">
        <f>E25</f>
        <v>22.799999999999997</v>
      </c>
      <c r="E5" s="95">
        <f t="shared" ref="E5:J5" si="1">J25</f>
        <v>76</v>
      </c>
      <c r="F5" s="95">
        <f>K25</f>
        <v>76</v>
      </c>
      <c r="G5" s="95">
        <f t="shared" si="1"/>
        <v>77.899999999999991</v>
      </c>
      <c r="H5" s="95">
        <f t="shared" si="1"/>
        <v>80.75</v>
      </c>
      <c r="I5" s="95">
        <f t="shared" si="1"/>
        <v>123.5</v>
      </c>
      <c r="J5" s="95">
        <f t="shared" si="1"/>
        <v>152</v>
      </c>
    </row>
    <row r="7" spans="1:23" ht="36" customHeight="1" x14ac:dyDescent="0.25">
      <c r="B7" s="108" t="s">
        <v>194</v>
      </c>
      <c r="C7" s="108"/>
      <c r="D7" s="108"/>
      <c r="E7" s="108"/>
      <c r="F7" s="108"/>
      <c r="G7" s="108"/>
      <c r="H7" s="108"/>
      <c r="I7" s="108"/>
      <c r="J7" s="108"/>
    </row>
    <row r="9" spans="1:23" x14ac:dyDescent="0.25">
      <c r="U9" t="s">
        <v>125</v>
      </c>
    </row>
    <row r="10" spans="1:23" x14ac:dyDescent="0.25">
      <c r="B10">
        <v>2015</v>
      </c>
      <c r="C10">
        <v>2018</v>
      </c>
      <c r="D10">
        <v>2020</v>
      </c>
      <c r="E10">
        <v>2025</v>
      </c>
      <c r="F10">
        <v>2030</v>
      </c>
      <c r="G10">
        <v>2035</v>
      </c>
      <c r="H10">
        <v>2040</v>
      </c>
      <c r="I10">
        <v>2045</v>
      </c>
      <c r="J10">
        <v>2050</v>
      </c>
      <c r="U10" t="s">
        <v>16</v>
      </c>
    </row>
    <row r="11" spans="1:23" x14ac:dyDescent="0.25">
      <c r="A11" t="s">
        <v>126</v>
      </c>
      <c r="B11" s="96">
        <f t="shared" ref="B11:J11" si="2">B12+(B12*$W$4)</f>
        <v>7.62</v>
      </c>
      <c r="C11" s="96">
        <f t="shared" si="2"/>
        <v>12.192</v>
      </c>
      <c r="D11" s="96">
        <f t="shared" si="2"/>
        <v>15.24</v>
      </c>
      <c r="E11" s="96">
        <f t="shared" si="2"/>
        <v>22.86</v>
      </c>
      <c r="F11" s="96">
        <f t="shared" si="2"/>
        <v>34.036000000000001</v>
      </c>
      <c r="G11" s="96">
        <f t="shared" si="2"/>
        <v>42.671999999999997</v>
      </c>
      <c r="H11" s="96">
        <f t="shared" si="2"/>
        <v>50.8</v>
      </c>
      <c r="I11" s="96">
        <f t="shared" si="2"/>
        <v>70.103999999999999</v>
      </c>
      <c r="J11" s="96">
        <f t="shared" si="2"/>
        <v>89.408000000000001</v>
      </c>
    </row>
    <row r="12" spans="1:23" x14ac:dyDescent="0.25">
      <c r="A12" t="s">
        <v>127</v>
      </c>
      <c r="B12" s="96">
        <v>7.5</v>
      </c>
      <c r="C12" s="96">
        <f>B12+(D12-B12)*(3/5)</f>
        <v>12</v>
      </c>
      <c r="D12" s="96">
        <v>15</v>
      </c>
      <c r="E12" s="96">
        <v>22.5</v>
      </c>
      <c r="F12" s="96">
        <v>33.5</v>
      </c>
      <c r="G12" s="96">
        <v>42</v>
      </c>
      <c r="H12" s="96">
        <v>50</v>
      </c>
      <c r="I12" s="96">
        <v>69</v>
      </c>
      <c r="J12" s="96">
        <v>88</v>
      </c>
    </row>
    <row r="13" spans="1:23" x14ac:dyDescent="0.25">
      <c r="A13" t="s">
        <v>128</v>
      </c>
      <c r="B13" s="96"/>
      <c r="C13" s="96">
        <v>15.5</v>
      </c>
      <c r="D13" s="96">
        <v>25</v>
      </c>
      <c r="E13" s="96">
        <v>28</v>
      </c>
      <c r="F13" s="96">
        <v>30</v>
      </c>
      <c r="G13" s="96">
        <v>40</v>
      </c>
      <c r="H13" s="96">
        <v>53</v>
      </c>
      <c r="I13" s="96">
        <f>I11</f>
        <v>70.103999999999999</v>
      </c>
      <c r="J13" s="96">
        <f>J11</f>
        <v>89.408000000000001</v>
      </c>
    </row>
    <row r="14" spans="1:23" x14ac:dyDescent="0.25">
      <c r="A14" t="s">
        <v>129</v>
      </c>
      <c r="B14" s="96">
        <v>7.5</v>
      </c>
      <c r="C14" s="96">
        <v>15.5</v>
      </c>
      <c r="D14" s="96">
        <v>25</v>
      </c>
      <c r="E14" s="96">
        <v>26.5</v>
      </c>
      <c r="F14" s="96">
        <v>30</v>
      </c>
      <c r="G14" s="96">
        <v>50</v>
      </c>
      <c r="H14" s="96">
        <v>80</v>
      </c>
      <c r="I14" s="96">
        <v>120</v>
      </c>
      <c r="J14" s="96">
        <v>150</v>
      </c>
      <c r="K14" s="11" t="s">
        <v>130</v>
      </c>
      <c r="L14" t="s">
        <v>131</v>
      </c>
    </row>
    <row r="15" spans="1:23" x14ac:dyDescent="0.25">
      <c r="A15" t="s">
        <v>132</v>
      </c>
      <c r="B15" s="96"/>
      <c r="C15" s="96">
        <v>15.5</v>
      </c>
      <c r="D15" s="96"/>
      <c r="E15" s="96"/>
      <c r="F15" s="96">
        <v>75</v>
      </c>
      <c r="G15" s="96"/>
      <c r="H15" s="96"/>
      <c r="I15" s="96"/>
      <c r="J15" s="96"/>
      <c r="K15" s="11"/>
    </row>
    <row r="16" spans="1:23" x14ac:dyDescent="0.25">
      <c r="A16" t="s">
        <v>133</v>
      </c>
      <c r="B16" s="96"/>
      <c r="C16" s="96">
        <v>15.5</v>
      </c>
      <c r="D16" s="96">
        <v>56</v>
      </c>
      <c r="E16" s="96">
        <v>71.25</v>
      </c>
      <c r="F16" s="96">
        <v>94.7</v>
      </c>
      <c r="G16" s="96"/>
      <c r="H16" s="96"/>
      <c r="I16" s="96"/>
      <c r="J16" s="96"/>
    </row>
    <row r="17" spans="1:15" x14ac:dyDescent="0.25">
      <c r="A17" t="s">
        <v>134</v>
      </c>
      <c r="B17" s="96"/>
      <c r="C17" s="96">
        <v>15.5</v>
      </c>
      <c r="D17" s="96">
        <v>55</v>
      </c>
      <c r="E17" s="96">
        <v>65</v>
      </c>
      <c r="F17" s="96">
        <v>85</v>
      </c>
      <c r="G17" s="96">
        <v>96</v>
      </c>
      <c r="H17" s="96">
        <v>105</v>
      </c>
      <c r="I17" s="96">
        <v>125</v>
      </c>
      <c r="J17" s="96">
        <v>150</v>
      </c>
    </row>
    <row r="18" spans="1:15" x14ac:dyDescent="0.25">
      <c r="A18" s="104" t="s">
        <v>193</v>
      </c>
      <c r="B18" s="12"/>
    </row>
    <row r="19" spans="1:15" x14ac:dyDescent="0.25">
      <c r="A19" t="s">
        <v>135</v>
      </c>
      <c r="C19">
        <v>2018</v>
      </c>
      <c r="D19">
        <v>2019</v>
      </c>
      <c r="E19">
        <v>2020</v>
      </c>
      <c r="F19">
        <v>2021</v>
      </c>
      <c r="G19">
        <v>2022</v>
      </c>
      <c r="H19">
        <v>2023</v>
      </c>
      <c r="I19">
        <v>2024</v>
      </c>
      <c r="J19">
        <v>2025</v>
      </c>
      <c r="K19">
        <v>2030</v>
      </c>
      <c r="L19">
        <v>2035</v>
      </c>
      <c r="M19">
        <v>2040</v>
      </c>
      <c r="N19">
        <v>2045</v>
      </c>
      <c r="O19">
        <v>2050</v>
      </c>
    </row>
    <row r="20" spans="1:15" x14ac:dyDescent="0.25">
      <c r="A20" s="97">
        <v>2020</v>
      </c>
      <c r="B20" t="s">
        <v>136</v>
      </c>
      <c r="C20">
        <v>16</v>
      </c>
      <c r="D20">
        <v>25</v>
      </c>
      <c r="E20">
        <v>24</v>
      </c>
      <c r="F20">
        <v>54</v>
      </c>
      <c r="G20">
        <v>75</v>
      </c>
      <c r="H20">
        <v>77</v>
      </c>
      <c r="I20">
        <v>78</v>
      </c>
      <c r="J20">
        <v>80</v>
      </c>
      <c r="K20">
        <v>80</v>
      </c>
      <c r="L20">
        <v>82</v>
      </c>
      <c r="M20">
        <v>85</v>
      </c>
      <c r="N20">
        <v>130</v>
      </c>
      <c r="O20">
        <v>160</v>
      </c>
    </row>
    <row r="21" spans="1:15" x14ac:dyDescent="0.25">
      <c r="A21" s="97">
        <v>2015</v>
      </c>
      <c r="B21" t="s">
        <v>136</v>
      </c>
      <c r="C21">
        <f t="shared" ref="C21:O21" si="3">C20*0.95</f>
        <v>15.2</v>
      </c>
      <c r="D21">
        <f t="shared" si="3"/>
        <v>23.75</v>
      </c>
      <c r="E21">
        <f t="shared" si="3"/>
        <v>22.799999999999997</v>
      </c>
      <c r="F21">
        <f t="shared" si="3"/>
        <v>51.3</v>
      </c>
      <c r="G21">
        <f t="shared" si="3"/>
        <v>71.25</v>
      </c>
      <c r="H21">
        <f t="shared" si="3"/>
        <v>73.149999999999991</v>
      </c>
      <c r="I21">
        <f t="shared" si="3"/>
        <v>74.099999999999994</v>
      </c>
      <c r="J21">
        <f t="shared" si="3"/>
        <v>76</v>
      </c>
      <c r="K21">
        <f t="shared" si="3"/>
        <v>76</v>
      </c>
      <c r="L21">
        <f t="shared" si="3"/>
        <v>77.899999999999991</v>
      </c>
      <c r="M21">
        <f t="shared" si="3"/>
        <v>80.75</v>
      </c>
      <c r="N21">
        <f t="shared" si="3"/>
        <v>123.5</v>
      </c>
      <c r="O21">
        <f t="shared" si="3"/>
        <v>152</v>
      </c>
    </row>
    <row r="22" spans="1:15" x14ac:dyDescent="0.25">
      <c r="A22" s="97">
        <v>2020</v>
      </c>
      <c r="B22" t="s">
        <v>137</v>
      </c>
      <c r="C22">
        <v>16</v>
      </c>
      <c r="D22">
        <v>25</v>
      </c>
      <c r="E22">
        <v>24</v>
      </c>
      <c r="F22">
        <v>54</v>
      </c>
      <c r="G22">
        <v>75</v>
      </c>
      <c r="H22">
        <v>77</v>
      </c>
      <c r="I22">
        <v>78</v>
      </c>
      <c r="J22">
        <v>80</v>
      </c>
      <c r="K22">
        <v>80</v>
      </c>
      <c r="L22">
        <v>120</v>
      </c>
      <c r="M22">
        <v>250</v>
      </c>
      <c r="N22">
        <v>360</v>
      </c>
      <c r="O22">
        <v>410</v>
      </c>
    </row>
    <row r="23" spans="1:15" x14ac:dyDescent="0.25">
      <c r="A23" s="97">
        <v>2015</v>
      </c>
      <c r="B23" t="s">
        <v>137</v>
      </c>
      <c r="C23">
        <f t="shared" ref="C23:O23" si="4">C22*0.95</f>
        <v>15.2</v>
      </c>
      <c r="D23">
        <f t="shared" si="4"/>
        <v>23.75</v>
      </c>
      <c r="E23">
        <f t="shared" si="4"/>
        <v>22.799999999999997</v>
      </c>
      <c r="F23">
        <f t="shared" si="4"/>
        <v>51.3</v>
      </c>
      <c r="G23">
        <f t="shared" si="4"/>
        <v>71.25</v>
      </c>
      <c r="H23">
        <f t="shared" si="4"/>
        <v>73.149999999999991</v>
      </c>
      <c r="I23">
        <f t="shared" si="4"/>
        <v>74.099999999999994</v>
      </c>
      <c r="J23">
        <f t="shared" si="4"/>
        <v>76</v>
      </c>
      <c r="K23">
        <f t="shared" si="4"/>
        <v>76</v>
      </c>
      <c r="L23">
        <f t="shared" si="4"/>
        <v>114</v>
      </c>
      <c r="M23">
        <f t="shared" si="4"/>
        <v>237.5</v>
      </c>
      <c r="N23">
        <f t="shared" si="4"/>
        <v>342</v>
      </c>
      <c r="O23">
        <f t="shared" si="4"/>
        <v>389.5</v>
      </c>
    </row>
    <row r="25" spans="1:15" x14ac:dyDescent="0.25">
      <c r="A25" s="12" t="s">
        <v>138</v>
      </c>
      <c r="B25" s="12"/>
      <c r="C25" s="12">
        <f t="shared" ref="C25:O25" si="5">C21</f>
        <v>15.2</v>
      </c>
      <c r="D25" s="12">
        <f t="shared" si="5"/>
        <v>23.75</v>
      </c>
      <c r="E25" s="12">
        <f t="shared" si="5"/>
        <v>22.799999999999997</v>
      </c>
      <c r="F25" s="12">
        <f t="shared" si="5"/>
        <v>51.3</v>
      </c>
      <c r="G25" s="12">
        <f t="shared" si="5"/>
        <v>71.25</v>
      </c>
      <c r="H25" s="12">
        <f t="shared" si="5"/>
        <v>73.149999999999991</v>
      </c>
      <c r="I25" s="12">
        <f t="shared" si="5"/>
        <v>74.099999999999994</v>
      </c>
      <c r="J25" s="12">
        <f t="shared" si="5"/>
        <v>76</v>
      </c>
      <c r="K25" s="12">
        <f t="shared" si="5"/>
        <v>76</v>
      </c>
      <c r="L25" s="12">
        <f t="shared" si="5"/>
        <v>77.899999999999991</v>
      </c>
      <c r="M25" s="12">
        <f t="shared" si="5"/>
        <v>80.75</v>
      </c>
      <c r="N25" s="12">
        <f t="shared" si="5"/>
        <v>123.5</v>
      </c>
      <c r="O25" s="12">
        <f t="shared" si="5"/>
        <v>152</v>
      </c>
    </row>
    <row r="26" spans="1:15" x14ac:dyDescent="0.25">
      <c r="A26" s="97"/>
    </row>
    <row r="29" spans="1:15" x14ac:dyDescent="0.25">
      <c r="A29" s="97"/>
    </row>
    <row r="30" spans="1:15" x14ac:dyDescent="0.25">
      <c r="A30" s="97"/>
    </row>
  </sheetData>
  <mergeCells count="2">
    <mergeCell ref="B2:J2"/>
    <mergeCell ref="B7:J7"/>
  </mergeCells>
  <hyperlinks>
    <hyperlink ref="K14" r:id="rId1" xr:uid="{00000000-0004-0000-0500-000000000000}"/>
  </hyperlinks>
  <pageMargins left="0.7" right="0.7" top="0.75" bottom="0.75" header="0.51180555555555496" footer="0.51180555555555496"/>
  <pageSetup paperSize="9" firstPageNumber="0"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E15"/>
  <sheetViews>
    <sheetView zoomScale="72" zoomScaleNormal="72" workbookViewId="0">
      <selection activeCell="D5" sqref="D5"/>
    </sheetView>
  </sheetViews>
  <sheetFormatPr baseColWidth="10" defaultColWidth="8.5703125" defaultRowHeight="15" x14ac:dyDescent="0.25"/>
  <cols>
    <col min="1" max="1" width="25.42578125" customWidth="1"/>
    <col min="2" max="2" width="30.5703125" customWidth="1"/>
    <col min="3" max="3" width="64.42578125" customWidth="1"/>
    <col min="4" max="4" width="69.42578125" customWidth="1"/>
    <col min="5" max="1025" width="8.42578125" customWidth="1"/>
  </cols>
  <sheetData>
    <row r="1" spans="1:5" ht="27" customHeight="1" x14ac:dyDescent="0.25">
      <c r="A1" s="98" t="s">
        <v>139</v>
      </c>
      <c r="B1" s="98" t="s">
        <v>140</v>
      </c>
      <c r="C1" s="98" t="s">
        <v>141</v>
      </c>
      <c r="D1" s="98" t="s">
        <v>142</v>
      </c>
      <c r="E1" t="s">
        <v>143</v>
      </c>
    </row>
    <row r="2" spans="1:5" ht="14.1" customHeight="1" x14ac:dyDescent="0.25">
      <c r="A2" s="112" t="s">
        <v>144</v>
      </c>
      <c r="B2" s="118" t="s">
        <v>145</v>
      </c>
      <c r="C2" s="119" t="s">
        <v>146</v>
      </c>
      <c r="D2" s="119"/>
    </row>
    <row r="3" spans="1:5" ht="30" x14ac:dyDescent="0.25">
      <c r="A3" s="112"/>
      <c r="B3" s="118"/>
      <c r="C3" s="100" t="s">
        <v>147</v>
      </c>
      <c r="D3" s="101" t="s">
        <v>148</v>
      </c>
    </row>
    <row r="4" spans="1:5" ht="195" x14ac:dyDescent="0.25">
      <c r="A4" s="102" t="s">
        <v>149</v>
      </c>
      <c r="B4" s="99" t="s">
        <v>150</v>
      </c>
      <c r="C4" s="99" t="s">
        <v>151</v>
      </c>
      <c r="D4" s="99" t="s">
        <v>152</v>
      </c>
    </row>
    <row r="5" spans="1:5" ht="120" x14ac:dyDescent="0.25">
      <c r="A5" s="102" t="s">
        <v>153</v>
      </c>
      <c r="B5" s="99" t="s">
        <v>154</v>
      </c>
      <c r="C5" s="99" t="s">
        <v>155</v>
      </c>
      <c r="D5" s="99" t="s">
        <v>156</v>
      </c>
    </row>
    <row r="6" spans="1:5" ht="55.5" customHeight="1" x14ac:dyDescent="0.25">
      <c r="A6" s="39" t="s">
        <v>157</v>
      </c>
      <c r="B6" s="99" t="s">
        <v>158</v>
      </c>
      <c r="C6" s="99" t="s">
        <v>159</v>
      </c>
      <c r="D6" s="99" t="s">
        <v>160</v>
      </c>
    </row>
    <row r="7" spans="1:5" ht="90" x14ac:dyDescent="0.25">
      <c r="A7" s="102" t="s">
        <v>161</v>
      </c>
      <c r="B7" s="99" t="s">
        <v>162</v>
      </c>
      <c r="C7" s="99" t="s">
        <v>163</v>
      </c>
      <c r="D7" s="99" t="s">
        <v>164</v>
      </c>
    </row>
    <row r="8" spans="1:5" ht="75" x14ac:dyDescent="0.25">
      <c r="A8" s="39" t="s">
        <v>165</v>
      </c>
      <c r="B8" s="99" t="s">
        <v>166</v>
      </c>
      <c r="C8" s="99" t="s">
        <v>163</v>
      </c>
      <c r="D8" s="99" t="s">
        <v>167</v>
      </c>
    </row>
    <row r="9" spans="1:5" ht="90" x14ac:dyDescent="0.25">
      <c r="A9" s="39" t="s">
        <v>168</v>
      </c>
      <c r="B9" s="99" t="s">
        <v>169</v>
      </c>
      <c r="C9" s="99" t="s">
        <v>170</v>
      </c>
      <c r="D9" s="103" t="s">
        <v>171</v>
      </c>
    </row>
    <row r="10" spans="1:5" ht="60" x14ac:dyDescent="0.25">
      <c r="A10" s="39" t="s">
        <v>172</v>
      </c>
      <c r="B10" s="99" t="s">
        <v>173</v>
      </c>
      <c r="C10" s="99" t="s">
        <v>174</v>
      </c>
      <c r="D10" s="99" t="s">
        <v>175</v>
      </c>
    </row>
    <row r="11" spans="1:5" ht="45" x14ac:dyDescent="0.25">
      <c r="A11" s="39" t="s">
        <v>176</v>
      </c>
      <c r="B11" s="99" t="s">
        <v>177</v>
      </c>
      <c r="C11" s="99" t="s">
        <v>163</v>
      </c>
      <c r="D11" s="99" t="s">
        <v>178</v>
      </c>
    </row>
    <row r="12" spans="1:5" ht="120" x14ac:dyDescent="0.25">
      <c r="A12" s="39" t="s">
        <v>179</v>
      </c>
      <c r="B12" s="99" t="s">
        <v>180</v>
      </c>
      <c r="C12" s="99" t="s">
        <v>163</v>
      </c>
      <c r="D12" s="99" t="s">
        <v>181</v>
      </c>
    </row>
    <row r="13" spans="1:5" ht="90" x14ac:dyDescent="0.25">
      <c r="A13" s="39" t="s">
        <v>182</v>
      </c>
      <c r="B13" s="99" t="s">
        <v>183</v>
      </c>
      <c r="C13" s="99" t="s">
        <v>184</v>
      </c>
      <c r="D13" s="99" t="s">
        <v>185</v>
      </c>
    </row>
    <row r="14" spans="1:5" ht="45" x14ac:dyDescent="0.25">
      <c r="A14" s="39" t="s">
        <v>186</v>
      </c>
      <c r="B14" s="99" t="s">
        <v>187</v>
      </c>
      <c r="C14" s="99" t="s">
        <v>188</v>
      </c>
      <c r="D14" s="99" t="s">
        <v>189</v>
      </c>
    </row>
    <row r="15" spans="1:5" ht="43.5" customHeight="1" x14ac:dyDescent="0.25">
      <c r="A15" s="39" t="s">
        <v>190</v>
      </c>
      <c r="B15" s="99" t="s">
        <v>191</v>
      </c>
      <c r="C15" s="118" t="s">
        <v>192</v>
      </c>
      <c r="D15" s="118"/>
    </row>
  </sheetData>
  <mergeCells count="4">
    <mergeCell ref="A2:A3"/>
    <mergeCell ref="B2:B3"/>
    <mergeCell ref="C2:D2"/>
    <mergeCell ref="C15:D1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1. Population</vt:lpstr>
      <vt:lpstr>pop_active</vt:lpstr>
      <vt:lpstr>2. PIB</vt:lpstr>
      <vt:lpstr>PIB Branches</vt:lpstr>
      <vt:lpstr>3. Prix des énergies</vt:lpstr>
      <vt:lpstr>4. Prix du C</vt:lpstr>
      <vt:lpstr>5. Dynamiques sociales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PODESTA Gwenaël</dc:creator>
  <dc:description/>
  <cp:lastModifiedBy>MONSERAND Alma</cp:lastModifiedBy>
  <cp:revision>1</cp:revision>
  <dcterms:created xsi:type="dcterms:W3CDTF">2022-06-09T12:36:24Z</dcterms:created>
  <dcterms:modified xsi:type="dcterms:W3CDTF">2023-08-21T10:15:29Z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