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llonnecg\Github\ThreeME\data\calibrations\Documents MTE\Run 2\"/>
    </mc:Choice>
  </mc:AlternateContent>
  <xr:revisionPtr revIDLastSave="0" documentId="13_ncr:1_{9152EBA4-FC8A-4CE2-9E3D-9C96CC0D8FA0}" xr6:coauthVersionLast="47" xr6:coauthVersionMax="47" xr10:uidLastSave="{00000000-0000-0000-0000-000000000000}"/>
  <bookViews>
    <workbookView xWindow="-80" yWindow="-80" windowWidth="19360" windowHeight="10360" tabRatio="500" activeTab="2" xr2:uid="{00000000-000D-0000-FFFF-FFFF00000000}"/>
  </bookViews>
  <sheets>
    <sheet name="1. Production" sheetId="1" r:id="rId1"/>
    <sheet name="IGCE" sheetId="2" r:id="rId2"/>
    <sheet name="Diffus" sheetId="3" r:id="rId3"/>
    <sheet name="VA historique" sheetId="4" r:id="rId4"/>
    <sheet name="Mix éner %" sheetId="5" r:id="rId5"/>
    <sheet name="Mix éner % (2)" sheetId="6" r:id="rId6"/>
    <sheet name="3. Efficacité" sheetId="7" r:id="rId7"/>
    <sheet name="4. Recyclage" sheetId="8" r:id="rId8"/>
    <sheet name="5. Non-énergétique" sheetId="9" r:id="rId9"/>
    <sheet name="6. CCUS" sheetId="10" r:id="rId10"/>
    <sheet name="Pepit0 AME" sheetId="11" r:id="rId11"/>
    <sheet name="Pepit0 AMS" sheetId="12" r:id="rId12"/>
  </sheets>
  <externalReferences>
    <externalReference r:id="rId13"/>
    <externalReference r:id="rId14"/>
    <externalReference r:id="rId15"/>
  </externalReferences>
  <definedNames>
    <definedName name="année">[1]Calcul_hypotheses!$D$6</definedName>
    <definedName name="anneeAffiche" localSheetId="1">#REF!</definedName>
    <definedName name="anneeAffiche" localSheetId="5">#REF!</definedName>
    <definedName name="anneeAffiche" localSheetId="11">#REF!</definedName>
    <definedName name="anneeAffiche">#REF!</definedName>
    <definedName name="anneeDataSet">[2]Dataset!$H$2:$AH$2</definedName>
    <definedName name="calIntAnnee">[2]Calculs_intermediaires!$B$328:$AP$328</definedName>
    <definedName name="calIntcode">[2]Calculs_intermediaires!$B:$B</definedName>
    <definedName name="calIntData">[2]Calculs_intermediaires!$B:$AM</definedName>
    <definedName name="convktoeGWh">[2]Intro!$C$40</definedName>
    <definedName name="convMtoeGWh">[2]Intro!$C$41</definedName>
    <definedName name="dataSet">[2]Dataset!$H:$AH</definedName>
    <definedName name="odsAnnee">[2]Odyssee!$A$8:$AMJ$8</definedName>
    <definedName name="odsCode">[2]Odyssee!$A:$A</definedName>
    <definedName name="odsData">[2]Odyssee!$A:$AMJ</definedName>
    <definedName name="Résultats_annuels">[3]RES_annuels!$N$3:$BW$858</definedName>
    <definedName name="Résultats_annuels_années">[3]RES_annuels!$N$1:$AX$1</definedName>
    <definedName name="Résultats_annuels_choix">[3]RES_annuels!$D$3:$D$858</definedName>
    <definedName name="tagOutDataSet">[2]Dataset!$H:$H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52" i="12" l="1"/>
  <c r="BY6" i="12"/>
  <c r="BZ7" i="12"/>
  <c r="BZ8" i="12"/>
  <c r="BZ9" i="12"/>
  <c r="BZ10" i="12"/>
  <c r="BZ11" i="12"/>
  <c r="BZ12" i="12"/>
  <c r="BZ13" i="12"/>
  <c r="BZ14" i="12"/>
  <c r="BZ15" i="12"/>
  <c r="BZ16" i="12"/>
  <c r="BZ17" i="12"/>
  <c r="BZ18" i="12"/>
  <c r="BZ19" i="12"/>
  <c r="BZ20" i="12"/>
  <c r="BZ21" i="12"/>
  <c r="BZ22" i="12"/>
  <c r="BZ23" i="12"/>
  <c r="BZ24" i="12"/>
  <c r="BZ25" i="12"/>
  <c r="BZ26" i="12"/>
  <c r="BZ27" i="12"/>
  <c r="BZ28" i="12"/>
  <c r="BZ29" i="12"/>
  <c r="BZ30" i="12"/>
  <c r="BZ31" i="12"/>
  <c r="BZ32" i="12"/>
  <c r="BZ33" i="12"/>
  <c r="BZ34" i="12"/>
  <c r="BZ35" i="12"/>
  <c r="BZ36" i="12"/>
  <c r="BZ37" i="12"/>
  <c r="BZ38" i="12"/>
  <c r="BZ39" i="12"/>
  <c r="BZ40" i="12"/>
  <c r="BZ41" i="12"/>
  <c r="BZ42" i="12"/>
  <c r="BZ43" i="12"/>
  <c r="BZ44" i="12"/>
  <c r="BZ45" i="12"/>
  <c r="BZ46" i="12"/>
  <c r="BZ47" i="12"/>
  <c r="BZ48" i="12"/>
  <c r="BZ49" i="12"/>
  <c r="BZ50" i="12"/>
  <c r="BY26" i="12"/>
  <c r="M126" i="2" l="1"/>
  <c r="M124" i="2"/>
  <c r="M127" i="2"/>
  <c r="M128" i="2"/>
  <c r="M129" i="2"/>
  <c r="M130" i="2"/>
  <c r="M131" i="2"/>
  <c r="M132" i="2"/>
  <c r="M120" i="2"/>
  <c r="W15" i="1"/>
  <c r="W16" i="1"/>
  <c r="W17" i="1"/>
  <c r="W18" i="1"/>
  <c r="W19" i="1"/>
  <c r="W20" i="1"/>
  <c r="W14" i="1"/>
  <c r="W12" i="1"/>
  <c r="W8" i="1"/>
  <c r="K103" i="3"/>
  <c r="K102" i="3"/>
  <c r="K101" i="3"/>
  <c r="K100" i="3"/>
  <c r="K99" i="3"/>
  <c r="K98" i="3"/>
  <c r="K97" i="3"/>
  <c r="K84" i="3"/>
  <c r="K85" i="3"/>
  <c r="K86" i="3"/>
  <c r="K87" i="3"/>
  <c r="K88" i="3"/>
  <c r="K89" i="3"/>
  <c r="K90" i="3"/>
  <c r="G108" i="2" l="1"/>
  <c r="T56" i="10"/>
  <c r="S56" i="10"/>
  <c r="R56" i="10"/>
  <c r="Q56" i="10"/>
  <c r="P56" i="10"/>
  <c r="O56" i="10"/>
  <c r="T54" i="10"/>
  <c r="T64" i="10" s="1"/>
  <c r="P54" i="10"/>
  <c r="O54" i="10"/>
  <c r="T52" i="10"/>
  <c r="T63" i="10" s="1"/>
  <c r="P52" i="10"/>
  <c r="P63" i="10" s="1"/>
  <c r="O52" i="10"/>
  <c r="O63" i="10" s="1"/>
  <c r="T50" i="10"/>
  <c r="T57" i="10" s="1"/>
  <c r="S50" i="10"/>
  <c r="S57" i="10" s="1"/>
  <c r="R50" i="10"/>
  <c r="R57" i="10" s="1"/>
  <c r="Q50" i="10"/>
  <c r="Q57" i="10" s="1"/>
  <c r="P50" i="10"/>
  <c r="P57" i="10" s="1"/>
  <c r="O50" i="10"/>
  <c r="O57" i="10" s="1"/>
  <c r="Q46" i="10"/>
  <c r="P46" i="10"/>
  <c r="O46" i="10"/>
  <c r="T44" i="10"/>
  <c r="T46" i="10" s="1"/>
  <c r="S44" i="10"/>
  <c r="R44" i="10"/>
  <c r="Q44" i="10"/>
  <c r="P44" i="10"/>
  <c r="O44" i="10"/>
  <c r="T43" i="10"/>
  <c r="S43" i="10"/>
  <c r="R43" i="10"/>
  <c r="Q43" i="10"/>
  <c r="P43" i="10"/>
  <c r="O43" i="10"/>
  <c r="T39" i="10"/>
  <c r="S39" i="10"/>
  <c r="R39" i="10"/>
  <c r="Q39" i="10"/>
  <c r="P39" i="10"/>
  <c r="O39" i="10"/>
  <c r="T35" i="10"/>
  <c r="S35" i="10"/>
  <c r="R35" i="10"/>
  <c r="Q35" i="10"/>
  <c r="P35" i="10"/>
  <c r="O35" i="10"/>
  <c r="T29" i="10"/>
  <c r="S29" i="10"/>
  <c r="R29" i="10"/>
  <c r="Q29" i="10"/>
  <c r="P29" i="10"/>
  <c r="O29" i="10"/>
  <c r="T28" i="10"/>
  <c r="S28" i="10"/>
  <c r="R28" i="10"/>
  <c r="Q28" i="10"/>
  <c r="P28" i="10"/>
  <c r="O28" i="10"/>
  <c r="R26" i="10"/>
  <c r="S26" i="10" s="1"/>
  <c r="Q26" i="10"/>
  <c r="T22" i="10"/>
  <c r="S22" i="10"/>
  <c r="R22" i="10"/>
  <c r="Q22" i="10"/>
  <c r="P22" i="10"/>
  <c r="O22" i="10"/>
  <c r="S20" i="10"/>
  <c r="R20" i="10"/>
  <c r="Q20" i="10" s="1"/>
  <c r="T18" i="10"/>
  <c r="S18" i="10"/>
  <c r="R18" i="10"/>
  <c r="Q18" i="10"/>
  <c r="P18" i="10"/>
  <c r="O18" i="10"/>
  <c r="R16" i="10"/>
  <c r="S16" i="10" s="1"/>
  <c r="Q16" i="10"/>
  <c r="T14" i="10"/>
  <c r="S14" i="10"/>
  <c r="R14" i="10"/>
  <c r="Q14" i="10"/>
  <c r="P14" i="10"/>
  <c r="O14" i="10"/>
  <c r="R12" i="10"/>
  <c r="S12" i="10" s="1"/>
  <c r="T10" i="10"/>
  <c r="S10" i="10"/>
  <c r="R10" i="10"/>
  <c r="Q10" i="10"/>
  <c r="P10" i="10"/>
  <c r="O10" i="10"/>
  <c r="R8" i="10"/>
  <c r="S8" i="10" s="1"/>
  <c r="Q8" i="10"/>
  <c r="O55" i="10" l="1"/>
  <c r="O64" i="10"/>
  <c r="S46" i="10"/>
  <c r="P55" i="10"/>
  <c r="R54" i="10"/>
  <c r="R64" i="10" s="1"/>
  <c r="P64" i="10"/>
  <c r="Q55" i="10"/>
  <c r="Q12" i="10"/>
  <c r="Q54" i="10" s="1"/>
  <c r="Q64" i="10" s="1"/>
  <c r="R55" i="10"/>
  <c r="T55" i="10"/>
  <c r="R46" i="10"/>
  <c r="S55" i="10"/>
  <c r="S53" i="10"/>
  <c r="S54" i="10"/>
  <c r="S64" i="10" s="1"/>
  <c r="S52" i="10"/>
  <c r="P60" i="10"/>
  <c r="Q52" i="10"/>
  <c r="R52" i="10"/>
  <c r="O60" i="10"/>
  <c r="T60" i="10"/>
  <c r="O53" i="10"/>
  <c r="O62" i="10" s="1"/>
  <c r="P53" i="10"/>
  <c r="P62" i="10" s="1"/>
  <c r="Q53" i="10"/>
  <c r="Q62" i="10" s="1"/>
  <c r="R53" i="10"/>
  <c r="T53" i="10"/>
  <c r="T62" i="10" l="1"/>
  <c r="R62" i="10"/>
  <c r="S62" i="10"/>
  <c r="R60" i="10"/>
  <c r="R63" i="10"/>
  <c r="Q63" i="10"/>
  <c r="Q60" i="10"/>
  <c r="S63" i="10"/>
  <c r="S60" i="10"/>
  <c r="T104" i="10" l="1"/>
  <c r="S104" i="10"/>
  <c r="R104" i="10"/>
  <c r="Q104" i="10"/>
  <c r="P104" i="10"/>
  <c r="O104" i="10"/>
  <c r="T103" i="10"/>
  <c r="S103" i="10"/>
  <c r="R103" i="10"/>
  <c r="Q103" i="10"/>
  <c r="P103" i="10"/>
  <c r="O103" i="10"/>
  <c r="I104" i="10"/>
  <c r="H104" i="10"/>
  <c r="G104" i="10"/>
  <c r="F104" i="10"/>
  <c r="E104" i="10"/>
  <c r="D104" i="10"/>
  <c r="I103" i="10"/>
  <c r="H103" i="10"/>
  <c r="G103" i="10"/>
  <c r="F103" i="10"/>
  <c r="E103" i="10"/>
  <c r="D103" i="10"/>
  <c r="T101" i="10"/>
  <c r="P101" i="10"/>
  <c r="T100" i="10"/>
  <c r="T99" i="10" s="1"/>
  <c r="P100" i="10"/>
  <c r="E101" i="10"/>
  <c r="I101" i="10"/>
  <c r="I100" i="10"/>
  <c r="I99" i="10" s="1"/>
  <c r="E100" i="10"/>
  <c r="T106" i="10" l="1"/>
  <c r="E99" i="10"/>
  <c r="P99" i="10"/>
  <c r="P106" i="10" s="1"/>
  <c r="BW52" i="12" l="1"/>
  <c r="BV52" i="12"/>
  <c r="BU52" i="12"/>
  <c r="BU54" i="12" s="1"/>
  <c r="BT52" i="12"/>
  <c r="BT54" i="12" s="1"/>
  <c r="BS52" i="12"/>
  <c r="BS54" i="12" s="1"/>
  <c r="BR52" i="12"/>
  <c r="BR54" i="12" s="1"/>
  <c r="BQ52" i="12"/>
  <c r="BQ54" i="12" s="1"/>
  <c r="BP52" i="12"/>
  <c r="BP54" i="12" s="1"/>
  <c r="BO52" i="12"/>
  <c r="BN52" i="12"/>
  <c r="BM52" i="12"/>
  <c r="BL52" i="12"/>
  <c r="BK52" i="12"/>
  <c r="BJ52" i="12"/>
  <c r="BI52" i="12"/>
  <c r="BH52" i="12"/>
  <c r="BG52" i="12"/>
  <c r="BF52" i="12"/>
  <c r="BE52" i="12"/>
  <c r="BD52" i="12"/>
  <c r="BC52" i="12"/>
  <c r="BB52" i="12"/>
  <c r="BA52" i="12"/>
  <c r="AZ52" i="12"/>
  <c r="AY52" i="12"/>
  <c r="AX52" i="12"/>
  <c r="AW52" i="12"/>
  <c r="AV52" i="12"/>
  <c r="AU52" i="12"/>
  <c r="AT52" i="12"/>
  <c r="AS52" i="12"/>
  <c r="AR52" i="12"/>
  <c r="AQ52" i="12"/>
  <c r="AP52" i="12"/>
  <c r="AO52" i="12"/>
  <c r="AN52" i="12"/>
  <c r="AD52" i="12"/>
  <c r="AC52" i="12"/>
  <c r="AB52" i="12"/>
  <c r="AA52" i="12"/>
  <c r="Z52" i="12"/>
  <c r="Y52" i="12"/>
  <c r="X52" i="12"/>
  <c r="W52" i="12"/>
  <c r="V52" i="12"/>
  <c r="U52" i="12"/>
  <c r="T52" i="12"/>
  <c r="S52" i="12"/>
  <c r="R52" i="12"/>
  <c r="Q52" i="12"/>
  <c r="P52" i="12"/>
  <c r="O52" i="12"/>
  <c r="N52" i="12"/>
  <c r="M52" i="12"/>
  <c r="L52" i="12"/>
  <c r="K52" i="12"/>
  <c r="J52" i="12"/>
  <c r="I52" i="12"/>
  <c r="H52" i="12"/>
  <c r="G52" i="12"/>
  <c r="F52" i="12"/>
  <c r="E52" i="12"/>
  <c r="AM50" i="12"/>
  <c r="AL50" i="12"/>
  <c r="AK50" i="12"/>
  <c r="AJ50" i="12"/>
  <c r="AI50" i="12"/>
  <c r="AH50" i="12"/>
  <c r="AG50" i="12"/>
  <c r="AF50" i="12"/>
  <c r="AE50" i="12"/>
  <c r="AM49" i="12"/>
  <c r="AL49" i="12"/>
  <c r="AK49" i="12"/>
  <c r="AJ49" i="12"/>
  <c r="AI49" i="12"/>
  <c r="AH49" i="12"/>
  <c r="AG49" i="12"/>
  <c r="AF49" i="12"/>
  <c r="AE49" i="12"/>
  <c r="AM48" i="12"/>
  <c r="AL48" i="12"/>
  <c r="AK48" i="12"/>
  <c r="AJ48" i="12"/>
  <c r="AI48" i="12"/>
  <c r="AH48" i="12"/>
  <c r="AG48" i="12"/>
  <c r="AF48" i="12"/>
  <c r="AE48" i="12"/>
  <c r="AM47" i="12"/>
  <c r="AL47" i="12"/>
  <c r="AK47" i="12"/>
  <c r="AJ47" i="12"/>
  <c r="AI47" i="12"/>
  <c r="AH47" i="12"/>
  <c r="AG47" i="12"/>
  <c r="AF47" i="12"/>
  <c r="AE47" i="12"/>
  <c r="AM46" i="12"/>
  <c r="AL46" i="12"/>
  <c r="AK46" i="12"/>
  <c r="AJ46" i="12"/>
  <c r="AI46" i="12"/>
  <c r="AH46" i="12"/>
  <c r="AG46" i="12"/>
  <c r="AF46" i="12"/>
  <c r="AE46" i="12"/>
  <c r="AM45" i="12"/>
  <c r="AL45" i="12"/>
  <c r="AK45" i="12"/>
  <c r="AJ45" i="12"/>
  <c r="AI45" i="12"/>
  <c r="AH45" i="12"/>
  <c r="AG45" i="12"/>
  <c r="AF45" i="12"/>
  <c r="AE45" i="12"/>
  <c r="AM44" i="12"/>
  <c r="AL44" i="12"/>
  <c r="AK44" i="12"/>
  <c r="AJ44" i="12"/>
  <c r="AI44" i="12"/>
  <c r="AH44" i="12"/>
  <c r="AG44" i="12"/>
  <c r="AF44" i="12"/>
  <c r="AE44" i="12"/>
  <c r="AM43" i="12"/>
  <c r="AL43" i="12"/>
  <c r="AK43" i="12"/>
  <c r="AJ43" i="12"/>
  <c r="AI43" i="12"/>
  <c r="AH43" i="12"/>
  <c r="AG43" i="12"/>
  <c r="AF43" i="12"/>
  <c r="AE43" i="12"/>
  <c r="AM42" i="12"/>
  <c r="AL42" i="12"/>
  <c r="AK42" i="12"/>
  <c r="AJ42" i="12"/>
  <c r="AI42" i="12"/>
  <c r="AH42" i="12"/>
  <c r="AG42" i="12"/>
  <c r="AF42" i="12"/>
  <c r="AE42" i="12"/>
  <c r="AM41" i="12"/>
  <c r="AL41" i="12"/>
  <c r="AK41" i="12"/>
  <c r="AJ41" i="12"/>
  <c r="AI41" i="12"/>
  <c r="AH41" i="12"/>
  <c r="AG41" i="12"/>
  <c r="AF41" i="12"/>
  <c r="AE41" i="12"/>
  <c r="AM40" i="12"/>
  <c r="AL40" i="12"/>
  <c r="AK40" i="12"/>
  <c r="AJ40" i="12"/>
  <c r="AI40" i="12"/>
  <c r="AH40" i="12"/>
  <c r="AG40" i="12"/>
  <c r="AF40" i="12"/>
  <c r="AE40" i="12"/>
  <c r="BY39" i="12"/>
  <c r="AM39" i="12"/>
  <c r="AL39" i="12"/>
  <c r="AK39" i="12"/>
  <c r="AJ39" i="12"/>
  <c r="AI39" i="12"/>
  <c r="AH39" i="12"/>
  <c r="AG39" i="12"/>
  <c r="AF39" i="12"/>
  <c r="AE39" i="12"/>
  <c r="AM38" i="12"/>
  <c r="AL38" i="12"/>
  <c r="AK38" i="12"/>
  <c r="AJ38" i="12"/>
  <c r="AI38" i="12"/>
  <c r="AH38" i="12"/>
  <c r="AG38" i="12"/>
  <c r="AF38" i="12"/>
  <c r="AE38" i="12"/>
  <c r="BY37" i="12"/>
  <c r="AM37" i="12"/>
  <c r="AL37" i="12"/>
  <c r="AK37" i="12"/>
  <c r="AJ37" i="12"/>
  <c r="AI37" i="12"/>
  <c r="AH37" i="12"/>
  <c r="AG37" i="12"/>
  <c r="AF37" i="12"/>
  <c r="AE37" i="12"/>
  <c r="AM36" i="12"/>
  <c r="AL36" i="12"/>
  <c r="AK36" i="12"/>
  <c r="AJ36" i="12"/>
  <c r="AI36" i="12"/>
  <c r="AH36" i="12"/>
  <c r="AG36" i="12"/>
  <c r="AF36" i="12"/>
  <c r="AE36" i="12"/>
  <c r="AM35" i="12"/>
  <c r="AL35" i="12"/>
  <c r="AK35" i="12"/>
  <c r="AJ35" i="12"/>
  <c r="AI35" i="12"/>
  <c r="AH35" i="12"/>
  <c r="AG35" i="12"/>
  <c r="AF35" i="12"/>
  <c r="AE35" i="12"/>
  <c r="AM34" i="12"/>
  <c r="AL34" i="12"/>
  <c r="AK34" i="12"/>
  <c r="AJ34" i="12"/>
  <c r="AI34" i="12"/>
  <c r="AH34" i="12"/>
  <c r="AG34" i="12"/>
  <c r="AF34" i="12"/>
  <c r="AE34" i="12"/>
  <c r="BY33" i="12"/>
  <c r="AM33" i="12"/>
  <c r="AL33" i="12"/>
  <c r="AK33" i="12"/>
  <c r="AJ33" i="12"/>
  <c r="AI33" i="12"/>
  <c r="AH33" i="12"/>
  <c r="AG33" i="12"/>
  <c r="AF33" i="12"/>
  <c r="AE33" i="12"/>
  <c r="AM32" i="12"/>
  <c r="AL32" i="12"/>
  <c r="AK32" i="12"/>
  <c r="AJ32" i="12"/>
  <c r="AI32" i="12"/>
  <c r="AH32" i="12"/>
  <c r="AG32" i="12"/>
  <c r="AF32" i="12"/>
  <c r="AE32" i="12"/>
  <c r="AM31" i="12"/>
  <c r="AL31" i="12"/>
  <c r="AK31" i="12"/>
  <c r="AJ31" i="12"/>
  <c r="AI31" i="12"/>
  <c r="AH31" i="12"/>
  <c r="AG31" i="12"/>
  <c r="AF31" i="12"/>
  <c r="AE31" i="12"/>
  <c r="AM30" i="12"/>
  <c r="AL30" i="12"/>
  <c r="AK30" i="12"/>
  <c r="AJ30" i="12"/>
  <c r="AI30" i="12"/>
  <c r="AH30" i="12"/>
  <c r="AG30" i="12"/>
  <c r="AF30" i="12"/>
  <c r="AE30" i="12"/>
  <c r="AM29" i="12"/>
  <c r="AL29" i="12"/>
  <c r="AK29" i="12"/>
  <c r="AJ29" i="12"/>
  <c r="AI29" i="12"/>
  <c r="AH29" i="12"/>
  <c r="AG29" i="12"/>
  <c r="AF29" i="12"/>
  <c r="AE29" i="12"/>
  <c r="AM28" i="12"/>
  <c r="AL28" i="12"/>
  <c r="AK28" i="12"/>
  <c r="AJ28" i="12"/>
  <c r="AI28" i="12"/>
  <c r="AH28" i="12"/>
  <c r="AG28" i="12"/>
  <c r="AF28" i="12"/>
  <c r="AE28" i="12"/>
  <c r="AM27" i="12"/>
  <c r="AL27" i="12"/>
  <c r="AK27" i="12"/>
  <c r="AJ27" i="12"/>
  <c r="AI27" i="12"/>
  <c r="AH27" i="12"/>
  <c r="AG27" i="12"/>
  <c r="AF27" i="12"/>
  <c r="AE27" i="12"/>
  <c r="AM26" i="12"/>
  <c r="AL26" i="12"/>
  <c r="AK26" i="12"/>
  <c r="AJ26" i="12"/>
  <c r="AI26" i="12"/>
  <c r="AH26" i="12"/>
  <c r="AG26" i="12"/>
  <c r="AF26" i="12"/>
  <c r="AE26" i="12"/>
  <c r="AM25" i="12"/>
  <c r="AL25" i="12"/>
  <c r="AK25" i="12"/>
  <c r="AJ25" i="12"/>
  <c r="AI25" i="12"/>
  <c r="AH25" i="12"/>
  <c r="AG25" i="12"/>
  <c r="AF25" i="12"/>
  <c r="AE25" i="12"/>
  <c r="AM24" i="12"/>
  <c r="AL24" i="12"/>
  <c r="AK24" i="12"/>
  <c r="AJ24" i="12"/>
  <c r="AI24" i="12"/>
  <c r="AH24" i="12"/>
  <c r="AG24" i="12"/>
  <c r="AF24" i="12"/>
  <c r="AE24" i="12"/>
  <c r="AM23" i="12"/>
  <c r="AL23" i="12"/>
  <c r="AK23" i="12"/>
  <c r="AJ23" i="12"/>
  <c r="AI23" i="12"/>
  <c r="AH23" i="12"/>
  <c r="AG23" i="12"/>
  <c r="AF23" i="12"/>
  <c r="AE23" i="12"/>
  <c r="BY22" i="12"/>
  <c r="AM22" i="12"/>
  <c r="AL22" i="12"/>
  <c r="AK22" i="12"/>
  <c r="AJ22" i="12"/>
  <c r="AI22" i="12"/>
  <c r="AH22" i="12"/>
  <c r="AG22" i="12"/>
  <c r="AF22" i="12"/>
  <c r="AE22" i="12"/>
  <c r="AM21" i="12"/>
  <c r="AL21" i="12"/>
  <c r="AK21" i="12"/>
  <c r="AJ21" i="12"/>
  <c r="AI21" i="12"/>
  <c r="AH21" i="12"/>
  <c r="AG21" i="12"/>
  <c r="AF21" i="12"/>
  <c r="AE21" i="12"/>
  <c r="AM20" i="12"/>
  <c r="AL20" i="12"/>
  <c r="AK20" i="12"/>
  <c r="AJ20" i="12"/>
  <c r="AI20" i="12"/>
  <c r="AH20" i="12"/>
  <c r="AG20" i="12"/>
  <c r="AF20" i="12"/>
  <c r="AE20" i="12"/>
  <c r="AM19" i="12"/>
  <c r="AL19" i="12"/>
  <c r="AK19" i="12"/>
  <c r="AJ19" i="12"/>
  <c r="AI19" i="12"/>
  <c r="AH19" i="12"/>
  <c r="AG19" i="12"/>
  <c r="AF19" i="12"/>
  <c r="AE19" i="12"/>
  <c r="AM18" i="12"/>
  <c r="AL18" i="12"/>
  <c r="AK18" i="12"/>
  <c r="AJ18" i="12"/>
  <c r="AI18" i="12"/>
  <c r="AH18" i="12"/>
  <c r="AG18" i="12"/>
  <c r="AF18" i="12"/>
  <c r="AE18" i="12"/>
  <c r="BY17" i="12"/>
  <c r="AM17" i="12"/>
  <c r="AL17" i="12"/>
  <c r="AK17" i="12"/>
  <c r="AJ17" i="12"/>
  <c r="AI17" i="12"/>
  <c r="AH17" i="12"/>
  <c r="AG17" i="12"/>
  <c r="AF17" i="12"/>
  <c r="AE17" i="12"/>
  <c r="AM16" i="12"/>
  <c r="AL16" i="12"/>
  <c r="AK16" i="12"/>
  <c r="AJ16" i="12"/>
  <c r="AI16" i="12"/>
  <c r="AH16" i="12"/>
  <c r="AG16" i="12"/>
  <c r="AF16" i="12"/>
  <c r="AE16" i="12"/>
  <c r="AM15" i="12"/>
  <c r="AL15" i="12"/>
  <c r="AK15" i="12"/>
  <c r="AJ15" i="12"/>
  <c r="AI15" i="12"/>
  <c r="AH15" i="12"/>
  <c r="AG15" i="12"/>
  <c r="AF15" i="12"/>
  <c r="AE15" i="12"/>
  <c r="BY14" i="12"/>
  <c r="AM14" i="12"/>
  <c r="AL14" i="12"/>
  <c r="AK14" i="12"/>
  <c r="AJ14" i="12"/>
  <c r="AI14" i="12"/>
  <c r="AH14" i="12"/>
  <c r="AG14" i="12"/>
  <c r="AF14" i="12"/>
  <c r="AE14" i="12"/>
  <c r="AM13" i="12"/>
  <c r="AL13" i="12"/>
  <c r="AK13" i="12"/>
  <c r="AJ13" i="12"/>
  <c r="AI13" i="12"/>
  <c r="AH13" i="12"/>
  <c r="AG13" i="12"/>
  <c r="AF13" i="12"/>
  <c r="AE13" i="12"/>
  <c r="BY12" i="12"/>
  <c r="AM12" i="12"/>
  <c r="AL12" i="12"/>
  <c r="AK12" i="12"/>
  <c r="AJ12" i="12"/>
  <c r="AI12" i="12"/>
  <c r="AH12" i="12"/>
  <c r="AG12" i="12"/>
  <c r="AF12" i="12"/>
  <c r="AE12" i="12"/>
  <c r="AM11" i="12"/>
  <c r="AL11" i="12"/>
  <c r="AK11" i="12"/>
  <c r="AJ11" i="12"/>
  <c r="AI11" i="12"/>
  <c r="AH11" i="12"/>
  <c r="AG11" i="12"/>
  <c r="AF11" i="12"/>
  <c r="AE11" i="12"/>
  <c r="AM10" i="12"/>
  <c r="AL10" i="12"/>
  <c r="AK10" i="12"/>
  <c r="AJ10" i="12"/>
  <c r="AI10" i="12"/>
  <c r="AH10" i="12"/>
  <c r="AG10" i="12"/>
  <c r="AF10" i="12"/>
  <c r="AE10" i="12"/>
  <c r="AM9" i="12"/>
  <c r="AL9" i="12"/>
  <c r="AK9" i="12"/>
  <c r="AJ9" i="12"/>
  <c r="AI9" i="12"/>
  <c r="AH9" i="12"/>
  <c r="AG9" i="12"/>
  <c r="AF9" i="12"/>
  <c r="AE9" i="12"/>
  <c r="AM8" i="12"/>
  <c r="AL8" i="12"/>
  <c r="AK8" i="12"/>
  <c r="AJ8" i="12"/>
  <c r="AI8" i="12"/>
  <c r="AH8" i="12"/>
  <c r="AG8" i="12"/>
  <c r="AF8" i="12"/>
  <c r="AE8" i="12"/>
  <c r="AM7" i="12"/>
  <c r="AL7" i="12"/>
  <c r="AK7" i="12"/>
  <c r="AJ7" i="12"/>
  <c r="AI7" i="12"/>
  <c r="AH7" i="12"/>
  <c r="AG7" i="12"/>
  <c r="AF7" i="12"/>
  <c r="AE7" i="12"/>
  <c r="BZ6" i="12"/>
  <c r="AM6" i="12"/>
  <c r="AL6" i="12"/>
  <c r="AK6" i="12"/>
  <c r="AJ6" i="12"/>
  <c r="AI6" i="12"/>
  <c r="AH6" i="12"/>
  <c r="AG6" i="12"/>
  <c r="AF6" i="12"/>
  <c r="AE6" i="12"/>
  <c r="BC54" i="11"/>
  <c r="BE52" i="11"/>
  <c r="BD52" i="11"/>
  <c r="BC52" i="11"/>
  <c r="BB52" i="11"/>
  <c r="BA52" i="11"/>
  <c r="AZ52" i="11"/>
  <c r="AZ54" i="11" s="1"/>
  <c r="AY52" i="11"/>
  <c r="AX52" i="11"/>
  <c r="AW52" i="11"/>
  <c r="AV52" i="11"/>
  <c r="AU52" i="11"/>
  <c r="AT52" i="11"/>
  <c r="AS52" i="11"/>
  <c r="AR52" i="11"/>
  <c r="AQ52" i="11"/>
  <c r="AP52" i="11"/>
  <c r="AO52" i="11"/>
  <c r="AN52" i="11"/>
  <c r="AM52" i="11"/>
  <c r="AL52" i="11"/>
  <c r="AK52" i="11"/>
  <c r="AJ52" i="11"/>
  <c r="BB54" i="11" s="1"/>
  <c r="AI52" i="11"/>
  <c r="BA54" i="11" s="1"/>
  <c r="AH52" i="11"/>
  <c r="AG52" i="11"/>
  <c r="AF52" i="11"/>
  <c r="AE52" i="11"/>
  <c r="AD52" i="11"/>
  <c r="AC52" i="11"/>
  <c r="AB52" i="11"/>
  <c r="AA52" i="11"/>
  <c r="Z52" i="11"/>
  <c r="Y52" i="11"/>
  <c r="X52" i="11"/>
  <c r="W52" i="11"/>
  <c r="V52" i="11"/>
  <c r="U52" i="11"/>
  <c r="T52" i="11"/>
  <c r="S52" i="11"/>
  <c r="R52" i="11"/>
  <c r="Q52" i="11"/>
  <c r="P52" i="11"/>
  <c r="O52" i="11"/>
  <c r="N52" i="11"/>
  <c r="M52" i="11"/>
  <c r="L52" i="11"/>
  <c r="K52" i="11"/>
  <c r="J52" i="11"/>
  <c r="I52" i="11"/>
  <c r="H52" i="11"/>
  <c r="G52" i="11"/>
  <c r="F52" i="11"/>
  <c r="E52" i="11"/>
  <c r="D52" i="11"/>
  <c r="BH39" i="11"/>
  <c r="BG39" i="11"/>
  <c r="BH37" i="11"/>
  <c r="BG37" i="11"/>
  <c r="BH33" i="11"/>
  <c r="BG33" i="11"/>
  <c r="BH26" i="11"/>
  <c r="BG26" i="11"/>
  <c r="BH22" i="11"/>
  <c r="BG22" i="11"/>
  <c r="BH17" i="11"/>
  <c r="BG17" i="11"/>
  <c r="BH14" i="11"/>
  <c r="BG14" i="11"/>
  <c r="BH12" i="11"/>
  <c r="BG12" i="11"/>
  <c r="BH6" i="11"/>
  <c r="BG6" i="11"/>
  <c r="S76" i="10"/>
  <c r="T76" i="10" s="1"/>
  <c r="U76" i="10" s="1"/>
  <c r="I56" i="10"/>
  <c r="H56" i="10"/>
  <c r="G56" i="10"/>
  <c r="F56" i="10"/>
  <c r="E56" i="10"/>
  <c r="D56" i="10"/>
  <c r="I54" i="10"/>
  <c r="E54" i="10"/>
  <c r="I52" i="10"/>
  <c r="I63" i="10" s="1"/>
  <c r="E52" i="10"/>
  <c r="E63" i="10" s="1"/>
  <c r="I50" i="10"/>
  <c r="I57" i="10" s="1"/>
  <c r="H50" i="10"/>
  <c r="H57" i="10" s="1"/>
  <c r="G50" i="10"/>
  <c r="G57" i="10" s="1"/>
  <c r="F50" i="10"/>
  <c r="F57" i="10" s="1"/>
  <c r="E50" i="10"/>
  <c r="E57" i="10" s="1"/>
  <c r="D50" i="10"/>
  <c r="D57" i="10" s="1"/>
  <c r="I44" i="10"/>
  <c r="H44" i="10"/>
  <c r="G44" i="10"/>
  <c r="F44" i="10"/>
  <c r="E44" i="10"/>
  <c r="D44" i="10"/>
  <c r="I43" i="10"/>
  <c r="H43" i="10"/>
  <c r="G43" i="10"/>
  <c r="F43" i="10"/>
  <c r="E43" i="10"/>
  <c r="D43" i="10"/>
  <c r="I39" i="10"/>
  <c r="H39" i="10"/>
  <c r="G39" i="10"/>
  <c r="F39" i="10"/>
  <c r="E39" i="10"/>
  <c r="D39" i="10"/>
  <c r="I35" i="10"/>
  <c r="H35" i="10"/>
  <c r="G35" i="10"/>
  <c r="F35" i="10"/>
  <c r="E35" i="10"/>
  <c r="D35" i="10"/>
  <c r="I29" i="10"/>
  <c r="H29" i="10"/>
  <c r="G29" i="10"/>
  <c r="F29" i="10"/>
  <c r="E29" i="10"/>
  <c r="D29" i="10"/>
  <c r="I28" i="10"/>
  <c r="H28" i="10"/>
  <c r="G28" i="10"/>
  <c r="F28" i="10"/>
  <c r="E28" i="10"/>
  <c r="D28" i="10"/>
  <c r="G26" i="10"/>
  <c r="H26" i="10" s="1"/>
  <c r="D26" i="10"/>
  <c r="I22" i="10"/>
  <c r="H22" i="10"/>
  <c r="G22" i="10"/>
  <c r="F22" i="10"/>
  <c r="E22" i="10"/>
  <c r="D22" i="10"/>
  <c r="G20" i="10"/>
  <c r="H20" i="10" s="1"/>
  <c r="D20" i="10"/>
  <c r="I18" i="10"/>
  <c r="H18" i="10"/>
  <c r="G18" i="10"/>
  <c r="F18" i="10"/>
  <c r="E18" i="10"/>
  <c r="D18" i="10"/>
  <c r="G16" i="10"/>
  <c r="H16" i="10" s="1"/>
  <c r="D16" i="10"/>
  <c r="I14" i="10"/>
  <c r="H14" i="10"/>
  <c r="G14" i="10"/>
  <c r="F14" i="10"/>
  <c r="E14" i="10"/>
  <c r="D14" i="10"/>
  <c r="G12" i="10"/>
  <c r="H12" i="10" s="1"/>
  <c r="D12" i="10"/>
  <c r="I10" i="10"/>
  <c r="H10" i="10"/>
  <c r="G10" i="10"/>
  <c r="F10" i="10"/>
  <c r="E10" i="10"/>
  <c r="D10" i="10"/>
  <c r="G8" i="10"/>
  <c r="F8" i="10" s="1"/>
  <c r="D8" i="10"/>
  <c r="D96" i="9"/>
  <c r="E92" i="9"/>
  <c r="D92" i="9"/>
  <c r="D87" i="9"/>
  <c r="E87" i="9" s="1"/>
  <c r="D86" i="9"/>
  <c r="E86" i="9" s="1"/>
  <c r="E82" i="9"/>
  <c r="D82" i="9"/>
  <c r="E79" i="9"/>
  <c r="D79" i="9"/>
  <c r="E75" i="9"/>
  <c r="D75" i="9"/>
  <c r="D64" i="9"/>
  <c r="E64" i="9" s="1"/>
  <c r="D60" i="9"/>
  <c r="E60" i="9" s="1"/>
  <c r="E58" i="9"/>
  <c r="E55" i="9" s="1"/>
  <c r="G30" i="9"/>
  <c r="F30" i="9"/>
  <c r="E30" i="9"/>
  <c r="N30" i="9" s="1"/>
  <c r="E29" i="9"/>
  <c r="N29" i="9" s="1"/>
  <c r="E28" i="9"/>
  <c r="E27" i="9"/>
  <c r="N27" i="9" s="1"/>
  <c r="D27" i="9"/>
  <c r="M27" i="9" s="1"/>
  <c r="E26" i="9"/>
  <c r="N26" i="9" s="1"/>
  <c r="D26" i="9"/>
  <c r="M25" i="9"/>
  <c r="H25" i="9"/>
  <c r="Q25" i="9" s="1"/>
  <c r="D25" i="9"/>
  <c r="C24" i="9"/>
  <c r="C30" i="9" s="1"/>
  <c r="R29" i="8"/>
  <c r="S29" i="8" s="1"/>
  <c r="O29" i="8"/>
  <c r="N29" i="8"/>
  <c r="J29" i="8"/>
  <c r="I29" i="8" s="1"/>
  <c r="R21" i="8"/>
  <c r="S21" i="8" s="1"/>
  <c r="O21" i="8"/>
  <c r="J21" i="8"/>
  <c r="I21" i="8" s="1"/>
  <c r="R17" i="8"/>
  <c r="S17" i="8" s="1"/>
  <c r="O17" i="8"/>
  <c r="J17" i="8"/>
  <c r="I17" i="8" s="1"/>
  <c r="R13" i="8"/>
  <c r="Q13" i="8" s="1"/>
  <c r="O13" i="8"/>
  <c r="J13" i="8"/>
  <c r="N13" i="8" s="1"/>
  <c r="I13" i="8"/>
  <c r="R12" i="8"/>
  <c r="Q12" i="8" s="1"/>
  <c r="N12" i="8"/>
  <c r="J12" i="8"/>
  <c r="O4" i="8"/>
  <c r="F97" i="7"/>
  <c r="F96" i="7"/>
  <c r="F94" i="7"/>
  <c r="F93" i="7"/>
  <c r="F92" i="7"/>
  <c r="F91" i="7"/>
  <c r="F89" i="7"/>
  <c r="F88" i="7"/>
  <c r="F87" i="7"/>
  <c r="F85" i="7"/>
  <c r="F84" i="7"/>
  <c r="F83" i="7"/>
  <c r="F81" i="7"/>
  <c r="F80" i="7"/>
  <c r="F79" i="7"/>
  <c r="F78" i="7"/>
  <c r="F77" i="7"/>
  <c r="F76" i="7"/>
  <c r="F75" i="7"/>
  <c r="AA169" i="6"/>
  <c r="AD168" i="6"/>
  <c r="AC168" i="6"/>
  <c r="Y168" i="6"/>
  <c r="AK166" i="6"/>
  <c r="T166" i="6"/>
  <c r="AK165" i="6"/>
  <c r="Y165" i="6"/>
  <c r="T165" i="6"/>
  <c r="AI164" i="6"/>
  <c r="AC163" i="6"/>
  <c r="AB163" i="6"/>
  <c r="AA163" i="6"/>
  <c r="T163" i="6"/>
  <c r="T162" i="6"/>
  <c r="AI161" i="6"/>
  <c r="AC161" i="6"/>
  <c r="AB161" i="6"/>
  <c r="AA161" i="6"/>
  <c r="Y161" i="6"/>
  <c r="T161" i="6"/>
  <c r="T160" i="6"/>
  <c r="T158" i="6"/>
  <c r="E158" i="6"/>
  <c r="Y157" i="6"/>
  <c r="T157" i="6"/>
  <c r="AL156" i="6"/>
  <c r="AK156" i="6"/>
  <c r="AC156" i="6"/>
  <c r="AB156" i="6"/>
  <c r="T156" i="6"/>
  <c r="T154" i="6"/>
  <c r="T153" i="6"/>
  <c r="T152" i="6"/>
  <c r="T150" i="6"/>
  <c r="AM149" i="6"/>
  <c r="AL149" i="6"/>
  <c r="AK149" i="6"/>
  <c r="AJ149" i="6"/>
  <c r="AI149" i="6"/>
  <c r="AH149" i="6"/>
  <c r="AG149" i="6"/>
  <c r="AF149" i="6"/>
  <c r="AE149" i="6"/>
  <c r="AD149" i="6"/>
  <c r="AC149" i="6"/>
  <c r="AB149" i="6"/>
  <c r="AA149" i="6"/>
  <c r="Z149" i="6"/>
  <c r="Y149" i="6"/>
  <c r="T149" i="6"/>
  <c r="AI148" i="6"/>
  <c r="AC148" i="6"/>
  <c r="Y148" i="6"/>
  <c r="T148" i="6"/>
  <c r="AL147" i="6"/>
  <c r="AI147" i="6"/>
  <c r="T147" i="6"/>
  <c r="T146" i="6"/>
  <c r="T145" i="6"/>
  <c r="AD138" i="6"/>
  <c r="AC138" i="6"/>
  <c r="AB138" i="6"/>
  <c r="AA138" i="6"/>
  <c r="Y138" i="6"/>
  <c r="AK136" i="6"/>
  <c r="T136" i="6"/>
  <c r="AB135" i="6"/>
  <c r="Y135" i="6"/>
  <c r="T135" i="6"/>
  <c r="AI134" i="6"/>
  <c r="AC134" i="6"/>
  <c r="AA134" i="6"/>
  <c r="T134" i="6"/>
  <c r="AI133" i="6"/>
  <c r="AC133" i="6"/>
  <c r="AB133" i="6"/>
  <c r="Y133" i="6"/>
  <c r="T133" i="6"/>
  <c r="T132" i="6"/>
  <c r="E132" i="6"/>
  <c r="AI131" i="6"/>
  <c r="AC131" i="6"/>
  <c r="AB131" i="6"/>
  <c r="Y131" i="6"/>
  <c r="T131" i="6"/>
  <c r="T130" i="6"/>
  <c r="AD129" i="6"/>
  <c r="AC129" i="6"/>
  <c r="Y129" i="6"/>
  <c r="T129" i="6"/>
  <c r="T128" i="6"/>
  <c r="E128" i="6"/>
  <c r="AK127" i="6"/>
  <c r="AA127" i="6"/>
  <c r="Y127" i="6"/>
  <c r="T127" i="6"/>
  <c r="AL126" i="6"/>
  <c r="AK126" i="6"/>
  <c r="AI126" i="6"/>
  <c r="AB126" i="6"/>
  <c r="AA126" i="6"/>
  <c r="T126" i="6"/>
  <c r="T125" i="6"/>
  <c r="T124" i="6"/>
  <c r="AB123" i="6"/>
  <c r="AA123" i="6"/>
  <c r="T123" i="6"/>
  <c r="T122" i="6"/>
  <c r="T121" i="6"/>
  <c r="T120" i="6"/>
  <c r="AM119" i="6"/>
  <c r="AL119" i="6"/>
  <c r="AK119" i="6"/>
  <c r="AJ119" i="6"/>
  <c r="AI119" i="6"/>
  <c r="AH119" i="6"/>
  <c r="AG119" i="6"/>
  <c r="AF119" i="6"/>
  <c r="AE119" i="6"/>
  <c r="AD119" i="6"/>
  <c r="AC119" i="6"/>
  <c r="AB119" i="6"/>
  <c r="AA119" i="6"/>
  <c r="Z119" i="6"/>
  <c r="Y119" i="6"/>
  <c r="T119" i="6"/>
  <c r="AC118" i="6"/>
  <c r="T118" i="6"/>
  <c r="AI117" i="6"/>
  <c r="T117" i="6"/>
  <c r="T116" i="6"/>
  <c r="E115" i="6"/>
  <c r="T115" i="6" s="1"/>
  <c r="Z101" i="6"/>
  <c r="AK100" i="6"/>
  <c r="AI100" i="6"/>
  <c r="AG100" i="6"/>
  <c r="AC100" i="6"/>
  <c r="T99" i="6"/>
  <c r="AL98" i="6"/>
  <c r="AA98" i="6"/>
  <c r="Z98" i="6"/>
  <c r="T98" i="6"/>
  <c r="AK97" i="6"/>
  <c r="Z97" i="6"/>
  <c r="AI96" i="6"/>
  <c r="AG96" i="6"/>
  <c r="Z96" i="6"/>
  <c r="T96" i="6"/>
  <c r="Z95" i="6"/>
  <c r="T95" i="6"/>
  <c r="T94" i="6"/>
  <c r="Z93" i="6"/>
  <c r="T93" i="6"/>
  <c r="Z92" i="6"/>
  <c r="AK91" i="6"/>
  <c r="AI91" i="6"/>
  <c r="AD91" i="6"/>
  <c r="AC91" i="6"/>
  <c r="AB91" i="6"/>
  <c r="AA91" i="6"/>
  <c r="Z91" i="6"/>
  <c r="T91" i="6"/>
  <c r="T90" i="6"/>
  <c r="AK89" i="6"/>
  <c r="AH89" i="6"/>
  <c r="AG89" i="6"/>
  <c r="AC89" i="6"/>
  <c r="AB89" i="6"/>
  <c r="Z89" i="6"/>
  <c r="T89" i="6"/>
  <c r="AK88" i="6"/>
  <c r="AI88" i="6"/>
  <c r="AC88" i="6"/>
  <c r="AA88" i="6"/>
  <c r="Z88" i="6"/>
  <c r="AI87" i="6"/>
  <c r="Z87" i="6"/>
  <c r="T87" i="6"/>
  <c r="T86" i="6"/>
  <c r="AL85" i="6"/>
  <c r="AC85" i="6"/>
  <c r="Z85" i="6"/>
  <c r="T85" i="6"/>
  <c r="AB84" i="6"/>
  <c r="Z84" i="6"/>
  <c r="AI83" i="6"/>
  <c r="AB83" i="6"/>
  <c r="Z83" i="6"/>
  <c r="T83" i="6"/>
  <c r="AL82" i="6"/>
  <c r="AK82" i="6"/>
  <c r="AJ82" i="6"/>
  <c r="AI82" i="6"/>
  <c r="AH82" i="6"/>
  <c r="AG82" i="6"/>
  <c r="AF82" i="6"/>
  <c r="AE82" i="6"/>
  <c r="AD82" i="6"/>
  <c r="AC82" i="6"/>
  <c r="AA82" i="6"/>
  <c r="Z82" i="6"/>
  <c r="Y82" i="6"/>
  <c r="T82" i="6"/>
  <c r="Z81" i="6"/>
  <c r="T81" i="6"/>
  <c r="Z80" i="6"/>
  <c r="T80" i="6"/>
  <c r="AL79" i="6"/>
  <c r="AK79" i="6"/>
  <c r="AJ79" i="6"/>
  <c r="AI79" i="6"/>
  <c r="AH79" i="6"/>
  <c r="AG79" i="6"/>
  <c r="AF79" i="6"/>
  <c r="AE79" i="6"/>
  <c r="AD79" i="6"/>
  <c r="AC79" i="6"/>
  <c r="AB79" i="6"/>
  <c r="AA79" i="6"/>
  <c r="T79" i="6"/>
  <c r="E78" i="6"/>
  <c r="T78" i="6" s="1"/>
  <c r="AG71" i="6"/>
  <c r="Z71" i="6"/>
  <c r="AI70" i="6"/>
  <c r="AG70" i="6"/>
  <c r="AC70" i="6"/>
  <c r="T69" i="6"/>
  <c r="AL68" i="6"/>
  <c r="AA68" i="6"/>
  <c r="Z68" i="6"/>
  <c r="T68" i="6"/>
  <c r="AK67" i="6"/>
  <c r="AJ67" i="6"/>
  <c r="AI67" i="6"/>
  <c r="Z67" i="6"/>
  <c r="AJ66" i="6"/>
  <c r="AA66" i="6"/>
  <c r="Z66" i="6"/>
  <c r="T66" i="6"/>
  <c r="Z65" i="6"/>
  <c r="T65" i="6"/>
  <c r="T64" i="6"/>
  <c r="AC63" i="6"/>
  <c r="Z63" i="6"/>
  <c r="T63" i="6"/>
  <c r="Z62" i="6"/>
  <c r="AK61" i="6"/>
  <c r="AI61" i="6"/>
  <c r="AD61" i="6"/>
  <c r="AC61" i="6"/>
  <c r="AB61" i="6"/>
  <c r="AA61" i="6"/>
  <c r="Z61" i="6"/>
  <c r="Y61" i="6"/>
  <c r="T61" i="6"/>
  <c r="T60" i="6"/>
  <c r="AK59" i="6"/>
  <c r="AJ59" i="6"/>
  <c r="AI59" i="6"/>
  <c r="AC59" i="6"/>
  <c r="AB59" i="6"/>
  <c r="AA59" i="6"/>
  <c r="Z59" i="6"/>
  <c r="Y59" i="6"/>
  <c r="T59" i="6"/>
  <c r="AI58" i="6"/>
  <c r="AC58" i="6"/>
  <c r="AB58" i="6"/>
  <c r="AA58" i="6"/>
  <c r="AI57" i="6"/>
  <c r="Z57" i="6"/>
  <c r="T57" i="6"/>
  <c r="T56" i="6"/>
  <c r="AL55" i="6"/>
  <c r="AC55" i="6"/>
  <c r="Z55" i="6"/>
  <c r="T55" i="6"/>
  <c r="AI54" i="6"/>
  <c r="AB54" i="6"/>
  <c r="Z54" i="6"/>
  <c r="Z53" i="6"/>
  <c r="T53" i="6"/>
  <c r="AL52" i="6"/>
  <c r="AK52" i="6"/>
  <c r="AJ52" i="6"/>
  <c r="AI52" i="6"/>
  <c r="AH52" i="6"/>
  <c r="AG52" i="6"/>
  <c r="AF52" i="6"/>
  <c r="AE52" i="6"/>
  <c r="AD52" i="6"/>
  <c r="AC52" i="6"/>
  <c r="AA52" i="6"/>
  <c r="Z52" i="6"/>
  <c r="Y52" i="6"/>
  <c r="T52" i="6"/>
  <c r="Z51" i="6"/>
  <c r="T51" i="6"/>
  <c r="AB50" i="6"/>
  <c r="Z50" i="6"/>
  <c r="T50" i="6"/>
  <c r="AL49" i="6"/>
  <c r="AK49" i="6"/>
  <c r="AJ49" i="6"/>
  <c r="AI49" i="6"/>
  <c r="AH49" i="6"/>
  <c r="AG49" i="6"/>
  <c r="AF49" i="6"/>
  <c r="AE49" i="6"/>
  <c r="AC49" i="6"/>
  <c r="AB49" i="6"/>
  <c r="AA49" i="6"/>
  <c r="T49" i="6"/>
  <c r="E48" i="6"/>
  <c r="T48" i="6" s="1"/>
  <c r="AL38" i="6"/>
  <c r="AK38" i="6"/>
  <c r="AJ38" i="6"/>
  <c r="AI38" i="6"/>
  <c r="AH38" i="6"/>
  <c r="AG38" i="6"/>
  <c r="AF38" i="6"/>
  <c r="AE38" i="6"/>
  <c r="AD38" i="6"/>
  <c r="AC38" i="6"/>
  <c r="AB38" i="6"/>
  <c r="AA38" i="6"/>
  <c r="Z38" i="6"/>
  <c r="Y38" i="6"/>
  <c r="AV36" i="6"/>
  <c r="AT36" i="6"/>
  <c r="AV35" i="6"/>
  <c r="AT35" i="6"/>
  <c r="AV32" i="6"/>
  <c r="AT32" i="6"/>
  <c r="AV31" i="6"/>
  <c r="AT31" i="6"/>
  <c r="AV30" i="6"/>
  <c r="AT30" i="6"/>
  <c r="AM28" i="6"/>
  <c r="AM27" i="6"/>
  <c r="AV27" i="6" s="1"/>
  <c r="AM26" i="6"/>
  <c r="AV26" i="6" s="1"/>
  <c r="AV24" i="6"/>
  <c r="AT24" i="6"/>
  <c r="AV23" i="6"/>
  <c r="AT23" i="6"/>
  <c r="AV20" i="6"/>
  <c r="AT20" i="6"/>
  <c r="O19" i="6"/>
  <c r="H19" i="6"/>
  <c r="AV18" i="6"/>
  <c r="AV14" i="6"/>
  <c r="AT14" i="6"/>
  <c r="AL212" i="5"/>
  <c r="AL169" i="6" s="1"/>
  <c r="AK212" i="5"/>
  <c r="AK169" i="6" s="1"/>
  <c r="AJ212" i="5"/>
  <c r="AJ169" i="6" s="1"/>
  <c r="AI212" i="5"/>
  <c r="AI169" i="6" s="1"/>
  <c r="AH212" i="5"/>
  <c r="AH169" i="6" s="1"/>
  <c r="AG212" i="5"/>
  <c r="AG169" i="6" s="1"/>
  <c r="AF212" i="5"/>
  <c r="AF169" i="6" s="1"/>
  <c r="AE212" i="5"/>
  <c r="AE169" i="6" s="1"/>
  <c r="AD212" i="5"/>
  <c r="AD169" i="6" s="1"/>
  <c r="AC212" i="5"/>
  <c r="AC169" i="6" s="1"/>
  <c r="AB212" i="5"/>
  <c r="AB169" i="6" s="1"/>
  <c r="Z212" i="5"/>
  <c r="Z169" i="6" s="1"/>
  <c r="Y212" i="5"/>
  <c r="S212" i="5"/>
  <c r="AL211" i="5"/>
  <c r="AL139" i="6" s="1"/>
  <c r="AK211" i="5"/>
  <c r="AK139" i="6" s="1"/>
  <c r="AJ211" i="5"/>
  <c r="AJ139" i="6" s="1"/>
  <c r="AI211" i="5"/>
  <c r="AI139" i="6" s="1"/>
  <c r="AH211" i="5"/>
  <c r="AH139" i="6" s="1"/>
  <c r="AG211" i="5"/>
  <c r="AG139" i="6" s="1"/>
  <c r="AF211" i="5"/>
  <c r="AF139" i="6" s="1"/>
  <c r="AE211" i="5"/>
  <c r="AE139" i="6" s="1"/>
  <c r="AD211" i="5"/>
  <c r="AD139" i="6" s="1"/>
  <c r="AC211" i="5"/>
  <c r="AC139" i="6" s="1"/>
  <c r="AB211" i="5"/>
  <c r="AB139" i="6" s="1"/>
  <c r="AA211" i="5"/>
  <c r="AA139" i="6" s="1"/>
  <c r="Z211" i="5"/>
  <c r="Z139" i="6" s="1"/>
  <c r="Y211" i="5"/>
  <c r="S211" i="5"/>
  <c r="AM210" i="5"/>
  <c r="AL210" i="5"/>
  <c r="AK210" i="5"/>
  <c r="AJ210" i="5"/>
  <c r="AI210" i="5"/>
  <c r="AH210" i="5"/>
  <c r="AG210" i="5"/>
  <c r="AF210" i="5"/>
  <c r="AE210" i="5"/>
  <c r="AD210" i="5"/>
  <c r="AC210" i="5"/>
  <c r="AB210" i="5"/>
  <c r="AA210" i="5"/>
  <c r="Z210" i="5"/>
  <c r="Y210" i="5"/>
  <c r="S210" i="5"/>
  <c r="AL208" i="5"/>
  <c r="AL168" i="6" s="1"/>
  <c r="AK208" i="5"/>
  <c r="AK168" i="6" s="1"/>
  <c r="AJ208" i="5"/>
  <c r="AJ168" i="6" s="1"/>
  <c r="AH208" i="5"/>
  <c r="AH168" i="6" s="1"/>
  <c r="AG208" i="5"/>
  <c r="AG168" i="6" s="1"/>
  <c r="AF208" i="5"/>
  <c r="AF168" i="6" s="1"/>
  <c r="AE208" i="5"/>
  <c r="AE168" i="6" s="1"/>
  <c r="AB208" i="5"/>
  <c r="AA208" i="5"/>
  <c r="AA168" i="6" s="1"/>
  <c r="Z208" i="5"/>
  <c r="Z168" i="6" s="1"/>
  <c r="S208" i="5"/>
  <c r="AL207" i="5"/>
  <c r="AL138" i="6" s="1"/>
  <c r="AK207" i="5"/>
  <c r="AK138" i="6" s="1"/>
  <c r="AJ207" i="5"/>
  <c r="AJ138" i="6" s="1"/>
  <c r="AI207" i="5"/>
  <c r="AI138" i="6" s="1"/>
  <c r="AH207" i="5"/>
  <c r="AH138" i="6" s="1"/>
  <c r="AG207" i="5"/>
  <c r="AG138" i="6" s="1"/>
  <c r="AF207" i="5"/>
  <c r="AF138" i="6" s="1"/>
  <c r="AE207" i="5"/>
  <c r="AE138" i="6" s="1"/>
  <c r="Z207" i="5"/>
  <c r="Z138" i="6" s="1"/>
  <c r="S207" i="5"/>
  <c r="AM206" i="5"/>
  <c r="AL206" i="5"/>
  <c r="AK206" i="5"/>
  <c r="AJ206" i="5"/>
  <c r="AI206" i="5"/>
  <c r="AH206" i="5"/>
  <c r="AG206" i="5"/>
  <c r="AF206" i="5"/>
  <c r="AE206" i="5"/>
  <c r="AD206" i="5"/>
  <c r="AC206" i="5"/>
  <c r="AB206" i="5"/>
  <c r="AA206" i="5"/>
  <c r="Z206" i="5"/>
  <c r="Y206" i="5"/>
  <c r="S206" i="5"/>
  <c r="AL203" i="5"/>
  <c r="AL166" i="6" s="1"/>
  <c r="AJ203" i="5"/>
  <c r="AJ166" i="6" s="1"/>
  <c r="AI203" i="5"/>
  <c r="AI166" i="6" s="1"/>
  <c r="AH203" i="5"/>
  <c r="AH166" i="6" s="1"/>
  <c r="AG203" i="5"/>
  <c r="AG166" i="6" s="1"/>
  <c r="AF203" i="5"/>
  <c r="AF166" i="6" s="1"/>
  <c r="AE203" i="5"/>
  <c r="AE166" i="6" s="1"/>
  <c r="AD203" i="5"/>
  <c r="AD166" i="6" s="1"/>
  <c r="AC203" i="5"/>
  <c r="AC166" i="6" s="1"/>
  <c r="AB203" i="5"/>
  <c r="AB166" i="6" s="1"/>
  <c r="AA203" i="5"/>
  <c r="AA166" i="6" s="1"/>
  <c r="Z203" i="5"/>
  <c r="Z166" i="6" s="1"/>
  <c r="Y203" i="5"/>
  <c r="Y166" i="6" s="1"/>
  <c r="S203" i="5"/>
  <c r="AL202" i="5"/>
  <c r="AL136" i="6" s="1"/>
  <c r="AJ202" i="5"/>
  <c r="AJ136" i="6" s="1"/>
  <c r="AI202" i="5"/>
  <c r="AI136" i="6" s="1"/>
  <c r="AH202" i="5"/>
  <c r="AH136" i="6" s="1"/>
  <c r="AG202" i="5"/>
  <c r="AG136" i="6" s="1"/>
  <c r="AF202" i="5"/>
  <c r="AF136" i="6" s="1"/>
  <c r="AE202" i="5"/>
  <c r="AE136" i="6" s="1"/>
  <c r="AD202" i="5"/>
  <c r="AD136" i="6" s="1"/>
  <c r="AC202" i="5"/>
  <c r="AC136" i="6" s="1"/>
  <c r="AB202" i="5"/>
  <c r="AB136" i="6" s="1"/>
  <c r="AA202" i="5"/>
  <c r="AA136" i="6" s="1"/>
  <c r="Z202" i="5"/>
  <c r="Z136" i="6" s="1"/>
  <c r="Y202" i="5"/>
  <c r="Y136" i="6" s="1"/>
  <c r="S202" i="5"/>
  <c r="AM201" i="5"/>
  <c r="AL201" i="5"/>
  <c r="AK201" i="5"/>
  <c r="AJ201" i="5"/>
  <c r="AI201" i="5"/>
  <c r="AH201" i="5"/>
  <c r="AG201" i="5"/>
  <c r="AF201" i="5"/>
  <c r="AE201" i="5"/>
  <c r="AD201" i="5"/>
  <c r="AC201" i="5"/>
  <c r="AB201" i="5"/>
  <c r="AA201" i="5"/>
  <c r="Z201" i="5"/>
  <c r="Y201" i="5"/>
  <c r="S201" i="5"/>
  <c r="AL199" i="5"/>
  <c r="AL165" i="6" s="1"/>
  <c r="AJ199" i="5"/>
  <c r="AJ165" i="6" s="1"/>
  <c r="AI199" i="5"/>
  <c r="AI165" i="6" s="1"/>
  <c r="AH199" i="5"/>
  <c r="AH165" i="6" s="1"/>
  <c r="AG199" i="5"/>
  <c r="AG165" i="6" s="1"/>
  <c r="AF199" i="5"/>
  <c r="AF165" i="6" s="1"/>
  <c r="AE199" i="5"/>
  <c r="AE165" i="6" s="1"/>
  <c r="AD199" i="5"/>
  <c r="AD165" i="6" s="1"/>
  <c r="AC199" i="5"/>
  <c r="AC165" i="6" s="1"/>
  <c r="AB199" i="5"/>
  <c r="AB165" i="6" s="1"/>
  <c r="AA199" i="5"/>
  <c r="AA165" i="6" s="1"/>
  <c r="Z199" i="5"/>
  <c r="Z165" i="6" s="1"/>
  <c r="S199" i="5"/>
  <c r="AL198" i="5"/>
  <c r="AL135" i="6" s="1"/>
  <c r="AK198" i="5"/>
  <c r="AK135" i="6" s="1"/>
  <c r="AJ198" i="5"/>
  <c r="AJ135" i="6" s="1"/>
  <c r="AI198" i="5"/>
  <c r="AI135" i="6" s="1"/>
  <c r="AH198" i="5"/>
  <c r="AH135" i="6" s="1"/>
  <c r="AG198" i="5"/>
  <c r="AG135" i="6" s="1"/>
  <c r="AF198" i="5"/>
  <c r="AF135" i="6" s="1"/>
  <c r="AE198" i="5"/>
  <c r="AE135" i="6" s="1"/>
  <c r="AD198" i="5"/>
  <c r="AD135" i="6" s="1"/>
  <c r="AC198" i="5"/>
  <c r="AC135" i="6" s="1"/>
  <c r="AA198" i="5"/>
  <c r="AA135" i="6" s="1"/>
  <c r="Z198" i="5"/>
  <c r="Z135" i="6" s="1"/>
  <c r="S198" i="5"/>
  <c r="AM197" i="5"/>
  <c r="AL197" i="5"/>
  <c r="AK197" i="5"/>
  <c r="AJ197" i="5"/>
  <c r="AI197" i="5"/>
  <c r="AH197" i="5"/>
  <c r="AG197" i="5"/>
  <c r="AF197" i="5"/>
  <c r="AE197" i="5"/>
  <c r="AD197" i="5"/>
  <c r="AC197" i="5"/>
  <c r="AB197" i="5"/>
  <c r="AA197" i="5"/>
  <c r="Z197" i="5"/>
  <c r="Y197" i="5"/>
  <c r="S197" i="5"/>
  <c r="AL195" i="5"/>
  <c r="AL164" i="6" s="1"/>
  <c r="AK195" i="5"/>
  <c r="AK164" i="6" s="1"/>
  <c r="AJ195" i="5"/>
  <c r="AJ164" i="6" s="1"/>
  <c r="AH195" i="5"/>
  <c r="AH164" i="6" s="1"/>
  <c r="AG195" i="5"/>
  <c r="AG164" i="6" s="1"/>
  <c r="AF195" i="5"/>
  <c r="AF164" i="6" s="1"/>
  <c r="AE195" i="5"/>
  <c r="AE164" i="6" s="1"/>
  <c r="AD195" i="5"/>
  <c r="AD164" i="6" s="1"/>
  <c r="AC195" i="5"/>
  <c r="AC164" i="6" s="1"/>
  <c r="AB195" i="5"/>
  <c r="AB164" i="6" s="1"/>
  <c r="AA195" i="5"/>
  <c r="AA164" i="6" s="1"/>
  <c r="Z195" i="5"/>
  <c r="Z164" i="6" s="1"/>
  <c r="Y195" i="5"/>
  <c r="Y164" i="6" s="1"/>
  <c r="S195" i="5"/>
  <c r="AL194" i="5"/>
  <c r="AL134" i="6" s="1"/>
  <c r="AK194" i="5"/>
  <c r="AK134" i="6" s="1"/>
  <c r="AJ194" i="5"/>
  <c r="AJ134" i="6" s="1"/>
  <c r="AH194" i="5"/>
  <c r="AH134" i="6" s="1"/>
  <c r="AG194" i="5"/>
  <c r="AG134" i="6" s="1"/>
  <c r="AF194" i="5"/>
  <c r="AF134" i="6" s="1"/>
  <c r="AE194" i="5"/>
  <c r="AE134" i="6" s="1"/>
  <c r="AD194" i="5"/>
  <c r="AD134" i="6" s="1"/>
  <c r="AB194" i="5"/>
  <c r="AB134" i="6" s="1"/>
  <c r="Z194" i="5"/>
  <c r="Z134" i="6" s="1"/>
  <c r="Y194" i="5"/>
  <c r="Y134" i="6" s="1"/>
  <c r="S194" i="5"/>
  <c r="AM193" i="5"/>
  <c r="AL193" i="5"/>
  <c r="AK193" i="5"/>
  <c r="AJ193" i="5"/>
  <c r="AI193" i="5"/>
  <c r="AH193" i="5"/>
  <c r="AG193" i="5"/>
  <c r="AF193" i="5"/>
  <c r="AE193" i="5"/>
  <c r="AD193" i="5"/>
  <c r="AC193" i="5"/>
  <c r="AB193" i="5"/>
  <c r="AA193" i="5"/>
  <c r="Z193" i="5"/>
  <c r="Y193" i="5"/>
  <c r="S193" i="5"/>
  <c r="AL191" i="5"/>
  <c r="AL163" i="6" s="1"/>
  <c r="AK191" i="5"/>
  <c r="AK163" i="6" s="1"/>
  <c r="AJ191" i="5"/>
  <c r="AJ163" i="6" s="1"/>
  <c r="AI191" i="5"/>
  <c r="AI163" i="6" s="1"/>
  <c r="AH191" i="5"/>
  <c r="AH163" i="6" s="1"/>
  <c r="AG191" i="5"/>
  <c r="AG163" i="6" s="1"/>
  <c r="AF191" i="5"/>
  <c r="AF163" i="6" s="1"/>
  <c r="AE191" i="5"/>
  <c r="AE163" i="6" s="1"/>
  <c r="AD191" i="5"/>
  <c r="AD163" i="6" s="1"/>
  <c r="Z191" i="5"/>
  <c r="Z163" i="6" s="1"/>
  <c r="Y191" i="5"/>
  <c r="Y163" i="6" s="1"/>
  <c r="S191" i="5"/>
  <c r="AL190" i="5"/>
  <c r="AL133" i="6" s="1"/>
  <c r="AK190" i="5"/>
  <c r="AK133" i="6" s="1"/>
  <c r="AJ190" i="5"/>
  <c r="AJ133" i="6" s="1"/>
  <c r="AH190" i="5"/>
  <c r="AH133" i="6" s="1"/>
  <c r="AG190" i="5"/>
  <c r="AG133" i="6" s="1"/>
  <c r="AF190" i="5"/>
  <c r="AF133" i="6" s="1"/>
  <c r="AE190" i="5"/>
  <c r="AE133" i="6" s="1"/>
  <c r="AD190" i="5"/>
  <c r="AD133" i="6" s="1"/>
  <c r="AA190" i="5"/>
  <c r="AA133" i="6" s="1"/>
  <c r="Z190" i="5"/>
  <c r="Z133" i="6" s="1"/>
  <c r="S190" i="5"/>
  <c r="AM189" i="5"/>
  <c r="AL189" i="5"/>
  <c r="AK189" i="5"/>
  <c r="AJ189" i="5"/>
  <c r="AI189" i="5"/>
  <c r="AH189" i="5"/>
  <c r="AG189" i="5"/>
  <c r="AF189" i="5"/>
  <c r="AE189" i="5"/>
  <c r="AD189" i="5"/>
  <c r="AC189" i="5"/>
  <c r="AB189" i="5"/>
  <c r="AA189" i="5"/>
  <c r="Z189" i="5"/>
  <c r="Y189" i="5"/>
  <c r="S189" i="5"/>
  <c r="AL186" i="5"/>
  <c r="AL161" i="6" s="1"/>
  <c r="AK186" i="5"/>
  <c r="AK161" i="6" s="1"/>
  <c r="AJ186" i="5"/>
  <c r="AJ161" i="6" s="1"/>
  <c r="AH186" i="5"/>
  <c r="AH161" i="6" s="1"/>
  <c r="AG186" i="5"/>
  <c r="AG161" i="6" s="1"/>
  <c r="AF186" i="5"/>
  <c r="AF161" i="6" s="1"/>
  <c r="AE186" i="5"/>
  <c r="AE161" i="6" s="1"/>
  <c r="AD186" i="5"/>
  <c r="AD161" i="6" s="1"/>
  <c r="Z186" i="5"/>
  <c r="Z161" i="6" s="1"/>
  <c r="S186" i="5"/>
  <c r="AL185" i="5"/>
  <c r="AL131" i="6" s="1"/>
  <c r="AK185" i="5"/>
  <c r="AK131" i="6" s="1"/>
  <c r="AJ185" i="5"/>
  <c r="AJ131" i="6" s="1"/>
  <c r="AH185" i="5"/>
  <c r="AH131" i="6" s="1"/>
  <c r="AG185" i="5"/>
  <c r="AG131" i="6" s="1"/>
  <c r="AF185" i="5"/>
  <c r="AF131" i="6" s="1"/>
  <c r="AE185" i="5"/>
  <c r="AE131" i="6" s="1"/>
  <c r="AD185" i="5"/>
  <c r="AD131" i="6" s="1"/>
  <c r="AA185" i="5"/>
  <c r="AA131" i="6" s="1"/>
  <c r="Z185" i="5"/>
  <c r="Z131" i="6" s="1"/>
  <c r="S185" i="5"/>
  <c r="AE184" i="5"/>
  <c r="S184" i="5"/>
  <c r="AL182" i="5"/>
  <c r="AL160" i="6" s="1"/>
  <c r="AK182" i="5"/>
  <c r="AK160" i="6" s="1"/>
  <c r="AJ182" i="5"/>
  <c r="AJ160" i="6" s="1"/>
  <c r="AI182" i="5"/>
  <c r="AI160" i="6" s="1"/>
  <c r="AH182" i="5"/>
  <c r="AH160" i="6" s="1"/>
  <c r="AG182" i="5"/>
  <c r="AG160" i="6" s="1"/>
  <c r="AF182" i="5"/>
  <c r="AF160" i="6" s="1"/>
  <c r="AE182" i="5"/>
  <c r="AE160" i="6" s="1"/>
  <c r="AD182" i="5"/>
  <c r="AD160" i="6" s="1"/>
  <c r="AC182" i="5"/>
  <c r="AC160" i="6" s="1"/>
  <c r="AB182" i="5"/>
  <c r="AB160" i="6" s="1"/>
  <c r="AA182" i="5"/>
  <c r="AA160" i="6" s="1"/>
  <c r="Z182" i="5"/>
  <c r="Z160" i="6" s="1"/>
  <c r="Y182" i="5"/>
  <c r="Y160" i="6" s="1"/>
  <c r="S182" i="5"/>
  <c r="AL181" i="5"/>
  <c r="AL130" i="6" s="1"/>
  <c r="AK181" i="5"/>
  <c r="AK130" i="6" s="1"/>
  <c r="AJ181" i="5"/>
  <c r="AJ130" i="6" s="1"/>
  <c r="AI181" i="5"/>
  <c r="AI130" i="6" s="1"/>
  <c r="AH181" i="5"/>
  <c r="AH130" i="6" s="1"/>
  <c r="AG181" i="5"/>
  <c r="AG130" i="6" s="1"/>
  <c r="AF181" i="5"/>
  <c r="AF130" i="6" s="1"/>
  <c r="AE181" i="5"/>
  <c r="AE130" i="6" s="1"/>
  <c r="AD181" i="5"/>
  <c r="AD130" i="6" s="1"/>
  <c r="AC181" i="5"/>
  <c r="AC130" i="6" s="1"/>
  <c r="AB181" i="5"/>
  <c r="AB130" i="6" s="1"/>
  <c r="AA181" i="5"/>
  <c r="AA130" i="6" s="1"/>
  <c r="Z181" i="5"/>
  <c r="Z130" i="6" s="1"/>
  <c r="Y181" i="5"/>
  <c r="Y130" i="6" s="1"/>
  <c r="S181" i="5"/>
  <c r="S180" i="5"/>
  <c r="AL178" i="5"/>
  <c r="AL159" i="6" s="1"/>
  <c r="AK178" i="5"/>
  <c r="AK159" i="6" s="1"/>
  <c r="AJ178" i="5"/>
  <c r="AJ159" i="6" s="1"/>
  <c r="AH178" i="5"/>
  <c r="AH159" i="6" s="1"/>
  <c r="AG178" i="5"/>
  <c r="AG159" i="6" s="1"/>
  <c r="AF178" i="5"/>
  <c r="AF159" i="6" s="1"/>
  <c r="AE178" i="5"/>
  <c r="AE159" i="6" s="1"/>
  <c r="AD178" i="5"/>
  <c r="AD159" i="6" s="1"/>
  <c r="AC178" i="5"/>
  <c r="AC159" i="6" s="1"/>
  <c r="AB178" i="5"/>
  <c r="AB159" i="6" s="1"/>
  <c r="Z178" i="5"/>
  <c r="Z159" i="6" s="1"/>
  <c r="Y178" i="5"/>
  <c r="Y159" i="6" s="1"/>
  <c r="S178" i="5"/>
  <c r="AL177" i="5"/>
  <c r="AL129" i="6" s="1"/>
  <c r="AK177" i="5"/>
  <c r="AK129" i="6" s="1"/>
  <c r="AJ177" i="5"/>
  <c r="AJ129" i="6" s="1"/>
  <c r="AH177" i="5"/>
  <c r="AH129" i="6" s="1"/>
  <c r="AG177" i="5"/>
  <c r="AG129" i="6" s="1"/>
  <c r="AF177" i="5"/>
  <c r="AF129" i="6" s="1"/>
  <c r="AE177" i="5"/>
  <c r="AE129" i="6" s="1"/>
  <c r="AB177" i="5"/>
  <c r="AB129" i="6" s="1"/>
  <c r="Z177" i="5"/>
  <c r="Z129" i="6" s="1"/>
  <c r="S177" i="5"/>
  <c r="S176" i="5"/>
  <c r="AL173" i="5"/>
  <c r="AL157" i="6" s="1"/>
  <c r="AJ173" i="5"/>
  <c r="AJ157" i="6" s="1"/>
  <c r="AH173" i="5"/>
  <c r="AH157" i="6" s="1"/>
  <c r="AG173" i="5"/>
  <c r="AG157" i="6" s="1"/>
  <c r="AF173" i="5"/>
  <c r="AF157" i="6" s="1"/>
  <c r="AE173" i="5"/>
  <c r="AE157" i="6" s="1"/>
  <c r="AD173" i="5"/>
  <c r="AD157" i="6" s="1"/>
  <c r="AA173" i="5"/>
  <c r="AA157" i="6" s="1"/>
  <c r="Z173" i="5"/>
  <c r="Z157" i="6" s="1"/>
  <c r="S173" i="5"/>
  <c r="AL172" i="5"/>
  <c r="AL127" i="6" s="1"/>
  <c r="AJ172" i="5"/>
  <c r="AJ127" i="6" s="1"/>
  <c r="AH172" i="5"/>
  <c r="AH127" i="6" s="1"/>
  <c r="AG172" i="5"/>
  <c r="AG127" i="6" s="1"/>
  <c r="AF172" i="5"/>
  <c r="AF127" i="6" s="1"/>
  <c r="AE172" i="5"/>
  <c r="AE127" i="6" s="1"/>
  <c r="AD172" i="5"/>
  <c r="AD127" i="6" s="1"/>
  <c r="AC172" i="5"/>
  <c r="AC127" i="6" s="1"/>
  <c r="Z172" i="5"/>
  <c r="Z127" i="6" s="1"/>
  <c r="S172" i="5"/>
  <c r="AM171" i="5"/>
  <c r="AL171" i="5"/>
  <c r="AK171" i="5"/>
  <c r="AK173" i="5" s="1"/>
  <c r="AK157" i="6" s="1"/>
  <c r="AJ171" i="5"/>
  <c r="AI171" i="5"/>
  <c r="AH171" i="5"/>
  <c r="AG171" i="5"/>
  <c r="AF171" i="5"/>
  <c r="AE171" i="5"/>
  <c r="AD171" i="5"/>
  <c r="AC171" i="5"/>
  <c r="AB171" i="5"/>
  <c r="AB172" i="5" s="1"/>
  <c r="AB127" i="6" s="1"/>
  <c r="AA171" i="5"/>
  <c r="Z171" i="5"/>
  <c r="Y171" i="5"/>
  <c r="S171" i="5"/>
  <c r="AJ169" i="5"/>
  <c r="AJ156" i="6" s="1"/>
  <c r="AH169" i="5"/>
  <c r="AH156" i="6" s="1"/>
  <c r="AG169" i="5"/>
  <c r="AG156" i="6" s="1"/>
  <c r="AF169" i="5"/>
  <c r="AF156" i="6" s="1"/>
  <c r="AE169" i="5"/>
  <c r="AE156" i="6" s="1"/>
  <c r="AD169" i="5"/>
  <c r="AD156" i="6" s="1"/>
  <c r="AA169" i="5"/>
  <c r="AA156" i="6" s="1"/>
  <c r="Z169" i="5"/>
  <c r="Z156" i="6" s="1"/>
  <c r="Y169" i="5"/>
  <c r="Y156" i="6" s="1"/>
  <c r="S169" i="5"/>
  <c r="AJ168" i="5"/>
  <c r="AJ126" i="6" s="1"/>
  <c r="AH168" i="5"/>
  <c r="AH126" i="6" s="1"/>
  <c r="AG168" i="5"/>
  <c r="AG126" i="6" s="1"/>
  <c r="AF168" i="5"/>
  <c r="AF126" i="6" s="1"/>
  <c r="AE168" i="5"/>
  <c r="AE126" i="6" s="1"/>
  <c r="AD168" i="5"/>
  <c r="AD126" i="6" s="1"/>
  <c r="AC168" i="5"/>
  <c r="AC126" i="6" s="1"/>
  <c r="Z168" i="5"/>
  <c r="Z126" i="6" s="1"/>
  <c r="Y168" i="5"/>
  <c r="Y126" i="6" s="1"/>
  <c r="S168" i="5"/>
  <c r="AM167" i="5"/>
  <c r="AL167" i="5"/>
  <c r="AK167" i="5"/>
  <c r="AJ167" i="5"/>
  <c r="AI167" i="5"/>
  <c r="AH167" i="5"/>
  <c r="AG167" i="5"/>
  <c r="AF167" i="5"/>
  <c r="AE167" i="5"/>
  <c r="AD167" i="5"/>
  <c r="AC167" i="5"/>
  <c r="AB167" i="5"/>
  <c r="AA167" i="5"/>
  <c r="Z167" i="5"/>
  <c r="Y167" i="5"/>
  <c r="S167" i="5"/>
  <c r="AL165" i="5"/>
  <c r="AL155" i="6" s="1"/>
  <c r="AK165" i="5"/>
  <c r="AK155" i="6" s="1"/>
  <c r="AJ165" i="5"/>
  <c r="AJ155" i="6" s="1"/>
  <c r="AH165" i="5"/>
  <c r="AH155" i="6" s="1"/>
  <c r="AG165" i="5"/>
  <c r="AG155" i="6" s="1"/>
  <c r="AF165" i="5"/>
  <c r="AF155" i="6" s="1"/>
  <c r="AE165" i="5"/>
  <c r="AE155" i="6" s="1"/>
  <c r="AD165" i="5"/>
  <c r="AD155" i="6" s="1"/>
  <c r="AC165" i="5"/>
  <c r="AC155" i="6" s="1"/>
  <c r="AA165" i="5"/>
  <c r="AA155" i="6" s="1"/>
  <c r="Z165" i="5"/>
  <c r="Z155" i="6" s="1"/>
  <c r="Y165" i="5"/>
  <c r="Y155" i="6" s="1"/>
  <c r="S165" i="5"/>
  <c r="AL164" i="5"/>
  <c r="AL125" i="6" s="1"/>
  <c r="AK164" i="5"/>
  <c r="AK125" i="6" s="1"/>
  <c r="AJ164" i="5"/>
  <c r="AJ125" i="6" s="1"/>
  <c r="AI164" i="5"/>
  <c r="AH164" i="5"/>
  <c r="AH125" i="6" s="1"/>
  <c r="AG164" i="5"/>
  <c r="AG125" i="6" s="1"/>
  <c r="AF164" i="5"/>
  <c r="AF125" i="6" s="1"/>
  <c r="AE164" i="5"/>
  <c r="AE125" i="6" s="1"/>
  <c r="AD164" i="5"/>
  <c r="AD125" i="6" s="1"/>
  <c r="AC164" i="5"/>
  <c r="AC125" i="6" s="1"/>
  <c r="AB164" i="5"/>
  <c r="AB125" i="6" s="1"/>
  <c r="AA164" i="5"/>
  <c r="AA125" i="6" s="1"/>
  <c r="Z164" i="5"/>
  <c r="Z125" i="6" s="1"/>
  <c r="Y164" i="5"/>
  <c r="Y125" i="6" s="1"/>
  <c r="S164" i="5"/>
  <c r="AM163" i="5"/>
  <c r="AL163" i="5"/>
  <c r="AK163" i="5"/>
  <c r="AJ163" i="5"/>
  <c r="AI163" i="5"/>
  <c r="AH163" i="5"/>
  <c r="AG163" i="5"/>
  <c r="AF163" i="5"/>
  <c r="AE163" i="5"/>
  <c r="AD163" i="5"/>
  <c r="AC163" i="5"/>
  <c r="AB163" i="5"/>
  <c r="AA163" i="5"/>
  <c r="Z163" i="5"/>
  <c r="Y163" i="5"/>
  <c r="S163" i="5"/>
  <c r="AL160" i="5"/>
  <c r="AL153" i="6" s="1"/>
  <c r="AK160" i="5"/>
  <c r="AK153" i="6" s="1"/>
  <c r="AJ160" i="5"/>
  <c r="AJ153" i="6" s="1"/>
  <c r="AH160" i="5"/>
  <c r="AH153" i="6" s="1"/>
  <c r="AG160" i="5"/>
  <c r="AG153" i="6" s="1"/>
  <c r="AF160" i="5"/>
  <c r="AF153" i="6" s="1"/>
  <c r="AE160" i="5"/>
  <c r="AE153" i="6" s="1"/>
  <c r="AD160" i="5"/>
  <c r="AD153" i="6" s="1"/>
  <c r="AC160" i="5"/>
  <c r="AC153" i="6" s="1"/>
  <c r="AB160" i="5"/>
  <c r="AB153" i="6" s="1"/>
  <c r="AA160" i="5"/>
  <c r="AA153" i="6" s="1"/>
  <c r="Z160" i="5"/>
  <c r="Z153" i="6" s="1"/>
  <c r="Y160" i="5"/>
  <c r="S160" i="5"/>
  <c r="AL159" i="5"/>
  <c r="AL123" i="6" s="1"/>
  <c r="AK159" i="5"/>
  <c r="AK123" i="6" s="1"/>
  <c r="AJ159" i="5"/>
  <c r="AJ123" i="6" s="1"/>
  <c r="AH159" i="5"/>
  <c r="AH123" i="6" s="1"/>
  <c r="AG159" i="5"/>
  <c r="AG123" i="6" s="1"/>
  <c r="AF159" i="5"/>
  <c r="AF123" i="6" s="1"/>
  <c r="AE159" i="5"/>
  <c r="AE123" i="6" s="1"/>
  <c r="AD159" i="5"/>
  <c r="AD123" i="6" s="1"/>
  <c r="AC159" i="5"/>
  <c r="AC123" i="6" s="1"/>
  <c r="Z159" i="5"/>
  <c r="Z123" i="6" s="1"/>
  <c r="Y159" i="5"/>
  <c r="Y123" i="6" s="1"/>
  <c r="S159" i="5"/>
  <c r="AM158" i="5"/>
  <c r="AL158" i="5"/>
  <c r="AK158" i="5"/>
  <c r="AJ158" i="5"/>
  <c r="AI158" i="5"/>
  <c r="AI159" i="5" s="1"/>
  <c r="AH158" i="5"/>
  <c r="AG158" i="5"/>
  <c r="AF158" i="5"/>
  <c r="AE158" i="5"/>
  <c r="AD158" i="5"/>
  <c r="AC158" i="5"/>
  <c r="AB158" i="5"/>
  <c r="AA158" i="5"/>
  <c r="Z158" i="5"/>
  <c r="Y158" i="5"/>
  <c r="S158" i="5"/>
  <c r="AL156" i="5"/>
  <c r="AL152" i="6" s="1"/>
  <c r="AK156" i="5"/>
  <c r="AK152" i="6" s="1"/>
  <c r="AJ156" i="5"/>
  <c r="AJ152" i="6" s="1"/>
  <c r="AH156" i="5"/>
  <c r="AH152" i="6" s="1"/>
  <c r="AG156" i="5"/>
  <c r="AG152" i="6" s="1"/>
  <c r="AF156" i="5"/>
  <c r="AF152" i="6" s="1"/>
  <c r="AE156" i="5"/>
  <c r="AE152" i="6" s="1"/>
  <c r="AD156" i="5"/>
  <c r="AD152" i="6" s="1"/>
  <c r="AC156" i="5"/>
  <c r="AC152" i="6" s="1"/>
  <c r="Z156" i="5"/>
  <c r="Y156" i="5"/>
  <c r="Y152" i="6" s="1"/>
  <c r="S156" i="5"/>
  <c r="AL155" i="5"/>
  <c r="AL122" i="6" s="1"/>
  <c r="AK155" i="5"/>
  <c r="AK122" i="6" s="1"/>
  <c r="AJ155" i="5"/>
  <c r="AJ122" i="6" s="1"/>
  <c r="AH155" i="5"/>
  <c r="AH122" i="6" s="1"/>
  <c r="AG155" i="5"/>
  <c r="AG122" i="6" s="1"/>
  <c r="AF155" i="5"/>
  <c r="AF122" i="6" s="1"/>
  <c r="AE155" i="5"/>
  <c r="AE122" i="6" s="1"/>
  <c r="AD155" i="5"/>
  <c r="AD122" i="6" s="1"/>
  <c r="AC155" i="5"/>
  <c r="AC122" i="6" s="1"/>
  <c r="Z155" i="5"/>
  <c r="Z122" i="6" s="1"/>
  <c r="Y155" i="5"/>
  <c r="Y122" i="6" s="1"/>
  <c r="S155" i="5"/>
  <c r="AM154" i="5"/>
  <c r="AL154" i="5"/>
  <c r="AK154" i="5"/>
  <c r="AJ154" i="5"/>
  <c r="AI154" i="5"/>
  <c r="AH154" i="5"/>
  <c r="AG154" i="5"/>
  <c r="AF154" i="5"/>
  <c r="AE154" i="5"/>
  <c r="AD154" i="5"/>
  <c r="AC154" i="5"/>
  <c r="AB154" i="5"/>
  <c r="AB155" i="5" s="1"/>
  <c r="AA154" i="5"/>
  <c r="AA155" i="5" s="1"/>
  <c r="Z154" i="5"/>
  <c r="Y154" i="5"/>
  <c r="S154" i="5"/>
  <c r="AL152" i="5"/>
  <c r="AL151" i="6" s="1"/>
  <c r="AK152" i="5"/>
  <c r="AK151" i="6" s="1"/>
  <c r="AJ152" i="5"/>
  <c r="AJ151" i="6" s="1"/>
  <c r="AI152" i="5"/>
  <c r="AI151" i="6" s="1"/>
  <c r="AH152" i="5"/>
  <c r="AH151" i="6" s="1"/>
  <c r="AG152" i="5"/>
  <c r="AG151" i="6" s="1"/>
  <c r="AF152" i="5"/>
  <c r="AF151" i="6" s="1"/>
  <c r="AE152" i="5"/>
  <c r="AE151" i="6" s="1"/>
  <c r="AD152" i="5"/>
  <c r="AD151" i="6" s="1"/>
  <c r="AC152" i="5"/>
  <c r="AC151" i="6" s="1"/>
  <c r="AB152" i="5"/>
  <c r="AB151" i="6" s="1"/>
  <c r="AA152" i="5"/>
  <c r="AA151" i="6" s="1"/>
  <c r="Z152" i="5"/>
  <c r="Y152" i="5"/>
  <c r="Y151" i="6" s="1"/>
  <c r="S152" i="5"/>
  <c r="AL151" i="5"/>
  <c r="AL121" i="6" s="1"/>
  <c r="AK151" i="5"/>
  <c r="AK121" i="6" s="1"/>
  <c r="AJ151" i="5"/>
  <c r="AJ121" i="6" s="1"/>
  <c r="AI151" i="5"/>
  <c r="AI121" i="6" s="1"/>
  <c r="AH151" i="5"/>
  <c r="AH121" i="6" s="1"/>
  <c r="AG151" i="5"/>
  <c r="AG121" i="6" s="1"/>
  <c r="AF151" i="5"/>
  <c r="AF121" i="6" s="1"/>
  <c r="AE151" i="5"/>
  <c r="AE121" i="6" s="1"/>
  <c r="AD151" i="5"/>
  <c r="AD121" i="6" s="1"/>
  <c r="AC151" i="5"/>
  <c r="AC121" i="6" s="1"/>
  <c r="AB151" i="5"/>
  <c r="AB121" i="6" s="1"/>
  <c r="AA151" i="5"/>
  <c r="AA121" i="6" s="1"/>
  <c r="Z151" i="5"/>
  <c r="Z121" i="6" s="1"/>
  <c r="Y151" i="5"/>
  <c r="Y121" i="6" s="1"/>
  <c r="S151" i="5"/>
  <c r="AM150" i="5"/>
  <c r="AL150" i="5"/>
  <c r="AK150" i="5"/>
  <c r="AJ150" i="5"/>
  <c r="AI150" i="5"/>
  <c r="AH150" i="5"/>
  <c r="AG150" i="5"/>
  <c r="AF150" i="5"/>
  <c r="AE150" i="5"/>
  <c r="AD150" i="5"/>
  <c r="AC150" i="5"/>
  <c r="AB150" i="5"/>
  <c r="AA150" i="5"/>
  <c r="Z150" i="5"/>
  <c r="Y150" i="5"/>
  <c r="S150" i="5"/>
  <c r="AL148" i="5"/>
  <c r="AL150" i="6" s="1"/>
  <c r="R148" i="5"/>
  <c r="Q148" i="5"/>
  <c r="P148" i="5"/>
  <c r="O148" i="5"/>
  <c r="N148" i="5"/>
  <c r="M148" i="5"/>
  <c r="L148" i="5"/>
  <c r="K148" i="5"/>
  <c r="J148" i="5"/>
  <c r="I148" i="5"/>
  <c r="H148" i="5"/>
  <c r="G148" i="5"/>
  <c r="F148" i="5"/>
  <c r="E148" i="5"/>
  <c r="AH147" i="5"/>
  <c r="R147" i="5"/>
  <c r="Q147" i="5"/>
  <c r="P147" i="5"/>
  <c r="O147" i="5"/>
  <c r="N147" i="5"/>
  <c r="M147" i="5"/>
  <c r="L147" i="5"/>
  <c r="K147" i="5"/>
  <c r="J147" i="5"/>
  <c r="I147" i="5"/>
  <c r="H147" i="5"/>
  <c r="G147" i="5"/>
  <c r="F147" i="5"/>
  <c r="E147" i="5"/>
  <c r="AL146" i="5"/>
  <c r="AL147" i="5" s="1"/>
  <c r="AL120" i="6" s="1"/>
  <c r="AK146" i="5"/>
  <c r="AK147" i="5" s="1"/>
  <c r="AJ146" i="5"/>
  <c r="AJ147" i="5" s="1"/>
  <c r="AI146" i="5"/>
  <c r="AI147" i="5" s="1"/>
  <c r="AH146" i="5"/>
  <c r="AG146" i="5"/>
  <c r="AG147" i="5" s="1"/>
  <c r="AF146" i="5"/>
  <c r="AF147" i="5" s="1"/>
  <c r="AF120" i="6" s="1"/>
  <c r="AE146" i="5"/>
  <c r="AE147" i="5" s="1"/>
  <c r="AD146" i="5"/>
  <c r="AD147" i="5" s="1"/>
  <c r="AD120" i="6" s="1"/>
  <c r="AC146" i="5"/>
  <c r="AC147" i="5" s="1"/>
  <c r="AC120" i="6" s="1"/>
  <c r="AB146" i="5"/>
  <c r="AB147" i="5" s="1"/>
  <c r="AA146" i="5"/>
  <c r="AA147" i="5" s="1"/>
  <c r="Z146" i="5"/>
  <c r="Z147" i="5" s="1"/>
  <c r="Z120" i="6" s="1"/>
  <c r="Y146" i="5"/>
  <c r="Y147" i="5" s="1"/>
  <c r="S144" i="5"/>
  <c r="S143" i="5"/>
  <c r="S142" i="5"/>
  <c r="AL140" i="5"/>
  <c r="AL148" i="6" s="1"/>
  <c r="AK140" i="5"/>
  <c r="AK148" i="6" s="1"/>
  <c r="AJ140" i="5"/>
  <c r="AJ148" i="6" s="1"/>
  <c r="AH140" i="5"/>
  <c r="AH148" i="6" s="1"/>
  <c r="AG140" i="5"/>
  <c r="AG148" i="6" s="1"/>
  <c r="AF140" i="5"/>
  <c r="AF148" i="6" s="1"/>
  <c r="AE140" i="5"/>
  <c r="AE148" i="6" s="1"/>
  <c r="AD140" i="5"/>
  <c r="AD148" i="6" s="1"/>
  <c r="AA140" i="5"/>
  <c r="AA148" i="6" s="1"/>
  <c r="Z140" i="5"/>
  <c r="Z148" i="6" s="1"/>
  <c r="S140" i="5"/>
  <c r="AL139" i="5"/>
  <c r="AL118" i="6" s="1"/>
  <c r="AK139" i="5"/>
  <c r="AK118" i="6" s="1"/>
  <c r="AJ139" i="5"/>
  <c r="AJ118" i="6" s="1"/>
  <c r="AI139" i="5"/>
  <c r="AI118" i="6" s="1"/>
  <c r="AH139" i="5"/>
  <c r="AH118" i="6" s="1"/>
  <c r="AG139" i="5"/>
  <c r="AG118" i="6" s="1"/>
  <c r="AF139" i="5"/>
  <c r="AF118" i="6" s="1"/>
  <c r="AE139" i="5"/>
  <c r="AE118" i="6" s="1"/>
  <c r="AD139" i="5"/>
  <c r="AD118" i="6" s="1"/>
  <c r="AB139" i="5"/>
  <c r="AB118" i="6" s="1"/>
  <c r="AA139" i="5"/>
  <c r="AA118" i="6" s="1"/>
  <c r="Z139" i="5"/>
  <c r="Z118" i="6" s="1"/>
  <c r="Y139" i="5"/>
  <c r="Y118" i="6" s="1"/>
  <c r="S139" i="5"/>
  <c r="AM138" i="5"/>
  <c r="AL138" i="5"/>
  <c r="AK138" i="5"/>
  <c r="AJ138" i="5"/>
  <c r="AI138" i="5"/>
  <c r="AH138" i="5"/>
  <c r="AG138" i="5"/>
  <c r="AF138" i="5"/>
  <c r="AE138" i="5"/>
  <c r="AD138" i="5"/>
  <c r="AC138" i="5"/>
  <c r="AB138" i="5"/>
  <c r="AA138" i="5"/>
  <c r="Z138" i="5"/>
  <c r="Y138" i="5"/>
  <c r="S138" i="5"/>
  <c r="AK136" i="5"/>
  <c r="AK147" i="6" s="1"/>
  <c r="AJ136" i="5"/>
  <c r="AJ147" i="6" s="1"/>
  <c r="AH136" i="5"/>
  <c r="AH147" i="6" s="1"/>
  <c r="AG136" i="5"/>
  <c r="AG147" i="6" s="1"/>
  <c r="AF136" i="5"/>
  <c r="AF147" i="6" s="1"/>
  <c r="AE136" i="5"/>
  <c r="AE147" i="6" s="1"/>
  <c r="AD136" i="5"/>
  <c r="AD147" i="6" s="1"/>
  <c r="AC136" i="5"/>
  <c r="AC147" i="6" s="1"/>
  <c r="AA136" i="5"/>
  <c r="AA147" i="6" s="1"/>
  <c r="S136" i="5"/>
  <c r="AM135" i="5"/>
  <c r="AM117" i="6" s="1"/>
  <c r="AL135" i="5"/>
  <c r="AL117" i="6" s="1"/>
  <c r="AK135" i="5"/>
  <c r="AK117" i="6" s="1"/>
  <c r="AJ135" i="5"/>
  <c r="AJ117" i="6" s="1"/>
  <c r="AH135" i="5"/>
  <c r="AH117" i="6" s="1"/>
  <c r="AG135" i="5"/>
  <c r="AG117" i="6" s="1"/>
  <c r="AF135" i="5"/>
  <c r="AF117" i="6" s="1"/>
  <c r="AE135" i="5"/>
  <c r="AE117" i="6" s="1"/>
  <c r="AD135" i="5"/>
  <c r="AD117" i="6" s="1"/>
  <c r="AC135" i="5"/>
  <c r="AC117" i="6" s="1"/>
  <c r="AB135" i="5"/>
  <c r="AB117" i="6" s="1"/>
  <c r="AA135" i="5"/>
  <c r="AA117" i="6" s="1"/>
  <c r="Z135" i="5"/>
  <c r="Z117" i="6" s="1"/>
  <c r="S135" i="5"/>
  <c r="AM134" i="5"/>
  <c r="AL134" i="5"/>
  <c r="AK134" i="5"/>
  <c r="AJ134" i="5"/>
  <c r="AH134" i="5"/>
  <c r="AG134" i="5"/>
  <c r="AF134" i="5"/>
  <c r="AE134" i="5"/>
  <c r="AD134" i="5"/>
  <c r="AC134" i="5"/>
  <c r="AB134" i="5"/>
  <c r="AA134" i="5"/>
  <c r="Z134" i="5"/>
  <c r="Y134" i="5"/>
  <c r="Y135" i="5" s="1"/>
  <c r="S134" i="5"/>
  <c r="AL123" i="5"/>
  <c r="AL101" i="6" s="1"/>
  <c r="AK123" i="5"/>
  <c r="AK101" i="6" s="1"/>
  <c r="AI123" i="5"/>
  <c r="AI101" i="6" s="1"/>
  <c r="AH123" i="5"/>
  <c r="AH101" i="6" s="1"/>
  <c r="AG123" i="5"/>
  <c r="AG101" i="6" s="1"/>
  <c r="AF123" i="5"/>
  <c r="AF101" i="6" s="1"/>
  <c r="AE123" i="5"/>
  <c r="AE101" i="6" s="1"/>
  <c r="AD123" i="5"/>
  <c r="AD101" i="6" s="1"/>
  <c r="AC123" i="5"/>
  <c r="AC101" i="6" s="1"/>
  <c r="AA123" i="5"/>
  <c r="AA101" i="6" s="1"/>
  <c r="Y123" i="5"/>
  <c r="Y101" i="6" s="1"/>
  <c r="AL122" i="5"/>
  <c r="AL71" i="6" s="1"/>
  <c r="AK122" i="5"/>
  <c r="AK71" i="6" s="1"/>
  <c r="AJ122" i="5"/>
  <c r="AJ71" i="6" s="1"/>
  <c r="AI122" i="5"/>
  <c r="AI71" i="6" s="1"/>
  <c r="AH122" i="5"/>
  <c r="AH71" i="6" s="1"/>
  <c r="AF122" i="5"/>
  <c r="AF71" i="6" s="1"/>
  <c r="AE122" i="5"/>
  <c r="AE71" i="6" s="1"/>
  <c r="AD122" i="5"/>
  <c r="AD71" i="6" s="1"/>
  <c r="AC122" i="5"/>
  <c r="AC71" i="6" s="1"/>
  <c r="AA122" i="5"/>
  <c r="AA71" i="6" s="1"/>
  <c r="Y122" i="5"/>
  <c r="AM121" i="5"/>
  <c r="AL121" i="5"/>
  <c r="AK121" i="5"/>
  <c r="AJ121" i="5"/>
  <c r="AI121" i="5"/>
  <c r="AH121" i="5"/>
  <c r="AG121" i="5"/>
  <c r="AF121" i="5"/>
  <c r="AE121" i="5"/>
  <c r="AD121" i="5"/>
  <c r="AC121" i="5"/>
  <c r="AB121" i="5"/>
  <c r="AA121" i="5"/>
  <c r="Z121" i="5"/>
  <c r="Y121" i="5"/>
  <c r="AL119" i="5"/>
  <c r="AL100" i="6" s="1"/>
  <c r="AJ119" i="5"/>
  <c r="AJ100" i="6" s="1"/>
  <c r="AH119" i="5"/>
  <c r="AH100" i="6" s="1"/>
  <c r="AF119" i="5"/>
  <c r="AF100" i="6" s="1"/>
  <c r="AE119" i="5"/>
  <c r="AE100" i="6" s="1"/>
  <c r="AD119" i="5"/>
  <c r="AD100" i="6" s="1"/>
  <c r="AA119" i="5"/>
  <c r="AA100" i="6" s="1"/>
  <c r="Z119" i="5"/>
  <c r="Z100" i="6" s="1"/>
  <c r="Y119" i="5"/>
  <c r="Y100" i="6" s="1"/>
  <c r="AL118" i="5"/>
  <c r="AL70" i="6" s="1"/>
  <c r="AK118" i="5"/>
  <c r="AK70" i="6" s="1"/>
  <c r="AJ118" i="5"/>
  <c r="AJ70" i="6" s="1"/>
  <c r="AH118" i="5"/>
  <c r="AH70" i="6" s="1"/>
  <c r="AF118" i="5"/>
  <c r="AF70" i="6" s="1"/>
  <c r="AE118" i="5"/>
  <c r="AE70" i="6" s="1"/>
  <c r="AD118" i="5"/>
  <c r="AD70" i="6" s="1"/>
  <c r="AA118" i="5"/>
  <c r="AA70" i="6" s="1"/>
  <c r="Y118" i="5"/>
  <c r="Y70" i="6" s="1"/>
  <c r="AM117" i="5"/>
  <c r="AL117" i="5"/>
  <c r="AK117" i="5"/>
  <c r="AJ117" i="5"/>
  <c r="AI117" i="5"/>
  <c r="AH117" i="5"/>
  <c r="AG117" i="5"/>
  <c r="AF117" i="5"/>
  <c r="AE117" i="5"/>
  <c r="AD117" i="5"/>
  <c r="AC117" i="5"/>
  <c r="AB117" i="5"/>
  <c r="AA117" i="5"/>
  <c r="Z117" i="5"/>
  <c r="Y117" i="5"/>
  <c r="AK114" i="5"/>
  <c r="AK98" i="6" s="1"/>
  <c r="AJ114" i="5"/>
  <c r="AJ98" i="6" s="1"/>
  <c r="AI114" i="5"/>
  <c r="AI98" i="6" s="1"/>
  <c r="AH114" i="5"/>
  <c r="AH98" i="6" s="1"/>
  <c r="AG114" i="5"/>
  <c r="AG98" i="6" s="1"/>
  <c r="AF114" i="5"/>
  <c r="AF98" i="6" s="1"/>
  <c r="AE114" i="5"/>
  <c r="AE98" i="6" s="1"/>
  <c r="AD114" i="5"/>
  <c r="AD98" i="6" s="1"/>
  <c r="AC114" i="5"/>
  <c r="AC98" i="6" s="1"/>
  <c r="AB114" i="5"/>
  <c r="AB98" i="6" s="1"/>
  <c r="Y114" i="5"/>
  <c r="Y98" i="6" s="1"/>
  <c r="AK113" i="5"/>
  <c r="AK68" i="6" s="1"/>
  <c r="AJ113" i="5"/>
  <c r="AJ68" i="6" s="1"/>
  <c r="AI113" i="5"/>
  <c r="AI68" i="6" s="1"/>
  <c r="AH113" i="5"/>
  <c r="AH68" i="6" s="1"/>
  <c r="AG113" i="5"/>
  <c r="AG68" i="6" s="1"/>
  <c r="AF113" i="5"/>
  <c r="AF68" i="6" s="1"/>
  <c r="AE113" i="5"/>
  <c r="AE68" i="6" s="1"/>
  <c r="AD113" i="5"/>
  <c r="AD68" i="6" s="1"/>
  <c r="AC113" i="5"/>
  <c r="AC68" i="6" s="1"/>
  <c r="AB113" i="5"/>
  <c r="AB68" i="6" s="1"/>
  <c r="Y113" i="5"/>
  <c r="Y68" i="6" s="1"/>
  <c r="AM112" i="5"/>
  <c r="AL112" i="5"/>
  <c r="AK112" i="5"/>
  <c r="AJ112" i="5"/>
  <c r="AI112" i="5"/>
  <c r="AH112" i="5"/>
  <c r="AG112" i="5"/>
  <c r="AF112" i="5"/>
  <c r="AE112" i="5"/>
  <c r="AD112" i="5"/>
  <c r="AC112" i="5"/>
  <c r="AB112" i="5"/>
  <c r="AA112" i="5"/>
  <c r="Z112" i="5"/>
  <c r="Y112" i="5"/>
  <c r="AL110" i="5"/>
  <c r="AL97" i="6" s="1"/>
  <c r="AH110" i="5"/>
  <c r="AH97" i="6" s="1"/>
  <c r="AG110" i="5"/>
  <c r="AG97" i="6" s="1"/>
  <c r="AF110" i="5"/>
  <c r="AF97" i="6" s="1"/>
  <c r="AE110" i="5"/>
  <c r="AE97" i="6" s="1"/>
  <c r="AD110" i="5"/>
  <c r="AD97" i="6" s="1"/>
  <c r="AC110" i="5"/>
  <c r="AC97" i="6" s="1"/>
  <c r="AA110" i="5"/>
  <c r="Y110" i="5"/>
  <c r="Y97" i="6" s="1"/>
  <c r="AL109" i="5"/>
  <c r="AL67" i="6" s="1"/>
  <c r="AH109" i="5"/>
  <c r="AH67" i="6" s="1"/>
  <c r="AG109" i="5"/>
  <c r="AG67" i="6" s="1"/>
  <c r="AF109" i="5"/>
  <c r="AF67" i="6" s="1"/>
  <c r="AE109" i="5"/>
  <c r="AD109" i="5"/>
  <c r="AD67" i="6" s="1"/>
  <c r="AC109" i="5"/>
  <c r="AC67" i="6" s="1"/>
  <c r="AA109" i="5"/>
  <c r="AA67" i="6" s="1"/>
  <c r="Y109" i="5"/>
  <c r="Y67" i="6" s="1"/>
  <c r="AM108" i="5"/>
  <c r="AL108" i="5"/>
  <c r="AK108" i="5"/>
  <c r="AJ108" i="5"/>
  <c r="AI108" i="5"/>
  <c r="AH108" i="5"/>
  <c r="AG108" i="5"/>
  <c r="AF108" i="5"/>
  <c r="AE108" i="5"/>
  <c r="AD108" i="5"/>
  <c r="AC108" i="5"/>
  <c r="AB108" i="5"/>
  <c r="AA108" i="5"/>
  <c r="Z108" i="5"/>
  <c r="Y108" i="5"/>
  <c r="AL106" i="5"/>
  <c r="AL96" i="6" s="1"/>
  <c r="AK106" i="5"/>
  <c r="AK96" i="6" s="1"/>
  <c r="AJ106" i="5"/>
  <c r="AJ96" i="6" s="1"/>
  <c r="AH106" i="5"/>
  <c r="AH96" i="6" s="1"/>
  <c r="AF106" i="5"/>
  <c r="AF96" i="6" s="1"/>
  <c r="AE106" i="5"/>
  <c r="AE96" i="6" s="1"/>
  <c r="AD106" i="5"/>
  <c r="AD96" i="6" s="1"/>
  <c r="AC106" i="5"/>
  <c r="AC96" i="6" s="1"/>
  <c r="AA106" i="5"/>
  <c r="Y106" i="5"/>
  <c r="Y96" i="6" s="1"/>
  <c r="AL105" i="5"/>
  <c r="AK105" i="5"/>
  <c r="AK66" i="6" s="1"/>
  <c r="AI105" i="5"/>
  <c r="AI66" i="6" s="1"/>
  <c r="AH105" i="5"/>
  <c r="AH66" i="6" s="1"/>
  <c r="AG105" i="5"/>
  <c r="AG66" i="6" s="1"/>
  <c r="AF105" i="5"/>
  <c r="AF66" i="6" s="1"/>
  <c r="AE105" i="5"/>
  <c r="AE66" i="6" s="1"/>
  <c r="AD105" i="5"/>
  <c r="AD66" i="6" s="1"/>
  <c r="AC105" i="5"/>
  <c r="AC66" i="6" s="1"/>
  <c r="Y105" i="5"/>
  <c r="Y66" i="6" s="1"/>
  <c r="AM104" i="5"/>
  <c r="AL104" i="5"/>
  <c r="AK104" i="5"/>
  <c r="AJ104" i="5"/>
  <c r="AI104" i="5"/>
  <c r="AH104" i="5"/>
  <c r="AG104" i="5"/>
  <c r="AF104" i="5"/>
  <c r="AE104" i="5"/>
  <c r="AD104" i="5"/>
  <c r="AC104" i="5"/>
  <c r="AB104" i="5"/>
  <c r="AA104" i="5"/>
  <c r="Z104" i="5"/>
  <c r="Y104" i="5"/>
  <c r="AL102" i="5"/>
  <c r="AL95" i="6" s="1"/>
  <c r="AK102" i="5"/>
  <c r="AK95" i="6" s="1"/>
  <c r="AJ102" i="5"/>
  <c r="AJ95" i="6" s="1"/>
  <c r="AI102" i="5"/>
  <c r="AI95" i="6" s="1"/>
  <c r="AH102" i="5"/>
  <c r="AH95" i="6" s="1"/>
  <c r="AG102" i="5"/>
  <c r="AG95" i="6" s="1"/>
  <c r="AF102" i="5"/>
  <c r="AF95" i="6" s="1"/>
  <c r="AE102" i="5"/>
  <c r="AE95" i="6" s="1"/>
  <c r="AD102" i="5"/>
  <c r="AD95" i="6" s="1"/>
  <c r="AC102" i="5"/>
  <c r="AC95" i="6" s="1"/>
  <c r="AB102" i="5"/>
  <c r="AB95" i="6" s="1"/>
  <c r="AA102" i="5"/>
  <c r="AA95" i="6" s="1"/>
  <c r="Y102" i="5"/>
  <c r="Y95" i="6" s="1"/>
  <c r="AL101" i="5"/>
  <c r="AL65" i="6" s="1"/>
  <c r="AK101" i="5"/>
  <c r="AK65" i="6" s="1"/>
  <c r="AJ101" i="5"/>
  <c r="AJ65" i="6" s="1"/>
  <c r="AI101" i="5"/>
  <c r="AI65" i="6" s="1"/>
  <c r="AH101" i="5"/>
  <c r="AH65" i="6" s="1"/>
  <c r="AG101" i="5"/>
  <c r="AG65" i="6" s="1"/>
  <c r="AF101" i="5"/>
  <c r="AF65" i="6" s="1"/>
  <c r="AE101" i="5"/>
  <c r="AE65" i="6" s="1"/>
  <c r="AD101" i="5"/>
  <c r="AD65" i="6" s="1"/>
  <c r="AC101" i="5"/>
  <c r="AC65" i="6" s="1"/>
  <c r="AB101" i="5"/>
  <c r="AB65" i="6" s="1"/>
  <c r="AA101" i="5"/>
  <c r="AA65" i="6" s="1"/>
  <c r="Y101" i="5"/>
  <c r="Y65" i="6" s="1"/>
  <c r="AM100" i="5"/>
  <c r="AL100" i="5"/>
  <c r="AK100" i="5"/>
  <c r="AJ100" i="5"/>
  <c r="AI100" i="5"/>
  <c r="AH100" i="5"/>
  <c r="AG100" i="5"/>
  <c r="AF100" i="5"/>
  <c r="AE100" i="5"/>
  <c r="AD100" i="5"/>
  <c r="AC100" i="5"/>
  <c r="AB100" i="5"/>
  <c r="AA100" i="5"/>
  <c r="Z100" i="5"/>
  <c r="Y100" i="5"/>
  <c r="AL97" i="5"/>
  <c r="AL93" i="6" s="1"/>
  <c r="AK97" i="5"/>
  <c r="AK93" i="6" s="1"/>
  <c r="AJ97" i="5"/>
  <c r="AJ93" i="6" s="1"/>
  <c r="AI97" i="5"/>
  <c r="AI93" i="6" s="1"/>
  <c r="AH97" i="5"/>
  <c r="AH93" i="6" s="1"/>
  <c r="AG97" i="5"/>
  <c r="AG93" i="6" s="1"/>
  <c r="AF97" i="5"/>
  <c r="AF93" i="6" s="1"/>
  <c r="AE97" i="5"/>
  <c r="AE93" i="6" s="1"/>
  <c r="AD97" i="5"/>
  <c r="AD93" i="6" s="1"/>
  <c r="AC97" i="5"/>
  <c r="AC93" i="6" s="1"/>
  <c r="AA97" i="5"/>
  <c r="AA93" i="6" s="1"/>
  <c r="Y97" i="5"/>
  <c r="Y93" i="6" s="1"/>
  <c r="AL96" i="5"/>
  <c r="AL63" i="6" s="1"/>
  <c r="AK96" i="5"/>
  <c r="AK63" i="6" s="1"/>
  <c r="AJ96" i="5"/>
  <c r="AI96" i="5"/>
  <c r="AI63" i="6" s="1"/>
  <c r="AH96" i="5"/>
  <c r="AH63" i="6" s="1"/>
  <c r="AG96" i="5"/>
  <c r="AG63" i="6" s="1"/>
  <c r="AF96" i="5"/>
  <c r="AF63" i="6" s="1"/>
  <c r="AE96" i="5"/>
  <c r="AE63" i="6" s="1"/>
  <c r="AD96" i="5"/>
  <c r="AD63" i="6" s="1"/>
  <c r="AA96" i="5"/>
  <c r="AA63" i="6" s="1"/>
  <c r="Y96" i="5"/>
  <c r="Y63" i="6" s="1"/>
  <c r="AK95" i="5"/>
  <c r="AH95" i="5"/>
  <c r="AE95" i="5"/>
  <c r="AB95" i="5"/>
  <c r="AL93" i="5"/>
  <c r="AL92" i="6" s="1"/>
  <c r="AK93" i="5"/>
  <c r="AK92" i="6" s="1"/>
  <c r="AJ93" i="5"/>
  <c r="AJ92" i="6" s="1"/>
  <c r="AI93" i="5"/>
  <c r="AI92" i="6" s="1"/>
  <c r="AH93" i="5"/>
  <c r="AH92" i="6" s="1"/>
  <c r="AG93" i="5"/>
  <c r="AG92" i="6" s="1"/>
  <c r="AF93" i="5"/>
  <c r="AF92" i="6" s="1"/>
  <c r="AE93" i="5"/>
  <c r="AE92" i="6" s="1"/>
  <c r="AD93" i="5"/>
  <c r="AD92" i="6" s="1"/>
  <c r="AC93" i="5"/>
  <c r="AC92" i="6" s="1"/>
  <c r="AB93" i="5"/>
  <c r="AB92" i="6" s="1"/>
  <c r="AA93" i="5"/>
  <c r="AA92" i="6" s="1"/>
  <c r="Y93" i="5"/>
  <c r="Y92" i="6" s="1"/>
  <c r="AL92" i="5"/>
  <c r="AL62" i="6" s="1"/>
  <c r="AK92" i="5"/>
  <c r="AK62" i="6" s="1"/>
  <c r="AJ92" i="5"/>
  <c r="AJ62" i="6" s="1"/>
  <c r="AI92" i="5"/>
  <c r="AI62" i="6" s="1"/>
  <c r="AH92" i="5"/>
  <c r="AH62" i="6" s="1"/>
  <c r="AG92" i="5"/>
  <c r="AG62" i="6" s="1"/>
  <c r="AF92" i="5"/>
  <c r="AF62" i="6" s="1"/>
  <c r="AE92" i="5"/>
  <c r="AE62" i="6" s="1"/>
  <c r="AD92" i="5"/>
  <c r="AD62" i="6" s="1"/>
  <c r="AC92" i="5"/>
  <c r="AC62" i="6" s="1"/>
  <c r="AB92" i="5"/>
  <c r="AB62" i="6" s="1"/>
  <c r="AA92" i="5"/>
  <c r="AA62" i="6" s="1"/>
  <c r="Y92" i="5"/>
  <c r="Y62" i="6" s="1"/>
  <c r="AL89" i="5"/>
  <c r="AL91" i="6" s="1"/>
  <c r="AJ89" i="5"/>
  <c r="AJ91" i="6" s="1"/>
  <c r="AH89" i="5"/>
  <c r="AH91" i="6" s="1"/>
  <c r="AG89" i="5"/>
  <c r="AG91" i="6" s="1"/>
  <c r="AF89" i="5"/>
  <c r="AF91" i="6" s="1"/>
  <c r="AE89" i="5"/>
  <c r="AE91" i="6" s="1"/>
  <c r="Y89" i="5"/>
  <c r="Y91" i="6" s="1"/>
  <c r="AL88" i="5"/>
  <c r="AL61" i="6" s="1"/>
  <c r="AJ88" i="5"/>
  <c r="AJ61" i="6" s="1"/>
  <c r="AH88" i="5"/>
  <c r="AH61" i="6" s="1"/>
  <c r="AG88" i="5"/>
  <c r="AG61" i="6" s="1"/>
  <c r="AF88" i="5"/>
  <c r="AF61" i="6" s="1"/>
  <c r="AE88" i="5"/>
  <c r="AL87" i="5"/>
  <c r="AB87" i="5"/>
  <c r="AL84" i="5"/>
  <c r="AL89" i="6" s="1"/>
  <c r="AJ84" i="5"/>
  <c r="AJ89" i="6" s="1"/>
  <c r="AI84" i="5"/>
  <c r="AI89" i="6" s="1"/>
  <c r="AF84" i="5"/>
  <c r="AF89" i="6" s="1"/>
  <c r="AE84" i="5"/>
  <c r="AE89" i="6" s="1"/>
  <c r="AD84" i="5"/>
  <c r="AD89" i="6" s="1"/>
  <c r="AA84" i="5"/>
  <c r="AA89" i="6" s="1"/>
  <c r="Y84" i="5"/>
  <c r="AL83" i="5"/>
  <c r="AH83" i="5"/>
  <c r="AH59" i="6" s="1"/>
  <c r="AG83" i="5"/>
  <c r="AG59" i="6" s="1"/>
  <c r="AF83" i="5"/>
  <c r="AF59" i="6" s="1"/>
  <c r="AE83" i="5"/>
  <c r="AE59" i="6" s="1"/>
  <c r="AD83" i="5"/>
  <c r="AD59" i="6" s="1"/>
  <c r="AM82" i="5"/>
  <c r="AL82" i="5"/>
  <c r="AK82" i="5"/>
  <c r="AJ82" i="5"/>
  <c r="AI82" i="5"/>
  <c r="AH82" i="5"/>
  <c r="AG82" i="5"/>
  <c r="AF82" i="5"/>
  <c r="AE82" i="5"/>
  <c r="AD82" i="5"/>
  <c r="AC82" i="5"/>
  <c r="AB82" i="5"/>
  <c r="AA82" i="5"/>
  <c r="Z82" i="5"/>
  <c r="Y82" i="5"/>
  <c r="AL80" i="5"/>
  <c r="AJ80" i="5"/>
  <c r="AJ88" i="6" s="1"/>
  <c r="AH80" i="5"/>
  <c r="AG80" i="5"/>
  <c r="AG88" i="6" s="1"/>
  <c r="AF80" i="5"/>
  <c r="AF88" i="6" s="1"/>
  <c r="AE80" i="5"/>
  <c r="AE88" i="6" s="1"/>
  <c r="AD80" i="5"/>
  <c r="AD88" i="6" s="1"/>
  <c r="Y80" i="5"/>
  <c r="Y88" i="6" s="1"/>
  <c r="AK79" i="5"/>
  <c r="AK58" i="6" s="1"/>
  <c r="AM78" i="5"/>
  <c r="AL78" i="5"/>
  <c r="AK78" i="5"/>
  <c r="AJ78" i="5"/>
  <c r="AI78" i="5"/>
  <c r="AH78" i="5"/>
  <c r="AG78" i="5"/>
  <c r="AF78" i="5"/>
  <c r="AF79" i="5" s="1"/>
  <c r="AF58" i="6" s="1"/>
  <c r="AE78" i="5"/>
  <c r="AE79" i="5" s="1"/>
  <c r="AE58" i="6" s="1"/>
  <c r="AD78" i="5"/>
  <c r="AC78" i="5"/>
  <c r="AB78" i="5"/>
  <c r="AA78" i="5"/>
  <c r="Z78" i="5"/>
  <c r="Z79" i="5" s="1"/>
  <c r="Z58" i="6" s="1"/>
  <c r="Y78" i="5"/>
  <c r="AL76" i="5"/>
  <c r="AL87" i="6" s="1"/>
  <c r="AK76" i="5"/>
  <c r="AK87" i="6" s="1"/>
  <c r="AJ76" i="5"/>
  <c r="AJ87" i="6" s="1"/>
  <c r="AH76" i="5"/>
  <c r="AH87" i="6" s="1"/>
  <c r="AG76" i="5"/>
  <c r="AG87" i="6" s="1"/>
  <c r="AF76" i="5"/>
  <c r="AF87" i="6" s="1"/>
  <c r="AE76" i="5"/>
  <c r="AE87" i="6" s="1"/>
  <c r="AD76" i="5"/>
  <c r="AD87" i="6" s="1"/>
  <c r="AC76" i="5"/>
  <c r="AC87" i="6" s="1"/>
  <c r="AA76" i="5"/>
  <c r="AA87" i="6" s="1"/>
  <c r="Y76" i="5"/>
  <c r="Y87" i="6" s="1"/>
  <c r="AL75" i="5"/>
  <c r="AL57" i="6" s="1"/>
  <c r="AK75" i="5"/>
  <c r="AK57" i="6" s="1"/>
  <c r="AJ75" i="5"/>
  <c r="AJ57" i="6" s="1"/>
  <c r="AH75" i="5"/>
  <c r="AH57" i="6" s="1"/>
  <c r="AG75" i="5"/>
  <c r="AG57" i="6" s="1"/>
  <c r="AF75" i="5"/>
  <c r="AF57" i="6" s="1"/>
  <c r="AE75" i="5"/>
  <c r="AE57" i="6" s="1"/>
  <c r="AD75" i="5"/>
  <c r="AD57" i="6" s="1"/>
  <c r="AC75" i="5"/>
  <c r="AC57" i="6" s="1"/>
  <c r="AA75" i="5"/>
  <c r="AA57" i="6" s="1"/>
  <c r="Y75" i="5"/>
  <c r="AM74" i="5"/>
  <c r="AL74" i="5"/>
  <c r="AK74" i="5"/>
  <c r="AJ74" i="5"/>
  <c r="AI74" i="5"/>
  <c r="AH74" i="5"/>
  <c r="AG74" i="5"/>
  <c r="AF74" i="5"/>
  <c r="AE74" i="5"/>
  <c r="AD74" i="5"/>
  <c r="AC74" i="5"/>
  <c r="AB74" i="5"/>
  <c r="AA74" i="5"/>
  <c r="Z74" i="5"/>
  <c r="Y74" i="5"/>
  <c r="AK71" i="5"/>
  <c r="AK85" i="6" s="1"/>
  <c r="AJ71" i="5"/>
  <c r="AJ85" i="6" s="1"/>
  <c r="AH71" i="5"/>
  <c r="AH85" i="6" s="1"/>
  <c r="AG71" i="5"/>
  <c r="AG85" i="6" s="1"/>
  <c r="AF71" i="5"/>
  <c r="AF85" i="6" s="1"/>
  <c r="AE71" i="5"/>
  <c r="AE85" i="6" s="1"/>
  <c r="AD71" i="5"/>
  <c r="AD85" i="6" s="1"/>
  <c r="AB71" i="5"/>
  <c r="AB85" i="6" s="1"/>
  <c r="AA71" i="5"/>
  <c r="AA85" i="6" s="1"/>
  <c r="Y71" i="5"/>
  <c r="AK70" i="5"/>
  <c r="AK55" i="6" s="1"/>
  <c r="AJ70" i="5"/>
  <c r="AJ55" i="6" s="1"/>
  <c r="AH70" i="5"/>
  <c r="AH55" i="6" s="1"/>
  <c r="AG70" i="5"/>
  <c r="AG55" i="6" s="1"/>
  <c r="AF70" i="5"/>
  <c r="AF55" i="6" s="1"/>
  <c r="AE70" i="5"/>
  <c r="AE55" i="6" s="1"/>
  <c r="AD70" i="5"/>
  <c r="AD55" i="6" s="1"/>
  <c r="AA70" i="5"/>
  <c r="AA55" i="6" s="1"/>
  <c r="Y70" i="5"/>
  <c r="AM69" i="5"/>
  <c r="AL69" i="5"/>
  <c r="AK69" i="5"/>
  <c r="AJ69" i="5"/>
  <c r="AI69" i="5"/>
  <c r="AH69" i="5"/>
  <c r="AG69" i="5"/>
  <c r="AF69" i="5"/>
  <c r="AE69" i="5"/>
  <c r="AD69" i="5"/>
  <c r="AC69" i="5"/>
  <c r="AB69" i="5"/>
  <c r="AB70" i="5" s="1"/>
  <c r="AB55" i="6" s="1"/>
  <c r="AA69" i="5"/>
  <c r="Z69" i="5"/>
  <c r="Y69" i="5"/>
  <c r="AL67" i="5"/>
  <c r="AL84" i="6" s="1"/>
  <c r="AK67" i="5"/>
  <c r="AK84" i="6" s="1"/>
  <c r="AJ67" i="5"/>
  <c r="AJ84" i="6" s="1"/>
  <c r="AI67" i="5"/>
  <c r="AI84" i="6" s="1"/>
  <c r="AH67" i="5"/>
  <c r="AH84" i="6" s="1"/>
  <c r="AG67" i="5"/>
  <c r="AG84" i="6" s="1"/>
  <c r="AF67" i="5"/>
  <c r="AF84" i="6" s="1"/>
  <c r="AE67" i="5"/>
  <c r="AE84" i="6" s="1"/>
  <c r="AD67" i="5"/>
  <c r="AD84" i="6" s="1"/>
  <c r="AC67" i="5"/>
  <c r="AC84" i="6" s="1"/>
  <c r="AA67" i="5"/>
  <c r="AA84" i="6" s="1"/>
  <c r="Y67" i="5"/>
  <c r="Y84" i="6" s="1"/>
  <c r="AL66" i="5"/>
  <c r="AL54" i="6" s="1"/>
  <c r="AK66" i="5"/>
  <c r="AK54" i="6" s="1"/>
  <c r="AJ66" i="5"/>
  <c r="AJ54" i="6" s="1"/>
  <c r="AH66" i="5"/>
  <c r="AH54" i="6" s="1"/>
  <c r="AG66" i="5"/>
  <c r="AG54" i="6" s="1"/>
  <c r="AF66" i="5"/>
  <c r="AF54" i="6" s="1"/>
  <c r="AE66" i="5"/>
  <c r="AE54" i="6" s="1"/>
  <c r="AD66" i="5"/>
  <c r="AD54" i="6" s="1"/>
  <c r="AC66" i="5"/>
  <c r="AC54" i="6" s="1"/>
  <c r="AA66" i="5"/>
  <c r="AA54" i="6" s="1"/>
  <c r="Y66" i="5"/>
  <c r="Y54" i="6" s="1"/>
  <c r="AM65" i="5"/>
  <c r="AL65" i="5"/>
  <c r="AK65" i="5"/>
  <c r="AJ65" i="5"/>
  <c r="AI65" i="5"/>
  <c r="AH65" i="5"/>
  <c r="AG65" i="5"/>
  <c r="AF65" i="5"/>
  <c r="AE65" i="5"/>
  <c r="AD65" i="5"/>
  <c r="AC65" i="5"/>
  <c r="AB65" i="5"/>
  <c r="AA65" i="5"/>
  <c r="Z65" i="5"/>
  <c r="Y65" i="5"/>
  <c r="AL63" i="5"/>
  <c r="AL83" i="6" s="1"/>
  <c r="AK63" i="5"/>
  <c r="AK83" i="6" s="1"/>
  <c r="AJ63" i="5"/>
  <c r="AJ83" i="6" s="1"/>
  <c r="AH63" i="5"/>
  <c r="AH83" i="6" s="1"/>
  <c r="AG63" i="5"/>
  <c r="AG83" i="6" s="1"/>
  <c r="AF63" i="5"/>
  <c r="AF83" i="6" s="1"/>
  <c r="AE63" i="5"/>
  <c r="AE83" i="6" s="1"/>
  <c r="AD63" i="5"/>
  <c r="AD83" i="6" s="1"/>
  <c r="AC63" i="5"/>
  <c r="AC83" i="6" s="1"/>
  <c r="AA63" i="5"/>
  <c r="Y63" i="5"/>
  <c r="Y83" i="6" s="1"/>
  <c r="AL62" i="5"/>
  <c r="AL53" i="6" s="1"/>
  <c r="AK62" i="5"/>
  <c r="AK53" i="6" s="1"/>
  <c r="AJ62" i="5"/>
  <c r="AJ53" i="6" s="1"/>
  <c r="AI62" i="5"/>
  <c r="AI53" i="6" s="1"/>
  <c r="AH62" i="5"/>
  <c r="AH53" i="6" s="1"/>
  <c r="AG62" i="5"/>
  <c r="AG53" i="6" s="1"/>
  <c r="AF62" i="5"/>
  <c r="AF53" i="6" s="1"/>
  <c r="AE62" i="5"/>
  <c r="AE53" i="6" s="1"/>
  <c r="AD62" i="5"/>
  <c r="AD53" i="6" s="1"/>
  <c r="AC62" i="5"/>
  <c r="AC53" i="6" s="1"/>
  <c r="AB62" i="5"/>
  <c r="AB53" i="6" s="1"/>
  <c r="AA62" i="5"/>
  <c r="AA53" i="6" s="1"/>
  <c r="Y62" i="5"/>
  <c r="Y53" i="6" s="1"/>
  <c r="AM61" i="5"/>
  <c r="AL61" i="5"/>
  <c r="AK61" i="5"/>
  <c r="AJ61" i="5"/>
  <c r="AI61" i="5"/>
  <c r="AH61" i="5"/>
  <c r="AG61" i="5"/>
  <c r="AF61" i="5"/>
  <c r="AE61" i="5"/>
  <c r="AD61" i="5"/>
  <c r="AC61" i="5"/>
  <c r="AB61" i="5"/>
  <c r="AA61" i="5"/>
  <c r="Z61" i="5"/>
  <c r="Y61" i="5"/>
  <c r="AM59" i="5"/>
  <c r="AM82" i="6" s="1"/>
  <c r="AB59" i="5"/>
  <c r="AB82" i="6" s="1"/>
  <c r="AM58" i="5"/>
  <c r="AM52" i="6" s="1"/>
  <c r="AB58" i="5"/>
  <c r="AB52" i="6" s="1"/>
  <c r="AM57" i="5"/>
  <c r="AL57" i="5"/>
  <c r="AK57" i="5"/>
  <c r="AJ57" i="5"/>
  <c r="AI57" i="5"/>
  <c r="AH57" i="5"/>
  <c r="AG57" i="5"/>
  <c r="AF57" i="5"/>
  <c r="AE57" i="5"/>
  <c r="AD57" i="5"/>
  <c r="AC57" i="5"/>
  <c r="AB57" i="5"/>
  <c r="AA57" i="5"/>
  <c r="Z57" i="5"/>
  <c r="Y57" i="5"/>
  <c r="AL55" i="5"/>
  <c r="AL81" i="6" s="1"/>
  <c r="AK55" i="5"/>
  <c r="AK81" i="6" s="1"/>
  <c r="AJ55" i="5"/>
  <c r="AJ81" i="6" s="1"/>
  <c r="AI55" i="5"/>
  <c r="AI81" i="6" s="1"/>
  <c r="AH55" i="5"/>
  <c r="AH81" i="6" s="1"/>
  <c r="AG55" i="5"/>
  <c r="AG81" i="6" s="1"/>
  <c r="AF55" i="5"/>
  <c r="AF81" i="6" s="1"/>
  <c r="AE55" i="5"/>
  <c r="AE81" i="6" s="1"/>
  <c r="AD55" i="5"/>
  <c r="AD81" i="6" s="1"/>
  <c r="AC55" i="5"/>
  <c r="AC81" i="6" s="1"/>
  <c r="AB55" i="5"/>
  <c r="AB81" i="6" s="1"/>
  <c r="AA55" i="5"/>
  <c r="AA81" i="6" s="1"/>
  <c r="Y55" i="5"/>
  <c r="Y81" i="6" s="1"/>
  <c r="AL54" i="5"/>
  <c r="AL51" i="6" s="1"/>
  <c r="AK54" i="5"/>
  <c r="AK51" i="6" s="1"/>
  <c r="AJ54" i="5"/>
  <c r="AJ51" i="6" s="1"/>
  <c r="AI54" i="5"/>
  <c r="AI51" i="6" s="1"/>
  <c r="AH54" i="5"/>
  <c r="AH51" i="6" s="1"/>
  <c r="AG54" i="5"/>
  <c r="AG51" i="6" s="1"/>
  <c r="AF54" i="5"/>
  <c r="AF51" i="6" s="1"/>
  <c r="AE54" i="5"/>
  <c r="AE51" i="6" s="1"/>
  <c r="AD54" i="5"/>
  <c r="AD51" i="6" s="1"/>
  <c r="AC54" i="5"/>
  <c r="AC51" i="6" s="1"/>
  <c r="AB54" i="5"/>
  <c r="AB51" i="6" s="1"/>
  <c r="AA54" i="5"/>
  <c r="AA51" i="6" s="1"/>
  <c r="Y54" i="5"/>
  <c r="Y51" i="6" s="1"/>
  <c r="AL51" i="5"/>
  <c r="AL80" i="6" s="1"/>
  <c r="AK51" i="5"/>
  <c r="AK80" i="6" s="1"/>
  <c r="AJ51" i="5"/>
  <c r="AJ80" i="6" s="1"/>
  <c r="AI51" i="5"/>
  <c r="AI80" i="6" s="1"/>
  <c r="AH51" i="5"/>
  <c r="AH80" i="6" s="1"/>
  <c r="AG51" i="5"/>
  <c r="AG80" i="6" s="1"/>
  <c r="AF51" i="5"/>
  <c r="AF80" i="6" s="1"/>
  <c r="AE51" i="5"/>
  <c r="AE80" i="6" s="1"/>
  <c r="AD51" i="5"/>
  <c r="AD80" i="6" s="1"/>
  <c r="AC51" i="5"/>
  <c r="AC80" i="6" s="1"/>
  <c r="AB51" i="5"/>
  <c r="AB80" i="6" s="1"/>
  <c r="AA51" i="5"/>
  <c r="AA80" i="6" s="1"/>
  <c r="Y51" i="5"/>
  <c r="AL50" i="5"/>
  <c r="AL50" i="6" s="1"/>
  <c r="AK50" i="5"/>
  <c r="AK50" i="6" s="1"/>
  <c r="AJ50" i="5"/>
  <c r="AJ50" i="6" s="1"/>
  <c r="AI50" i="5"/>
  <c r="AI50" i="6" s="1"/>
  <c r="AH50" i="5"/>
  <c r="AH50" i="6" s="1"/>
  <c r="AG50" i="5"/>
  <c r="AG50" i="6" s="1"/>
  <c r="AF50" i="5"/>
  <c r="AF50" i="6" s="1"/>
  <c r="AE50" i="5"/>
  <c r="AE50" i="6" s="1"/>
  <c r="AD50" i="5"/>
  <c r="AD50" i="6" s="1"/>
  <c r="AC50" i="5"/>
  <c r="AC50" i="6" s="1"/>
  <c r="AA50" i="5"/>
  <c r="AA50" i="6" s="1"/>
  <c r="Y50" i="5"/>
  <c r="Y50" i="6" s="1"/>
  <c r="AM49" i="5"/>
  <c r="AL49" i="5"/>
  <c r="AK49" i="5"/>
  <c r="AJ49" i="5"/>
  <c r="AI49" i="5"/>
  <c r="AH49" i="5"/>
  <c r="AG49" i="5"/>
  <c r="AF49" i="5"/>
  <c r="AE49" i="5"/>
  <c r="AD49" i="5"/>
  <c r="AC49" i="5"/>
  <c r="AB49" i="5"/>
  <c r="AA49" i="5"/>
  <c r="Z49" i="5"/>
  <c r="Y49" i="5"/>
  <c r="AD46" i="5"/>
  <c r="AD49" i="6" s="1"/>
  <c r="AM45" i="5"/>
  <c r="AL45" i="5"/>
  <c r="AK45" i="5"/>
  <c r="AJ45" i="5"/>
  <c r="AI45" i="5"/>
  <c r="AH45" i="5"/>
  <c r="AG45" i="5"/>
  <c r="AF45" i="5"/>
  <c r="AE45" i="5"/>
  <c r="AD45" i="5"/>
  <c r="AC45" i="5"/>
  <c r="AB45" i="5"/>
  <c r="AA45" i="5"/>
  <c r="Z45" i="5"/>
  <c r="Y45" i="5"/>
  <c r="Y47" i="5" s="1"/>
  <c r="AK36" i="5"/>
  <c r="AJ36" i="5"/>
  <c r="AI36" i="5"/>
  <c r="AH36" i="5"/>
  <c r="AG36" i="5"/>
  <c r="AF36" i="5"/>
  <c r="AE36" i="5"/>
  <c r="AD36" i="5"/>
  <c r="AC36" i="5"/>
  <c r="AB36" i="5"/>
  <c r="AA36" i="5"/>
  <c r="Z36" i="5"/>
  <c r="Y36" i="5"/>
  <c r="X36" i="5"/>
  <c r="AU34" i="5"/>
  <c r="AS34" i="5"/>
  <c r="AU33" i="5"/>
  <c r="AS33" i="5"/>
  <c r="AU30" i="5"/>
  <c r="AS30" i="5"/>
  <c r="AU29" i="5"/>
  <c r="AS29" i="5"/>
  <c r="AU28" i="5"/>
  <c r="AS28" i="5"/>
  <c r="AS26" i="5"/>
  <c r="AL26" i="5"/>
  <c r="AM184" i="5" s="1"/>
  <c r="AL25" i="5"/>
  <c r="AL23" i="5" s="1"/>
  <c r="AU24" i="5"/>
  <c r="AL24" i="5"/>
  <c r="AM176" i="5" s="1"/>
  <c r="AU22" i="5"/>
  <c r="AS22" i="5"/>
  <c r="AU21" i="5"/>
  <c r="AS21" i="5"/>
  <c r="AU18" i="5"/>
  <c r="AS18" i="5"/>
  <c r="O17" i="5"/>
  <c r="H17" i="5"/>
  <c r="AU16" i="5"/>
  <c r="AU12" i="5"/>
  <c r="AS12" i="5"/>
  <c r="N205" i="4"/>
  <c r="M205" i="4"/>
  <c r="L205" i="4"/>
  <c r="K205" i="4"/>
  <c r="J205" i="4"/>
  <c r="I205" i="4"/>
  <c r="N203" i="4"/>
  <c r="M203" i="4"/>
  <c r="L203" i="4"/>
  <c r="K203" i="4"/>
  <c r="J203" i="4"/>
  <c r="I203" i="4"/>
  <c r="G198" i="4"/>
  <c r="G199" i="4" s="1"/>
  <c r="F198" i="4"/>
  <c r="F199" i="4" s="1"/>
  <c r="E198" i="4"/>
  <c r="E199" i="4" s="1"/>
  <c r="D198" i="4"/>
  <c r="D199" i="4" s="1"/>
  <c r="C198" i="4"/>
  <c r="C199" i="4" s="1"/>
  <c r="H197" i="4"/>
  <c r="H195" i="4"/>
  <c r="H193" i="4"/>
  <c r="H198" i="4" s="1"/>
  <c r="H199" i="4" s="1"/>
  <c r="H191" i="4"/>
  <c r="V11" i="4"/>
  <c r="U11" i="4"/>
  <c r="T11" i="4"/>
  <c r="E11" i="3" s="1"/>
  <c r="S11" i="4"/>
  <c r="D11" i="3" s="1"/>
  <c r="R11" i="4"/>
  <c r="Q11" i="4"/>
  <c r="P11" i="4"/>
  <c r="O11" i="4"/>
  <c r="N11" i="4"/>
  <c r="M11" i="4"/>
  <c r="L11" i="4"/>
  <c r="K11" i="4"/>
  <c r="J11" i="4"/>
  <c r="I11" i="4"/>
  <c r="H11" i="4"/>
  <c r="G11" i="4"/>
  <c r="F11" i="4"/>
  <c r="E11" i="4"/>
  <c r="D11" i="4"/>
  <c r="C11" i="4"/>
  <c r="W10" i="4"/>
  <c r="V10" i="4"/>
  <c r="U10" i="4"/>
  <c r="F33" i="1" s="1"/>
  <c r="T10" i="4"/>
  <c r="E13" i="3" s="1"/>
  <c r="S10" i="4"/>
  <c r="D13" i="3" s="1"/>
  <c r="R10" i="4"/>
  <c r="Q10" i="4"/>
  <c r="P10" i="4"/>
  <c r="O10" i="4"/>
  <c r="N10" i="4"/>
  <c r="M10" i="4"/>
  <c r="L10" i="4"/>
  <c r="K10" i="4"/>
  <c r="J10" i="4"/>
  <c r="I10" i="4"/>
  <c r="H10" i="4"/>
  <c r="G10" i="4"/>
  <c r="F10" i="4"/>
  <c r="E10" i="4"/>
  <c r="D10" i="4"/>
  <c r="C10" i="4"/>
  <c r="V9" i="4"/>
  <c r="G10" i="3" s="1"/>
  <c r="U9" i="4"/>
  <c r="F10" i="3" s="1"/>
  <c r="T9" i="4"/>
  <c r="E30" i="1" s="1"/>
  <c r="S9" i="4"/>
  <c r="D10" i="3" s="1"/>
  <c r="R9" i="4"/>
  <c r="Q9" i="4"/>
  <c r="P9" i="4"/>
  <c r="O9" i="4"/>
  <c r="N9" i="4"/>
  <c r="M9" i="4"/>
  <c r="L9" i="4"/>
  <c r="K9" i="4"/>
  <c r="J9" i="4"/>
  <c r="I9" i="4"/>
  <c r="H9" i="4"/>
  <c r="G9" i="4"/>
  <c r="F9" i="4"/>
  <c r="E9" i="4"/>
  <c r="D9" i="4"/>
  <c r="C9" i="4"/>
  <c r="W8" i="4"/>
  <c r="H9" i="3" s="1"/>
  <c r="V8" i="4"/>
  <c r="G9" i="3" s="1"/>
  <c r="C33" i="3" s="1"/>
  <c r="U8" i="4"/>
  <c r="F9" i="3" s="1"/>
  <c r="T8" i="4"/>
  <c r="E9" i="3" s="1"/>
  <c r="S8" i="4"/>
  <c r="D9" i="3" s="1"/>
  <c r="R8" i="4"/>
  <c r="Q8" i="4"/>
  <c r="P8" i="4"/>
  <c r="O8" i="4"/>
  <c r="N8" i="4"/>
  <c r="M8" i="4"/>
  <c r="L8" i="4"/>
  <c r="K8" i="4"/>
  <c r="J8" i="4"/>
  <c r="I8" i="4"/>
  <c r="H8" i="4"/>
  <c r="G8" i="4"/>
  <c r="F8" i="4"/>
  <c r="E8" i="4"/>
  <c r="D8" i="4"/>
  <c r="C8" i="4"/>
  <c r="V7" i="4"/>
  <c r="G8" i="3" s="1"/>
  <c r="U7" i="4"/>
  <c r="T7" i="4"/>
  <c r="S7" i="4"/>
  <c r="D28" i="1" s="1"/>
  <c r="R7" i="4"/>
  <c r="Q7" i="4"/>
  <c r="P7" i="4"/>
  <c r="O7" i="4"/>
  <c r="N7" i="4"/>
  <c r="M7" i="4"/>
  <c r="L7" i="4"/>
  <c r="K7" i="4"/>
  <c r="J7" i="4"/>
  <c r="I7" i="4"/>
  <c r="H7" i="4"/>
  <c r="G7" i="4"/>
  <c r="F7" i="4"/>
  <c r="E7" i="4"/>
  <c r="D7" i="4"/>
  <c r="C7" i="4"/>
  <c r="W6" i="4"/>
  <c r="V6" i="4"/>
  <c r="G27" i="1" s="1"/>
  <c r="U6" i="4"/>
  <c r="F7" i="3" s="1"/>
  <c r="T6" i="4"/>
  <c r="E7" i="3" s="1"/>
  <c r="S6" i="4"/>
  <c r="D7" i="3" s="1"/>
  <c r="R6" i="4"/>
  <c r="C7" i="3" s="1"/>
  <c r="Q6" i="4"/>
  <c r="P6" i="4"/>
  <c r="O6" i="4"/>
  <c r="N6" i="4"/>
  <c r="M6" i="4"/>
  <c r="L6" i="4"/>
  <c r="K6" i="4"/>
  <c r="J6" i="4"/>
  <c r="I6" i="4"/>
  <c r="H6" i="4"/>
  <c r="G6" i="4"/>
  <c r="F6" i="4"/>
  <c r="E6" i="4"/>
  <c r="D6" i="4"/>
  <c r="C6" i="4"/>
  <c r="B6" i="4"/>
  <c r="B7" i="4" s="1"/>
  <c r="B8" i="4" s="1"/>
  <c r="B9" i="4" s="1"/>
  <c r="V5" i="4"/>
  <c r="U5" i="4"/>
  <c r="F6" i="3" s="1"/>
  <c r="T5" i="4"/>
  <c r="S5" i="4"/>
  <c r="D6" i="3" s="1"/>
  <c r="R5" i="4"/>
  <c r="Q5" i="4"/>
  <c r="P5" i="4"/>
  <c r="O5" i="4"/>
  <c r="N5" i="4"/>
  <c r="M5" i="4"/>
  <c r="L5" i="4"/>
  <c r="K5" i="4"/>
  <c r="J5" i="4"/>
  <c r="I5" i="4"/>
  <c r="H5" i="4"/>
  <c r="G5" i="4"/>
  <c r="F5" i="4"/>
  <c r="E5" i="4"/>
  <c r="D5" i="4"/>
  <c r="C5" i="4"/>
  <c r="W4" i="4"/>
  <c r="V4" i="4"/>
  <c r="U4" i="4"/>
  <c r="T4" i="4"/>
  <c r="S4" i="4"/>
  <c r="R4" i="4"/>
  <c r="Q4" i="4"/>
  <c r="P4" i="4"/>
  <c r="O4" i="4"/>
  <c r="N4" i="4"/>
  <c r="M4" i="4"/>
  <c r="L4" i="4"/>
  <c r="K4" i="4"/>
  <c r="J4" i="4"/>
  <c r="I4" i="4"/>
  <c r="H4" i="4"/>
  <c r="G4" i="4"/>
  <c r="F4" i="4"/>
  <c r="E4" i="4"/>
  <c r="D4" i="4"/>
  <c r="C4" i="4"/>
  <c r="V77" i="3"/>
  <c r="U77" i="3"/>
  <c r="T77" i="3"/>
  <c r="S77" i="3"/>
  <c r="R77" i="3"/>
  <c r="Q77" i="3"/>
  <c r="P77" i="3"/>
  <c r="O77" i="3"/>
  <c r="V75" i="3"/>
  <c r="R75" i="3"/>
  <c r="O75" i="3"/>
  <c r="I75" i="3"/>
  <c r="U75" i="3" s="1"/>
  <c r="H75" i="3"/>
  <c r="T75" i="3" s="1"/>
  <c r="G75" i="3"/>
  <c r="S75" i="3" s="1"/>
  <c r="E75" i="3"/>
  <c r="Q75" i="3" s="1"/>
  <c r="D75" i="3"/>
  <c r="P75" i="3" s="1"/>
  <c r="V74" i="3"/>
  <c r="U74" i="3"/>
  <c r="R74" i="3"/>
  <c r="P74" i="3"/>
  <c r="O74" i="3"/>
  <c r="I74" i="3"/>
  <c r="H74" i="3"/>
  <c r="T74" i="3" s="1"/>
  <c r="G74" i="3"/>
  <c r="S74" i="3" s="1"/>
  <c r="E74" i="3"/>
  <c r="Q74" i="3" s="1"/>
  <c r="D74" i="3"/>
  <c r="V73" i="3"/>
  <c r="U73" i="3"/>
  <c r="R73" i="3"/>
  <c r="Q73" i="3"/>
  <c r="O73" i="3"/>
  <c r="I73" i="3"/>
  <c r="H73" i="3"/>
  <c r="T73" i="3" s="1"/>
  <c r="G73" i="3"/>
  <c r="S73" i="3" s="1"/>
  <c r="E73" i="3"/>
  <c r="D73" i="3"/>
  <c r="P73" i="3" s="1"/>
  <c r="V72" i="3"/>
  <c r="S72" i="3"/>
  <c r="R72" i="3"/>
  <c r="P72" i="3"/>
  <c r="O72" i="3"/>
  <c r="I72" i="3"/>
  <c r="U72" i="3" s="1"/>
  <c r="H72" i="3"/>
  <c r="T72" i="3" s="1"/>
  <c r="G72" i="3"/>
  <c r="E72" i="3"/>
  <c r="Q72" i="3" s="1"/>
  <c r="D72" i="3"/>
  <c r="V71" i="3"/>
  <c r="T71" i="3"/>
  <c r="R71" i="3"/>
  <c r="P71" i="3"/>
  <c r="O71" i="3"/>
  <c r="I71" i="3"/>
  <c r="U71" i="3" s="1"/>
  <c r="H71" i="3"/>
  <c r="G71" i="3"/>
  <c r="S71" i="3" s="1"/>
  <c r="E71" i="3"/>
  <c r="Q71" i="3" s="1"/>
  <c r="D71" i="3"/>
  <c r="V70" i="3"/>
  <c r="U70" i="3"/>
  <c r="R70" i="3"/>
  <c r="Q70" i="3"/>
  <c r="O70" i="3"/>
  <c r="I70" i="3"/>
  <c r="H70" i="3"/>
  <c r="T70" i="3" s="1"/>
  <c r="G70" i="3"/>
  <c r="S70" i="3" s="1"/>
  <c r="E70" i="3"/>
  <c r="D70" i="3"/>
  <c r="P70" i="3" s="1"/>
  <c r="C57" i="3"/>
  <c r="Q50" i="3"/>
  <c r="P50" i="3"/>
  <c r="V50" i="3" s="1"/>
  <c r="O50" i="3"/>
  <c r="U50" i="3" s="1"/>
  <c r="N50" i="3"/>
  <c r="T50" i="3" s="1"/>
  <c r="M50" i="3"/>
  <c r="S50" i="3" s="1"/>
  <c r="L50" i="3"/>
  <c r="R50" i="3" s="1"/>
  <c r="K50" i="3"/>
  <c r="P49" i="3"/>
  <c r="O49" i="3"/>
  <c r="N49" i="3"/>
  <c r="M49" i="3"/>
  <c r="L49" i="3"/>
  <c r="K49" i="3"/>
  <c r="V48" i="3"/>
  <c r="U48" i="3"/>
  <c r="S48" i="3"/>
  <c r="P48" i="3"/>
  <c r="O48" i="3"/>
  <c r="N48" i="3"/>
  <c r="T48" i="3" s="1"/>
  <c r="M48" i="3"/>
  <c r="L48" i="3"/>
  <c r="R48" i="3" s="1"/>
  <c r="K48" i="3"/>
  <c r="Q48" i="3" s="1"/>
  <c r="U47" i="3"/>
  <c r="T47" i="3"/>
  <c r="R47" i="3"/>
  <c r="P47" i="3"/>
  <c r="V47" i="3" s="1"/>
  <c r="O47" i="3"/>
  <c r="N47" i="3"/>
  <c r="M47" i="3"/>
  <c r="S47" i="3" s="1"/>
  <c r="L47" i="3"/>
  <c r="K47" i="3"/>
  <c r="Q47" i="3" s="1"/>
  <c r="T46" i="3"/>
  <c r="S46" i="3"/>
  <c r="P46" i="3"/>
  <c r="V46" i="3" s="1"/>
  <c r="O46" i="3"/>
  <c r="U46" i="3" s="1"/>
  <c r="N46" i="3"/>
  <c r="M46" i="3"/>
  <c r="L46" i="3"/>
  <c r="R46" i="3" s="1"/>
  <c r="K46" i="3"/>
  <c r="Q46" i="3" s="1"/>
  <c r="V45" i="3"/>
  <c r="S45" i="3"/>
  <c r="R45" i="3"/>
  <c r="P45" i="3"/>
  <c r="O45" i="3"/>
  <c r="U45" i="3" s="1"/>
  <c r="N45" i="3"/>
  <c r="T45" i="3" s="1"/>
  <c r="M45" i="3"/>
  <c r="L45" i="3"/>
  <c r="K45" i="3"/>
  <c r="Q45" i="3" s="1"/>
  <c r="U44" i="3"/>
  <c r="P44" i="3"/>
  <c r="V44" i="3" s="1"/>
  <c r="O44" i="3"/>
  <c r="N44" i="3"/>
  <c r="T44" i="3" s="1"/>
  <c r="M44" i="3"/>
  <c r="S44" i="3" s="1"/>
  <c r="L44" i="3"/>
  <c r="R44" i="3" s="1"/>
  <c r="K44" i="3"/>
  <c r="Q44" i="3" s="1"/>
  <c r="C37" i="3"/>
  <c r="V26" i="3"/>
  <c r="S26" i="3"/>
  <c r="Q26" i="3"/>
  <c r="P26" i="3"/>
  <c r="O26" i="3"/>
  <c r="U26" i="3" s="1"/>
  <c r="N26" i="3"/>
  <c r="T26" i="3" s="1"/>
  <c r="M26" i="3"/>
  <c r="L26" i="3"/>
  <c r="R26" i="3" s="1"/>
  <c r="K26" i="3"/>
  <c r="P25" i="3"/>
  <c r="O25" i="3"/>
  <c r="N25" i="3"/>
  <c r="M25" i="3"/>
  <c r="L25" i="3"/>
  <c r="K25" i="3"/>
  <c r="P24" i="3"/>
  <c r="V24" i="3" s="1"/>
  <c r="O24" i="3"/>
  <c r="U24" i="3" s="1"/>
  <c r="N24" i="3"/>
  <c r="T24" i="3" s="1"/>
  <c r="M24" i="3"/>
  <c r="S24" i="3" s="1"/>
  <c r="L24" i="3"/>
  <c r="R24" i="3" s="1"/>
  <c r="K24" i="3"/>
  <c r="Q24" i="3" s="1"/>
  <c r="R23" i="3"/>
  <c r="P23" i="3"/>
  <c r="V23" i="3" s="1"/>
  <c r="O23" i="3"/>
  <c r="U23" i="3" s="1"/>
  <c r="N23" i="3"/>
  <c r="T23" i="3" s="1"/>
  <c r="M23" i="3"/>
  <c r="S23" i="3" s="1"/>
  <c r="L23" i="3"/>
  <c r="K23" i="3"/>
  <c r="Q23" i="3" s="1"/>
  <c r="R22" i="3"/>
  <c r="P22" i="3"/>
  <c r="V22" i="3" s="1"/>
  <c r="O22" i="3"/>
  <c r="U22" i="3" s="1"/>
  <c r="N22" i="3"/>
  <c r="T22" i="3" s="1"/>
  <c r="M22" i="3"/>
  <c r="S22" i="3" s="1"/>
  <c r="L22" i="3"/>
  <c r="K22" i="3"/>
  <c r="Q22" i="3" s="1"/>
  <c r="P21" i="3"/>
  <c r="V21" i="3" s="1"/>
  <c r="O21" i="3"/>
  <c r="U21" i="3" s="1"/>
  <c r="N21" i="3"/>
  <c r="T21" i="3" s="1"/>
  <c r="M21" i="3"/>
  <c r="S21" i="3" s="1"/>
  <c r="L21" i="3"/>
  <c r="R21" i="3" s="1"/>
  <c r="K21" i="3"/>
  <c r="Q21" i="3" s="1"/>
  <c r="T20" i="3"/>
  <c r="R20" i="3"/>
  <c r="P20" i="3"/>
  <c r="V20" i="3" s="1"/>
  <c r="O20" i="3"/>
  <c r="U20" i="3" s="1"/>
  <c r="N20" i="3"/>
  <c r="M20" i="3"/>
  <c r="S20" i="3" s="1"/>
  <c r="L20" i="3"/>
  <c r="K20" i="3"/>
  <c r="Q20" i="3" s="1"/>
  <c r="H13" i="3"/>
  <c r="D61" i="3" s="1"/>
  <c r="G13" i="3"/>
  <c r="C61" i="3" s="1"/>
  <c r="C104" i="3" s="1"/>
  <c r="C57" i="1" s="1"/>
  <c r="C11" i="3"/>
  <c r="C10" i="3"/>
  <c r="C9" i="3"/>
  <c r="F8" i="3"/>
  <c r="E8" i="3"/>
  <c r="C8" i="3"/>
  <c r="H7" i="3"/>
  <c r="G6" i="3"/>
  <c r="C54" i="3" s="1"/>
  <c r="E6" i="3"/>
  <c r="C6" i="3"/>
  <c r="J127" i="2"/>
  <c r="V15" i="1" s="1"/>
  <c r="I123" i="2"/>
  <c r="U11" i="1" s="1"/>
  <c r="H123" i="2"/>
  <c r="G123" i="2"/>
  <c r="S11" i="1" s="1"/>
  <c r="D113" i="2"/>
  <c r="C113" i="2"/>
  <c r="A113" i="2" s="1"/>
  <c r="C112" i="2"/>
  <c r="A112" i="2" s="1"/>
  <c r="D111" i="2"/>
  <c r="C111" i="2"/>
  <c r="A111" i="2" s="1"/>
  <c r="D110" i="2"/>
  <c r="C110" i="2"/>
  <c r="A110" i="2" s="1"/>
  <c r="D109" i="2"/>
  <c r="C109" i="2"/>
  <c r="A109" i="2" s="1"/>
  <c r="D108" i="2"/>
  <c r="C108" i="2"/>
  <c r="A108" i="2" s="1"/>
  <c r="D107" i="2"/>
  <c r="C107" i="2"/>
  <c r="A107" i="2" s="1"/>
  <c r="D105" i="2"/>
  <c r="D106" i="2" s="1"/>
  <c r="C105" i="2"/>
  <c r="D101" i="2"/>
  <c r="C101" i="2"/>
  <c r="I94" i="2"/>
  <c r="H94" i="2"/>
  <c r="G94" i="2"/>
  <c r="I92" i="2"/>
  <c r="H92" i="2"/>
  <c r="G92" i="2" s="1"/>
  <c r="AF91" i="2"/>
  <c r="AF92" i="2" s="1"/>
  <c r="AE91" i="2"/>
  <c r="AE92" i="2" s="1"/>
  <c r="AD91" i="2"/>
  <c r="AD92" i="2" s="1"/>
  <c r="AC91" i="2"/>
  <c r="AC92" i="2" s="1"/>
  <c r="AB91" i="2"/>
  <c r="AB92" i="2" s="1"/>
  <c r="H90" i="2"/>
  <c r="G90" i="2" s="1"/>
  <c r="H87" i="2"/>
  <c r="G87" i="2" s="1"/>
  <c r="D85" i="2"/>
  <c r="C85" i="2"/>
  <c r="AB83" i="2"/>
  <c r="AF82" i="2"/>
  <c r="AF83" i="2" s="1"/>
  <c r="AE82" i="2"/>
  <c r="AE83" i="2" s="1"/>
  <c r="AD82" i="2"/>
  <c r="AD83" i="2" s="1"/>
  <c r="AC82" i="2"/>
  <c r="AC83" i="2" s="1"/>
  <c r="AB82" i="2"/>
  <c r="AC74" i="2"/>
  <c r="AF73" i="2"/>
  <c r="AF74" i="2" s="1"/>
  <c r="AE73" i="2"/>
  <c r="AE74" i="2" s="1"/>
  <c r="AD73" i="2"/>
  <c r="AD74" i="2" s="1"/>
  <c r="AC73" i="2"/>
  <c r="AB73" i="2"/>
  <c r="AB74" i="2" s="1"/>
  <c r="D73" i="2"/>
  <c r="C73" i="2"/>
  <c r="E70" i="2"/>
  <c r="AF65" i="2"/>
  <c r="AE65" i="2"/>
  <c r="AD65" i="2"/>
  <c r="AC65" i="2"/>
  <c r="AB65" i="2"/>
  <c r="E64" i="2"/>
  <c r="L50" i="2"/>
  <c r="H50" i="2"/>
  <c r="D50" i="2"/>
  <c r="L49" i="2"/>
  <c r="J131" i="2" s="1"/>
  <c r="V19" i="1" s="1"/>
  <c r="H49" i="2"/>
  <c r="D49" i="2"/>
  <c r="L48" i="2"/>
  <c r="H48" i="2"/>
  <c r="F126" i="2" s="1"/>
  <c r="R14" i="1" s="1"/>
  <c r="D48" i="2"/>
  <c r="L47" i="2"/>
  <c r="H47" i="2"/>
  <c r="D47" i="2"/>
  <c r="M47" i="2" s="1"/>
  <c r="L46" i="2"/>
  <c r="H46" i="2"/>
  <c r="F128" i="2" s="1"/>
  <c r="D46" i="2"/>
  <c r="L45" i="2"/>
  <c r="U45" i="2" s="1"/>
  <c r="I45" i="2"/>
  <c r="H45" i="2"/>
  <c r="J45" i="2" s="1"/>
  <c r="D45" i="2"/>
  <c r="M45" i="2" s="1"/>
  <c r="M44" i="2"/>
  <c r="L44" i="2"/>
  <c r="U44" i="2" s="1"/>
  <c r="K44" i="2"/>
  <c r="T44" i="2" s="1"/>
  <c r="H44" i="2"/>
  <c r="J44" i="2" s="1"/>
  <c r="D44" i="2"/>
  <c r="AB84" i="2" s="1"/>
  <c r="AB85" i="2" s="1"/>
  <c r="L43" i="2"/>
  <c r="J124" i="2" s="1"/>
  <c r="H43" i="2"/>
  <c r="K43" i="2" s="1"/>
  <c r="D43" i="2"/>
  <c r="L42" i="2"/>
  <c r="H42" i="2"/>
  <c r="D42" i="2"/>
  <c r="U42" i="2" s="1"/>
  <c r="M37" i="2"/>
  <c r="L37" i="2"/>
  <c r="H37" i="2"/>
  <c r="E37" i="2"/>
  <c r="D37" i="2"/>
  <c r="U37" i="2" s="1"/>
  <c r="L36" i="2"/>
  <c r="H36" i="2"/>
  <c r="H38" i="2" s="1"/>
  <c r="E36" i="2"/>
  <c r="G36" i="2" s="1"/>
  <c r="P36" i="2" s="1"/>
  <c r="D36" i="2"/>
  <c r="M36" i="2" s="1"/>
  <c r="M35" i="2"/>
  <c r="L35" i="2"/>
  <c r="J35" i="2"/>
  <c r="S35" i="2" s="1"/>
  <c r="H35" i="2"/>
  <c r="F35" i="2"/>
  <c r="O35" i="2" s="1"/>
  <c r="E35" i="2"/>
  <c r="G35" i="2" s="1"/>
  <c r="P35" i="2" s="1"/>
  <c r="D35" i="2"/>
  <c r="Q35" i="2" s="1"/>
  <c r="Q34" i="2"/>
  <c r="L34" i="2"/>
  <c r="H34" i="2"/>
  <c r="E34" i="2"/>
  <c r="N34" i="2" s="1"/>
  <c r="D34" i="2"/>
  <c r="M34" i="2" s="1"/>
  <c r="L33" i="2"/>
  <c r="J33" i="2" s="1"/>
  <c r="H33" i="2"/>
  <c r="K33" i="2" s="1"/>
  <c r="T33" i="2" s="1"/>
  <c r="F33" i="2"/>
  <c r="E33" i="2"/>
  <c r="D33" i="2"/>
  <c r="Q33" i="2" s="1"/>
  <c r="L32" i="2"/>
  <c r="H32" i="2"/>
  <c r="J32" i="2" s="1"/>
  <c r="S32" i="2" s="1"/>
  <c r="E32" i="2"/>
  <c r="F32" i="2" s="1"/>
  <c r="D32" i="2"/>
  <c r="M32" i="2" s="1"/>
  <c r="M31" i="2"/>
  <c r="L31" i="2"/>
  <c r="K31" i="2"/>
  <c r="T31" i="2" s="1"/>
  <c r="H31" i="2"/>
  <c r="E31" i="2"/>
  <c r="N31" i="2" s="1"/>
  <c r="D31" i="2"/>
  <c r="L30" i="2"/>
  <c r="K30" i="2"/>
  <c r="T30" i="2" s="1"/>
  <c r="H30" i="2"/>
  <c r="F30" i="2"/>
  <c r="O30" i="2" s="1"/>
  <c r="E30" i="2"/>
  <c r="N30" i="2" s="1"/>
  <c r="D30" i="2"/>
  <c r="M30" i="2" s="1"/>
  <c r="L29" i="2"/>
  <c r="H29" i="2"/>
  <c r="E29" i="2"/>
  <c r="E38" i="2" s="1"/>
  <c r="D29" i="2"/>
  <c r="H20" i="2"/>
  <c r="H11" i="2"/>
  <c r="H8" i="2"/>
  <c r="H3" i="2" s="1"/>
  <c r="G8" i="2"/>
  <c r="G3" i="2" s="1"/>
  <c r="H12" i="8" s="1"/>
  <c r="F8" i="2"/>
  <c r="E8" i="2"/>
  <c r="E3" i="2" s="1"/>
  <c r="F12" i="8" s="1"/>
  <c r="D8" i="2"/>
  <c r="D9" i="1" s="1"/>
  <c r="C8" i="2"/>
  <c r="F3" i="2"/>
  <c r="G12" i="8" s="1"/>
  <c r="D3" i="2"/>
  <c r="E12" i="8" s="1"/>
  <c r="C3" i="2"/>
  <c r="D12" i="8" s="1"/>
  <c r="H33" i="1"/>
  <c r="G33" i="1"/>
  <c r="E33" i="1"/>
  <c r="D33" i="1"/>
  <c r="P32" i="1"/>
  <c r="I32" i="1"/>
  <c r="E31" i="1"/>
  <c r="C31" i="1"/>
  <c r="H30" i="1"/>
  <c r="G30" i="1"/>
  <c r="F30" i="1"/>
  <c r="D30" i="1"/>
  <c r="C30" i="1"/>
  <c r="G29" i="1"/>
  <c r="E29" i="1"/>
  <c r="D29" i="1"/>
  <c r="C29" i="1"/>
  <c r="G28" i="1"/>
  <c r="H28" i="1" s="1"/>
  <c r="F28" i="1"/>
  <c r="E28" i="1"/>
  <c r="C28" i="1"/>
  <c r="H27" i="1"/>
  <c r="F27" i="1"/>
  <c r="C27" i="1"/>
  <c r="G26" i="1"/>
  <c r="H26" i="1" s="1"/>
  <c r="F26" i="1"/>
  <c r="E26" i="1"/>
  <c r="C26" i="1"/>
  <c r="H19" i="1"/>
  <c r="R16" i="1"/>
  <c r="P13" i="1"/>
  <c r="H12" i="1"/>
  <c r="V11" i="1"/>
  <c r="T11" i="1"/>
  <c r="R11" i="1"/>
  <c r="Q11" i="1"/>
  <c r="O11" i="1"/>
  <c r="N11" i="1"/>
  <c r="M11" i="1"/>
  <c r="L11" i="1"/>
  <c r="K11" i="1"/>
  <c r="J11" i="1"/>
  <c r="H10" i="1"/>
  <c r="G10" i="1"/>
  <c r="F10" i="1"/>
  <c r="E10" i="1"/>
  <c r="D10" i="1"/>
  <c r="C10" i="1"/>
  <c r="H9" i="1"/>
  <c r="F9" i="1"/>
  <c r="C9" i="1"/>
  <c r="H8" i="1"/>
  <c r="G8" i="1"/>
  <c r="F8" i="1"/>
  <c r="E8" i="1"/>
  <c r="D8" i="1"/>
  <c r="C8" i="1"/>
  <c r="M42" i="2" l="1"/>
  <c r="AB122" i="6"/>
  <c r="AB156" i="5"/>
  <c r="AB152" i="6" s="1"/>
  <c r="D104" i="3"/>
  <c r="D57" i="1" s="1"/>
  <c r="G61" i="3"/>
  <c r="J125" i="2"/>
  <c r="V13" i="1" s="1"/>
  <c r="V12" i="1"/>
  <c r="Y117" i="6"/>
  <c r="Y136" i="5"/>
  <c r="Y147" i="6" s="1"/>
  <c r="D33" i="3"/>
  <c r="D57" i="3"/>
  <c r="AB120" i="6"/>
  <c r="AB148" i="5"/>
  <c r="AB150" i="6" s="1"/>
  <c r="D100" i="3"/>
  <c r="D53" i="1" s="1"/>
  <c r="AM52" i="12"/>
  <c r="E50" i="2" s="1"/>
  <c r="BO54" i="12"/>
  <c r="G34" i="2"/>
  <c r="P34" i="2" s="1"/>
  <c r="N35" i="2"/>
  <c r="E62" i="2"/>
  <c r="D37" i="3"/>
  <c r="AD79" i="5"/>
  <c r="AD58" i="6" s="1"/>
  <c r="AD95" i="5"/>
  <c r="L12" i="8"/>
  <c r="M12" i="8" s="1"/>
  <c r="D31" i="1"/>
  <c r="U34" i="2"/>
  <c r="J48" i="2"/>
  <c r="S48" i="2" s="1"/>
  <c r="E65" i="2"/>
  <c r="I90" i="2"/>
  <c r="AC87" i="5"/>
  <c r="AF95" i="5"/>
  <c r="AB140" i="5"/>
  <c r="Q21" i="8"/>
  <c r="E64" i="10"/>
  <c r="AW54" i="11"/>
  <c r="E10" i="3"/>
  <c r="AI169" i="5"/>
  <c r="AI156" i="6" s="1"/>
  <c r="D27" i="1"/>
  <c r="D32" i="1" s="1"/>
  <c r="I44" i="2"/>
  <c r="R44" i="2" s="1"/>
  <c r="E9" i="1"/>
  <c r="E27" i="1"/>
  <c r="F29" i="1"/>
  <c r="G7" i="3"/>
  <c r="AE87" i="5"/>
  <c r="AG95" i="5"/>
  <c r="Z118" i="5"/>
  <c r="Z70" i="6" s="1"/>
  <c r="AB119" i="5"/>
  <c r="AB100" i="6" s="1"/>
  <c r="AC148" i="5"/>
  <c r="AC150" i="6" s="1"/>
  <c r="AB165" i="5"/>
  <c r="AB155" i="6" s="1"/>
  <c r="AM168" i="5"/>
  <c r="AM126" i="6" s="1"/>
  <c r="AM169" i="5"/>
  <c r="AM156" i="6" s="1"/>
  <c r="AT27" i="6"/>
  <c r="AX54" i="11"/>
  <c r="AY54" i="11"/>
  <c r="C100" i="3"/>
  <c r="C53" i="1" s="1"/>
  <c r="G9" i="1"/>
  <c r="H29" i="1"/>
  <c r="Q30" i="2"/>
  <c r="I32" i="2"/>
  <c r="R32" i="2" s="1"/>
  <c r="M33" i="2"/>
  <c r="AI95" i="5"/>
  <c r="AB184" i="5"/>
  <c r="K32" i="2"/>
  <c r="T32" i="2" s="1"/>
  <c r="N33" i="2"/>
  <c r="U36" i="2"/>
  <c r="Q50" i="2"/>
  <c r="D8" i="3"/>
  <c r="F13" i="3"/>
  <c r="AJ95" i="5"/>
  <c r="AD184" i="5"/>
  <c r="L29" i="8"/>
  <c r="K29" i="8" s="1"/>
  <c r="BV54" i="12"/>
  <c r="S13" i="8"/>
  <c r="H27" i="9"/>
  <c r="Q27" i="9" s="1"/>
  <c r="BW54" i="12"/>
  <c r="S33" i="2"/>
  <c r="C91" i="3"/>
  <c r="C45" i="1" s="1"/>
  <c r="Z136" i="5"/>
  <c r="Z147" i="6" s="1"/>
  <c r="Q31" i="2"/>
  <c r="K35" i="2"/>
  <c r="T35" i="2" s="1"/>
  <c r="C30" i="3"/>
  <c r="C84" i="3" s="1"/>
  <c r="C38" i="1" s="1"/>
  <c r="AU26" i="5"/>
  <c r="Y95" i="5"/>
  <c r="AL95" i="5"/>
  <c r="AJ123" i="5"/>
  <c r="AJ101" i="6" s="1"/>
  <c r="AA176" i="5"/>
  <c r="AA177" i="5" s="1"/>
  <c r="AI177" i="5" s="1"/>
  <c r="Q29" i="8"/>
  <c r="O33" i="2"/>
  <c r="H57" i="3"/>
  <c r="T29" i="1" s="1"/>
  <c r="D26" i="1"/>
  <c r="U33" i="2"/>
  <c r="U47" i="2"/>
  <c r="E69" i="2"/>
  <c r="C97" i="3"/>
  <c r="C50" i="1" s="1"/>
  <c r="AB76" i="5"/>
  <c r="AB87" i="6" s="1"/>
  <c r="Z95" i="5"/>
  <c r="AM95" i="5"/>
  <c r="AB176" i="5"/>
  <c r="BD54" i="11"/>
  <c r="AG52" i="12"/>
  <c r="E44" i="2" s="1"/>
  <c r="AK52" i="12"/>
  <c r="E48" i="2" s="1"/>
  <c r="F48" i="2" s="1"/>
  <c r="O48" i="2" s="1"/>
  <c r="E32" i="1"/>
  <c r="U31" i="2"/>
  <c r="U35" i="2"/>
  <c r="Q44" i="2"/>
  <c r="K45" i="2"/>
  <c r="T45" i="2" s="1"/>
  <c r="Q48" i="2"/>
  <c r="J50" i="2"/>
  <c r="S50" i="2" s="1"/>
  <c r="AG79" i="5"/>
  <c r="AG58" i="6" s="1"/>
  <c r="AA95" i="5"/>
  <c r="AC173" i="5"/>
  <c r="AC157" i="6" s="1"/>
  <c r="BE54" i="11"/>
  <c r="D112" i="2"/>
  <c r="D115" i="2" s="1"/>
  <c r="D116" i="2" s="1"/>
  <c r="I47" i="2"/>
  <c r="F127" i="2"/>
  <c r="Q47" i="2"/>
  <c r="K47" i="2"/>
  <c r="F11" i="3"/>
  <c r="F12" i="3" s="1"/>
  <c r="F31" i="1"/>
  <c r="F32" i="1" s="1"/>
  <c r="Y139" i="6"/>
  <c r="AM211" i="5"/>
  <c r="AM139" i="6" s="1"/>
  <c r="I29" i="2"/>
  <c r="K29" i="2"/>
  <c r="J29" i="2"/>
  <c r="J30" i="2"/>
  <c r="S30" i="2" s="1"/>
  <c r="I30" i="2"/>
  <c r="R30" i="2" s="1"/>
  <c r="U30" i="2"/>
  <c r="L38" i="2"/>
  <c r="U32" i="2"/>
  <c r="K36" i="2"/>
  <c r="T36" i="2" s="1"/>
  <c r="L51" i="2"/>
  <c r="D55" i="3"/>
  <c r="D31" i="3"/>
  <c r="K49" i="2"/>
  <c r="I49" i="2"/>
  <c r="F131" i="2"/>
  <c r="R19" i="1" s="1"/>
  <c r="J49" i="2"/>
  <c r="Q49" i="2"/>
  <c r="C56" i="3"/>
  <c r="C99" i="3" s="1"/>
  <c r="C52" i="1" s="1"/>
  <c r="H8" i="3"/>
  <c r="Y71" i="6"/>
  <c r="AB122" i="5"/>
  <c r="AB71" i="6" s="1"/>
  <c r="AI120" i="6"/>
  <c r="AI148" i="5"/>
  <c r="AI150" i="6" s="1"/>
  <c r="D38" i="2"/>
  <c r="M38" i="2" s="1"/>
  <c r="M29" i="2"/>
  <c r="R45" i="2"/>
  <c r="C13" i="3"/>
  <c r="C33" i="1"/>
  <c r="O12" i="8"/>
  <c r="I12" i="8"/>
  <c r="N32" i="2"/>
  <c r="J43" i="2"/>
  <c r="I43" i="2"/>
  <c r="Q43" i="2"/>
  <c r="F124" i="2"/>
  <c r="G68" i="2"/>
  <c r="J47" i="2"/>
  <c r="S44" i="2"/>
  <c r="G11" i="3"/>
  <c r="G31" i="1"/>
  <c r="H31" i="1" s="1"/>
  <c r="H32" i="1" s="1"/>
  <c r="O32" i="2"/>
  <c r="M46" i="2"/>
  <c r="Q46" i="2"/>
  <c r="E66" i="2"/>
  <c r="Q29" i="2"/>
  <c r="G32" i="2"/>
  <c r="P32" i="2" s="1"/>
  <c r="G37" i="2"/>
  <c r="N37" i="2"/>
  <c r="D103" i="2"/>
  <c r="Q36" i="2"/>
  <c r="J36" i="2"/>
  <c r="S36" i="2" s="1"/>
  <c r="C106" i="2"/>
  <c r="A106" i="2" s="1"/>
  <c r="A105" i="2"/>
  <c r="C32" i="1"/>
  <c r="I34" i="2"/>
  <c r="R34" i="2" s="1"/>
  <c r="F37" i="2"/>
  <c r="O37" i="2" s="1"/>
  <c r="Q42" i="2"/>
  <c r="H51" i="2"/>
  <c r="K42" i="2"/>
  <c r="I48" i="2"/>
  <c r="C12" i="3"/>
  <c r="G29" i="2"/>
  <c r="N29" i="2"/>
  <c r="F29" i="2"/>
  <c r="C58" i="3"/>
  <c r="C101" i="3" s="1"/>
  <c r="C54" i="1" s="1"/>
  <c r="C34" i="3"/>
  <c r="C88" i="3" s="1"/>
  <c r="C42" i="1" s="1"/>
  <c r="H10" i="3"/>
  <c r="U29" i="2"/>
  <c r="J34" i="2"/>
  <c r="S34" i="2" s="1"/>
  <c r="K37" i="2"/>
  <c r="T37" i="2" s="1"/>
  <c r="I37" i="2"/>
  <c r="R37" i="2" s="1"/>
  <c r="Q37" i="2"/>
  <c r="I42" i="2"/>
  <c r="C32" i="3"/>
  <c r="C86" i="3" s="1"/>
  <c r="C40" i="1" s="1"/>
  <c r="I31" i="2"/>
  <c r="R31" i="2" s="1"/>
  <c r="K34" i="2"/>
  <c r="T34" i="2" s="1"/>
  <c r="J37" i="2"/>
  <c r="S37" i="2" s="1"/>
  <c r="J42" i="2"/>
  <c r="J128" i="2"/>
  <c r="V16" i="1" s="1"/>
  <c r="K46" i="2"/>
  <c r="J46" i="2"/>
  <c r="U46" i="2"/>
  <c r="I46" i="2"/>
  <c r="J126" i="2"/>
  <c r="U48" i="2"/>
  <c r="K48" i="2"/>
  <c r="K50" i="2"/>
  <c r="I50" i="2"/>
  <c r="U50" i="2"/>
  <c r="D98" i="3"/>
  <c r="D51" i="1" s="1"/>
  <c r="I36" i="2"/>
  <c r="R36" i="2" s="1"/>
  <c r="I124" i="2"/>
  <c r="T43" i="2"/>
  <c r="J31" i="2"/>
  <c r="F36" i="2"/>
  <c r="O36" i="2" s="1"/>
  <c r="N36" i="2"/>
  <c r="M50" i="2"/>
  <c r="G33" i="3"/>
  <c r="I37" i="3"/>
  <c r="J37" i="3"/>
  <c r="F37" i="3"/>
  <c r="F57" i="3"/>
  <c r="R29" i="1" s="1"/>
  <c r="E57" i="3"/>
  <c r="Q29" i="1" s="1"/>
  <c r="J57" i="3"/>
  <c r="I57" i="3"/>
  <c r="U29" i="1" s="1"/>
  <c r="G57" i="3"/>
  <c r="S29" i="1" s="1"/>
  <c r="E61" i="3"/>
  <c r="J61" i="3"/>
  <c r="I61" i="3"/>
  <c r="U33" i="1" s="1"/>
  <c r="H61" i="3"/>
  <c r="F61" i="3"/>
  <c r="R33" i="1" s="1"/>
  <c r="AL66" i="6"/>
  <c r="AB105" i="5"/>
  <c r="AM181" i="5"/>
  <c r="AM130" i="6" s="1"/>
  <c r="N48" i="2"/>
  <c r="AL59" i="6"/>
  <c r="AM83" i="5"/>
  <c r="AM59" i="6" s="1"/>
  <c r="G30" i="2"/>
  <c r="P30" i="2" s="1"/>
  <c r="I87" i="2"/>
  <c r="H37" i="3"/>
  <c r="AH88" i="6"/>
  <c r="AH79" i="5"/>
  <c r="AH58" i="6" s="1"/>
  <c r="Y89" i="6"/>
  <c r="AM84" i="5"/>
  <c r="AM89" i="6" s="1"/>
  <c r="I33" i="2"/>
  <c r="R33" i="2" s="1"/>
  <c r="Q45" i="2"/>
  <c r="F34" i="2"/>
  <c r="O34" i="2" s="1"/>
  <c r="S45" i="2"/>
  <c r="M49" i="2"/>
  <c r="AB93" i="2"/>
  <c r="AB94" i="2" s="1"/>
  <c r="U49" i="2"/>
  <c r="C115" i="2"/>
  <c r="C116" i="2" s="1"/>
  <c r="A101" i="2"/>
  <c r="C102" i="2"/>
  <c r="A102" i="2" s="1"/>
  <c r="C103" i="2"/>
  <c r="A103" i="2" s="1"/>
  <c r="D12" i="3"/>
  <c r="AA83" i="6"/>
  <c r="AM63" i="5"/>
  <c r="AM83" i="6" s="1"/>
  <c r="G31" i="2"/>
  <c r="P31" i="2" s="1"/>
  <c r="D51" i="2"/>
  <c r="M51" i="2" s="1"/>
  <c r="E68" i="2"/>
  <c r="M48" i="2"/>
  <c r="D102" i="2"/>
  <c r="E12" i="3"/>
  <c r="H100" i="3"/>
  <c r="H53" i="1" s="1"/>
  <c r="B11" i="4"/>
  <c r="B10" i="4"/>
  <c r="Y79" i="6"/>
  <c r="F31" i="2"/>
  <c r="O31" i="2" s="1"/>
  <c r="Q32" i="2"/>
  <c r="AB75" i="2"/>
  <c r="AB76" i="2" s="1"/>
  <c r="E63" i="2"/>
  <c r="M43" i="2"/>
  <c r="U43" i="2"/>
  <c r="D91" i="3"/>
  <c r="D45" i="1" s="1"/>
  <c r="C87" i="3"/>
  <c r="C41" i="1" s="1"/>
  <c r="AB66" i="2"/>
  <c r="AB67" i="2" s="1"/>
  <c r="F100" i="3"/>
  <c r="F53" i="1" s="1"/>
  <c r="AL88" i="6"/>
  <c r="AL79" i="5"/>
  <c r="AL58" i="6" s="1"/>
  <c r="AJ63" i="6"/>
  <c r="AB96" i="5"/>
  <c r="AB63" i="6" s="1"/>
  <c r="AA96" i="6"/>
  <c r="AB106" i="5"/>
  <c r="AM180" i="5"/>
  <c r="AA180" i="5"/>
  <c r="AE91" i="5"/>
  <c r="AL180" i="5"/>
  <c r="Z180" i="5"/>
  <c r="AD91" i="5"/>
  <c r="AK180" i="5"/>
  <c r="Y180" i="5"/>
  <c r="AC91" i="5"/>
  <c r="AJ180" i="5"/>
  <c r="AB91" i="5"/>
  <c r="AI180" i="5"/>
  <c r="AM91" i="5"/>
  <c r="AA91" i="5"/>
  <c r="AH180" i="5"/>
  <c r="AL91" i="5"/>
  <c r="Z91" i="5"/>
  <c r="AG180" i="5"/>
  <c r="AF180" i="5"/>
  <c r="AJ91" i="5"/>
  <c r="AC180" i="5"/>
  <c r="AG91" i="5"/>
  <c r="AE180" i="5"/>
  <c r="AK91" i="5"/>
  <c r="AD180" i="5"/>
  <c r="AI91" i="5"/>
  <c r="AB180" i="5"/>
  <c r="AH91" i="5"/>
  <c r="AF91" i="5"/>
  <c r="Y91" i="5"/>
  <c r="AL36" i="5"/>
  <c r="AH52" i="12"/>
  <c r="E45" i="2" s="1"/>
  <c r="E67" i="2"/>
  <c r="AS25" i="5"/>
  <c r="G33" i="2"/>
  <c r="P33" i="2" s="1"/>
  <c r="I35" i="2"/>
  <c r="R35" i="2" s="1"/>
  <c r="AF84" i="2"/>
  <c r="AF85" i="2" s="1"/>
  <c r="G44" i="2"/>
  <c r="H6" i="3"/>
  <c r="AU25" i="5"/>
  <c r="C208" i="4"/>
  <c r="AI125" i="6"/>
  <c r="AI165" i="5"/>
  <c r="AI155" i="6" s="1"/>
  <c r="F68" i="2"/>
  <c r="G48" i="2"/>
  <c r="Y80" i="6"/>
  <c r="AM51" i="5"/>
  <c r="AM80" i="6" s="1"/>
  <c r="AE120" i="6"/>
  <c r="AE148" i="5"/>
  <c r="AE150" i="6" s="1"/>
  <c r="AA129" i="6"/>
  <c r="G100" i="3"/>
  <c r="G53" i="1" s="1"/>
  <c r="Y46" i="5"/>
  <c r="AG120" i="6"/>
  <c r="AG148" i="5"/>
  <c r="AG150" i="6" s="1"/>
  <c r="Z152" i="6"/>
  <c r="AI123" i="6"/>
  <c r="AI160" i="5"/>
  <c r="AI153" i="6" s="1"/>
  <c r="Z47" i="5"/>
  <c r="Z79" i="6" s="1"/>
  <c r="Z46" i="5"/>
  <c r="Z49" i="6" s="1"/>
  <c r="AM55" i="5"/>
  <c r="AM81" i="6" s="1"/>
  <c r="AM62" i="5"/>
  <c r="AM53" i="6" s="1"/>
  <c r="AH120" i="6"/>
  <c r="AH148" i="5"/>
  <c r="AH150" i="6" s="1"/>
  <c r="AB168" i="6"/>
  <c r="AI208" i="5"/>
  <c r="AI168" i="6" s="1"/>
  <c r="Y176" i="5"/>
  <c r="AM66" i="5"/>
  <c r="AM54" i="6" s="1"/>
  <c r="AJ79" i="5"/>
  <c r="AJ58" i="6" s="1"/>
  <c r="AM87" i="5"/>
  <c r="AJ120" i="6"/>
  <c r="AJ148" i="5"/>
  <c r="AJ150" i="6" s="1"/>
  <c r="AK176" i="5"/>
  <c r="AF52" i="12"/>
  <c r="E43" i="2" s="1"/>
  <c r="AM67" i="5"/>
  <c r="AM84" i="6" s="1"/>
  <c r="AE61" i="6"/>
  <c r="AM88" i="5"/>
  <c r="AM61" i="6" s="1"/>
  <c r="AB148" i="6"/>
  <c r="AM140" i="5"/>
  <c r="AM148" i="6" s="1"/>
  <c r="Y120" i="6"/>
  <c r="Y148" i="5"/>
  <c r="AM147" i="5"/>
  <c r="AM120" i="6" s="1"/>
  <c r="AK120" i="6"/>
  <c r="AK148" i="5"/>
  <c r="AK150" i="6" s="1"/>
  <c r="Z148" i="5"/>
  <c r="Z150" i="6" s="1"/>
  <c r="AM202" i="5"/>
  <c r="AM136" i="6" s="1"/>
  <c r="AM212" i="5"/>
  <c r="AM169" i="6" s="1"/>
  <c r="M26" i="9"/>
  <c r="H26" i="9"/>
  <c r="Q26" i="9" s="1"/>
  <c r="AM50" i="5"/>
  <c r="AM50" i="6" s="1"/>
  <c r="AA120" i="6"/>
  <c r="AA148" i="5"/>
  <c r="AA150" i="6" s="1"/>
  <c r="AM146" i="5"/>
  <c r="Z151" i="6"/>
  <c r="AM152" i="5"/>
  <c r="AM151" i="6" s="1"/>
  <c r="Y85" i="6"/>
  <c r="AI71" i="5"/>
  <c r="AI85" i="6" s="1"/>
  <c r="AM101" i="5"/>
  <c r="AM65" i="6" s="1"/>
  <c r="AB109" i="5"/>
  <c r="AE67" i="6"/>
  <c r="Y55" i="6"/>
  <c r="AI70" i="5"/>
  <c r="AI55" i="6" s="1"/>
  <c r="AB80" i="5"/>
  <c r="AM136" i="5"/>
  <c r="AM147" i="6" s="1"/>
  <c r="AJ176" i="5"/>
  <c r="AK87" i="5"/>
  <c r="Y87" i="5"/>
  <c r="AI176" i="5"/>
  <c r="AJ87" i="5"/>
  <c r="AH176" i="5"/>
  <c r="AI87" i="5"/>
  <c r="AG176" i="5"/>
  <c r="AH87" i="5"/>
  <c r="AF176" i="5"/>
  <c r="AG87" i="5"/>
  <c r="AE176" i="5"/>
  <c r="AF87" i="5"/>
  <c r="AD176" i="5"/>
  <c r="AC176" i="5"/>
  <c r="AD87" i="5"/>
  <c r="AL176" i="5"/>
  <c r="Z176" i="5"/>
  <c r="AB75" i="5"/>
  <c r="Y57" i="6"/>
  <c r="AM76" i="5"/>
  <c r="AM87" i="6" s="1"/>
  <c r="Z87" i="5"/>
  <c r="AM102" i="5"/>
  <c r="AM95" i="6" s="1"/>
  <c r="AM190" i="5"/>
  <c r="AM133" i="6" s="1"/>
  <c r="AM25" i="6"/>
  <c r="AM38" i="6"/>
  <c r="AV28" i="6"/>
  <c r="AM54" i="5"/>
  <c r="AM51" i="6" s="1"/>
  <c r="AA87" i="5"/>
  <c r="AA122" i="6"/>
  <c r="AM155" i="5"/>
  <c r="AM122" i="6" s="1"/>
  <c r="AI155" i="5"/>
  <c r="AA156" i="5"/>
  <c r="AA152" i="6" s="1"/>
  <c r="AM191" i="5"/>
  <c r="AM163" i="6" s="1"/>
  <c r="AT28" i="6"/>
  <c r="AC184" i="5"/>
  <c r="AA97" i="6"/>
  <c r="Y169" i="6"/>
  <c r="AL52" i="12"/>
  <c r="E49" i="2" s="1"/>
  <c r="AM89" i="5"/>
  <c r="AM91" i="6" s="1"/>
  <c r="AC95" i="5"/>
  <c r="AJ110" i="5"/>
  <c r="AB118" i="5"/>
  <c r="AB136" i="5"/>
  <c r="AB147" i="6" s="1"/>
  <c r="AD148" i="5"/>
  <c r="AD150" i="6" s="1"/>
  <c r="AI172" i="5"/>
  <c r="AI127" i="6" s="1"/>
  <c r="AF184" i="5"/>
  <c r="N17" i="8"/>
  <c r="L17" i="8" s="1"/>
  <c r="AG184" i="5"/>
  <c r="AM198" i="5"/>
  <c r="AM135" i="6" s="1"/>
  <c r="AM203" i="5"/>
  <c r="AM166" i="6" s="1"/>
  <c r="M29" i="8"/>
  <c r="AB97" i="5"/>
  <c r="AB123" i="5"/>
  <c r="AB101" i="6" s="1"/>
  <c r="AF148" i="5"/>
  <c r="AF150" i="6" s="1"/>
  <c r="AH184" i="5"/>
  <c r="AE52" i="12"/>
  <c r="E42" i="2" s="1"/>
  <c r="Y79" i="5"/>
  <c r="AM159" i="5"/>
  <c r="AM123" i="6" s="1"/>
  <c r="AM164" i="5"/>
  <c r="AM125" i="6" s="1"/>
  <c r="AM182" i="5"/>
  <c r="AM160" i="6" s="1"/>
  <c r="AI184" i="5"/>
  <c r="AM199" i="5"/>
  <c r="AM165" i="6" s="1"/>
  <c r="Y153" i="6"/>
  <c r="AM139" i="5"/>
  <c r="AM118" i="6" s="1"/>
  <c r="AJ184" i="5"/>
  <c r="AM194" i="5"/>
  <c r="AM134" i="6" s="1"/>
  <c r="AM207" i="5"/>
  <c r="AM138" i="6" s="1"/>
  <c r="AM92" i="5"/>
  <c r="AM62" i="6" s="1"/>
  <c r="AM113" i="5"/>
  <c r="AM68" i="6" s="1"/>
  <c r="AM114" i="5"/>
  <c r="AM98" i="6" s="1"/>
  <c r="AM151" i="5"/>
  <c r="AM121" i="6" s="1"/>
  <c r="Y184" i="5"/>
  <c r="AK184" i="5"/>
  <c r="AM208" i="5"/>
  <c r="AM168" i="6" s="1"/>
  <c r="S12" i="8"/>
  <c r="Z184" i="5"/>
  <c r="AL184" i="5"/>
  <c r="AM186" i="5"/>
  <c r="AM161" i="6" s="1"/>
  <c r="L30" i="9"/>
  <c r="AI52" i="12"/>
  <c r="E46" i="2" s="1"/>
  <c r="AM93" i="5"/>
  <c r="AM92" i="6" s="1"/>
  <c r="AM165" i="5"/>
  <c r="AM155" i="6" s="1"/>
  <c r="AB173" i="5"/>
  <c r="AB157" i="6" s="1"/>
  <c r="AA184" i="5"/>
  <c r="AM185" i="5"/>
  <c r="AM131" i="6" s="1"/>
  <c r="AM195" i="5"/>
  <c r="AM164" i="6" s="1"/>
  <c r="D30" i="9"/>
  <c r="M30" i="9" s="1"/>
  <c r="N28" i="9"/>
  <c r="H28" i="9"/>
  <c r="Q28" i="9" s="1"/>
  <c r="AJ52" i="12"/>
  <c r="E47" i="2" s="1"/>
  <c r="N21" i="8"/>
  <c r="L21" i="8" s="1"/>
  <c r="L13" i="8"/>
  <c r="M13" i="8" s="1"/>
  <c r="K12" i="8"/>
  <c r="Q17" i="8"/>
  <c r="H24" i="9"/>
  <c r="Q24" i="9" s="1"/>
  <c r="H29" i="9"/>
  <c r="Q29" i="9" s="1"/>
  <c r="L24" i="9"/>
  <c r="O101" i="10"/>
  <c r="O100" i="10"/>
  <c r="R101" i="10"/>
  <c r="R100" i="10"/>
  <c r="I64" i="10"/>
  <c r="F26" i="10"/>
  <c r="F16" i="10"/>
  <c r="G46" i="10"/>
  <c r="H46" i="10"/>
  <c r="E55" i="10"/>
  <c r="F12" i="10"/>
  <c r="I46" i="10"/>
  <c r="F20" i="10"/>
  <c r="D101" i="10"/>
  <c r="I55" i="10"/>
  <c r="D46" i="10"/>
  <c r="E46" i="10"/>
  <c r="G55" i="10"/>
  <c r="G101" i="10"/>
  <c r="F46" i="10"/>
  <c r="D100" i="10"/>
  <c r="H8" i="10"/>
  <c r="H101" i="10" s="1"/>
  <c r="D52" i="10"/>
  <c r="D53" i="10"/>
  <c r="D54" i="10"/>
  <c r="D64" i="10" s="1"/>
  <c r="D55" i="10"/>
  <c r="E53" i="10"/>
  <c r="E60" i="10"/>
  <c r="G52" i="10"/>
  <c r="G53" i="10"/>
  <c r="G54" i="10"/>
  <c r="G64" i="10" s="1"/>
  <c r="G100" i="10"/>
  <c r="I53" i="10"/>
  <c r="I60" i="10"/>
  <c r="AI129" i="6" l="1"/>
  <c r="AM177" i="5"/>
  <c r="AM129" i="6" s="1"/>
  <c r="AA178" i="5"/>
  <c r="I33" i="3"/>
  <c r="F33" i="3"/>
  <c r="D87" i="3"/>
  <c r="D41" i="1" s="1"/>
  <c r="E37" i="3"/>
  <c r="G37" i="3"/>
  <c r="F104" i="3"/>
  <c r="F57" i="1" s="1"/>
  <c r="H33" i="3"/>
  <c r="M29" i="1" s="1"/>
  <c r="H126" i="2"/>
  <c r="T14" i="1" s="1"/>
  <c r="E33" i="3"/>
  <c r="E87" i="3" s="1"/>
  <c r="E41" i="1" s="1"/>
  <c r="C31" i="3"/>
  <c r="C85" i="3" s="1"/>
  <c r="C39" i="1" s="1"/>
  <c r="C55" i="3"/>
  <c r="C98" i="3" s="1"/>
  <c r="C51" i="1" s="1"/>
  <c r="K13" i="8"/>
  <c r="H30" i="9"/>
  <c r="J33" i="3"/>
  <c r="G104" i="3"/>
  <c r="G57" i="1" s="1"/>
  <c r="S33" i="1"/>
  <c r="I104" i="3"/>
  <c r="I57" i="1" s="1"/>
  <c r="N44" i="2"/>
  <c r="F65" i="2"/>
  <c r="F44" i="2"/>
  <c r="F55" i="10"/>
  <c r="AM119" i="5"/>
  <c r="AM100" i="6" s="1"/>
  <c r="AM122" i="5"/>
  <c r="AM71" i="6" s="1"/>
  <c r="G50" i="2"/>
  <c r="F69" i="2"/>
  <c r="F50" i="2"/>
  <c r="N50" i="2"/>
  <c r="O99" i="10"/>
  <c r="O106" i="10" s="1"/>
  <c r="M17" i="8"/>
  <c r="K17" i="8"/>
  <c r="H87" i="3"/>
  <c r="H41" i="1" s="1"/>
  <c r="U12" i="1"/>
  <c r="I125" i="2"/>
  <c r="U13" i="1" s="1"/>
  <c r="S46" i="2"/>
  <c r="H128" i="2"/>
  <c r="T16" i="1" s="1"/>
  <c r="I131" i="2"/>
  <c r="U19" i="1" s="1"/>
  <c r="T49" i="2"/>
  <c r="T46" i="2"/>
  <c r="I128" i="2"/>
  <c r="U16" i="1" s="1"/>
  <c r="S29" i="2"/>
  <c r="J38" i="2"/>
  <c r="S38" i="2" s="1"/>
  <c r="T29" i="2"/>
  <c r="K38" i="2"/>
  <c r="T38" i="2" s="1"/>
  <c r="G42" i="2"/>
  <c r="E51" i="2"/>
  <c r="N51" i="2" s="1"/>
  <c r="N42" i="2"/>
  <c r="AF66" i="2"/>
  <c r="AF67" i="2" s="1"/>
  <c r="F62" i="2"/>
  <c r="F42" i="2"/>
  <c r="AM123" i="5"/>
  <c r="AM101" i="6" s="1"/>
  <c r="P48" i="2"/>
  <c r="E126" i="2"/>
  <c r="AB66" i="6"/>
  <c r="AM105" i="5"/>
  <c r="AM66" i="6" s="1"/>
  <c r="S42" i="2"/>
  <c r="J51" i="2"/>
  <c r="S51" i="2" s="1"/>
  <c r="G32" i="1"/>
  <c r="I31" i="3"/>
  <c r="D85" i="3"/>
  <c r="D39" i="1" s="1"/>
  <c r="F31" i="3"/>
  <c r="E31" i="3"/>
  <c r="H31" i="3"/>
  <c r="J31" i="3"/>
  <c r="G31" i="3"/>
  <c r="I38" i="2"/>
  <c r="R38" i="2" s="1"/>
  <c r="R29" i="2"/>
  <c r="M21" i="8"/>
  <c r="K21" i="8"/>
  <c r="R43" i="2"/>
  <c r="G124" i="2"/>
  <c r="C59" i="3"/>
  <c r="C35" i="3"/>
  <c r="C89" i="3" s="1"/>
  <c r="C43" i="1" s="1"/>
  <c r="H11" i="3"/>
  <c r="H12" i="3" s="1"/>
  <c r="C80" i="2"/>
  <c r="C92" i="2"/>
  <c r="C126" i="2" s="1"/>
  <c r="P44" i="2"/>
  <c r="K33" i="1"/>
  <c r="F91" i="3"/>
  <c r="F45" i="1" s="1"/>
  <c r="P37" i="2"/>
  <c r="E55" i="3"/>
  <c r="I55" i="3"/>
  <c r="H55" i="3"/>
  <c r="J55" i="3"/>
  <c r="F55" i="3"/>
  <c r="G55" i="3"/>
  <c r="Q38" i="2"/>
  <c r="D54" i="3"/>
  <c r="D30" i="3"/>
  <c r="J100" i="3"/>
  <c r="J53" i="1" s="1"/>
  <c r="V29" i="1"/>
  <c r="R47" i="2"/>
  <c r="G127" i="2"/>
  <c r="S15" i="1" s="1"/>
  <c r="Y58" i="6"/>
  <c r="AM79" i="5"/>
  <c r="AM58" i="6" s="1"/>
  <c r="AI173" i="5"/>
  <c r="AI157" i="6" s="1"/>
  <c r="Y150" i="6"/>
  <c r="AM148" i="5"/>
  <c r="AM150" i="6" s="1"/>
  <c r="I100" i="3"/>
  <c r="I53" i="1" s="1"/>
  <c r="J91" i="3"/>
  <c r="J45" i="1" s="1"/>
  <c r="O33" i="1"/>
  <c r="R50" i="2"/>
  <c r="D58" i="3"/>
  <c r="D34" i="3"/>
  <c r="R48" i="2"/>
  <c r="G126" i="2"/>
  <c r="G46" i="2"/>
  <c r="F66" i="2"/>
  <c r="N46" i="2"/>
  <c r="F46" i="2"/>
  <c r="F63" i="2"/>
  <c r="G43" i="2"/>
  <c r="AF75" i="2"/>
  <c r="AF76" i="2" s="1"/>
  <c r="N43" i="2"/>
  <c r="F43" i="2"/>
  <c r="Y49" i="6"/>
  <c r="AM46" i="5"/>
  <c r="AM49" i="6" s="1"/>
  <c r="AB88" i="6"/>
  <c r="AM80" i="5"/>
  <c r="AM88" i="6" s="1"/>
  <c r="AM47" i="5"/>
  <c r="AM79" i="6" s="1"/>
  <c r="I91" i="3"/>
  <c r="I45" i="1" s="1"/>
  <c r="N33" i="1"/>
  <c r="T50" i="2"/>
  <c r="T42" i="2"/>
  <c r="K51" i="2"/>
  <c r="T51" i="2" s="1"/>
  <c r="H127" i="2"/>
  <c r="T15" i="1" s="1"/>
  <c r="S47" i="2"/>
  <c r="D56" i="3"/>
  <c r="D32" i="3"/>
  <c r="U51" i="2"/>
  <c r="N47" i="2"/>
  <c r="F67" i="2"/>
  <c r="G47" i="2"/>
  <c r="F47" i="2"/>
  <c r="S43" i="2"/>
  <c r="H124" i="2"/>
  <c r="G12" i="3"/>
  <c r="Q30" i="9"/>
  <c r="L213" i="4"/>
  <c r="G213" i="4"/>
  <c r="F213" i="4"/>
  <c r="O213" i="4"/>
  <c r="N213" i="4"/>
  <c r="M213" i="4"/>
  <c r="P213" i="4"/>
  <c r="K213" i="4"/>
  <c r="J213" i="4"/>
  <c r="I213" i="4"/>
  <c r="H213" i="4"/>
  <c r="E213" i="4"/>
  <c r="D213" i="4"/>
  <c r="C213" i="4"/>
  <c r="R213" i="4"/>
  <c r="Q213" i="4"/>
  <c r="H104" i="3"/>
  <c r="H57" i="1" s="1"/>
  <c r="T33" i="1"/>
  <c r="G87" i="3"/>
  <c r="G41" i="1" s="1"/>
  <c r="L29" i="1"/>
  <c r="T48" i="2"/>
  <c r="I126" i="2"/>
  <c r="Q51" i="2"/>
  <c r="E100" i="3"/>
  <c r="E53" i="1" s="1"/>
  <c r="AA159" i="6"/>
  <c r="AI178" i="5"/>
  <c r="AM70" i="5"/>
  <c r="AM55" i="6" s="1"/>
  <c r="S31" i="2"/>
  <c r="F38" i="2"/>
  <c r="O38" i="2" s="1"/>
  <c r="O29" i="2"/>
  <c r="N38" i="2"/>
  <c r="N49" i="2"/>
  <c r="F70" i="2"/>
  <c r="F49" i="2"/>
  <c r="AF93" i="2"/>
  <c r="AF94" i="2" s="1"/>
  <c r="G49" i="2"/>
  <c r="AB93" i="6"/>
  <c r="AM97" i="5"/>
  <c r="AM93" i="6" s="1"/>
  <c r="AI122" i="6"/>
  <c r="AI156" i="5"/>
  <c r="AI152" i="6" s="1"/>
  <c r="AM160" i="5"/>
  <c r="AM153" i="6" s="1"/>
  <c r="J104" i="3"/>
  <c r="J57" i="1" s="1"/>
  <c r="V33" i="1"/>
  <c r="V14" i="1"/>
  <c r="D92" i="2"/>
  <c r="D126" i="2" s="1"/>
  <c r="D80" i="2"/>
  <c r="H131" i="2"/>
  <c r="T19" i="1" s="1"/>
  <c r="S49" i="2"/>
  <c r="U38" i="2"/>
  <c r="R15" i="1"/>
  <c r="N45" i="2"/>
  <c r="G45" i="2"/>
  <c r="F45" i="2"/>
  <c r="F64" i="2"/>
  <c r="AB70" i="6"/>
  <c r="AM118" i="5"/>
  <c r="AM70" i="6" s="1"/>
  <c r="AB57" i="6"/>
  <c r="AM75" i="5"/>
  <c r="AM57" i="6" s="1"/>
  <c r="AM96" i="5"/>
  <c r="AM63" i="6" s="1"/>
  <c r="AB96" i="6"/>
  <c r="AM106" i="5"/>
  <c r="AM96" i="6" s="1"/>
  <c r="AM71" i="5"/>
  <c r="AM85" i="6" s="1"/>
  <c r="Q33" i="1"/>
  <c r="E104" i="3"/>
  <c r="E57" i="1" s="1"/>
  <c r="G128" i="2"/>
  <c r="S16" i="1" s="1"/>
  <c r="R46" i="2"/>
  <c r="J87" i="3"/>
  <c r="J41" i="1" s="1"/>
  <c r="O29" i="1"/>
  <c r="G38" i="2"/>
  <c r="P38" i="2" s="1"/>
  <c r="P29" i="2"/>
  <c r="F125" i="2"/>
  <c r="R13" i="1" s="1"/>
  <c r="R12" i="1"/>
  <c r="I127" i="2"/>
  <c r="U15" i="1" s="1"/>
  <c r="T47" i="2"/>
  <c r="R99" i="10"/>
  <c r="R106" i="10" s="1"/>
  <c r="AM172" i="5"/>
  <c r="AM127" i="6" s="1"/>
  <c r="AJ97" i="6"/>
  <c r="AI110" i="5"/>
  <c r="AB67" i="6"/>
  <c r="AM109" i="5"/>
  <c r="AM67" i="6" s="1"/>
  <c r="H91" i="3"/>
  <c r="H45" i="1" s="1"/>
  <c r="M33" i="1"/>
  <c r="C36" i="3"/>
  <c r="R42" i="2"/>
  <c r="I51" i="2"/>
  <c r="R51" i="2" s="1"/>
  <c r="R49" i="2"/>
  <c r="G131" i="2"/>
  <c r="S19" i="1" s="1"/>
  <c r="G62" i="10"/>
  <c r="F101" i="10"/>
  <c r="S101" i="10"/>
  <c r="S100" i="10"/>
  <c r="Q100" i="10"/>
  <c r="Q101" i="10"/>
  <c r="F100" i="10"/>
  <c r="F99" i="10" s="1"/>
  <c r="I62" i="10"/>
  <c r="D99" i="10"/>
  <c r="F54" i="10"/>
  <c r="F64" i="10" s="1"/>
  <c r="F53" i="10"/>
  <c r="F62" i="10" s="1"/>
  <c r="F52" i="10"/>
  <c r="F63" i="10" s="1"/>
  <c r="E62" i="10"/>
  <c r="D62" i="10"/>
  <c r="G63" i="10"/>
  <c r="G60" i="10"/>
  <c r="D63" i="10"/>
  <c r="D60" i="10"/>
  <c r="G99" i="10"/>
  <c r="H100" i="10"/>
  <c r="H55" i="10"/>
  <c r="H54" i="10"/>
  <c r="H64" i="10" s="1"/>
  <c r="H53" i="10"/>
  <c r="H52" i="10"/>
  <c r="G65" i="2" l="1"/>
  <c r="O44" i="2"/>
  <c r="L33" i="1"/>
  <c r="G91" i="3"/>
  <c r="G45" i="1" s="1"/>
  <c r="J29" i="1"/>
  <c r="E91" i="3"/>
  <c r="E45" i="1" s="1"/>
  <c r="J33" i="1"/>
  <c r="AM173" i="5"/>
  <c r="AM157" i="6" s="1"/>
  <c r="G69" i="2"/>
  <c r="O50" i="2"/>
  <c r="F87" i="3"/>
  <c r="F41" i="1" s="1"/>
  <c r="K29" i="1"/>
  <c r="C77" i="2"/>
  <c r="C89" i="2"/>
  <c r="C81" i="2"/>
  <c r="C93" i="2"/>
  <c r="I87" i="3"/>
  <c r="I41" i="1" s="1"/>
  <c r="N29" i="1"/>
  <c r="P50" i="2"/>
  <c r="AM156" i="5"/>
  <c r="AM152" i="6" s="1"/>
  <c r="J32" i="3"/>
  <c r="D86" i="3"/>
  <c r="D40" i="1" s="1"/>
  <c r="I32" i="3"/>
  <c r="H32" i="3"/>
  <c r="G32" i="3"/>
  <c r="E32" i="3"/>
  <c r="F32" i="3"/>
  <c r="I85" i="3"/>
  <c r="I39" i="1" s="1"/>
  <c r="N27" i="1"/>
  <c r="S14" i="1"/>
  <c r="O45" i="2"/>
  <c r="G64" i="2"/>
  <c r="C90" i="2"/>
  <c r="C128" i="2" s="1"/>
  <c r="A128" i="2" s="1"/>
  <c r="C78" i="2"/>
  <c r="G125" i="2"/>
  <c r="S13" i="1" s="1"/>
  <c r="S12" i="1"/>
  <c r="C86" i="2"/>
  <c r="C74" i="2"/>
  <c r="P45" i="2"/>
  <c r="O49" i="2"/>
  <c r="G70" i="2"/>
  <c r="I56" i="3"/>
  <c r="H56" i="3"/>
  <c r="E56" i="3"/>
  <c r="J56" i="3"/>
  <c r="G56" i="3"/>
  <c r="F56" i="3"/>
  <c r="D99" i="3"/>
  <c r="D52" i="1" s="1"/>
  <c r="E30" i="3"/>
  <c r="J30" i="3"/>
  <c r="I30" i="3"/>
  <c r="H30" i="3"/>
  <c r="F30" i="3"/>
  <c r="G30" i="3"/>
  <c r="D84" i="3"/>
  <c r="D38" i="1" s="1"/>
  <c r="C94" i="2"/>
  <c r="C131" i="2" s="1"/>
  <c r="A131" i="2" s="1"/>
  <c r="C82" i="2"/>
  <c r="E128" i="2"/>
  <c r="Q16" i="1" s="1"/>
  <c r="P46" i="2"/>
  <c r="I34" i="3"/>
  <c r="H34" i="3"/>
  <c r="G34" i="3"/>
  <c r="D88" i="3"/>
  <c r="D42" i="1" s="1"/>
  <c r="J34" i="3"/>
  <c r="F34" i="3"/>
  <c r="E34" i="3"/>
  <c r="R27" i="1"/>
  <c r="F98" i="3"/>
  <c r="F51" i="1" s="1"/>
  <c r="C79" i="2"/>
  <c r="C91" i="2"/>
  <c r="C127" i="2" s="1"/>
  <c r="A127" i="2" s="1"/>
  <c r="P43" i="2"/>
  <c r="E124" i="2"/>
  <c r="E58" i="3"/>
  <c r="J58" i="3"/>
  <c r="H58" i="3"/>
  <c r="I58" i="3"/>
  <c r="G58" i="3"/>
  <c r="F58" i="3"/>
  <c r="D101" i="3"/>
  <c r="D54" i="1" s="1"/>
  <c r="J98" i="3"/>
  <c r="J51" i="1" s="1"/>
  <c r="V27" i="1"/>
  <c r="A126" i="2"/>
  <c r="J85" i="3"/>
  <c r="J39" i="1" s="1"/>
  <c r="O27" i="1"/>
  <c r="U14" i="1"/>
  <c r="T27" i="1"/>
  <c r="H98" i="3"/>
  <c r="H51" i="1" s="1"/>
  <c r="I80" i="2"/>
  <c r="I107" i="2" s="1"/>
  <c r="N14" i="1" s="1"/>
  <c r="H80" i="2"/>
  <c r="H107" i="2" s="1"/>
  <c r="M14" i="1" s="1"/>
  <c r="F80" i="2"/>
  <c r="F107" i="2" s="1"/>
  <c r="K14" i="1" s="1"/>
  <c r="J80" i="2"/>
  <c r="J107" i="2" s="1"/>
  <c r="O14" i="1" s="1"/>
  <c r="G80" i="2"/>
  <c r="G107" i="2" s="1"/>
  <c r="L14" i="1" s="1"/>
  <c r="E80" i="2"/>
  <c r="E107" i="2" s="1"/>
  <c r="J14" i="1" s="1"/>
  <c r="H85" i="3"/>
  <c r="H39" i="1" s="1"/>
  <c r="M27" i="1"/>
  <c r="Q14" i="1"/>
  <c r="O47" i="2"/>
  <c r="G67" i="2"/>
  <c r="S27" i="1"/>
  <c r="G98" i="3"/>
  <c r="G51" i="1" s="1"/>
  <c r="E127" i="2"/>
  <c r="Q15" i="1" s="1"/>
  <c r="P47" i="2"/>
  <c r="G85" i="3"/>
  <c r="G39" i="1" s="1"/>
  <c r="L27" i="1"/>
  <c r="C87" i="2"/>
  <c r="C124" i="2" s="1"/>
  <c r="C75" i="2"/>
  <c r="U27" i="1"/>
  <c r="I98" i="3"/>
  <c r="I51" i="1" s="1"/>
  <c r="D35" i="3"/>
  <c r="D36" i="3" s="1"/>
  <c r="D59" i="3"/>
  <c r="D60" i="3" s="1"/>
  <c r="D76" i="3" s="1"/>
  <c r="E85" i="3"/>
  <c r="E39" i="1" s="1"/>
  <c r="J27" i="1"/>
  <c r="T12" i="1"/>
  <c r="H125" i="2"/>
  <c r="T13" i="1" s="1"/>
  <c r="G51" i="2"/>
  <c r="P51" i="2" s="1"/>
  <c r="P42" i="2"/>
  <c r="AI97" i="6"/>
  <c r="AB110" i="5"/>
  <c r="E131" i="2"/>
  <c r="Q19" i="1" s="1"/>
  <c r="P49" i="2"/>
  <c r="AI159" i="6"/>
  <c r="AM178" i="5"/>
  <c r="AM159" i="6" s="1"/>
  <c r="G66" i="2"/>
  <c r="O46" i="2"/>
  <c r="Q27" i="1"/>
  <c r="E98" i="3"/>
  <c r="E51" i="1" s="1"/>
  <c r="F85" i="3"/>
  <c r="F39" i="1" s="1"/>
  <c r="K27" i="1"/>
  <c r="I54" i="3"/>
  <c r="F54" i="3"/>
  <c r="E54" i="3"/>
  <c r="J54" i="3"/>
  <c r="H54" i="3"/>
  <c r="G54" i="3"/>
  <c r="D97" i="3"/>
  <c r="D50" i="1" s="1"/>
  <c r="O43" i="2"/>
  <c r="G63" i="2"/>
  <c r="H62" i="10"/>
  <c r="C76" i="2"/>
  <c r="C88" i="2"/>
  <c r="C102" i="3"/>
  <c r="C55" i="1" s="1"/>
  <c r="C60" i="3"/>
  <c r="O42" i="2"/>
  <c r="F51" i="2"/>
  <c r="O51" i="2" s="1"/>
  <c r="G62" i="2"/>
  <c r="Q99" i="10"/>
  <c r="Q106" i="10" s="1"/>
  <c r="S99" i="10"/>
  <c r="S106" i="10" s="1"/>
  <c r="F60" i="10"/>
  <c r="H63" i="10"/>
  <c r="H60" i="10"/>
  <c r="H99" i="10"/>
  <c r="J93" i="2" l="1"/>
  <c r="J132" i="2" s="1"/>
  <c r="V20" i="1" s="1"/>
  <c r="I93" i="2"/>
  <c r="I132" i="2" s="1"/>
  <c r="U20" i="1" s="1"/>
  <c r="F93" i="2"/>
  <c r="F132" i="2" s="1"/>
  <c r="R20" i="1" s="1"/>
  <c r="E93" i="2"/>
  <c r="E132" i="2" s="1"/>
  <c r="Q20" i="1" s="1"/>
  <c r="H93" i="2"/>
  <c r="H132" i="2" s="1"/>
  <c r="T20" i="1" s="1"/>
  <c r="G93" i="2"/>
  <c r="G132" i="2" s="1"/>
  <c r="S20" i="1" s="1"/>
  <c r="C132" i="2"/>
  <c r="A132" i="2" s="1"/>
  <c r="E81" i="2"/>
  <c r="E113" i="2" s="1"/>
  <c r="J20" i="1" s="1"/>
  <c r="J81" i="2"/>
  <c r="J113" i="2" s="1"/>
  <c r="O20" i="1" s="1"/>
  <c r="I81" i="2"/>
  <c r="I113" i="2" s="1"/>
  <c r="N20" i="1" s="1"/>
  <c r="G81" i="2"/>
  <c r="G113" i="2" s="1"/>
  <c r="L20" i="1" s="1"/>
  <c r="H81" i="2"/>
  <c r="H113" i="2" s="1"/>
  <c r="M20" i="1" s="1"/>
  <c r="F81" i="2"/>
  <c r="F113" i="2" s="1"/>
  <c r="K20" i="1" s="1"/>
  <c r="C130" i="2"/>
  <c r="A130" i="2" s="1"/>
  <c r="I89" i="2"/>
  <c r="I130" i="2" s="1"/>
  <c r="U18" i="1" s="1"/>
  <c r="E89" i="2"/>
  <c r="E130" i="2" s="1"/>
  <c r="Q18" i="1" s="1"/>
  <c r="J89" i="2"/>
  <c r="J130" i="2" s="1"/>
  <c r="V18" i="1" s="1"/>
  <c r="H89" i="2"/>
  <c r="H130" i="2" s="1"/>
  <c r="T18" i="1" s="1"/>
  <c r="F89" i="2"/>
  <c r="F130" i="2" s="1"/>
  <c r="R18" i="1" s="1"/>
  <c r="G89" i="2"/>
  <c r="G130" i="2" s="1"/>
  <c r="S18" i="1" s="1"/>
  <c r="D93" i="2"/>
  <c r="D132" i="2" s="1"/>
  <c r="D81" i="2"/>
  <c r="G77" i="2"/>
  <c r="G111" i="2" s="1"/>
  <c r="L18" i="1" s="1"/>
  <c r="H77" i="2"/>
  <c r="H111" i="2" s="1"/>
  <c r="M18" i="1" s="1"/>
  <c r="F77" i="2"/>
  <c r="F111" i="2" s="1"/>
  <c r="K18" i="1" s="1"/>
  <c r="I77" i="2"/>
  <c r="I111" i="2" s="1"/>
  <c r="N18" i="1" s="1"/>
  <c r="J77" i="2"/>
  <c r="J111" i="2" s="1"/>
  <c r="O18" i="1" s="1"/>
  <c r="E77" i="2"/>
  <c r="E111" i="2" s="1"/>
  <c r="J18" i="1" s="1"/>
  <c r="D89" i="2"/>
  <c r="D130" i="2" s="1"/>
  <c r="D77" i="2"/>
  <c r="C125" i="2"/>
  <c r="A125" i="2" s="1"/>
  <c r="A124" i="2"/>
  <c r="J101" i="3"/>
  <c r="J54" i="1" s="1"/>
  <c r="V30" i="1"/>
  <c r="G88" i="3"/>
  <c r="G42" i="1" s="1"/>
  <c r="L30" i="1"/>
  <c r="J84" i="3"/>
  <c r="J38" i="1" s="1"/>
  <c r="O26" i="1"/>
  <c r="T30" i="1"/>
  <c r="H101" i="3"/>
  <c r="H54" i="1" s="1"/>
  <c r="H88" i="3"/>
  <c r="H42" i="1" s="1"/>
  <c r="M30" i="1"/>
  <c r="D90" i="2"/>
  <c r="D128" i="2" s="1"/>
  <c r="D78" i="2"/>
  <c r="J79" i="2"/>
  <c r="J108" i="2" s="1"/>
  <c r="O15" i="1" s="1"/>
  <c r="E79" i="2"/>
  <c r="E108" i="2" s="1"/>
  <c r="J15" i="1" s="1"/>
  <c r="H79" i="2"/>
  <c r="H108" i="2" s="1"/>
  <c r="M15" i="1" s="1"/>
  <c r="G79" i="2"/>
  <c r="L15" i="1" s="1"/>
  <c r="F79" i="2"/>
  <c r="F108" i="2" s="1"/>
  <c r="K15" i="1" s="1"/>
  <c r="I79" i="2"/>
  <c r="I108" i="2" s="1"/>
  <c r="N15" i="1" s="1"/>
  <c r="J82" i="2"/>
  <c r="J112" i="2" s="1"/>
  <c r="O19" i="1" s="1"/>
  <c r="I82" i="2"/>
  <c r="I112" i="2" s="1"/>
  <c r="N19" i="1" s="1"/>
  <c r="G82" i="2"/>
  <c r="G112" i="2" s="1"/>
  <c r="L19" i="1" s="1"/>
  <c r="F82" i="2"/>
  <c r="F112" i="2" s="1"/>
  <c r="K19" i="1" s="1"/>
  <c r="E82" i="2"/>
  <c r="E112" i="2" s="1"/>
  <c r="J19" i="1" s="1"/>
  <c r="H82" i="2"/>
  <c r="H112" i="2" s="1"/>
  <c r="M19" i="1" s="1"/>
  <c r="S28" i="1"/>
  <c r="G99" i="3"/>
  <c r="G52" i="1" s="1"/>
  <c r="J28" i="1"/>
  <c r="E86" i="3"/>
  <c r="E40" i="1" s="1"/>
  <c r="E38" i="3"/>
  <c r="J38" i="3"/>
  <c r="I38" i="3"/>
  <c r="G38" i="3"/>
  <c r="H38" i="3"/>
  <c r="F38" i="3"/>
  <c r="E84" i="3"/>
  <c r="E38" i="1" s="1"/>
  <c r="J26" i="1"/>
  <c r="C63" i="3"/>
  <c r="C76" i="3"/>
  <c r="O76" i="3" s="1"/>
  <c r="R28" i="1"/>
  <c r="F99" i="3"/>
  <c r="F52" i="1" s="1"/>
  <c r="G62" i="3"/>
  <c r="F62" i="3"/>
  <c r="J62" i="3"/>
  <c r="I62" i="3"/>
  <c r="E62" i="3"/>
  <c r="D63" i="3"/>
  <c r="H62" i="3"/>
  <c r="J99" i="3"/>
  <c r="J52" i="1" s="1"/>
  <c r="V28" i="1"/>
  <c r="L28" i="1"/>
  <c r="G86" i="3"/>
  <c r="G40" i="1" s="1"/>
  <c r="D74" i="2"/>
  <c r="D86" i="2"/>
  <c r="D120" i="2" s="1"/>
  <c r="T26" i="1"/>
  <c r="H97" i="3"/>
  <c r="H50" i="1" s="1"/>
  <c r="N30" i="1"/>
  <c r="I88" i="3"/>
  <c r="I42" i="1" s="1"/>
  <c r="Q26" i="1"/>
  <c r="E97" i="3"/>
  <c r="E50" i="1" s="1"/>
  <c r="J88" i="2"/>
  <c r="J129" i="2" s="1"/>
  <c r="I88" i="2"/>
  <c r="I129" i="2" s="1"/>
  <c r="G88" i="2"/>
  <c r="G129" i="2" s="1"/>
  <c r="F88" i="2"/>
  <c r="F129" i="2" s="1"/>
  <c r="E88" i="2"/>
  <c r="E129" i="2" s="1"/>
  <c r="H88" i="2"/>
  <c r="H129" i="2" s="1"/>
  <c r="C129" i="2"/>
  <c r="J76" i="2"/>
  <c r="J110" i="2" s="1"/>
  <c r="O17" i="1" s="1"/>
  <c r="I76" i="2"/>
  <c r="I110" i="2" s="1"/>
  <c r="N17" i="1" s="1"/>
  <c r="H76" i="2"/>
  <c r="H110" i="2" s="1"/>
  <c r="M17" i="1" s="1"/>
  <c r="G76" i="2"/>
  <c r="G110" i="2" s="1"/>
  <c r="L17" i="1" s="1"/>
  <c r="F76" i="2"/>
  <c r="F110" i="2" s="1"/>
  <c r="K17" i="1" s="1"/>
  <c r="E76" i="2"/>
  <c r="E110" i="2" s="1"/>
  <c r="J17" i="1" s="1"/>
  <c r="I60" i="3"/>
  <c r="I76" i="3"/>
  <c r="U76" i="3" s="1"/>
  <c r="I103" i="3" s="1"/>
  <c r="U26" i="1"/>
  <c r="I97" i="3"/>
  <c r="I50" i="1" s="1"/>
  <c r="I59" i="3"/>
  <c r="J59" i="3"/>
  <c r="H59" i="3"/>
  <c r="H60" i="3" s="1"/>
  <c r="H76" i="3" s="1"/>
  <c r="T76" i="3" s="1"/>
  <c r="H103" i="3" s="1"/>
  <c r="F59" i="3"/>
  <c r="G59" i="3"/>
  <c r="G60" i="3" s="1"/>
  <c r="G76" i="3" s="1"/>
  <c r="S76" i="3" s="1"/>
  <c r="G103" i="3" s="1"/>
  <c r="E59" i="3"/>
  <c r="D102" i="3"/>
  <c r="D55" i="1" s="1"/>
  <c r="Q28" i="1"/>
  <c r="E99" i="3"/>
  <c r="E52" i="1" s="1"/>
  <c r="G78" i="2"/>
  <c r="G109" i="2" s="1"/>
  <c r="L16" i="1" s="1"/>
  <c r="F78" i="2"/>
  <c r="F109" i="2" s="1"/>
  <c r="K16" i="1" s="1"/>
  <c r="J78" i="2"/>
  <c r="J109" i="2" s="1"/>
  <c r="O16" i="1" s="1"/>
  <c r="H78" i="2"/>
  <c r="H109" i="2" s="1"/>
  <c r="M16" i="1" s="1"/>
  <c r="I78" i="2"/>
  <c r="I109" i="2" s="1"/>
  <c r="N16" i="1" s="1"/>
  <c r="E78" i="2"/>
  <c r="E109" i="2" s="1"/>
  <c r="J16" i="1" s="1"/>
  <c r="H86" i="3"/>
  <c r="H40" i="1" s="1"/>
  <c r="M28" i="1"/>
  <c r="D91" i="2"/>
  <c r="D127" i="2" s="1"/>
  <c r="D79" i="2"/>
  <c r="F101" i="3"/>
  <c r="F54" i="1" s="1"/>
  <c r="R30" i="1"/>
  <c r="E88" i="3"/>
  <c r="E42" i="1" s="1"/>
  <c r="J30" i="1"/>
  <c r="G84" i="3"/>
  <c r="G38" i="1" s="1"/>
  <c r="L26" i="1"/>
  <c r="T28" i="1"/>
  <c r="H99" i="3"/>
  <c r="H52" i="1" s="1"/>
  <c r="I86" i="3"/>
  <c r="I40" i="1" s="1"/>
  <c r="N28" i="1"/>
  <c r="J75" i="2"/>
  <c r="J105" i="2" s="1"/>
  <c r="I75" i="2"/>
  <c r="I105" i="2" s="1"/>
  <c r="H75" i="2"/>
  <c r="H105" i="2" s="1"/>
  <c r="F75" i="2"/>
  <c r="F105" i="2" s="1"/>
  <c r="E75" i="2"/>
  <c r="E105" i="2" s="1"/>
  <c r="G75" i="2"/>
  <c r="G105" i="2" s="1"/>
  <c r="I84" i="3"/>
  <c r="I38" i="1" s="1"/>
  <c r="N26" i="1"/>
  <c r="S26" i="1"/>
  <c r="G97" i="3"/>
  <c r="G50" i="1" s="1"/>
  <c r="Q30" i="1"/>
  <c r="E101" i="3"/>
  <c r="E54" i="1" s="1"/>
  <c r="K28" i="1"/>
  <c r="F86" i="3"/>
  <c r="F40" i="1" s="1"/>
  <c r="D75" i="2"/>
  <c r="D87" i="2"/>
  <c r="D124" i="2" s="1"/>
  <c r="D125" i="2" s="1"/>
  <c r="AB97" i="6"/>
  <c r="AM110" i="5"/>
  <c r="AM97" i="6" s="1"/>
  <c r="G101" i="3"/>
  <c r="G54" i="1" s="1"/>
  <c r="S30" i="1"/>
  <c r="F88" i="3"/>
  <c r="F42" i="1" s="1"/>
  <c r="K30" i="1"/>
  <c r="K26" i="1"/>
  <c r="F84" i="3"/>
  <c r="F38" i="1" s="1"/>
  <c r="U28" i="1"/>
  <c r="I99" i="3"/>
  <c r="I52" i="1" s="1"/>
  <c r="E125" i="2"/>
  <c r="Q13" i="1" s="1"/>
  <c r="Q12" i="1"/>
  <c r="J76" i="3"/>
  <c r="V26" i="1"/>
  <c r="J60" i="3"/>
  <c r="J97" i="3"/>
  <c r="J50" i="1" s="1"/>
  <c r="I74" i="2"/>
  <c r="I101" i="2" s="1"/>
  <c r="H74" i="2"/>
  <c r="H101" i="2" s="1"/>
  <c r="F74" i="2"/>
  <c r="F101" i="2" s="1"/>
  <c r="J74" i="2"/>
  <c r="J101" i="2" s="1"/>
  <c r="G74" i="2"/>
  <c r="G101" i="2" s="1"/>
  <c r="E74" i="2"/>
  <c r="E101" i="2" s="1"/>
  <c r="J86" i="2"/>
  <c r="J120" i="2" s="1"/>
  <c r="I86" i="2"/>
  <c r="I120" i="2" s="1"/>
  <c r="H86" i="2"/>
  <c r="H120" i="2" s="1"/>
  <c r="F86" i="2"/>
  <c r="F120" i="2" s="1"/>
  <c r="G86" i="2"/>
  <c r="G120" i="2" s="1"/>
  <c r="E86" i="2"/>
  <c r="E120" i="2" s="1"/>
  <c r="C120" i="2"/>
  <c r="R26" i="1"/>
  <c r="F60" i="3"/>
  <c r="F76" i="3" s="1"/>
  <c r="F97" i="3"/>
  <c r="F50" i="1" s="1"/>
  <c r="D89" i="3"/>
  <c r="D43" i="1" s="1"/>
  <c r="G35" i="3"/>
  <c r="G36" i="3" s="1"/>
  <c r="H35" i="3"/>
  <c r="F35" i="3"/>
  <c r="F36" i="3" s="1"/>
  <c r="E35" i="3"/>
  <c r="J35" i="3"/>
  <c r="J36" i="3" s="1"/>
  <c r="I35" i="3"/>
  <c r="U30" i="1"/>
  <c r="I101" i="3"/>
  <c r="I54" i="1" s="1"/>
  <c r="O30" i="1"/>
  <c r="J88" i="3"/>
  <c r="J42" i="1" s="1"/>
  <c r="H36" i="3"/>
  <c r="H84" i="3"/>
  <c r="H38" i="1" s="1"/>
  <c r="M26" i="1"/>
  <c r="D94" i="2"/>
  <c r="D131" i="2" s="1"/>
  <c r="D82" i="2"/>
  <c r="D88" i="2"/>
  <c r="D129" i="2" s="1"/>
  <c r="D76" i="2"/>
  <c r="J86" i="3"/>
  <c r="J40" i="1" s="1"/>
  <c r="O28" i="1"/>
  <c r="P76" i="3" l="1"/>
  <c r="D103" i="3" s="1"/>
  <c r="V76" i="3"/>
  <c r="J103" i="3" s="1"/>
  <c r="R76" i="3"/>
  <c r="F103" i="3" s="1"/>
  <c r="J90" i="3"/>
  <c r="O32" i="1"/>
  <c r="F90" i="3"/>
  <c r="K32" i="1"/>
  <c r="F106" i="3"/>
  <c r="F56" i="1"/>
  <c r="G90" i="3"/>
  <c r="L32" i="1"/>
  <c r="J115" i="2"/>
  <c r="J116" i="2" s="1"/>
  <c r="J102" i="2"/>
  <c r="O9" i="1" s="1"/>
  <c r="O8" i="1"/>
  <c r="M8" i="1"/>
  <c r="H102" i="2"/>
  <c r="M9" i="1" s="1"/>
  <c r="H115" i="2"/>
  <c r="H116" i="2" s="1"/>
  <c r="I106" i="2"/>
  <c r="N13" i="1" s="1"/>
  <c r="N12" i="1"/>
  <c r="I63" i="3"/>
  <c r="U32" i="1"/>
  <c r="U17" i="1"/>
  <c r="I134" i="2"/>
  <c r="I135" i="2" s="1"/>
  <c r="D121" i="2"/>
  <c r="D122" i="2" s="1"/>
  <c r="J12" i="1"/>
  <c r="E106" i="2"/>
  <c r="J13" i="1" s="1"/>
  <c r="I106" i="3"/>
  <c r="I56" i="1"/>
  <c r="A120" i="2"/>
  <c r="C121" i="2"/>
  <c r="A121" i="2" s="1"/>
  <c r="I115" i="2"/>
  <c r="I116" i="2" s="1"/>
  <c r="I102" i="2"/>
  <c r="N9" i="1" s="1"/>
  <c r="N8" i="1"/>
  <c r="J106" i="2"/>
  <c r="O13" i="1" s="1"/>
  <c r="O12" i="1"/>
  <c r="V17" i="1"/>
  <c r="J134" i="2"/>
  <c r="Q17" i="1"/>
  <c r="E134" i="2"/>
  <c r="I89" i="3"/>
  <c r="I43" i="1" s="1"/>
  <c r="N31" i="1"/>
  <c r="E121" i="2"/>
  <c r="Q9" i="1" s="1"/>
  <c r="Q8" i="1"/>
  <c r="D134" i="2"/>
  <c r="D135" i="2" s="1"/>
  <c r="D90" i="3"/>
  <c r="H106" i="3"/>
  <c r="H56" i="1"/>
  <c r="J63" i="3"/>
  <c r="V32" i="1"/>
  <c r="Q31" i="1"/>
  <c r="E102" i="3"/>
  <c r="E55" i="1" s="1"/>
  <c r="C103" i="3"/>
  <c r="C90" i="3"/>
  <c r="G106" i="3"/>
  <c r="G56" i="1"/>
  <c r="D106" i="3"/>
  <c r="D56" i="1"/>
  <c r="E89" i="3"/>
  <c r="E43" i="1" s="1"/>
  <c r="J31" i="1"/>
  <c r="F121" i="2"/>
  <c r="R9" i="1" s="1"/>
  <c r="R8" i="1"/>
  <c r="F122" i="2"/>
  <c r="R10" i="1" s="1"/>
  <c r="G63" i="3"/>
  <c r="S32" i="1"/>
  <c r="S31" i="1"/>
  <c r="G102" i="3"/>
  <c r="G55" i="1" s="1"/>
  <c r="E60" i="3"/>
  <c r="H106" i="2"/>
  <c r="M13" i="1" s="1"/>
  <c r="M12" i="1"/>
  <c r="F102" i="3"/>
  <c r="F55" i="1" s="1"/>
  <c r="R31" i="1"/>
  <c r="G115" i="2"/>
  <c r="G116" i="2" s="1"/>
  <c r="G102" i="2"/>
  <c r="L9" i="1" s="1"/>
  <c r="L8" i="1"/>
  <c r="F106" i="2"/>
  <c r="K13" i="1" s="1"/>
  <c r="K12" i="1"/>
  <c r="H63" i="3"/>
  <c r="T32" i="1"/>
  <c r="J89" i="3"/>
  <c r="J43" i="1" s="1"/>
  <c r="O31" i="1"/>
  <c r="M31" i="1"/>
  <c r="H89" i="3"/>
  <c r="H43" i="1" s="1"/>
  <c r="I122" i="2"/>
  <c r="U10" i="1" s="1"/>
  <c r="I121" i="2"/>
  <c r="U9" i="1" s="1"/>
  <c r="U8" i="1"/>
  <c r="T31" i="1"/>
  <c r="H102" i="3"/>
  <c r="H55" i="1" s="1"/>
  <c r="R17" i="1"/>
  <c r="F134" i="2"/>
  <c r="K8" i="1"/>
  <c r="F102" i="2"/>
  <c r="K9" i="1" s="1"/>
  <c r="F115" i="2"/>
  <c r="F116" i="2" s="1"/>
  <c r="S17" i="1"/>
  <c r="G134" i="2"/>
  <c r="G121" i="2"/>
  <c r="S9" i="1" s="1"/>
  <c r="S8" i="1"/>
  <c r="F89" i="3"/>
  <c r="F43" i="1" s="1"/>
  <c r="K31" i="1"/>
  <c r="H121" i="2"/>
  <c r="T9" i="1" s="1"/>
  <c r="T8" i="1"/>
  <c r="H122" i="2"/>
  <c r="T10" i="1" s="1"/>
  <c r="G89" i="3"/>
  <c r="G43" i="1" s="1"/>
  <c r="L31" i="1"/>
  <c r="J121" i="2"/>
  <c r="V9" i="1" s="1"/>
  <c r="V8" i="1"/>
  <c r="I36" i="3"/>
  <c r="V31" i="1"/>
  <c r="J102" i="3"/>
  <c r="J55" i="1" s="1"/>
  <c r="A129" i="2"/>
  <c r="C134" i="2"/>
  <c r="C135" i="2" s="1"/>
  <c r="E36" i="3"/>
  <c r="H90" i="3"/>
  <c r="M32" i="1"/>
  <c r="R32" i="1"/>
  <c r="F63" i="3"/>
  <c r="J106" i="3"/>
  <c r="J56" i="1"/>
  <c r="E102" i="2"/>
  <c r="J9" i="1" s="1"/>
  <c r="E115" i="2"/>
  <c r="E116" i="2" s="1"/>
  <c r="J8" i="1"/>
  <c r="G106" i="2"/>
  <c r="L13" i="1" s="1"/>
  <c r="L12" i="1"/>
  <c r="U31" i="1"/>
  <c r="I102" i="3"/>
  <c r="I55" i="1" s="1"/>
  <c r="T17" i="1"/>
  <c r="H134" i="2"/>
  <c r="E122" i="2" l="1"/>
  <c r="Q10" i="1" s="1"/>
  <c r="G122" i="2"/>
  <c r="S10" i="1" s="1"/>
  <c r="J103" i="2"/>
  <c r="O10" i="1" s="1"/>
  <c r="C93" i="3"/>
  <c r="C94" i="3" s="1"/>
  <c r="C44" i="1"/>
  <c r="I103" i="2"/>
  <c r="N10" i="1" s="1"/>
  <c r="D44" i="1"/>
  <c r="D93" i="3"/>
  <c r="D94" i="3" s="1"/>
  <c r="H93" i="3"/>
  <c r="H94" i="3" s="1"/>
  <c r="H44" i="1"/>
  <c r="E103" i="2"/>
  <c r="J10" i="1" s="1"/>
  <c r="C106" i="3"/>
  <c r="C107" i="3" s="1"/>
  <c r="C56" i="1"/>
  <c r="G93" i="3"/>
  <c r="G44" i="1"/>
  <c r="F103" i="2"/>
  <c r="K10" i="1" s="1"/>
  <c r="I90" i="3"/>
  <c r="N32" i="1"/>
  <c r="E135" i="2"/>
  <c r="C122" i="2"/>
  <c r="A122" i="2" s="1"/>
  <c r="G135" i="2"/>
  <c r="G103" i="2"/>
  <c r="L10" i="1" s="1"/>
  <c r="J135" i="2"/>
  <c r="F93" i="3"/>
  <c r="F94" i="3" s="1"/>
  <c r="F44" i="1"/>
  <c r="Q32" i="1"/>
  <c r="E63" i="3"/>
  <c r="E76" i="3"/>
  <c r="Q76" i="3" s="1"/>
  <c r="E103" i="3" s="1"/>
  <c r="F135" i="2"/>
  <c r="F137" i="2"/>
  <c r="H135" i="2"/>
  <c r="J122" i="2"/>
  <c r="V10" i="1" s="1"/>
  <c r="J32" i="1"/>
  <c r="H103" i="2"/>
  <c r="M10" i="1" s="1"/>
  <c r="J93" i="3"/>
  <c r="J94" i="3" s="1"/>
  <c r="J44" i="1"/>
  <c r="E90" i="3" l="1"/>
  <c r="G107" i="3"/>
  <c r="E93" i="3"/>
  <c r="E94" i="3" s="1"/>
  <c r="E44" i="1"/>
  <c r="I93" i="3"/>
  <c r="I94" i="3" s="1"/>
  <c r="I44" i="1"/>
  <c r="J107" i="3"/>
  <c r="J109" i="3" s="1"/>
  <c r="F107" i="3"/>
  <c r="F109" i="3" s="1"/>
  <c r="E106" i="3"/>
  <c r="E107" i="3" s="1"/>
  <c r="E56" i="1"/>
  <c r="H107" i="3"/>
  <c r="I107" i="3"/>
  <c r="G94" i="3"/>
  <c r="D107" i="3"/>
</calcChain>
</file>

<file path=xl/sharedStrings.xml><?xml version="1.0" encoding="utf-8"?>
<sst xmlns="http://schemas.openxmlformats.org/spreadsheetml/2006/main" count="3215" uniqueCount="865">
  <si>
    <t>Voir le détail des calculs dans les onglets IGCE et Diffus</t>
  </si>
  <si>
    <t>Production IGCE en Mt</t>
  </si>
  <si>
    <t>Historique</t>
  </si>
  <si>
    <t>AME</t>
  </si>
  <si>
    <t>AMS</t>
  </si>
  <si>
    <t>Production (Mt)</t>
  </si>
  <si>
    <t>Acier</t>
  </si>
  <si>
    <t xml:space="preserve">dont haut fourneaux </t>
  </si>
  <si>
    <t>dont procédé électrique</t>
  </si>
  <si>
    <t>dont réduction directe</t>
  </si>
  <si>
    <t>Aluminium</t>
  </si>
  <si>
    <t>Aluminium recyclé</t>
  </si>
  <si>
    <t>Ethylène</t>
  </si>
  <si>
    <t>Chlore</t>
  </si>
  <si>
    <t>Ammoniac</t>
  </si>
  <si>
    <t>Clinker</t>
  </si>
  <si>
    <t>Verre</t>
  </si>
  <si>
    <t>Papier</t>
  </si>
  <si>
    <t>Sucre</t>
  </si>
  <si>
    <t>Valeurs ajoutées industrie diffuse (Md€2014)</t>
  </si>
  <si>
    <t>Données INSEE – Voir onglet VA historique</t>
  </si>
  <si>
    <t>AME 2023</t>
  </si>
  <si>
    <t>AMS 2023</t>
  </si>
  <si>
    <t>Md€2014</t>
  </si>
  <si>
    <t>Métaux primaires</t>
  </si>
  <si>
    <t>Chimie</t>
  </si>
  <si>
    <t>Minéraux non-métalliques</t>
  </si>
  <si>
    <t xml:space="preserve">IAA </t>
  </si>
  <si>
    <t xml:space="preserve">Equipements </t>
  </si>
  <si>
    <t>Autres (textile, etc.)</t>
  </si>
  <si>
    <t>Total diffus</t>
  </si>
  <si>
    <t>Construction</t>
  </si>
  <si>
    <t>Production physique, index 2015</t>
  </si>
  <si>
    <t>Total diffus (cadrage)</t>
  </si>
  <si>
    <t>IGCE</t>
  </si>
  <si>
    <t>1. Historique</t>
  </si>
  <si>
    <t>source</t>
  </si>
  <si>
    <t>CITEPA</t>
  </si>
  <si>
    <t>dont DRI</t>
  </si>
  <si>
    <t>BNR 2019, donnée 2020 calculée avec le taux de variation 2019/2020 du CITEPA</t>
  </si>
  <si>
    <t>dont aluminium recyclé</t>
  </si>
  <si>
    <t>dont 2e fusion</t>
  </si>
  <si>
    <t>CITEPA (pâte à papier) - pas cohérent avec BNR car CITEPA ne prend en compte que la pâte à papier (kraft ou bisulfite)</t>
  </si>
  <si>
    <t>2. Consommation intérieure - Sorties Pepit0</t>
  </si>
  <si>
    <t>Sorties brutes</t>
  </si>
  <si>
    <t>variation / 2015</t>
  </si>
  <si>
    <t>Consommation</t>
  </si>
  <si>
    <t>Alu</t>
  </si>
  <si>
    <t>taux de clinker dans le ciment constant à 0,78</t>
  </si>
  <si>
    <t>NH3</t>
  </si>
  <si>
    <t>Cl2</t>
  </si>
  <si>
    <t>Papiers cartons</t>
  </si>
  <si>
    <t>Total</t>
  </si>
  <si>
    <t>taux de clinker dans le ciment passe à 58% en 2030, 40% en 2050 (reprise ADEME S2)</t>
  </si>
  <si>
    <t>3. Balance commerciale</t>
  </si>
  <si>
    <t>Comparaison avec les données BNR</t>
  </si>
  <si>
    <t>Observé</t>
  </si>
  <si>
    <t>Pepit0</t>
  </si>
  <si>
    <t>Calculé (rapporté aux productions CITEPA)</t>
  </si>
  <si>
    <t>Rapport Production / Consommation</t>
  </si>
  <si>
    <t>BNR</t>
  </si>
  <si>
    <t>production (kt)</t>
  </si>
  <si>
    <t>import (kt)</t>
  </si>
  <si>
    <t>aluminium</t>
  </si>
  <si>
    <t>export (kt)</t>
  </si>
  <si>
    <t>clinker</t>
  </si>
  <si>
    <t>solde commercial apparent (kt)</t>
  </si>
  <si>
    <t>verre</t>
  </si>
  <si>
    <t>Solde / prod</t>
  </si>
  <si>
    <t>ammoniac</t>
  </si>
  <si>
    <t>solde Pepit0 (prod - conso) Mt</t>
  </si>
  <si>
    <t>Surce</t>
  </si>
  <si>
    <t>papier</t>
  </si>
  <si>
    <t>Repris de l'observé</t>
  </si>
  <si>
    <t>Projeté</t>
  </si>
  <si>
    <t>AME : ratios gardés constants par rapport à 2019</t>
  </si>
  <si>
    <t>AMS : ratio gardé constant si exportateur. Hausse du ratio si importateur</t>
  </si>
  <si>
    <t>4. Niveau de production</t>
  </si>
  <si>
    <t>AME run1</t>
  </si>
  <si>
    <t>HF = acier primaire + ferraille traitée en HF (16% de la production des HF, constant dans le temps). Calcul : EAF+HF = Acier ; EAF = Acier - HF = MPR - 0,16HF (feraille HF) soit HF = (Acier - MPR) / (1-0,16)</t>
  </si>
  <si>
    <t>dont hauts-fourneaux</t>
  </si>
  <si>
    <t>EAF = MPR - ferraille traitée en HF - DRI</t>
  </si>
  <si>
    <t>Paramétré (pas de DRI en AMS - projet AM pas pris en compte car pas encore accord de la Commission Européenne)</t>
  </si>
  <si>
    <t>Cf hyp recyclage</t>
  </si>
  <si>
    <t>dont aluminium primaire</t>
  </si>
  <si>
    <t>TOTAL</t>
  </si>
  <si>
    <t>Total index 2019</t>
  </si>
  <si>
    <t>AMS run1</t>
  </si>
  <si>
    <t>NB: on ne suppose pas que l'on augmente le taux de recyclage dans les HF (ne passe que par le déploiement d'EAF)</t>
  </si>
  <si>
    <t>Paramétré, remplace les HF</t>
  </si>
  <si>
    <t>Baisse de l'ammoniac à 2050 à investiguer</t>
  </si>
  <si>
    <t>Total run1</t>
  </si>
  <si>
    <t>IGCE AME</t>
  </si>
  <si>
    <t>IGCE AMS</t>
  </si>
  <si>
    <t>Diffus AME</t>
  </si>
  <si>
    <t>Diffus AMS</t>
  </si>
  <si>
    <t>Diffus</t>
  </si>
  <si>
    <t>cf onglet VA historique</t>
  </si>
  <si>
    <t>2. VA en AME/AMS</t>
  </si>
  <si>
    <t>Valeur ajoutée brute (Md€) - cf Cadrage</t>
  </si>
  <si>
    <t>Evolution / 2020 brute</t>
  </si>
  <si>
    <t>Evolution / 2020 corrigée</t>
  </si>
  <si>
    <t>Md€2015</t>
  </si>
  <si>
    <t xml:space="preserve">Autres  </t>
  </si>
  <si>
    <t>Total industrie</t>
  </si>
  <si>
    <t>Evolution / 2020 brute corrigée</t>
  </si>
  <si>
    <t>Total diffus hors construction</t>
  </si>
  <si>
    <t>VA indice 2019</t>
  </si>
  <si>
    <t>VA run1</t>
  </si>
  <si>
    <t xml:space="preserve">3. Facteur de décorrélation VA / production physique </t>
  </si>
  <si>
    <t>identique AME/AMS</t>
  </si>
  <si>
    <t xml:space="preserve">Poursuite de la tendance historique 2000-2019 </t>
  </si>
  <si>
    <t>Indice 2000</t>
  </si>
  <si>
    <t>commentaires</t>
  </si>
  <si>
    <t>Indice 2019</t>
  </si>
  <si>
    <t>Comportement anormal entre 2000 et 2005 : pour cette branche spécifiquement, on prend la tendance 2005-2019</t>
  </si>
  <si>
    <t>Moyenne entre équipement de transport et machinery</t>
  </si>
  <si>
    <t>Bois 0,12 en 2050, autres autres 0,92, textiles 0,16 =&gt; on prend la moyenne du diffus 0,51</t>
  </si>
  <si>
    <t>Moyenne pondérée</t>
  </si>
  <si>
    <t>4. Niveau de production (indice 2019)</t>
  </si>
  <si>
    <t>total diffus avec construction</t>
  </si>
  <si>
    <t>total index 2019</t>
  </si>
  <si>
    <t>total index 2019 run1</t>
  </si>
  <si>
    <t xml:space="preserve">1. Valeur ajoutée historique par secteur pour l’industrie diffuse </t>
  </si>
  <si>
    <t>G€2014</t>
  </si>
  <si>
    <t>IAA</t>
  </si>
  <si>
    <t>Equipements</t>
  </si>
  <si>
    <t>Attention j'ai changé la catégorie métaux primaires (pris la catégorie "du dessus" : A.88.24 -&gt; A.38.CH, pour que ça colle mieux aux chiffres de l'AME2018)</t>
  </si>
  <si>
    <t>6.202 Valeur ajoutée brute par branche en volume aux prix de l'année précédente chaînés</t>
  </si>
  <si>
    <t>A5.AZ</t>
  </si>
  <si>
    <t>Agriculture, sylviculture et pêche</t>
  </si>
  <si>
    <t>A5.BE</t>
  </si>
  <si>
    <t>Industrie manufacturière, industries extractives et autres</t>
  </si>
  <si>
    <t>A17.DE</t>
  </si>
  <si>
    <t xml:space="preserve">    Industries extractives, énergie, eau, gestion des déchets et dépollution</t>
  </si>
  <si>
    <t>A38.BZ</t>
  </si>
  <si>
    <t xml:space="preserve">      Industries extractives</t>
  </si>
  <si>
    <t>A38.DZ</t>
  </si>
  <si>
    <t xml:space="preserve">      Production et distribution d'électricité, de gaz, de vapeur et d'air conditionné</t>
  </si>
  <si>
    <t>A38.EZ</t>
  </si>
  <si>
    <t xml:space="preserve">      Production et distribution d'eau ; assainissement, gestion des déchets et dépollution</t>
  </si>
  <si>
    <t>A17.C1</t>
  </si>
  <si>
    <t xml:space="preserve">    Fabrication de denrées alimentaires, de boissons et de produits à base de tabac</t>
  </si>
  <si>
    <t>A17.C2</t>
  </si>
  <si>
    <t xml:space="preserve">    Cokéfaction et raffinage</t>
  </si>
  <si>
    <t>A17.C3</t>
  </si>
  <si>
    <t xml:space="preserve">    Fabrication d'équipements électriques, électroniques, informatiques ; fabrication de machines</t>
  </si>
  <si>
    <t>A38.CI</t>
  </si>
  <si>
    <t xml:space="preserve">      Fabrication de produits informatiques, électroniques et optiques</t>
  </si>
  <si>
    <t>A38.CJ</t>
  </si>
  <si>
    <t xml:space="preserve">      Fabrication d équipements électriques</t>
  </si>
  <si>
    <t>A38.CK</t>
  </si>
  <si>
    <t xml:space="preserve">      Fabrication de machines et équipements n.c.a.</t>
  </si>
  <si>
    <t>A17.C4</t>
  </si>
  <si>
    <t xml:space="preserve">    Fabrication de matériels de transport</t>
  </si>
  <si>
    <t>A17.C5</t>
  </si>
  <si>
    <t xml:space="preserve">    Fabrication d'autres produits industriels</t>
  </si>
  <si>
    <t>A38.CB</t>
  </si>
  <si>
    <t xml:space="preserve">      Fabrication de textiles, industries de l'habillement, industrie du cuir et de la chaussure</t>
  </si>
  <si>
    <t>A38.CC</t>
  </si>
  <si>
    <t xml:space="preserve">      Travail du bois, industries du papier et imprimerie</t>
  </si>
  <si>
    <t>A38.CE</t>
  </si>
  <si>
    <t xml:space="preserve">      Industrie chimique</t>
  </si>
  <si>
    <t>A38.CF</t>
  </si>
  <si>
    <t xml:space="preserve">      Industrie pharmaceutique</t>
  </si>
  <si>
    <t>A38.CG</t>
  </si>
  <si>
    <t xml:space="preserve">      Fabrication de produits en caoutchouc, en plastique et d'autres produits minéraux non métalliques</t>
  </si>
  <si>
    <t>A38.CH</t>
  </si>
  <si>
    <t xml:space="preserve">      Métallurgie et fabrication de produits métalliques, hors machines et équipements</t>
  </si>
  <si>
    <t>A38.CM</t>
  </si>
  <si>
    <t xml:space="preserve">      Autres industries manufacturières ; réparation et installation de machines et d'équipements</t>
  </si>
  <si>
    <t>A5.FZ</t>
  </si>
  <si>
    <t>A5.GU</t>
  </si>
  <si>
    <t>Services principalement marchands</t>
  </si>
  <si>
    <t>A10.GI</t>
  </si>
  <si>
    <t xml:space="preserve">  Commerce de gros et de détail, transports, hébergement et restauration</t>
  </si>
  <si>
    <t>A17.GZ</t>
  </si>
  <si>
    <t xml:space="preserve">    Commerce ; réparation d'automobiles et de motocycles</t>
  </si>
  <si>
    <t>A17.HZ</t>
  </si>
  <si>
    <t xml:space="preserve">    Transports et entreposage</t>
  </si>
  <si>
    <t>A17.IZ</t>
  </si>
  <si>
    <t xml:space="preserve">    Hébergement et restauration</t>
  </si>
  <si>
    <t>A10.JZ</t>
  </si>
  <si>
    <t xml:space="preserve">  Information et communication</t>
  </si>
  <si>
    <t>A38.JA</t>
  </si>
  <si>
    <t xml:space="preserve">      Édition, audiovisuel et diffusion</t>
  </si>
  <si>
    <t>A38.JB</t>
  </si>
  <si>
    <t xml:space="preserve">      Télécommunications</t>
  </si>
  <si>
    <t>A38.JC</t>
  </si>
  <si>
    <t xml:space="preserve">      Activités informatiques et services d'information</t>
  </si>
  <si>
    <t>A10.KZ</t>
  </si>
  <si>
    <t xml:space="preserve">  Activités financières et d'assurance</t>
  </si>
  <si>
    <t>A10.LZ</t>
  </si>
  <si>
    <t xml:space="preserve">  Activités immobilières</t>
  </si>
  <si>
    <t>A10.MN</t>
  </si>
  <si>
    <t xml:space="preserve">  Activités scientifiques et techniques ; services administratifs et de soutien</t>
  </si>
  <si>
    <t>A38.MA</t>
  </si>
  <si>
    <t xml:space="preserve">      Activités juridiques, comptables, de gestion, d'architecture, d'ingénierie, de contrôle et d'analyses techniques</t>
  </si>
  <si>
    <t>A38.MB</t>
  </si>
  <si>
    <t xml:space="preserve">      Recherche-développement scientifique</t>
  </si>
  <si>
    <t>A38.MC</t>
  </si>
  <si>
    <t xml:space="preserve">      Autres activités spécialisées, scientifiques et techniques</t>
  </si>
  <si>
    <t>A38.NZ</t>
  </si>
  <si>
    <t xml:space="preserve">      Activités de services administratifs et de soutien</t>
  </si>
  <si>
    <t>A10.RU</t>
  </si>
  <si>
    <t xml:space="preserve">  Autres services</t>
  </si>
  <si>
    <t>A38.RZ</t>
  </si>
  <si>
    <t xml:space="preserve">      Arts, spectacles et activités récréatives</t>
  </si>
  <si>
    <t>A38.SZ</t>
  </si>
  <si>
    <t xml:space="preserve">      Autres activités de services</t>
  </si>
  <si>
    <t>A38.TZ</t>
  </si>
  <si>
    <t xml:space="preserve">      Activités des ménages en tant qu'employeurs</t>
  </si>
  <si>
    <t>A5.OQ</t>
  </si>
  <si>
    <t>Services principalement non marchands (*)</t>
  </si>
  <si>
    <t>A38.OZ</t>
  </si>
  <si>
    <t xml:space="preserve">      Administration publique et défense - sécurité sociale obligatoire</t>
  </si>
  <si>
    <t>A38.PZ</t>
  </si>
  <si>
    <t xml:space="preserve">      Enseignement</t>
  </si>
  <si>
    <t>A38.QA</t>
  </si>
  <si>
    <t xml:space="preserve">      Activités pour la santé humaine</t>
  </si>
  <si>
    <t>A38.QB</t>
  </si>
  <si>
    <t xml:space="preserve">      Hébergement médico-social et social et action sociale sans hébergement</t>
  </si>
  <si>
    <t>Total des branches</t>
  </si>
  <si>
    <t>Milliares d'euros 2014</t>
  </si>
  <si>
    <t>Source : Comptes nationaux - Base 2014, Insee</t>
  </si>
  <si>
    <t>6.202D Valeur ajoutée brute par branche en volume aux prix de l'année précédente chaînés</t>
  </si>
  <si>
    <t>A38.AZ</t>
  </si>
  <si>
    <t>A88.01</t>
  </si>
  <si>
    <t xml:space="preserve">  Culture et production animale, chasse et services annexes</t>
  </si>
  <si>
    <t>A88.02</t>
  </si>
  <si>
    <t xml:space="preserve">  Sylviculture et exploitation forestière</t>
  </si>
  <si>
    <t>A88.03</t>
  </si>
  <si>
    <t xml:space="preserve">  Pêche et aquaculture</t>
  </si>
  <si>
    <t>Industries extractives</t>
  </si>
  <si>
    <t>A88.05</t>
  </si>
  <si>
    <t xml:space="preserve">  Extraction de houille et de lignite</t>
  </si>
  <si>
    <t>A88.06</t>
  </si>
  <si>
    <t xml:space="preserve">  Extraction d'hydrocarbures</t>
  </si>
  <si>
    <t>A88.07</t>
  </si>
  <si>
    <t xml:space="preserve">  Extraction de minerais métalliques</t>
  </si>
  <si>
    <t>A88.08</t>
  </si>
  <si>
    <t xml:space="preserve">  Autres industries extractives</t>
  </si>
  <si>
    <t>A88.09</t>
  </si>
  <si>
    <t xml:space="preserve">  Services de soutien aux industries extractives</t>
  </si>
  <si>
    <t>A38.CA</t>
  </si>
  <si>
    <t>Fabrication de denrées alimentaires, de boissons et de produits à base de tabac</t>
  </si>
  <si>
    <t>A88.10</t>
  </si>
  <si>
    <t xml:space="preserve">  Industries alimentaires</t>
  </si>
  <si>
    <t>A88.11</t>
  </si>
  <si>
    <t xml:space="preserve">  Fabrication de boissons</t>
  </si>
  <si>
    <t>A88.12</t>
  </si>
  <si>
    <t xml:space="preserve">  Fabrication de produits à base de tabac</t>
  </si>
  <si>
    <t>Fabrication de textiles, industries de l'habillement, industrie du cuir et de la chaussure</t>
  </si>
  <si>
    <t>A88.13</t>
  </si>
  <si>
    <t xml:space="preserve">  Fabrication de textiles</t>
  </si>
  <si>
    <t>A88.14</t>
  </si>
  <si>
    <t xml:space="preserve">  Industrie de l'habillement</t>
  </si>
  <si>
    <t>A88.15</t>
  </si>
  <si>
    <t xml:space="preserve">  Industrie du cuir et de la chaussure</t>
  </si>
  <si>
    <t>Travail du bois, industries du papier et imprimerie</t>
  </si>
  <si>
    <t>A88.16</t>
  </si>
  <si>
    <t xml:space="preserve">  Travail du bois et fabrication d'articles en bois et en liège, hors meubles ; fabrication d'articles en vannerie et sparterie</t>
  </si>
  <si>
    <t>A88.17</t>
  </si>
  <si>
    <t xml:space="preserve">  Industrie du papier et du carton</t>
  </si>
  <si>
    <t>A88.18</t>
  </si>
  <si>
    <t xml:space="preserve">  Imprimerie et reproduction d'enregistrements</t>
  </si>
  <si>
    <t>A38.CD</t>
  </si>
  <si>
    <t>Cokéfaction et raffinage</t>
  </si>
  <si>
    <t>Industrie chimique</t>
  </si>
  <si>
    <t>Industrie pharmaceutique</t>
  </si>
  <si>
    <t>Fabrication de produits en caoutchouc, en plastique et d'autres produits minéraux non métalliques</t>
  </si>
  <si>
    <t>A88.22</t>
  </si>
  <si>
    <t xml:space="preserve">  Fabrication de produits en caoutchouc et en plastique</t>
  </si>
  <si>
    <t>A88.23</t>
  </si>
  <si>
    <t xml:space="preserve">  Fabrication d'autres produits minéraux non métalliques</t>
  </si>
  <si>
    <t>Métallurgie et fabrication de produits métalliques, hors machines et équipements</t>
  </si>
  <si>
    <t>A88.24</t>
  </si>
  <si>
    <t xml:space="preserve">  Métallurgie</t>
  </si>
  <si>
    <t>A88.25</t>
  </si>
  <si>
    <t xml:space="preserve">  Fabrication de produits métalliques, hors machines et équipements</t>
  </si>
  <si>
    <t>Fabrication de produits informatiques, électroniques et optiques</t>
  </si>
  <si>
    <t>Fabrication d'équipements électriques</t>
  </si>
  <si>
    <t>Fabrication de machines et équipements n.c.a.</t>
  </si>
  <si>
    <t>A38.CL</t>
  </si>
  <si>
    <t>Fabrication de matériels de transport</t>
  </si>
  <si>
    <t>A88.29</t>
  </si>
  <si>
    <t xml:space="preserve">  Industrie automobile</t>
  </si>
  <si>
    <t>A88.30</t>
  </si>
  <si>
    <t xml:space="preserve">  Fabrication d'autres matériels de transport</t>
  </si>
  <si>
    <t>Autres industries manufacturières ; réparation et installation de machines et d'équipements</t>
  </si>
  <si>
    <t>A88.31</t>
  </si>
  <si>
    <t xml:space="preserve">  Fabrication de meubles</t>
  </si>
  <si>
    <t>A88.32</t>
  </si>
  <si>
    <t xml:space="preserve">  Autres industries manufacturières</t>
  </si>
  <si>
    <t>A88.33</t>
  </si>
  <si>
    <t xml:space="preserve">  Réparation et installation de machines et d'équipements</t>
  </si>
  <si>
    <t>Production et distribution d'électricité, de gaz, de vapeur et d'air conditionné</t>
  </si>
  <si>
    <t>Production et distribution d'eau ; assainissement, gestion des déchets et dépollution</t>
  </si>
  <si>
    <t>A88.36</t>
  </si>
  <si>
    <t xml:space="preserve">  Captage, traitement et distribution d'eau</t>
  </si>
  <si>
    <t>A88.37</t>
  </si>
  <si>
    <t xml:space="preserve">  Collecte et traitement des eaux usées</t>
  </si>
  <si>
    <t>A88.38</t>
  </si>
  <si>
    <t xml:space="preserve">  Collecte, traitement et élimination des déchets ; récupération</t>
  </si>
  <si>
    <t>A88.39</t>
  </si>
  <si>
    <t xml:space="preserve">  Dépollution et autres services de gestion des déchets</t>
  </si>
  <si>
    <t>A38.FZ</t>
  </si>
  <si>
    <t>A88.41</t>
  </si>
  <si>
    <t xml:space="preserve">  Construction de bâtiments</t>
  </si>
  <si>
    <t>A88.42</t>
  </si>
  <si>
    <t xml:space="preserve">  Génie civil</t>
  </si>
  <si>
    <t>A88.43</t>
  </si>
  <si>
    <t xml:space="preserve">  Travaux de construction spécialisés</t>
  </si>
  <si>
    <t>A38.GZ</t>
  </si>
  <si>
    <t>Commerce ; réparation d'automobiles et de motocycles</t>
  </si>
  <si>
    <t>A88.45</t>
  </si>
  <si>
    <t xml:space="preserve">  Commerce et réparation d'automobiles et de motocycles</t>
  </si>
  <si>
    <t>A88.46</t>
  </si>
  <si>
    <t xml:space="preserve">  Commerce de gros, hors automobiles et motocycles</t>
  </si>
  <si>
    <t>A88.47</t>
  </si>
  <si>
    <t xml:space="preserve">  Commerce de détail, hors automobiles et motocycles</t>
  </si>
  <si>
    <t>A38.HZ</t>
  </si>
  <si>
    <t>Transports et entreposage</t>
  </si>
  <si>
    <t>A88.49</t>
  </si>
  <si>
    <t xml:space="preserve">  Transports terrestres et transport par conduites</t>
  </si>
  <si>
    <t>A88.50</t>
  </si>
  <si>
    <t xml:space="preserve">  Transports par eau</t>
  </si>
  <si>
    <t>A88.51</t>
  </si>
  <si>
    <t xml:space="preserve">  Transports aériens</t>
  </si>
  <si>
    <t>A88.52</t>
  </si>
  <si>
    <t xml:space="preserve">  Entreposage et services auxiliaires des transports</t>
  </si>
  <si>
    <t>A88.53</t>
  </si>
  <si>
    <t xml:space="preserve">  Activités de poste et de courrier</t>
  </si>
  <si>
    <t>A38.IZ</t>
  </si>
  <si>
    <t>Hébergement et restauration</t>
  </si>
  <si>
    <t>A88.55</t>
  </si>
  <si>
    <t xml:space="preserve">  Hébergement</t>
  </si>
  <si>
    <t>A88.56</t>
  </si>
  <si>
    <t xml:space="preserve">  Restauration</t>
  </si>
  <si>
    <t>Édition, audiovisuel et diffusion</t>
  </si>
  <si>
    <t>A88.58</t>
  </si>
  <si>
    <t xml:space="preserve">  Édition</t>
  </si>
  <si>
    <t>A88.59</t>
  </si>
  <si>
    <t xml:space="preserve">  Production de films cinématographiques, de vidéo et de programmes de télévision ; enregistrement sonore et édition musicale</t>
  </si>
  <si>
    <t>A88.60</t>
  </si>
  <si>
    <t xml:space="preserve">  Programmation et diffusion</t>
  </si>
  <si>
    <t>Télécommunications</t>
  </si>
  <si>
    <t>Activités informatiques et services d'information</t>
  </si>
  <si>
    <t>A88.62</t>
  </si>
  <si>
    <t xml:space="preserve">  Programmation, conseil et autres activités informatiques</t>
  </si>
  <si>
    <t>A88.63</t>
  </si>
  <si>
    <t xml:space="preserve">  Services d'information</t>
  </si>
  <si>
    <t>A38.KZ</t>
  </si>
  <si>
    <t>Activités financières et d'assurance</t>
  </si>
  <si>
    <t>A88.64</t>
  </si>
  <si>
    <t xml:space="preserve">  Activités des services financiers, hors assurance et caisses de retraite</t>
  </si>
  <si>
    <t>A88.65</t>
  </si>
  <si>
    <t xml:space="preserve">  Assurance</t>
  </si>
  <si>
    <t>A88.66</t>
  </si>
  <si>
    <t xml:space="preserve">  Activités auxiliaires de services financiers et d'assurance</t>
  </si>
  <si>
    <t>A38.LZ</t>
  </si>
  <si>
    <t>Activités immobilières</t>
  </si>
  <si>
    <t>Activités juridiques, comptables, de gestion, d'architecture, d'ingénierie, de contrôle et d'analyses techniques</t>
  </si>
  <si>
    <t>A88.69</t>
  </si>
  <si>
    <t xml:space="preserve">  Activités juridiques et comptables</t>
  </si>
  <si>
    <t>A88.70</t>
  </si>
  <si>
    <t xml:space="preserve">  Activités des sièges sociaux ; conseil de gestion</t>
  </si>
  <si>
    <t>A88.71</t>
  </si>
  <si>
    <t xml:space="preserve">  Activités d'architecture et d'ingénierie ; activités de contrôle et analyses techniques</t>
  </si>
  <si>
    <t>Recherche-développement scientifique</t>
  </si>
  <si>
    <t>Autres activités spécialisées, scientifiques et techniques</t>
  </si>
  <si>
    <t>A88.73</t>
  </si>
  <si>
    <t xml:space="preserve">  Publicité et études de marché</t>
  </si>
  <si>
    <t>A88.74</t>
  </si>
  <si>
    <t xml:space="preserve">  Autres activités spécialisées, scientifiques et techniques</t>
  </si>
  <si>
    <t>A88.75</t>
  </si>
  <si>
    <t xml:space="preserve">  Activités vétérinaires</t>
  </si>
  <si>
    <t>Activités de services administratifs et de soutien</t>
  </si>
  <si>
    <t>A88.77</t>
  </si>
  <si>
    <t xml:space="preserve">  Activités de location et location-bail</t>
  </si>
  <si>
    <t>A88.78</t>
  </si>
  <si>
    <t xml:space="preserve">  Activités liées à l'emploi</t>
  </si>
  <si>
    <t>A88.79</t>
  </si>
  <si>
    <t xml:space="preserve">  Activités des agences de voyage, voyagistes, services de réservation et activités connexes</t>
  </si>
  <si>
    <t>A88.80</t>
  </si>
  <si>
    <t xml:space="preserve">  Enquêtes et sécurité</t>
  </si>
  <si>
    <t>A88.81</t>
  </si>
  <si>
    <t xml:space="preserve">  Services relatifs aux bâtiments et aménagement paysager</t>
  </si>
  <si>
    <t>A88.82</t>
  </si>
  <si>
    <t xml:space="preserve">  Activités administratives et autres activités de soutien aux entreprises</t>
  </si>
  <si>
    <t>Administration publique et défense - sécurité sociale obligatoire</t>
  </si>
  <si>
    <t>Enseignement</t>
  </si>
  <si>
    <t>Activités pour la santé humaine</t>
  </si>
  <si>
    <t>Hébergement médico-social et social et action sociale sans hébergement</t>
  </si>
  <si>
    <t>A88.87</t>
  </si>
  <si>
    <t xml:space="preserve">  Hébergement médico-social et social</t>
  </si>
  <si>
    <t>A88.88</t>
  </si>
  <si>
    <t xml:space="preserve">  Action sociale sans hébergement</t>
  </si>
  <si>
    <t>Arts, spectacles et activités récréatives</t>
  </si>
  <si>
    <t>A88.90</t>
  </si>
  <si>
    <t xml:space="preserve">  Activités créatives, artistiques et de spectacle</t>
  </si>
  <si>
    <t>A88.91</t>
  </si>
  <si>
    <t xml:space="preserve">  Bibliothèques, archives, musées et autres activités culturelles</t>
  </si>
  <si>
    <t>A88.92</t>
  </si>
  <si>
    <t xml:space="preserve">  Organisation de jeux de hasard et d'argent</t>
  </si>
  <si>
    <t>A88.93</t>
  </si>
  <si>
    <t xml:space="preserve">  Activités sportives, récréatives et de loisirs</t>
  </si>
  <si>
    <t>Autres activités de services</t>
  </si>
  <si>
    <t>A88.94</t>
  </si>
  <si>
    <t xml:space="preserve">  Activités des organisations associatives</t>
  </si>
  <si>
    <t>A88.95</t>
  </si>
  <si>
    <t xml:space="preserve">  Réparation d'ordinateurs et de biens personnels et domestiques</t>
  </si>
  <si>
    <t>A88.96</t>
  </si>
  <si>
    <t xml:space="preserve">  Autres services personnels</t>
  </si>
  <si>
    <t>Activités des ménages en tant qu'employeurs</t>
  </si>
  <si>
    <t>A88.97</t>
  </si>
  <si>
    <t xml:space="preserve">  Activités des ménages en tant qu'employeurs de personnel domestique</t>
  </si>
  <si>
    <t>2. Evolution de la VA de l’industrie diffuse</t>
  </si>
  <si>
    <t>2020 : pour les secteurs non renseignés, hypothèse d’une baisse de 9,5 % (baisse de la VA de l’industrie selon l’INSEE)</t>
  </si>
  <si>
    <t>Md€ 2015</t>
  </si>
  <si>
    <t>TOTAL DIFFUS hors construction</t>
  </si>
  <si>
    <t>TOTAL DIFFUS y.c construction</t>
  </si>
  <si>
    <t>INSEE (G€ prix courants)</t>
  </si>
  <si>
    <t>INSEE (G€ 2014)</t>
  </si>
  <si>
    <t>EC Ref (G€ 2015)</t>
  </si>
  <si>
    <t>Total « industrie et énergie »</t>
  </si>
  <si>
    <t>dont total industrie</t>
  </si>
  <si>
    <t>Total construction</t>
  </si>
  <si>
    <t>inflation cumulée par rapport à 2014</t>
  </si>
  <si>
    <t>Ratio VA diffus / VA industrie hors construction</t>
  </si>
  <si>
    <t>VA construction on garde tel quel</t>
  </si>
  <si>
    <t xml:space="preserve">VA industrie </t>
  </si>
  <si>
    <t>cadrage</t>
  </si>
  <si>
    <t>VA industrie diffuse</t>
  </si>
  <si>
    <t>VA construction</t>
  </si>
  <si>
    <t>Année de référence 2019</t>
  </si>
  <si>
    <t>Données Run 1</t>
  </si>
  <si>
    <t>Proposition Run 2</t>
  </si>
  <si>
    <t>Consommation d'énergie 2019</t>
  </si>
  <si>
    <t>Charbon</t>
  </si>
  <si>
    <t>Pétrole brut</t>
  </si>
  <si>
    <t>Produits pétroliers raffinés</t>
  </si>
  <si>
    <t>Gaz naturel</t>
  </si>
  <si>
    <t>EnR thermiques et déchets</t>
  </si>
  <si>
    <t>Chaleur de l'environnement</t>
  </si>
  <si>
    <t>Solaire thermique et géothermie</t>
  </si>
  <si>
    <t>Électricité</t>
  </si>
  <si>
    <t>Chaleur vendue</t>
  </si>
  <si>
    <t>Hydrogène</t>
  </si>
  <si>
    <t>Gains AAP FR Relance - run1</t>
  </si>
  <si>
    <t>Gains AAP FR Relance - run2</t>
  </si>
  <si>
    <t>Biomasse solide</t>
  </si>
  <si>
    <t>Déchets</t>
  </si>
  <si>
    <t>Biocarburants</t>
  </si>
  <si>
    <t>Gaz renouvelable</t>
  </si>
  <si>
    <t>Coke</t>
  </si>
  <si>
    <t>Electricité PAC</t>
  </si>
  <si>
    <t>GWh</t>
  </si>
  <si>
    <t>%/2019</t>
  </si>
  <si>
    <t>Source</t>
  </si>
  <si>
    <t>Commentaire changement entre run1 &amp; run2</t>
  </si>
  <si>
    <t xml:space="preserve">     Dont sidérurgie (hauts fourneaux)</t>
  </si>
  <si>
    <t>Eurostat (Energie dans la ligne transformation des hauts fourneaux)</t>
  </si>
  <si>
    <t>Distinction entre la consommation des hauts fourneaux  et de la siderurgie après fabrication de l'acier liquide</t>
  </si>
  <si>
    <t xml:space="preserve">     Dont sidérurgie (arc électrique)</t>
  </si>
  <si>
    <t>https://www.mdpi.com/1996-1073/14/16/5152</t>
  </si>
  <si>
    <t xml:space="preserve">     Dont sidérurgie (réduction directe)</t>
  </si>
  <si>
    <t xml:space="preserve">  Dont sidérurgie (mise en forme de l'acier)</t>
  </si>
  <si>
    <t>Par différence -Odyssée</t>
  </si>
  <si>
    <t xml:space="preserve">     Dont aluminium (primaire)</t>
  </si>
  <si>
    <t>DGEC</t>
  </si>
  <si>
    <t xml:space="preserve">     Dont aluminium (recyclé)</t>
  </si>
  <si>
    <t>European aluminium - Enviromental report</t>
  </si>
  <si>
    <t xml:space="preserve">     Dont autres métaux primaires</t>
  </si>
  <si>
    <t>Odyssée</t>
  </si>
  <si>
    <t xml:space="preserve">     Dont Ammoniac</t>
  </si>
  <si>
    <t xml:space="preserve">     Dont pétrochimie de base</t>
  </si>
  <si>
    <t xml:space="preserve">Extrapolé à partir de données Secten de 2014 </t>
  </si>
  <si>
    <t>Consommation de pétrole réatribuée à du gaz, je pense qu'il y a un souci de scope entre Eurostat/SDES et les données du Secten sur la consommation de gaz/pétrole</t>
  </si>
  <si>
    <t xml:space="preserve">     Dont autres chimies</t>
  </si>
  <si>
    <t>Non-métalliques</t>
  </si>
  <si>
    <t xml:space="preserve">     Dont ciment</t>
  </si>
  <si>
    <t xml:space="preserve">     Dont verre</t>
  </si>
  <si>
    <t xml:space="preserve">     Dont autres non-métalliques</t>
  </si>
  <si>
    <t>Industries agroalimentaires</t>
  </si>
  <si>
    <t>Dont Sucre</t>
  </si>
  <si>
    <t>Dont autres IAA</t>
  </si>
  <si>
    <t>Equipement</t>
  </si>
  <si>
    <t>Autres</t>
  </si>
  <si>
    <t xml:space="preserve">     Dont papier-pâtes</t>
  </si>
  <si>
    <t xml:space="preserve">     Dont autres</t>
  </si>
  <si>
    <t xml:space="preserve">Total </t>
  </si>
  <si>
    <t>Total (sans HF)</t>
  </si>
  <si>
    <t xml:space="preserve">Charbon + Coke </t>
  </si>
  <si>
    <t xml:space="preserve">chaleur achetée </t>
  </si>
  <si>
    <t>Mix énergétique</t>
  </si>
  <si>
    <t xml:space="preserve">Électricité </t>
  </si>
  <si>
    <t>Gaz de réseau</t>
  </si>
  <si>
    <t>%</t>
  </si>
  <si>
    <t>Changement des données historiques pour prendre seulement ce qui rentre dans les hauts fourneaux. On se base sur le bilan statistique de Eurostat</t>
  </si>
  <si>
    <t>Ajout de biomasse solide à 2030 (FR Relance)</t>
  </si>
  <si>
    <t>Penetration du CSR et de la biomasse en lien avec la feuille de route et en ce basant sur les taux de pénétration de l'ADEME</t>
  </si>
  <si>
    <t>Changement mineur à cause d'un changement dans les données historique</t>
  </si>
  <si>
    <t>Pas de changement même si l'ADEME préconise une entré progressive du H2… (ce n'est pas le cas dans les scénarios ADEME, et les projets en France sont discutés avec de H2 déjà)</t>
  </si>
  <si>
    <t xml:space="preserve"> Siderurgie autres (casting rolling)</t>
  </si>
  <si>
    <t>Ajout d'un secteur, electrification et baisse du charbon mais pas complète car secteur de la sidérurgie très dépendant.</t>
  </si>
  <si>
    <t>Pas de changement</t>
  </si>
  <si>
    <t>Electrification proche du S3</t>
  </si>
  <si>
    <t>Changement après échange sur données historiques avec l'ADEME</t>
  </si>
  <si>
    <t>Baisse de la part d'hydrogène pour la consommation directe d'énergie - Augmentation de la consommation d'électricité, et de  biomasse, disparition du pétrole en contradiction avec les données de l'ADEME</t>
  </si>
  <si>
    <t>Le taux d'électrification est très haut dans les scénarios de l'ADEME dès 2030. On lise la courbe après les retours de l'ADEME. Mais la consommation est très liée à l'hypothèse de la part d'hydrogène dans la production d'ammoniac, qui est très ambitieux en AMS.</t>
  </si>
  <si>
    <t>On mélange le taux d'electrification de l'ADEME en S3 et la pénetration de la bomasse en S2</t>
  </si>
  <si>
    <t>Potentiel 3TWh de PAC (EDF) + 0,2TWh solaire thermique (FR chimie)</t>
  </si>
  <si>
    <t>Electrification baisse du charbon dès 2030, puis disparition du pétrole en 2050, ajout des PACs</t>
  </si>
  <si>
    <t>Ajout de + de biomasse solide à 2030 (FR Relance)</t>
  </si>
  <si>
    <t>On se base sur le mix proposé par la SFIC pour les usages thermiques. On baisse un peu l'electrification (trop haute d'après l'ADEME)</t>
  </si>
  <si>
    <t>On augmente légerement la biomasse pour se rapprocher du potentiel de S2</t>
  </si>
  <si>
    <t>La biomasse solide augmente dès 2030 avec FR Relance</t>
  </si>
  <si>
    <t>Potentiel 8TWh de PAC (EDF)</t>
  </si>
  <si>
    <t>On ajoute les PAC (donc on réduit la part de l'electricité joule et la part du gaz)</t>
  </si>
  <si>
    <t>Potentiel 3TWh de PAC (EDF)</t>
  </si>
  <si>
    <t>Ajout de chaleur vendue en lien avec les scénarios ADEME</t>
  </si>
  <si>
    <t>Mis à jour à partir des travaux de la FdR 301</t>
  </si>
  <si>
    <t>zéro charbon dès 2023, potentiel de 5TWh de PAC (EDF) + 0,2TWh solaire thermique (FR chimie)</t>
  </si>
  <si>
    <t>Potentiel 5TWh de PAC (EDF)</t>
  </si>
  <si>
    <t>Constant</t>
  </si>
  <si>
    <t>Disparition du charbon, et augmentation de la part de biomasse</t>
  </si>
  <si>
    <t>Reste constant</t>
  </si>
  <si>
    <t>Evolution simialire à AME run 1 mais avec des données historiques différentes</t>
  </si>
  <si>
    <t>Constant car pas de production d'hydrogène avec l'électrolyse</t>
  </si>
  <si>
    <t>Ajustement du point 2030 avec données Fr Relance</t>
  </si>
  <si>
    <t>Baisse de la part de charbon et augmentation de la biomasse et de l'électricité</t>
  </si>
  <si>
    <t xml:space="preserve">Augmentation de la part de biomasse </t>
  </si>
  <si>
    <t>Baisse du charbon et augmentation de l'électricité</t>
  </si>
  <si>
    <t>Augmentation de la biomasse et constant</t>
  </si>
  <si>
    <t>Mêmes données que dans l'onglet précédent, seule la présentation des chiffres (un tableau par année) change</t>
  </si>
  <si>
    <t>2030 AMS 2023</t>
  </si>
  <si>
    <t>Nucléaire</t>
  </si>
  <si>
    <t>EnR électriques</t>
  </si>
  <si>
    <t>Consommation d'énergie (% total)</t>
  </si>
  <si>
    <t>2050 AMS 2023</t>
  </si>
  <si>
    <t>2025 AME 2023</t>
  </si>
  <si>
    <t>2050 AME 2023</t>
  </si>
  <si>
    <t>Rappel hypothèses run1</t>
  </si>
  <si>
    <t>Commentaires</t>
  </si>
  <si>
    <t>Sauf indication contraire, les hypothèses AMS sont reprises de l’AMS précédent</t>
  </si>
  <si>
    <t>ADEME S3</t>
  </si>
  <si>
    <t xml:space="preserve">     Dont aluminium primaire</t>
  </si>
  <si>
    <t xml:space="preserve">     Dont aluminium recyclé</t>
  </si>
  <si>
    <t>idem Alu primaire en AMS</t>
  </si>
  <si>
    <t>inclut les gains liés au recyclage : Procédé recyclé consomme 80 % d’énergie en moins (AMS 2018)</t>
  </si>
  <si>
    <t xml:space="preserve">     Dont clinker</t>
  </si>
  <si>
    <t>S3 ADEME</t>
  </si>
  <si>
    <t>inclut les gains liés au recyclage : Procédé recyclé consomme 30 % d’énergie en moins (AMS 2018)</t>
  </si>
  <si>
    <t>Industrie agroalimentaire</t>
  </si>
  <si>
    <t xml:space="preserve">     Dont sucre</t>
  </si>
  <si>
    <t xml:space="preserve">     Dont autres Industries alimentaires et agricoles</t>
  </si>
  <si>
    <t>inclut les gains liés au recyclage : Procédé recyclé consomme 70 % d’énergie en moins (Federec)</t>
  </si>
  <si>
    <t>Rappel hypothèses scénarios précédents</t>
  </si>
  <si>
    <t>AME 2021</t>
  </si>
  <si>
    <t>Gains EE</t>
  </si>
  <si>
    <t>AMS 2018</t>
  </si>
  <si>
    <t>NW TEND</t>
  </si>
  <si>
    <t>NW</t>
  </si>
  <si>
    <t>Valeurs RTE pour le scénario de référence</t>
  </si>
  <si>
    <t>Entre 2030 et 2015</t>
  </si>
  <si>
    <t>Entre 2050 et 2015</t>
  </si>
  <si>
    <t>(gains par rapport à 2015)</t>
  </si>
  <si>
    <t>GES procédés</t>
  </si>
  <si>
    <t>Energie</t>
  </si>
  <si>
    <t>électricité</t>
  </si>
  <si>
    <t>combustibles</t>
  </si>
  <si>
    <t>Electricité</t>
  </si>
  <si>
    <t>Combustibles</t>
  </si>
  <si>
    <t xml:space="preserve">     Dont sidérurgie</t>
  </si>
  <si>
    <t xml:space="preserve">A voir car fondé sur AME 2018 </t>
  </si>
  <si>
    <t xml:space="preserve">     Dont aluminium</t>
  </si>
  <si>
    <t>métaux non ferreux</t>
  </si>
  <si>
    <t xml:space="preserve">E12 - Industrie laitière </t>
  </si>
  <si>
    <t xml:space="preserve">E13 - Sucreries </t>
  </si>
  <si>
    <t xml:space="preserve">E14 - Industries agricoles et alimentaires (solde) </t>
  </si>
  <si>
    <t xml:space="preserve">E16 - Sidérurgie </t>
  </si>
  <si>
    <t xml:space="preserve">Ethylène </t>
  </si>
  <si>
    <t xml:space="preserve">E18 - Métallurgie de 1ère transf. des métaux non ferreux </t>
  </si>
  <si>
    <t xml:space="preserve">     Dont chlore</t>
  </si>
  <si>
    <t xml:space="preserve">E19 - Production de minéraux divers </t>
  </si>
  <si>
    <t xml:space="preserve">E20 - Fabr. de plâtres, produits en plâtre, chaux et ciments </t>
  </si>
  <si>
    <t xml:space="preserve">E21 - Prod. d'autres matériaux de construction et de céramique </t>
  </si>
  <si>
    <t xml:space="preserve">E22 - Industrie du verre </t>
  </si>
  <si>
    <t xml:space="preserve">E23 - Fabrication d'engrais </t>
  </si>
  <si>
    <t xml:space="preserve">E24 - Autres industries de la chimie minérale </t>
  </si>
  <si>
    <t xml:space="preserve">E25 - Mat. plastiques, caoutchouc synth. et autres élastomères </t>
  </si>
  <si>
    <t xml:space="preserve">E26 - Autres industries de la chimie organique de base </t>
  </si>
  <si>
    <t xml:space="preserve">E28 - Parachimie et industrie pharmaceutique </t>
  </si>
  <si>
    <t xml:space="preserve">E29 - Fonderie et travail des métaux </t>
  </si>
  <si>
    <t xml:space="preserve">E30 - Construction mécanique </t>
  </si>
  <si>
    <t xml:space="preserve">E31 - Construction électrique et électronique </t>
  </si>
  <si>
    <t xml:space="preserve">E32 - Véh. automobiles et autres matériels de transp. terrestre </t>
  </si>
  <si>
    <t xml:space="preserve">E33 - Constr. navale et aéronautique, armement </t>
  </si>
  <si>
    <t xml:space="preserve">E34 - Industrie textile, du cuir et de l'habillement </t>
  </si>
  <si>
    <t xml:space="preserve">E35 - Industrie du papier et du carton </t>
  </si>
  <si>
    <t xml:space="preserve">E36 - Industrie du caoutchouc </t>
  </si>
  <si>
    <t xml:space="preserve">E37 - Transformation des matières plastiques </t>
  </si>
  <si>
    <t xml:space="preserve">E38 - Industries diverses </t>
  </si>
  <si>
    <t>TOTAL INDUSTRIE</t>
  </si>
  <si>
    <t>Proposition AME run 2</t>
  </si>
  <si>
    <t>On prend le plus ambitieux de FR Relance ou du TEND ADME</t>
  </si>
  <si>
    <t>input AAP FR Relance puis baisse lente</t>
  </si>
  <si>
    <t>Rapprochment avec  ADEME TEND</t>
  </si>
  <si>
    <t>Ajustement du point 2050</t>
  </si>
  <si>
    <t>Autres sidérurgie</t>
  </si>
  <si>
    <t>repris du run 1</t>
  </si>
  <si>
    <t>repris du run1 - cohérent avec AAP FR Relance</t>
  </si>
  <si>
    <t>On prend 5% en 2050 pour prendre en compte la trajectoire de la metalurgie (6% en 2030)</t>
  </si>
  <si>
    <t xml:space="preserve">repris du run1 - cohérent avec input AAP FR Relance </t>
  </si>
  <si>
    <t>repris du run 1 (la consommation d'énergie va aussi évoluer en fonction de la part de l'hydrogène produite par électrolyse pas compté dans l'industrie)</t>
  </si>
  <si>
    <t xml:space="preserve">repris du run1 - Ca prend en compte les gain du recyclage - cohérent avec input AAP FR Relance </t>
  </si>
  <si>
    <t>Rapprochement Ademe (input AAP FR Relance pour 2025/2030)</t>
  </si>
  <si>
    <t xml:space="preserve">Rapprochement Ademe- cohérent avec input AAP FR Relance </t>
  </si>
  <si>
    <t xml:space="preserve">Rapprochement Ademe - cohérent avec input AAP FR Relance </t>
  </si>
  <si>
    <t>Repris du run1 - voir output art301 si gains potentiels</t>
  </si>
  <si>
    <t>input AAP FR Relance puis baisse lente (+ relèvement pour rapprochement ADEME) - inclut le recyclage</t>
  </si>
  <si>
    <t xml:space="preserve">Rapprochement moyenne ADEME - cohérent avec input AAP FR Relance </t>
  </si>
  <si>
    <t>AMS run 2</t>
  </si>
  <si>
    <t>Proposition GW run1bis</t>
  </si>
  <si>
    <t>Calcul à partir du ratio énergie/production</t>
  </si>
  <si>
    <t>S2 Ademe</t>
  </si>
  <si>
    <t>S3 Ademe</t>
  </si>
  <si>
    <t>Secteur ADEME</t>
  </si>
  <si>
    <t>dont hauts fourneaux *</t>
  </si>
  <si>
    <t>/</t>
  </si>
  <si>
    <t xml:space="preserve">ADEME S2/S3 </t>
  </si>
  <si>
    <t>dont aciérie électrique (EAF) *</t>
  </si>
  <si>
    <t>Identique EAF</t>
  </si>
  <si>
    <t>dont DRI-EAF *</t>
  </si>
  <si>
    <t xml:space="preserve">     Autre sidérurgie</t>
  </si>
  <si>
    <t>Tentative d’alignement avec l’ADEME</t>
  </si>
  <si>
    <t>dont aluminium *</t>
  </si>
  <si>
    <t>Prend en compte les gains dus au recyclage</t>
  </si>
  <si>
    <t>Reprise acier/alu primaire</t>
  </si>
  <si>
    <t>Métaux non ferreux</t>
  </si>
  <si>
    <t>dont ammoniac *</t>
  </si>
  <si>
    <t>Chimie organique</t>
  </si>
  <si>
    <t xml:space="preserve">ADEME S3 </t>
  </si>
  <si>
    <t>Chimie minérale</t>
  </si>
  <si>
    <t>Ciment, chaux *</t>
  </si>
  <si>
    <t>ADEME S2/S3 (prend en compte les gains du recyclage)</t>
  </si>
  <si>
    <t>Verre *</t>
  </si>
  <si>
    <t>Matériaux de construction</t>
  </si>
  <si>
    <t>Sucre *</t>
  </si>
  <si>
    <t>Autres agro alimentaire</t>
  </si>
  <si>
    <t>Transports terrestres</t>
  </si>
  <si>
    <t>Gains calculées via FdR301 (en reprenant les gains PL), divisé par deux par conservatisme</t>
  </si>
  <si>
    <t>ADEME, en prenant en compte le recyclage</t>
  </si>
  <si>
    <t>Papiers-cartons (blanchiment) *</t>
  </si>
  <si>
    <t>Reprise équipements</t>
  </si>
  <si>
    <t>Taux d'incorporation matières premières recyclées</t>
  </si>
  <si>
    <t>Taux d'incorporation</t>
  </si>
  <si>
    <t>Historique (BNR ADEME 2019)</t>
  </si>
  <si>
    <t>ADEME</t>
  </si>
  <si>
    <t>RTE</t>
  </si>
  <si>
    <t>commentaire historique</t>
  </si>
  <si>
    <t>commentaire AME</t>
  </si>
  <si>
    <t>commentaire AMS</t>
  </si>
  <si>
    <t>TEND</t>
  </si>
  <si>
    <t>S1</t>
  </si>
  <si>
    <t>S2</t>
  </si>
  <si>
    <t>S3</t>
  </si>
  <si>
    <t>S4</t>
  </si>
  <si>
    <t>REF</t>
  </si>
  <si>
    <t>Impact prix du C : +0,5pt tous les 5 ans</t>
  </si>
  <si>
    <t>Repris du CITEPA</t>
  </si>
  <si>
    <t>hausse à 2030 puis constant</t>
  </si>
  <si>
    <t>Niveau 2050 AMS18 revu à la baisse / AMS18 (ADEMe autour de 45 % sauf S2 à 70%), niveau 2030 revu en accord avec les données Arcelor-Mittal/FR relance</t>
  </si>
  <si>
    <t>taux de l’aluminium issu de l’affinage et du recyclage direct</t>
  </si>
  <si>
    <t>stable</t>
  </si>
  <si>
    <t xml:space="preserve">reprise AMS/ ademe S1/S2 </t>
  </si>
  <si>
    <t>Plastiques</t>
  </si>
  <si>
    <t>N.R</t>
  </si>
  <si>
    <t>emballages uniquement – volume incorporé 2018 / volume de résines consommées 2019 – attention donnée peu fiable</t>
  </si>
  <si>
    <t>Effet plan de relance : +700kt de plastique recyclé incorporé dont 45 % sont des emballages</t>
  </si>
  <si>
    <t>reprise AMS/ ademe S1/S2</t>
  </si>
  <si>
    <t>TAUX MPR BAU AME</t>
  </si>
  <si>
    <t>Acier (%EAF/(EAF+BOF)</t>
  </si>
  <si>
    <t>taux d’incorporation de calcin par les verriers</t>
  </si>
  <si>
    <t xml:space="preserve">     Dont autres Industries agro-alimentaires</t>
  </si>
  <si>
    <t>TAUX MPR nW AMS</t>
  </si>
  <si>
    <t>taux d’incorporation de PCR</t>
  </si>
  <si>
    <t>poursuite de la hausse à 2030 puis constant</t>
  </si>
  <si>
    <t>Poursuite de la hausse 2015-2019. Reprise ADEME S1/S2/S3</t>
  </si>
  <si>
    <t>Papier - pâtes</t>
  </si>
  <si>
    <t>On simplifie en faisant l’hypothèse que l’ensemble des consommations non-énergétiques sont liées à l’industrie (~98 % selon le SDES). Comme le SDES ne désagrège pas finement par sous-secteur, on reprend la répartition 2014 des scénarios ADEME, que l’on considère constante dans le temps. On fait évoluer les consommations par [vecteur]x[secteur] en fonction de l’évolution du niveau de production, et d’hypothèses sur l’efficacité des procédés ainsi que la substitution biomasse et H2.</t>
  </si>
  <si>
    <t>Bilan de l’énergie (SDES) Mtep</t>
  </si>
  <si>
    <t>2012</t>
  </si>
  <si>
    <t>2013</t>
  </si>
  <si>
    <t>2014</t>
  </si>
  <si>
    <t>2015</t>
  </si>
  <si>
    <t>2016</t>
  </si>
  <si>
    <t>2017</t>
  </si>
  <si>
    <t>2018</t>
  </si>
  <si>
    <t>2019</t>
  </si>
  <si>
    <t>2020</t>
  </si>
  <si>
    <t>charbon</t>
  </si>
  <si>
    <t>Principalement acier (ADEME)</t>
  </si>
  <si>
    <t>Hypothèses sur le non-énergétiques pour l’AMS 2018 :</t>
  </si>
  <si>
    <t>gaz naturel</t>
  </si>
  <si>
    <t>41 % ammoniac, 50 % autres chimies, 9 % pétrochimie (25 % chimie minérale, 34 % chimie organique (dont 25 % pétrochimie)) – ADEME. Contient le gaz utilisé pour H2 (pas isolé)</t>
  </si>
  <si>
    <t>Consommation de pétrole pour la chimie réduite de 80 % (effet du recyclage du plastique)</t>
  </si>
  <si>
    <t>PPR</t>
  </si>
  <si>
    <t>3 % aluminium, 67 % pétrochimie, 29 % autres chimies (95 % chimie organique dont 70 % pétrochimie), 2 % autres (ADEME)</t>
  </si>
  <si>
    <t>Consommation de gaz pour la chimie réduite de 50 % (procédé à hydrogène et réduction des intrants en agriculture)</t>
  </si>
  <si>
    <t>dont industrie</t>
  </si>
  <si>
    <t>Consommation de pétrole pour la construction réduite de 50 % (effet biosourcé)</t>
  </si>
  <si>
    <t>dont pétrochimie</t>
  </si>
  <si>
    <t>Introduction d’hydrogène (Remplacement de 50 % du gaz par de l’hydrogène, 6 TWh de conso de combustible liquide remplacé par de l’hydrogène)</t>
  </si>
  <si>
    <t>dont construction</t>
  </si>
  <si>
    <t>dont autres industries</t>
  </si>
  <si>
    <t>conso finale à usage non énergétique</t>
  </si>
  <si>
    <t>Consommation finale à usage non énergétique de produits raffinés (yc soutes aériennes)</t>
  </si>
  <si>
    <t>Mtep</t>
  </si>
  <si>
    <t>gaz</t>
  </si>
  <si>
    <t>biomasse</t>
  </si>
  <si>
    <t>H2</t>
  </si>
  <si>
    <t>Sidérurgie</t>
  </si>
  <si>
    <t>Pétrochimie</t>
  </si>
  <si>
    <t>Autres chimies</t>
  </si>
  <si>
    <t>Construction (bitume…)</t>
  </si>
  <si>
    <t>Autres (électronique charbon/fuel, pharmacie gaz nat)</t>
  </si>
  <si>
    <t>Nouvelle proposition run2</t>
  </si>
  <si>
    <t>2. AME</t>
  </si>
  <si>
    <t xml:space="preserve">Substitution des non énergétiques </t>
  </si>
  <si>
    <t>La consommation de non énergétique est incluse dans la consommation d'énergie des Hauts fourneaux</t>
  </si>
  <si>
    <t>Coke de pétrole</t>
  </si>
  <si>
    <t>Biocoke</t>
  </si>
  <si>
    <t>Anode inerte</t>
  </si>
  <si>
    <t>Gaz (vaporeformage)</t>
  </si>
  <si>
    <t>Hydrogène directe (par électrolyne non considéré dans le scope industrie)</t>
  </si>
  <si>
    <t>Naphta</t>
  </si>
  <si>
    <t>Bionaohta</t>
  </si>
  <si>
    <t>Méthanol to oléphine</t>
  </si>
  <si>
    <t>Biofuel</t>
  </si>
  <si>
    <t>Biogaz</t>
  </si>
  <si>
    <t>Pétrole</t>
  </si>
  <si>
    <t>Biopétrole</t>
  </si>
  <si>
    <t>Synthétique fuel</t>
  </si>
  <si>
    <t xml:space="preserve">Pétrole </t>
  </si>
  <si>
    <t xml:space="preserve">Biofuel </t>
  </si>
  <si>
    <t>3. AMS</t>
  </si>
  <si>
    <t>On inclut les anodes inertes pas considérés dans AMS run 1</t>
  </si>
  <si>
    <t>Bionaphta</t>
  </si>
  <si>
    <t>On augmente la part du méthanol to olephine car d'après les PTS de l'ADEME cette solution est plus accessible que le bionaphta</t>
  </si>
  <si>
    <t>https://librairie.ademe.fr/cadic/5693/memo-pts-chimie-2021.pdf</t>
  </si>
  <si>
    <t>Synthétique fuel/hydrogène</t>
  </si>
  <si>
    <t>Pertes transport - stockage</t>
  </si>
  <si>
    <t xml:space="preserve">BRGM 2009 SOCECO2 </t>
  </si>
  <si>
    <t>On considère 1/2 du projet 3D</t>
  </si>
  <si>
    <t>part de CO2 biogénique</t>
  </si>
  <si>
    <t>part stockée</t>
  </si>
  <si>
    <t>part utilisée</t>
  </si>
  <si>
    <t>On considère 1/2 du projet Val de Seine</t>
  </si>
  <si>
    <t>On considère presque tout Val de Seine (plus que 8,7Mt à capter en 2050 run1)</t>
  </si>
  <si>
    <t>données run1</t>
  </si>
  <si>
    <t>0,7Mt CCU en 2040 dans le projet Seine</t>
  </si>
  <si>
    <t>On considère 1/2 du projet K6</t>
  </si>
  <si>
    <t>On considère presque tout le projet K6 (plus que 5,5Mt à capter dans le ciment en 2050)</t>
  </si>
  <si>
    <t>Pas de développement</t>
  </si>
  <si>
    <t>TOTAL industrie</t>
  </si>
  <si>
    <t>Production d’énergie</t>
  </si>
  <si>
    <t>production d'électricité</t>
  </si>
  <si>
    <t>production de chaleur</t>
  </si>
  <si>
    <t>raffinage</t>
  </si>
  <si>
    <t>Le projet Seine inclut une partie de raffinage</t>
  </si>
  <si>
    <t>TOTAL énergie</t>
  </si>
  <si>
    <t>Total CCUS</t>
  </si>
  <si>
    <t>DAC</t>
  </si>
  <si>
    <t>Total CCS fossile</t>
  </si>
  <si>
    <t>Total CCU fossile</t>
  </si>
  <si>
    <t>Total BECCS</t>
  </si>
  <si>
    <t>Total BECCU</t>
  </si>
  <si>
    <t>Total DACCS</t>
  </si>
  <si>
    <t>Total DACCU</t>
  </si>
  <si>
    <t>Total carbonatation du béton</t>
  </si>
  <si>
    <t>Total puits techno</t>
  </si>
  <si>
    <t>Carbone utilisé</t>
  </si>
  <si>
    <t>Carbone fossile stocké</t>
  </si>
  <si>
    <t>émissions négatives</t>
  </si>
  <si>
    <t xml:space="preserve">Projets AME : </t>
  </si>
  <si>
    <t>Dunkerque projet 3D (Total, ArcelorMittal, IFPEN, Axens) : 1Mt 2025 (mais pas de stockage!), 10Mt 2035 (sidérurgie)</t>
  </si>
  <si>
    <t>Normandie (Air Liquide, Borealis, Esso, Total, Yara) : 3Mt en 2030 (ammoniac, pétrochimie)</t>
  </si>
  <si>
    <t>Zone portuaire Val de eine (FdR Chimie) 0,2-0,6kt/an dès 2030, étude de pré-fiasabilité dit 5,4Mt en 2032 puis 7,7 en 2040</t>
  </si>
  <si>
    <t>Projet K6 - Cimenterie Eqilum - Lumbres Nord par de Calais. 5Mt en 2050 ciment. Mise en service 2026.  https://www.usinenouvelle.com/article/le-projet-de-captage-et-stockage-de-co2-d-eqiom-finance-par-le-fonds-innovation-europeen.N1162387 et https://www.legifrance.gouv.fr/jorf/id/JORFTEXT000044319595</t>
  </si>
  <si>
    <t>AMS18</t>
  </si>
  <si>
    <t>Production et consommation des principaux biens de consommation et d'équipement</t>
  </si>
  <si>
    <t>Consommation 2014</t>
  </si>
  <si>
    <t>Consommation 2019 consolidé AME/AMS:</t>
  </si>
  <si>
    <t>Consommation 2030</t>
  </si>
  <si>
    <t>Consommation 2049</t>
  </si>
  <si>
    <t>Consommation 2050 brutes</t>
  </si>
  <si>
    <t>Consommation 2050 corrigées</t>
  </si>
  <si>
    <t>Dichlore</t>
  </si>
  <si>
    <t>MECA ELEC TEXTILE DIVERS</t>
  </si>
  <si>
    <t>Mt</t>
  </si>
  <si>
    <t>Mécanique</t>
  </si>
  <si>
    <t>Electronique</t>
  </si>
  <si>
    <t>Textile</t>
  </si>
  <si>
    <t>Divers autres</t>
  </si>
  <si>
    <t>EMBALLAGES</t>
  </si>
  <si>
    <t>Emballages</t>
  </si>
  <si>
    <t>TRANSPORTS</t>
  </si>
  <si>
    <t>Transports terre</t>
  </si>
  <si>
    <t>Transports (NAA)</t>
  </si>
  <si>
    <t>BTP</t>
  </si>
  <si>
    <t>Bâtiment</t>
  </si>
  <si>
    <t>Ouvrages d'art</t>
  </si>
  <si>
    <t>Réseau ferré</t>
  </si>
  <si>
    <t>Voirie</t>
  </si>
  <si>
    <t>ENERGIE</t>
  </si>
  <si>
    <t>Eolien</t>
  </si>
  <si>
    <t>Photovoltaique</t>
  </si>
  <si>
    <t>Méthanisation</t>
  </si>
  <si>
    <t>CHIMIE</t>
  </si>
  <si>
    <t>Engrais azotés</t>
  </si>
  <si>
    <t>Engrais autres</t>
  </si>
  <si>
    <t>Phytosanitaires</t>
  </si>
  <si>
    <t>Entretien toilette</t>
  </si>
  <si>
    <t>Peintures,vernis,colles</t>
  </si>
  <si>
    <t>Pharmacie</t>
  </si>
  <si>
    <t>PAPIER</t>
  </si>
  <si>
    <t>Papier sanitaire</t>
  </si>
  <si>
    <t>Papier graphique</t>
  </si>
  <si>
    <t>Papiers spéciaux</t>
  </si>
  <si>
    <t>AGRO ALIMENTAIRE</t>
  </si>
  <si>
    <t>Agro alimentaire</t>
  </si>
  <si>
    <t>REACTIFS</t>
  </si>
  <si>
    <t>Metallurgie</t>
  </si>
  <si>
    <t>Engrais</t>
  </si>
  <si>
    <t>Recuperation</t>
  </si>
  <si>
    <t>Divers</t>
  </si>
  <si>
    <t>Pertes,ajustements</t>
  </si>
  <si>
    <t>AMS - chiffres à mettre à jour</t>
  </si>
  <si>
    <t>Consommation 2019 AME</t>
  </si>
  <si>
    <t>Consommation 2019 AMS</t>
  </si>
  <si>
    <t>Consommation 2019 consolidée AME/AMS</t>
  </si>
  <si>
    <t>Calculs FP</t>
  </si>
  <si>
    <t>CCS total industrie</t>
  </si>
  <si>
    <t>BECCS industrie</t>
  </si>
  <si>
    <t>CCS fossile industrie</t>
  </si>
  <si>
    <t>CCS fossile énergie</t>
  </si>
  <si>
    <t>BECCS énergie</t>
  </si>
  <si>
    <t>La part de CCU =&lt; part biogénique des émissions (tout le C fossile est stocké)</t>
  </si>
  <si>
    <t>données run1bis métaux primaires</t>
  </si>
  <si>
    <t>Sites chimiques parmi les 50 plus émetteurs représentent 8MtCO2 et c'est sur ces sites que portera essentiellement le CCUS, donc on se dit que 6MtCO2 de CCS en 2050 c'est beaucoup</t>
  </si>
  <si>
    <t>données run1bis chimie</t>
  </si>
  <si>
    <t>données run1bis non-métalliques</t>
  </si>
  <si>
    <t>Ajout car qqs mentions de CCS sur CO2 biogénique dans les fdr 50 sites à horizon 2050</t>
  </si>
  <si>
    <t>données run1bis</t>
  </si>
  <si>
    <t>moitié moitié car sites IAA souvent isolés donc potentiellement plus éloignés des sites de stockage</t>
  </si>
  <si>
    <t>données run1 autres (papier pâtes)</t>
  </si>
  <si>
    <t>Plus de biomasse ni fossile dans le système électrique (H2)</t>
  </si>
  <si>
    <t>Centrales calorifiques</t>
  </si>
  <si>
    <t>Raffineries restantes + bioraffineries</t>
  </si>
  <si>
    <t>DAC des 2035 peut-être tôt ? On propose à partir de 2040 (sachant qu'on a bien anticipé le CCS sur les non-métalliques donc cela compense un peu)</t>
  </si>
  <si>
    <t>Abaissé car cela semblait élevé au regard de la baisse de la production d'acier via haut-fourneaux, et des données qu'on a des fdr Arcelor</t>
  </si>
  <si>
    <t>CCS plus tôt et légèrement moins en 2050 (cohérent K6)</t>
  </si>
  <si>
    <t>Besoin calculé run1bis : 0,5 en 2030, 6 en 2040, 16 en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</si>
</sst>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 * #,##0.00\ ;\-* #,##0.00\ ;\ * \-#\ ;\ @\ "/>
    <numFmt numFmtId="165" formatCode="\ * #,##0.00&quot;    &quot;;\-* #,##0.00&quot;    &quot;;\ * \-#&quot;    &quot;;\ @\ "/>
    <numFmt numFmtId="166" formatCode="0\ %"/>
    <numFmt numFmtId="167" formatCode="0.0"/>
    <numFmt numFmtId="168" formatCode="0.000"/>
    <numFmt numFmtId="169" formatCode="0.00\ %"/>
    <numFmt numFmtId="170" formatCode="0.0%"/>
    <numFmt numFmtId="171" formatCode="#,##0.0"/>
    <numFmt numFmtId="172" formatCode="0.0\ %"/>
    <numFmt numFmtId="173" formatCode="0.0000"/>
  </numFmts>
  <fonts count="99" x14ac:knownFonts="1">
    <font>
      <sz val="11"/>
      <color rgb="FF000000"/>
      <name val="Calibri"/>
      <family val="2"/>
      <charset val="1"/>
    </font>
    <font>
      <sz val="11"/>
      <name val="Calibri"/>
      <family val="2"/>
      <charset val="1"/>
    </font>
    <font>
      <sz val="11"/>
      <color rgb="FFFFFFFF"/>
      <name val="Calibri"/>
      <family val="2"/>
      <charset val="1"/>
    </font>
    <font>
      <u/>
      <sz val="10"/>
      <color rgb="FF0000FF"/>
      <name val="Times New Roman"/>
      <family val="1"/>
      <charset val="1"/>
    </font>
    <font>
      <u/>
      <sz val="10"/>
      <name val="Times New Roman"/>
      <family val="1"/>
      <charset val="1"/>
    </font>
    <font>
      <sz val="9"/>
      <name val="Times New Roman"/>
      <family val="1"/>
      <charset val="1"/>
    </font>
    <font>
      <sz val="10"/>
      <color rgb="FFFFFFFF"/>
      <name val="Calibri"/>
      <family val="2"/>
      <charset val="1"/>
    </font>
    <font>
      <sz val="10"/>
      <name val="Calibri"/>
      <family val="2"/>
      <charset val="1"/>
    </font>
    <font>
      <b/>
      <sz val="10"/>
      <color rgb="FF000000"/>
      <name val="Calibri"/>
      <family val="2"/>
      <charset val="1"/>
    </font>
    <font>
      <b/>
      <sz val="10"/>
      <name val="Calibri"/>
      <family val="2"/>
      <charset val="1"/>
    </font>
    <font>
      <b/>
      <sz val="9"/>
      <name val="Times New Roman"/>
      <family val="1"/>
      <charset val="1"/>
    </font>
    <font>
      <sz val="9"/>
      <color rgb="FF000000"/>
      <name val="Times New Roman"/>
      <family val="1"/>
      <charset val="1"/>
    </font>
    <font>
      <sz val="12"/>
      <color rgb="FF000000"/>
      <name val="Times New Roman"/>
      <family val="1"/>
      <charset val="1"/>
    </font>
    <font>
      <sz val="12"/>
      <name val="Times New Roman"/>
      <family val="1"/>
      <charset val="1"/>
    </font>
    <font>
      <b/>
      <sz val="11"/>
      <color rgb="FF333333"/>
      <name val="Calibri"/>
      <family val="2"/>
      <charset val="1"/>
    </font>
    <font>
      <sz val="10"/>
      <color rgb="FFCA0200"/>
      <name val="Calibri"/>
      <family val="2"/>
      <charset val="1"/>
    </font>
    <font>
      <sz val="11"/>
      <color rgb="FF800080"/>
      <name val="Calibri"/>
      <family val="2"/>
      <charset val="1"/>
    </font>
    <font>
      <sz val="10"/>
      <color rgb="FFCC0000"/>
      <name val="Calibri"/>
      <family val="2"/>
      <charset val="1"/>
    </font>
    <font>
      <b/>
      <sz val="11"/>
      <color rgb="FFFF9900"/>
      <name val="Calibri"/>
      <family val="2"/>
      <charset val="1"/>
    </font>
    <font>
      <b/>
      <sz val="11"/>
      <name val="Calibri"/>
      <family val="2"/>
      <charset val="1"/>
    </font>
    <font>
      <b/>
      <sz val="11"/>
      <color rgb="FFFFFFFF"/>
      <name val="Calibri"/>
      <family val="2"/>
      <charset val="1"/>
    </font>
    <font>
      <b/>
      <sz val="11"/>
      <color rgb="FF0000FF"/>
      <name val="Arial"/>
      <family val="2"/>
      <charset val="1"/>
    </font>
    <font>
      <b/>
      <sz val="11"/>
      <name val="Arial"/>
      <family val="2"/>
      <charset val="1"/>
    </font>
    <font>
      <sz val="11"/>
      <color rgb="FF333399"/>
      <name val="Calibri"/>
      <family val="2"/>
      <charset val="1"/>
    </font>
    <font>
      <sz val="10"/>
      <name val="Arial"/>
      <family val="2"/>
      <charset val="1"/>
    </font>
    <font>
      <b/>
      <sz val="11"/>
      <color rgb="FF000000"/>
      <name val="Calibri"/>
      <family val="2"/>
      <charset val="1"/>
    </font>
    <font>
      <i/>
      <sz val="11"/>
      <color rgb="FF808080"/>
      <name val="Calibri"/>
      <family val="2"/>
      <charset val="1"/>
    </font>
    <font>
      <i/>
      <sz val="11"/>
      <name val="Calibri"/>
      <family val="2"/>
      <charset val="1"/>
    </font>
    <font>
      <b/>
      <sz val="10"/>
      <color rgb="FFFFFFFF"/>
      <name val="Calibri"/>
      <family val="2"/>
      <charset val="1"/>
    </font>
    <font>
      <i/>
      <sz val="10"/>
      <color rgb="FF808080"/>
      <name val="Calibri"/>
      <family val="2"/>
      <charset val="1"/>
    </font>
    <font>
      <i/>
      <sz val="10"/>
      <name val="Calibri"/>
      <family val="2"/>
      <charset val="1"/>
    </font>
    <font>
      <sz val="10"/>
      <color rgb="FF007926"/>
      <name val="Calibri"/>
      <family val="2"/>
      <charset val="1"/>
    </font>
    <font>
      <sz val="10"/>
      <color rgb="FF006600"/>
      <name val="Calibri"/>
      <family val="2"/>
      <charset val="1"/>
    </font>
    <font>
      <sz val="11"/>
      <color rgb="FF007926"/>
      <name val="Calibri"/>
      <family val="2"/>
      <charset val="1"/>
    </font>
    <font>
      <sz val="18"/>
      <color rgb="FF000000"/>
      <name val="Calibri"/>
      <family val="2"/>
      <charset val="1"/>
    </font>
    <font>
      <sz val="18"/>
      <name val="Calibri"/>
      <family val="2"/>
      <charset val="1"/>
    </font>
    <font>
      <b/>
      <sz val="15"/>
      <color rgb="FF003366"/>
      <name val="Calibri"/>
      <family val="2"/>
      <charset val="1"/>
    </font>
    <font>
      <sz val="12"/>
      <color rgb="FF000000"/>
      <name val="Calibri"/>
      <family val="2"/>
      <charset val="1"/>
    </font>
    <font>
      <sz val="12"/>
      <name val="Calibri"/>
      <family val="2"/>
      <charset val="1"/>
    </font>
    <font>
      <b/>
      <sz val="13"/>
      <color rgb="FF003366"/>
      <name val="Calibri"/>
      <family val="2"/>
      <charset val="1"/>
    </font>
    <font>
      <b/>
      <sz val="24"/>
      <color rgb="FF000000"/>
      <name val="Calibri"/>
      <family val="2"/>
      <charset val="1"/>
    </font>
    <font>
      <b/>
      <sz val="11"/>
      <color rgb="FF003366"/>
      <name val="Calibri"/>
      <family val="2"/>
      <charset val="1"/>
    </font>
    <font>
      <b/>
      <sz val="24"/>
      <name val="Calibri"/>
      <family val="2"/>
      <charset val="1"/>
    </font>
    <font>
      <b/>
      <sz val="12"/>
      <name val="Times New Roman"/>
      <family val="1"/>
      <charset val="1"/>
    </font>
    <font>
      <u/>
      <sz val="10"/>
      <color rgb="FF0000FF"/>
      <name val="Calibri"/>
      <family val="2"/>
      <charset val="1"/>
    </font>
    <font>
      <u/>
      <sz val="10"/>
      <name val="Calibri"/>
      <family val="2"/>
      <charset val="1"/>
    </font>
    <font>
      <u/>
      <sz val="10"/>
      <color rgb="FF0000EE"/>
      <name val="Calibri"/>
      <family val="2"/>
      <charset val="1"/>
    </font>
    <font>
      <b/>
      <sz val="12"/>
      <color rgb="FF000000"/>
      <name val="Times New Roman"/>
      <family val="1"/>
      <charset val="1"/>
    </font>
    <font>
      <sz val="11"/>
      <color rgb="FFFF9900"/>
      <name val="Calibri"/>
      <family val="2"/>
      <charset val="1"/>
    </font>
    <font>
      <sz val="10"/>
      <color rgb="FFED661E"/>
      <name val="Calibri"/>
      <family val="2"/>
      <charset val="1"/>
    </font>
    <font>
      <sz val="10"/>
      <color rgb="FF993300"/>
      <name val="Calibri"/>
      <family val="2"/>
      <charset val="1"/>
    </font>
    <font>
      <sz val="10"/>
      <color rgb="FF996600"/>
      <name val="Calibri"/>
      <family val="2"/>
      <charset val="1"/>
    </font>
    <font>
      <sz val="11"/>
      <color rgb="FFCA0200"/>
      <name val="Calibri"/>
      <family val="2"/>
      <charset val="1"/>
    </font>
    <font>
      <sz val="11"/>
      <color rgb="FF333333"/>
      <name val="Calibri"/>
      <family val="2"/>
      <charset val="1"/>
    </font>
    <font>
      <sz val="8"/>
      <name val="Arial"/>
      <family val="2"/>
      <charset val="1"/>
    </font>
    <font>
      <sz val="10"/>
      <color rgb="FF333333"/>
      <name val="Calibri"/>
      <family val="2"/>
      <charset val="1"/>
    </font>
    <font>
      <sz val="10"/>
      <color rgb="FF000000"/>
      <name val="Arial"/>
      <family val="2"/>
      <charset val="1"/>
    </font>
    <font>
      <sz val="8"/>
      <color rgb="FF000000"/>
      <name val="Calibri"/>
      <family val="2"/>
      <charset val="1"/>
    </font>
    <font>
      <i/>
      <sz val="10"/>
      <color rgb="FFAFABAB"/>
      <name val="Arial"/>
      <family val="2"/>
      <charset val="1"/>
    </font>
    <font>
      <i/>
      <sz val="11"/>
      <color rgb="FFAFABAB"/>
      <name val="Calibri"/>
      <family val="2"/>
      <charset val="1"/>
    </font>
    <font>
      <sz val="11"/>
      <color rgb="FFAFABAB"/>
      <name val="Calibri"/>
      <family val="2"/>
      <charset val="1"/>
    </font>
    <font>
      <sz val="11"/>
      <color rgb="FFFF0000"/>
      <name val="Calibri"/>
      <family val="2"/>
      <charset val="1"/>
    </font>
    <font>
      <sz val="9"/>
      <color rgb="FF000000"/>
      <name val="Calibri"/>
      <family val="2"/>
      <charset val="1"/>
    </font>
    <font>
      <sz val="11"/>
      <color rgb="FFED7D31"/>
      <name val="Calibri"/>
      <family val="2"/>
      <charset val="1"/>
    </font>
    <font>
      <b/>
      <sz val="8"/>
      <color rgb="FF000000"/>
      <name val="Arial"/>
      <family val="2"/>
      <charset val="1"/>
    </font>
    <font>
      <sz val="18"/>
      <color rgb="FF00758F"/>
      <name val="Verdana"/>
      <family val="2"/>
      <charset val="1"/>
    </font>
    <font>
      <sz val="11"/>
      <color rgb="FF00758F"/>
      <name val="Verdana"/>
      <family val="2"/>
      <charset val="1"/>
    </font>
    <font>
      <b/>
      <sz val="10"/>
      <color rgb="FF000000"/>
      <name val="Arial"/>
      <family val="2"/>
      <charset val="1"/>
    </font>
    <font>
      <sz val="11"/>
      <color rgb="FFFF5900"/>
      <name val="Calibri"/>
      <family val="2"/>
      <charset val="1"/>
    </font>
    <font>
      <b/>
      <sz val="9"/>
      <color rgb="FF000000"/>
      <name val="Arial"/>
      <family val="2"/>
      <charset val="1"/>
    </font>
    <font>
      <sz val="11"/>
      <color rgb="FFC00000"/>
      <name val="Calibri"/>
      <family val="2"/>
      <charset val="1"/>
    </font>
    <font>
      <sz val="11"/>
      <color rgb="FF7030A0"/>
      <name val="Calibri"/>
      <family val="2"/>
      <charset val="1"/>
    </font>
    <font>
      <u/>
      <sz val="11"/>
      <color rgb="FF0563C1"/>
      <name val="Calibri"/>
      <family val="2"/>
      <charset val="1"/>
    </font>
    <font>
      <b/>
      <sz val="11"/>
      <color rgb="FF000000"/>
      <name val="Arial"/>
      <family val="2"/>
      <charset val="1"/>
    </font>
    <font>
      <i/>
      <sz val="11"/>
      <color rgb="FF000000"/>
      <name val="Arial"/>
      <family val="2"/>
      <charset val="1"/>
    </font>
    <font>
      <sz val="11"/>
      <color rgb="FF000000"/>
      <name val="Arial"/>
      <family val="2"/>
      <charset val="1"/>
    </font>
    <font>
      <sz val="11"/>
      <color rgb="FF70AD47"/>
      <name val="Calibri"/>
      <family val="2"/>
      <charset val="1"/>
    </font>
    <font>
      <sz val="11"/>
      <color rgb="FFCE181E"/>
      <name val="Calibri"/>
      <family val="2"/>
      <charset val="1"/>
    </font>
    <font>
      <sz val="10"/>
      <color rgb="FF000000"/>
      <name val="Calibri"/>
      <family val="2"/>
      <charset val="1"/>
    </font>
    <font>
      <b/>
      <sz val="11"/>
      <color rgb="FFFF0000"/>
      <name val="Calibri"/>
      <family val="2"/>
      <charset val="1"/>
    </font>
    <font>
      <i/>
      <sz val="11"/>
      <color rgb="FF333333"/>
      <name val="Arial"/>
      <family val="2"/>
      <charset val="1"/>
    </font>
    <font>
      <i/>
      <sz val="11"/>
      <color rgb="FFFFFFFF"/>
      <name val="Arial"/>
      <family val="2"/>
      <charset val="1"/>
    </font>
    <font>
      <i/>
      <sz val="9"/>
      <color rgb="FF0066CC"/>
      <name val="Calibri"/>
      <family val="2"/>
      <charset val="1"/>
    </font>
    <font>
      <b/>
      <sz val="9"/>
      <name val="Calibri"/>
      <family val="2"/>
      <charset val="1"/>
    </font>
    <font>
      <sz val="9"/>
      <name val="Calibri"/>
      <family val="2"/>
      <charset val="1"/>
    </font>
    <font>
      <i/>
      <sz val="11"/>
      <name val="Arial"/>
      <family val="2"/>
      <charset val="1"/>
    </font>
    <font>
      <i/>
      <sz val="11"/>
      <color rgb="FFFF0000"/>
      <name val="Arial"/>
      <family val="2"/>
      <charset val="1"/>
    </font>
    <font>
      <sz val="11"/>
      <color rgb="FF548235"/>
      <name val="Calibri"/>
      <family val="2"/>
      <charset val="1"/>
    </font>
    <font>
      <i/>
      <sz val="11"/>
      <color rgb="FFC00000"/>
      <name val="Calibri"/>
      <family val="2"/>
      <charset val="1"/>
    </font>
    <font>
      <sz val="10"/>
      <color rgb="FF808080"/>
      <name val="Calibri"/>
      <family val="2"/>
      <charset val="1"/>
    </font>
    <font>
      <sz val="9"/>
      <color rgb="FF595959"/>
      <name val="Calibri"/>
      <family val="2"/>
      <charset val="1"/>
    </font>
    <font>
      <sz val="9"/>
      <color rgb="FFC00000"/>
      <name val="Calibri"/>
      <family val="2"/>
      <charset val="1"/>
    </font>
    <font>
      <sz val="9"/>
      <color rgb="FF548235"/>
      <name val="Calibri"/>
      <family val="2"/>
      <charset val="1"/>
    </font>
    <font>
      <b/>
      <i/>
      <sz val="11"/>
      <color rgb="FFFFFFFF"/>
      <name val="Arial"/>
      <family val="2"/>
      <charset val="1"/>
    </font>
    <font>
      <sz val="11"/>
      <color rgb="FF000000"/>
      <name val="Calibri"/>
      <family val="2"/>
      <charset val="1"/>
    </font>
    <font>
      <sz val="11"/>
      <color rgb="FFFF0000"/>
      <name val="Calibri"/>
      <family val="2"/>
      <scheme val="minor"/>
    </font>
    <font>
      <sz val="11"/>
      <color rgb="FF00B0F0"/>
      <name val="Calibri"/>
      <family val="2"/>
      <scheme val="minor"/>
    </font>
    <font>
      <b/>
      <i/>
      <sz val="11"/>
      <color rgb="FFFFFF00"/>
      <name val="Arial"/>
      <family val="2"/>
      <charset val="1"/>
    </font>
    <font>
      <b/>
      <i/>
      <sz val="11"/>
      <color rgb="FF00B0F0"/>
      <name val="Arial"/>
      <family val="2"/>
      <charset val="1"/>
    </font>
  </fonts>
  <fills count="58">
    <fill>
      <patternFill patternType="none"/>
    </fill>
    <fill>
      <patternFill patternType="gray125"/>
    </fill>
    <fill>
      <patternFill patternType="solid">
        <fgColor rgb="FFCAD0FE"/>
        <bgColor rgb="FFBDD7EE"/>
      </patternFill>
    </fill>
    <fill>
      <patternFill patternType="solid">
        <fgColor rgb="FFFFFFFF"/>
        <bgColor rgb="FFF2F2F2"/>
      </patternFill>
    </fill>
    <fill>
      <patternFill patternType="solid">
        <fgColor rgb="FFFF99CC"/>
        <bgColor rgb="FFFF898C"/>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B"/>
        <bgColor rgb="FFD8D8D8"/>
      </patternFill>
    </fill>
    <fill>
      <patternFill patternType="solid">
        <fgColor rgb="FF9ACBFD"/>
        <bgColor rgb="FF9DC3E6"/>
      </patternFill>
    </fill>
    <fill>
      <patternFill patternType="solid">
        <fgColor rgb="FFFF898C"/>
        <bgColor rgb="FFFF99CC"/>
      </patternFill>
    </fill>
    <fill>
      <patternFill patternType="solid">
        <fgColor rgb="FF00FF00"/>
        <bgColor rgb="FF33CCCC"/>
      </patternFill>
    </fill>
    <fill>
      <patternFill patternType="solid">
        <fgColor rgb="FFFFCC00"/>
        <bgColor rgb="FFFFC000"/>
      </patternFill>
    </fill>
    <fill>
      <patternFill patternType="solid">
        <fgColor rgb="FF006DB4"/>
        <bgColor rgb="FF296098"/>
      </patternFill>
    </fill>
    <fill>
      <patternFill patternType="solid">
        <fgColor rgb="FF800080"/>
        <bgColor rgb="FF7A2D99"/>
      </patternFill>
    </fill>
    <fill>
      <patternFill patternType="solid">
        <fgColor rgb="FF33CCCC"/>
        <bgColor rgb="FF9ACBFD"/>
      </patternFill>
    </fill>
    <fill>
      <patternFill patternType="solid">
        <fgColor rgb="FFFF9900"/>
        <bgColor rgb="FFFF9109"/>
      </patternFill>
    </fill>
    <fill>
      <patternFill patternType="solid">
        <fgColor rgb="FF000000"/>
        <bgColor rgb="FF013347"/>
      </patternFill>
    </fill>
    <fill>
      <patternFill patternType="solid">
        <fgColor rgb="FF808080"/>
        <bgColor rgb="FF959698"/>
      </patternFill>
    </fill>
    <fill>
      <patternFill patternType="solid">
        <fgColor rgb="FFE0E3F2"/>
        <bgColor rgb="FFE9E3F2"/>
      </patternFill>
    </fill>
    <fill>
      <patternFill patternType="solid">
        <fgColor rgb="FF303434"/>
        <bgColor rgb="FF013347"/>
      </patternFill>
    </fill>
    <fill>
      <patternFill patternType="solid">
        <fgColor rgb="FF333399"/>
        <bgColor rgb="FF2F5597"/>
      </patternFill>
    </fill>
    <fill>
      <patternFill patternType="solid">
        <fgColor rgb="FFFF0000"/>
        <bgColor rgb="FFCC0101"/>
      </patternFill>
    </fill>
    <fill>
      <patternFill patternType="solid">
        <fgColor rgb="FF508B36"/>
        <bgColor rgb="FF73AF45"/>
      </patternFill>
    </fill>
    <fill>
      <patternFill patternType="mediumGray">
        <fgColor rgb="FF148317"/>
        <bgColor rgb="FF508B36"/>
      </patternFill>
    </fill>
    <fill>
      <patternFill patternType="solid">
        <fgColor rgb="FFFF5900"/>
        <bgColor rgb="FFED661E"/>
      </patternFill>
    </fill>
    <fill>
      <patternFill patternType="solid">
        <fgColor rgb="FFC0C0C0"/>
        <bgColor rgb="FFBFBFBF"/>
      </patternFill>
    </fill>
    <fill>
      <patternFill patternType="darkGray">
        <fgColor rgb="FFFFCC9B"/>
        <bgColor rgb="FFD8D8D8"/>
      </patternFill>
    </fill>
    <fill>
      <patternFill patternType="solid">
        <fgColor rgb="FF959698"/>
        <bgColor rgb="FFA9A7A7"/>
      </patternFill>
    </fill>
    <fill>
      <patternFill patternType="darkGray">
        <fgColor rgb="FFC40000"/>
        <bgColor rgb="FFCC0101"/>
      </patternFill>
    </fill>
    <fill>
      <patternFill patternType="solid">
        <fgColor rgb="FFCC0101"/>
        <bgColor rgb="FFC40000"/>
      </patternFill>
    </fill>
    <fill>
      <patternFill patternType="solid">
        <fgColor rgb="FFFFFFC8"/>
        <bgColor rgb="FFFFFFFF"/>
      </patternFill>
    </fill>
    <fill>
      <patternFill patternType="solid">
        <fgColor rgb="FFFFFF00"/>
        <bgColor rgb="FFFFCC00"/>
      </patternFill>
    </fill>
    <fill>
      <patternFill patternType="solid">
        <fgColor rgb="FFDEEBF7"/>
        <bgColor rgb="FFE0E3F2"/>
      </patternFill>
    </fill>
    <fill>
      <patternFill patternType="solid">
        <fgColor rgb="FFE9E3F2"/>
        <bgColor rgb="FFE0E3F2"/>
      </patternFill>
    </fill>
    <fill>
      <patternFill patternType="solid">
        <fgColor rgb="FFA9A7A7"/>
        <bgColor rgb="FF959698"/>
      </patternFill>
    </fill>
    <fill>
      <patternFill patternType="solid">
        <fgColor rgb="FFFFC000"/>
        <bgColor rgb="FFFFCC00"/>
      </patternFill>
    </fill>
    <fill>
      <patternFill patternType="solid">
        <fgColor rgb="FFED7D31"/>
        <bgColor rgb="FFED661E"/>
      </patternFill>
    </fill>
    <fill>
      <patternFill patternType="darkGray">
        <fgColor rgb="FF3D7AC0"/>
        <bgColor rgb="FF2E66A0"/>
      </patternFill>
    </fill>
    <fill>
      <patternFill patternType="solid">
        <fgColor rgb="FFF86032"/>
        <bgColor rgb="FFED661E"/>
      </patternFill>
    </fill>
    <fill>
      <patternFill patternType="solid">
        <fgColor rgb="FFB7C5DB"/>
        <bgColor rgb="FFB4C7E5"/>
      </patternFill>
    </fill>
    <fill>
      <patternFill patternType="solid">
        <fgColor rgb="FF73AF45"/>
        <bgColor rgb="FF508B36"/>
      </patternFill>
    </fill>
    <fill>
      <patternFill patternType="solid">
        <fgColor rgb="FFFF9109"/>
        <bgColor rgb="FFFF9900"/>
      </patternFill>
    </fill>
    <fill>
      <patternFill patternType="solid">
        <fgColor rgb="FFC40000"/>
        <bgColor rgb="FFCC0101"/>
      </patternFill>
    </fill>
    <fill>
      <patternFill patternType="solid">
        <fgColor rgb="FFBFBFBF"/>
        <bgColor rgb="FFC0C0C0"/>
      </patternFill>
    </fill>
    <fill>
      <patternFill patternType="darkGray">
        <fgColor rgb="FFFF898C"/>
        <bgColor rgb="FFFF99CC"/>
      </patternFill>
    </fill>
    <fill>
      <patternFill patternType="solid">
        <fgColor rgb="FFCCCCCC"/>
        <bgColor rgb="FFC0C0C0"/>
      </patternFill>
    </fill>
    <fill>
      <patternFill patternType="solid">
        <fgColor rgb="FFF2F2F2"/>
        <bgColor rgb="FFE2F0D9"/>
      </patternFill>
    </fill>
    <fill>
      <patternFill patternType="solid">
        <fgColor rgb="FF7A2D99"/>
        <bgColor rgb="FF800080"/>
      </patternFill>
    </fill>
    <fill>
      <patternFill patternType="solid">
        <fgColor rgb="FFED661E"/>
        <bgColor rgb="FFF86032"/>
      </patternFill>
    </fill>
    <fill>
      <patternFill patternType="darkGray">
        <fgColor rgb="FFFFFF00"/>
        <bgColor rgb="FFFFCC00"/>
      </patternFill>
    </fill>
    <fill>
      <patternFill patternType="solid">
        <fgColor rgb="FF2E66A0"/>
        <bgColor rgb="FF296098"/>
      </patternFill>
    </fill>
    <fill>
      <patternFill patternType="solid">
        <fgColor rgb="FFBDD7EE"/>
        <bgColor rgb="FFCAD0FE"/>
      </patternFill>
    </fill>
    <fill>
      <patternFill patternType="solid">
        <fgColor rgb="FFB4C7E5"/>
        <bgColor rgb="FFB7C5DB"/>
      </patternFill>
    </fill>
    <fill>
      <patternFill patternType="solid">
        <fgColor rgb="FFD8D8D8"/>
        <bgColor rgb="FFCCCCCC"/>
      </patternFill>
    </fill>
    <fill>
      <patternFill patternType="solid">
        <fgColor rgb="FFE2F0D9"/>
        <bgColor rgb="FFDEEBF7"/>
      </patternFill>
    </fill>
    <fill>
      <patternFill patternType="darkGray">
        <fgColor rgb="FFE0E3F2"/>
        <bgColor rgb="FFDEEBF7"/>
      </patternFill>
    </fill>
    <fill>
      <patternFill patternType="solid">
        <fgColor rgb="FFFFFF00"/>
        <bgColor indexed="64"/>
      </patternFill>
    </fill>
  </fills>
  <borders count="7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13347"/>
      </left>
      <right style="thin">
        <color rgb="FF013347"/>
      </right>
      <top style="thin">
        <color rgb="FF013347"/>
      </top>
      <bottom style="thin">
        <color rgb="FF013347"/>
      </bottom>
      <diagonal/>
    </border>
    <border>
      <left style="thin">
        <color rgb="FF808080"/>
      </left>
      <right style="thin">
        <color rgb="FF808080"/>
      </right>
      <top style="thin">
        <color rgb="FF808080"/>
      </top>
      <bottom style="thin">
        <color rgb="FF808080"/>
      </bottom>
      <diagonal/>
    </border>
    <border>
      <left style="double">
        <color rgb="FF013347"/>
      </left>
      <right style="double">
        <color rgb="FF013347"/>
      </right>
      <top style="double">
        <color rgb="FF013347"/>
      </top>
      <bottom style="double">
        <color rgb="FF013347"/>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rgb="FF333399"/>
      </top>
      <bottom style="double">
        <color rgb="FF333399"/>
      </bottom>
      <diagonal/>
    </border>
    <border>
      <left/>
      <right/>
      <top/>
      <bottom style="thick">
        <color rgb="FF333399"/>
      </bottom>
      <diagonal/>
    </border>
    <border>
      <left/>
      <right/>
      <top/>
      <bottom style="thick">
        <color rgb="FFC0C0C0"/>
      </bottom>
      <diagonal/>
    </border>
    <border>
      <left/>
      <right/>
      <top/>
      <bottom style="thick">
        <color auto="1"/>
      </bottom>
      <diagonal/>
    </border>
    <border>
      <left/>
      <right/>
      <top/>
      <bottom style="medium">
        <color rgb="FF006DB4"/>
      </bottom>
      <diagonal/>
    </border>
    <border>
      <left/>
      <right/>
      <top/>
      <bottom style="thin">
        <color auto="1"/>
      </bottom>
      <diagonal/>
    </border>
    <border>
      <left/>
      <right/>
      <top/>
      <bottom style="double">
        <color rgb="FFFF9900"/>
      </bottom>
      <diagonal/>
    </border>
    <border>
      <left/>
      <right/>
      <top/>
      <bottom style="double">
        <color auto="1"/>
      </bottom>
      <diagonal/>
    </border>
    <border>
      <left style="medium">
        <color auto="1"/>
      </left>
      <right/>
      <top/>
      <bottom/>
      <diagonal/>
    </border>
    <border>
      <left style="medium">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auto="1"/>
      </left>
      <right/>
      <top style="thin">
        <color auto="1"/>
      </top>
      <bottom style="thin">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right style="hair">
        <color auto="1"/>
      </right>
      <top/>
      <bottom/>
      <diagonal/>
    </border>
    <border>
      <left style="thin">
        <color auto="1"/>
      </left>
      <right style="thin">
        <color auto="1"/>
      </right>
      <top/>
      <bottom/>
      <diagonal/>
    </border>
    <border>
      <left style="hair">
        <color auto="1"/>
      </left>
      <right style="hair">
        <color auto="1"/>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hair">
        <color auto="1"/>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hair">
        <color auto="1"/>
      </bottom>
      <diagonal/>
    </border>
    <border>
      <left style="hair">
        <color auto="1"/>
      </left>
      <right/>
      <top/>
      <bottom style="hair">
        <color auto="1"/>
      </bottom>
      <diagonal/>
    </border>
  </borders>
  <cellStyleXfs count="1792">
    <xf numFmtId="0" fontId="0" fillId="0" borderId="0"/>
    <xf numFmtId="164" fontId="94" fillId="0" borderId="0"/>
    <xf numFmtId="166" fontId="53" fillId="0" borderId="0"/>
    <xf numFmtId="0" fontId="72" fillId="0" borderId="0"/>
    <xf numFmtId="0" fontId="94" fillId="2" borderId="0"/>
    <xf numFmtId="0" fontId="1" fillId="3" borderId="0"/>
    <xf numFmtId="0" fontId="94" fillId="2" borderId="0"/>
    <xf numFmtId="0" fontId="1" fillId="3" borderId="0"/>
    <xf numFmtId="0" fontId="94" fillId="4" borderId="0"/>
    <xf numFmtId="0" fontId="1" fillId="3" borderId="0"/>
    <xf numFmtId="0" fontId="94" fillId="4" borderId="0"/>
    <xf numFmtId="0" fontId="1" fillId="3" borderId="0"/>
    <xf numFmtId="0" fontId="94" fillId="5" borderId="0"/>
    <xf numFmtId="0" fontId="1" fillId="3" borderId="0"/>
    <xf numFmtId="0" fontId="94" fillId="5" borderId="0"/>
    <xf numFmtId="0" fontId="1" fillId="3" borderId="0"/>
    <xf numFmtId="0" fontId="94" fillId="6" borderId="0"/>
    <xf numFmtId="0" fontId="1" fillId="3" borderId="0"/>
    <xf numFmtId="0" fontId="94" fillId="6" borderId="0"/>
    <xf numFmtId="0" fontId="1" fillId="3" borderId="0"/>
    <xf numFmtId="0" fontId="94" fillId="7" borderId="0"/>
    <xf numFmtId="0" fontId="1" fillId="3" borderId="0"/>
    <xf numFmtId="0" fontId="94" fillId="7" borderId="0"/>
    <xf numFmtId="0" fontId="1" fillId="3" borderId="0"/>
    <xf numFmtId="0" fontId="94" fillId="8" borderId="0"/>
    <xf numFmtId="0" fontId="1" fillId="3" borderId="0"/>
    <xf numFmtId="0" fontId="94" fillId="8" borderId="0"/>
    <xf numFmtId="0" fontId="1" fillId="3" borderId="0"/>
    <xf numFmtId="0" fontId="94" fillId="2" borderId="0"/>
    <xf numFmtId="0" fontId="1" fillId="3" borderId="0"/>
    <xf numFmtId="0" fontId="94" fillId="2" borderId="0"/>
    <xf numFmtId="0" fontId="1" fillId="3" borderId="0"/>
    <xf numFmtId="0" fontId="94" fillId="4" borderId="0"/>
    <xf numFmtId="0" fontId="1" fillId="3" borderId="0"/>
    <xf numFmtId="0" fontId="94" fillId="4" borderId="0"/>
    <xf numFmtId="0" fontId="1" fillId="3" borderId="0"/>
    <xf numFmtId="0" fontId="94" fillId="5" borderId="0"/>
    <xf numFmtId="0" fontId="1" fillId="3" borderId="0"/>
    <xf numFmtId="0" fontId="94" fillId="5" borderId="0"/>
    <xf numFmtId="0" fontId="1" fillId="3" borderId="0"/>
    <xf numFmtId="0" fontId="94" fillId="6" borderId="0"/>
    <xf numFmtId="0" fontId="1" fillId="3" borderId="0"/>
    <xf numFmtId="0" fontId="94" fillId="6" borderId="0"/>
    <xf numFmtId="0" fontId="1" fillId="3" borderId="0"/>
    <xf numFmtId="0" fontId="94" fillId="7" borderId="0"/>
    <xf numFmtId="0" fontId="1" fillId="3" borderId="0"/>
    <xf numFmtId="0" fontId="94" fillId="7" borderId="0"/>
    <xf numFmtId="0" fontId="1" fillId="3" borderId="0"/>
    <xf numFmtId="0" fontId="94" fillId="8" borderId="0"/>
    <xf numFmtId="0" fontId="1" fillId="3" borderId="0"/>
    <xf numFmtId="0" fontId="94" fillId="8" borderId="0"/>
    <xf numFmtId="0" fontId="1" fillId="3" borderId="0"/>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1"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9" borderId="0"/>
    <xf numFmtId="0" fontId="1" fillId="3" borderId="0"/>
    <xf numFmtId="0" fontId="94" fillId="9" borderId="0"/>
    <xf numFmtId="0" fontId="1" fillId="3" borderId="0"/>
    <xf numFmtId="0" fontId="94" fillId="10" borderId="0"/>
    <xf numFmtId="0" fontId="1" fillId="3" borderId="0"/>
    <xf numFmtId="0" fontId="94" fillId="10" borderId="0"/>
    <xf numFmtId="0" fontId="1" fillId="3" borderId="0"/>
    <xf numFmtId="0" fontId="94" fillId="11" borderId="0"/>
    <xf numFmtId="0" fontId="1" fillId="3" borderId="0"/>
    <xf numFmtId="0" fontId="94" fillId="11" borderId="0"/>
    <xf numFmtId="0" fontId="1" fillId="3" borderId="0"/>
    <xf numFmtId="0" fontId="94" fillId="6" borderId="0"/>
    <xf numFmtId="0" fontId="1" fillId="3" borderId="0"/>
    <xf numFmtId="0" fontId="94" fillId="6" borderId="0"/>
    <xf numFmtId="0" fontId="1" fillId="3" borderId="0"/>
    <xf numFmtId="0" fontId="94" fillId="9" borderId="0"/>
    <xf numFmtId="0" fontId="1" fillId="3" borderId="0"/>
    <xf numFmtId="0" fontId="94" fillId="9" borderId="0"/>
    <xf numFmtId="0" fontId="1" fillId="3" borderId="0"/>
    <xf numFmtId="0" fontId="94" fillId="12" borderId="0"/>
    <xf numFmtId="0" fontId="1" fillId="3" borderId="0"/>
    <xf numFmtId="0" fontId="94" fillId="12" borderId="0"/>
    <xf numFmtId="0" fontId="1" fillId="3" borderId="0"/>
    <xf numFmtId="0" fontId="94" fillId="9" borderId="0"/>
    <xf numFmtId="0" fontId="1" fillId="3" borderId="0"/>
    <xf numFmtId="0" fontId="94" fillId="9" borderId="0"/>
    <xf numFmtId="0" fontId="1" fillId="3" borderId="0"/>
    <xf numFmtId="0" fontId="94" fillId="10" borderId="0"/>
    <xf numFmtId="0" fontId="1" fillId="3" borderId="0"/>
    <xf numFmtId="0" fontId="94" fillId="10" borderId="0"/>
    <xf numFmtId="0" fontId="1" fillId="3" borderId="0"/>
    <xf numFmtId="0" fontId="94" fillId="11" borderId="0"/>
    <xf numFmtId="0" fontId="1" fillId="3" borderId="0"/>
    <xf numFmtId="0" fontId="94" fillId="11" borderId="0"/>
    <xf numFmtId="0" fontId="1" fillId="3" borderId="0"/>
    <xf numFmtId="0" fontId="94" fillId="6" borderId="0"/>
    <xf numFmtId="0" fontId="1" fillId="3" borderId="0"/>
    <xf numFmtId="0" fontId="94" fillId="6" borderId="0"/>
    <xf numFmtId="0" fontId="1" fillId="3" borderId="0"/>
    <xf numFmtId="0" fontId="94" fillId="9" borderId="0"/>
    <xf numFmtId="0" fontId="1" fillId="3" borderId="0"/>
    <xf numFmtId="0" fontId="94" fillId="9" borderId="0"/>
    <xf numFmtId="0" fontId="1" fillId="3" borderId="0"/>
    <xf numFmtId="0" fontId="94" fillId="12" borderId="0"/>
    <xf numFmtId="0" fontId="1" fillId="3" borderId="0"/>
    <xf numFmtId="0" fontId="94" fillId="12" borderId="0"/>
    <xf numFmtId="0" fontId="1" fillId="3" borderId="0"/>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indent="15"/>
    </xf>
    <xf numFmtId="0" fontId="1" fillId="0" borderId="0">
      <alignment horizontal="left" vertical="center" indent="15"/>
    </xf>
    <xf numFmtId="0" fontId="1" fillId="0" borderId="0">
      <alignment horizontal="left" vertical="center" indent="15"/>
    </xf>
    <xf numFmtId="0" fontId="1" fillId="0" borderId="0">
      <alignment horizontal="left" vertical="center" indent="15"/>
    </xf>
    <xf numFmtId="0" fontId="1" fillId="0" borderId="0">
      <alignment horizontal="left" vertical="center" indent="15"/>
    </xf>
    <xf numFmtId="0" fontId="94" fillId="0" borderId="0">
      <alignment horizontal="left" vertical="center"/>
    </xf>
    <xf numFmtId="0" fontId="2" fillId="13" borderId="0"/>
    <xf numFmtId="0" fontId="1" fillId="3" borderId="0"/>
    <xf numFmtId="0" fontId="2" fillId="13" borderId="0"/>
    <xf numFmtId="0" fontId="1" fillId="3" borderId="0"/>
    <xf numFmtId="0" fontId="2" fillId="10" borderId="0"/>
    <xf numFmtId="0" fontId="1" fillId="3" borderId="0"/>
    <xf numFmtId="0" fontId="2" fillId="10" borderId="0"/>
    <xf numFmtId="0" fontId="1" fillId="3" borderId="0"/>
    <xf numFmtId="0" fontId="2" fillId="11" borderId="0"/>
    <xf numFmtId="0" fontId="1" fillId="3" borderId="0"/>
    <xf numFmtId="0" fontId="2" fillId="11" borderId="0"/>
    <xf numFmtId="0" fontId="1" fillId="3" borderId="0"/>
    <xf numFmtId="0" fontId="2" fillId="14" borderId="0"/>
    <xf numFmtId="0" fontId="1" fillId="3" borderId="0"/>
    <xf numFmtId="0" fontId="2" fillId="14" borderId="0"/>
    <xf numFmtId="0" fontId="1" fillId="3" borderId="0"/>
    <xf numFmtId="0" fontId="2" fillId="15" borderId="0"/>
    <xf numFmtId="0" fontId="1" fillId="3" borderId="0"/>
    <xf numFmtId="0" fontId="2" fillId="15" borderId="0"/>
    <xf numFmtId="0" fontId="1" fillId="3" borderId="0"/>
    <xf numFmtId="0" fontId="2" fillId="16" borderId="0"/>
    <xf numFmtId="0" fontId="1" fillId="3" borderId="0"/>
    <xf numFmtId="0" fontId="2" fillId="16" borderId="0"/>
    <xf numFmtId="0" fontId="1" fillId="3" borderId="0"/>
    <xf numFmtId="0" fontId="2" fillId="13" borderId="0"/>
    <xf numFmtId="0" fontId="1" fillId="3" borderId="0"/>
    <xf numFmtId="0" fontId="2" fillId="13" borderId="0"/>
    <xf numFmtId="0" fontId="1" fillId="3" borderId="0"/>
    <xf numFmtId="0" fontId="2" fillId="10" borderId="0"/>
    <xf numFmtId="0" fontId="1" fillId="3" borderId="0"/>
    <xf numFmtId="0" fontId="2" fillId="10" borderId="0"/>
    <xf numFmtId="0" fontId="1" fillId="3" borderId="0"/>
    <xf numFmtId="0" fontId="2" fillId="11" borderId="0"/>
    <xf numFmtId="0" fontId="1" fillId="3" borderId="0"/>
    <xf numFmtId="0" fontId="2" fillId="11" borderId="0"/>
    <xf numFmtId="0" fontId="1" fillId="3" borderId="0"/>
    <xf numFmtId="0" fontId="2" fillId="14" borderId="0"/>
    <xf numFmtId="0" fontId="1" fillId="3" borderId="0"/>
    <xf numFmtId="0" fontId="2" fillId="14" borderId="0"/>
    <xf numFmtId="0" fontId="1" fillId="3" borderId="0"/>
    <xf numFmtId="0" fontId="2" fillId="15" borderId="0"/>
    <xf numFmtId="0" fontId="1" fillId="3" borderId="0"/>
    <xf numFmtId="0" fontId="2" fillId="15" borderId="0"/>
    <xf numFmtId="0" fontId="1" fillId="3" borderId="0"/>
    <xf numFmtId="0" fontId="2" fillId="16" borderId="0"/>
    <xf numFmtId="0" fontId="1" fillId="3" borderId="0"/>
    <xf numFmtId="0" fontId="2" fillId="16" borderId="0"/>
    <xf numFmtId="0" fontId="1" fillId="3" borderId="0"/>
    <xf numFmtId="0" fontId="3" fillId="0" borderId="0"/>
    <xf numFmtId="0" fontId="4" fillId="0" borderId="0"/>
    <xf numFmtId="0" fontId="5" fillId="0" borderId="0"/>
    <xf numFmtId="0" fontId="6" fillId="17" borderId="0"/>
    <xf numFmtId="0" fontId="7" fillId="3" borderId="0"/>
    <xf numFmtId="0" fontId="6" fillId="17" borderId="0"/>
    <xf numFmtId="0" fontId="6" fillId="18" borderId="0"/>
    <xf numFmtId="0" fontId="7" fillId="3" borderId="0"/>
    <xf numFmtId="0" fontId="6" fillId="18" borderId="0"/>
    <xf numFmtId="0" fontId="8" fillId="19" borderId="0"/>
    <xf numFmtId="0" fontId="9" fillId="20" borderId="0"/>
    <xf numFmtId="0" fontId="8" fillId="19" borderId="0"/>
    <xf numFmtId="0" fontId="8" fillId="0" borderId="0"/>
    <xf numFmtId="0" fontId="9" fillId="0" borderId="0"/>
    <xf numFmtId="0" fontId="8" fillId="0" borderId="0"/>
    <xf numFmtId="0" fontId="2" fillId="21" borderId="0"/>
    <xf numFmtId="0" fontId="1" fillId="21" borderId="0"/>
    <xf numFmtId="0" fontId="2" fillId="21" borderId="0"/>
    <xf numFmtId="0" fontId="1" fillId="21" borderId="0"/>
    <xf numFmtId="0" fontId="2" fillId="21" borderId="0"/>
    <xf numFmtId="0" fontId="1" fillId="21" borderId="0"/>
    <xf numFmtId="0" fontId="2" fillId="22" borderId="0"/>
    <xf numFmtId="0" fontId="1" fillId="3" borderId="0"/>
    <xf numFmtId="0" fontId="2" fillId="22" borderId="0"/>
    <xf numFmtId="0" fontId="1" fillId="3" borderId="0"/>
    <xf numFmtId="0" fontId="2" fillId="22" borderId="0"/>
    <xf numFmtId="0" fontId="1" fillId="3" borderId="0"/>
    <xf numFmtId="0" fontId="2" fillId="23" borderId="0"/>
    <xf numFmtId="0" fontId="1" fillId="24" borderId="0"/>
    <xf numFmtId="0" fontId="2" fillId="23" borderId="0"/>
    <xf numFmtId="0" fontId="1" fillId="24" borderId="0"/>
    <xf numFmtId="0" fontId="2" fillId="23" borderId="0"/>
    <xf numFmtId="0" fontId="1" fillId="24" borderId="0"/>
    <xf numFmtId="0" fontId="2" fillId="14" borderId="0"/>
    <xf numFmtId="0" fontId="1" fillId="3" borderId="0"/>
    <xf numFmtId="0" fontId="2" fillId="14" borderId="0"/>
    <xf numFmtId="0" fontId="1" fillId="3" borderId="0"/>
    <xf numFmtId="0" fontId="2" fillId="14" borderId="0"/>
    <xf numFmtId="0" fontId="1" fillId="3" borderId="0"/>
    <xf numFmtId="0" fontId="2" fillId="15" borderId="0"/>
    <xf numFmtId="0" fontId="1" fillId="3" borderId="0"/>
    <xf numFmtId="0" fontId="2" fillId="15" borderId="0"/>
    <xf numFmtId="0" fontId="1" fillId="3" borderId="0"/>
    <xf numFmtId="0" fontId="2" fillId="15" borderId="0"/>
    <xf numFmtId="0" fontId="1" fillId="3" borderId="0"/>
    <xf numFmtId="0" fontId="2" fillId="25" borderId="0"/>
    <xf numFmtId="0" fontId="1" fillId="3" borderId="0"/>
    <xf numFmtId="0" fontId="2" fillId="25" borderId="0"/>
    <xf numFmtId="0" fontId="1" fillId="3" borderId="0"/>
    <xf numFmtId="0" fontId="2" fillId="25" borderId="0"/>
    <xf numFmtId="0" fontId="1" fillId="3" borderId="0"/>
    <xf numFmtId="0" fontId="10" fillId="7" borderId="0"/>
    <xf numFmtId="4" fontId="10" fillId="7" borderId="0"/>
    <xf numFmtId="4" fontId="10" fillId="3" borderId="0"/>
    <xf numFmtId="0" fontId="10" fillId="3" borderId="0"/>
    <xf numFmtId="0" fontId="5" fillId="7" borderId="0">
      <alignment horizontal="right" vertical="center"/>
    </xf>
    <xf numFmtId="4" fontId="5" fillId="7" borderId="0">
      <alignment horizontal="right" vertical="center"/>
    </xf>
    <xf numFmtId="4" fontId="5" fillId="3" borderId="0">
      <alignment horizontal="right" vertical="center"/>
    </xf>
    <xf numFmtId="0" fontId="5" fillId="3" borderId="0">
      <alignment horizontal="right" vertical="center"/>
    </xf>
    <xf numFmtId="0" fontId="5" fillId="7" borderId="1">
      <alignment horizontal="right" vertical="center"/>
    </xf>
    <xf numFmtId="0" fontId="5" fillId="5" borderId="0">
      <alignment horizontal="right" vertical="center"/>
    </xf>
    <xf numFmtId="4" fontId="5" fillId="5" borderId="0">
      <alignment horizontal="right" vertical="center"/>
    </xf>
    <xf numFmtId="4" fontId="5" fillId="3" borderId="0">
      <alignment horizontal="right" vertical="center"/>
    </xf>
    <xf numFmtId="0" fontId="5" fillId="5" borderId="0">
      <alignment horizontal="right" vertical="center"/>
    </xf>
    <xf numFmtId="0" fontId="5" fillId="3" borderId="0">
      <alignment horizontal="right" vertical="center"/>
    </xf>
    <xf numFmtId="0" fontId="5" fillId="5" borderId="0">
      <alignment horizontal="right" vertical="center"/>
    </xf>
    <xf numFmtId="0" fontId="5" fillId="3" borderId="0">
      <alignment horizontal="right" vertical="center"/>
    </xf>
    <xf numFmtId="0" fontId="5" fillId="3" borderId="0">
      <alignment horizontal="right" vertical="center"/>
    </xf>
    <xf numFmtId="0" fontId="5" fillId="5" borderId="0">
      <alignment horizontal="right" vertical="center"/>
    </xf>
    <xf numFmtId="4" fontId="5" fillId="5" borderId="0">
      <alignment horizontal="right" vertical="center"/>
    </xf>
    <xf numFmtId="4" fontId="5" fillId="3" borderId="0">
      <alignment horizontal="right" vertical="center"/>
    </xf>
    <xf numFmtId="0" fontId="5" fillId="5" borderId="0">
      <alignment horizontal="right" vertical="center"/>
    </xf>
    <xf numFmtId="0" fontId="5" fillId="3" borderId="0">
      <alignment horizontal="right" vertical="center"/>
    </xf>
    <xf numFmtId="0" fontId="5" fillId="5" borderId="0">
      <alignment horizontal="right" vertical="center"/>
    </xf>
    <xf numFmtId="0" fontId="5" fillId="3" borderId="0">
      <alignment horizontal="right" vertical="center"/>
    </xf>
    <xf numFmtId="0" fontId="5" fillId="3" borderId="0">
      <alignment horizontal="right" vertical="center"/>
    </xf>
    <xf numFmtId="0" fontId="5" fillId="5" borderId="2">
      <alignment horizontal="right" vertical="center"/>
    </xf>
    <xf numFmtId="0" fontId="11" fillId="5" borderId="1">
      <alignment horizontal="right" vertical="center"/>
    </xf>
    <xf numFmtId="4" fontId="11" fillId="5" borderId="1">
      <alignment horizontal="right" vertical="center"/>
    </xf>
    <xf numFmtId="4" fontId="11" fillId="5" borderId="1">
      <alignment horizontal="right" vertical="center"/>
    </xf>
    <xf numFmtId="4" fontId="11" fillId="5" borderId="1">
      <alignment horizontal="right" vertical="center"/>
    </xf>
    <xf numFmtId="4" fontId="11" fillId="5" borderId="1">
      <alignment horizontal="right" vertical="center"/>
    </xf>
    <xf numFmtId="4" fontId="5" fillId="3" borderId="1">
      <alignment horizontal="right" vertical="center"/>
    </xf>
    <xf numFmtId="4" fontId="5" fillId="3" borderId="1">
      <alignment horizontal="right" vertical="center"/>
    </xf>
    <xf numFmtId="4" fontId="11" fillId="5" borderId="1">
      <alignment horizontal="right" vertical="center"/>
    </xf>
    <xf numFmtId="4" fontId="5" fillId="3" borderId="1">
      <alignment horizontal="right" vertical="center"/>
    </xf>
    <xf numFmtId="4" fontId="5" fillId="3" borderId="1">
      <alignment horizontal="right" vertical="center"/>
    </xf>
    <xf numFmtId="4" fontId="11" fillId="5" borderId="1">
      <alignment horizontal="right" vertical="center"/>
    </xf>
    <xf numFmtId="4" fontId="11" fillId="5" borderId="1">
      <alignment horizontal="right" vertical="center"/>
    </xf>
    <xf numFmtId="4" fontId="11" fillId="5" borderId="1">
      <alignment horizontal="right" vertical="center"/>
    </xf>
    <xf numFmtId="4" fontId="5" fillId="3" borderId="1">
      <alignment horizontal="right" vertical="center"/>
    </xf>
    <xf numFmtId="4" fontId="5" fillId="3" borderId="1">
      <alignment horizontal="right" vertical="center"/>
    </xf>
    <xf numFmtId="4" fontId="11" fillId="5" borderId="1">
      <alignment horizontal="right" vertical="center"/>
    </xf>
    <xf numFmtId="4" fontId="11" fillId="5" borderId="1">
      <alignment horizontal="right" vertical="center"/>
    </xf>
    <xf numFmtId="4" fontId="5" fillId="3" borderId="1">
      <alignment horizontal="right" vertical="center"/>
    </xf>
    <xf numFmtId="4" fontId="5" fillId="3" borderId="1">
      <alignment horizontal="right" vertical="center"/>
    </xf>
    <xf numFmtId="4" fontId="11" fillId="5" borderId="1">
      <alignment horizontal="right" vertical="center"/>
    </xf>
    <xf numFmtId="4" fontId="11" fillId="5"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0" fontId="11" fillId="5" borderId="1">
      <alignment horizontal="right" vertical="center"/>
    </xf>
    <xf numFmtId="0" fontId="11" fillId="5"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11" fillId="5" borderId="1">
      <alignment horizontal="right" vertical="center"/>
    </xf>
    <xf numFmtId="0" fontId="11" fillId="5"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11" fillId="5"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11" fillId="5"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5" fillId="3" borderId="1">
      <alignment horizontal="right" vertical="center"/>
    </xf>
    <xf numFmtId="0" fontId="11" fillId="5" borderId="1">
      <alignment horizontal="right" vertical="center"/>
    </xf>
    <xf numFmtId="0" fontId="5" fillId="3" borderId="1">
      <alignment horizontal="right" vertical="center"/>
    </xf>
    <xf numFmtId="0" fontId="5" fillId="3" borderId="1">
      <alignment horizontal="right" vertical="center"/>
    </xf>
    <xf numFmtId="0" fontId="12" fillId="5" borderId="1">
      <alignment horizontal="right" vertical="center"/>
    </xf>
    <xf numFmtId="4" fontId="12" fillId="5" borderId="1">
      <alignment horizontal="right" vertical="center"/>
    </xf>
    <xf numFmtId="4" fontId="12" fillId="5" borderId="1">
      <alignment horizontal="right" vertical="center"/>
    </xf>
    <xf numFmtId="4" fontId="12" fillId="5" borderId="1">
      <alignment horizontal="right" vertical="center"/>
    </xf>
    <xf numFmtId="4" fontId="12" fillId="5" borderId="1">
      <alignment horizontal="right" vertical="center"/>
    </xf>
    <xf numFmtId="4" fontId="13" fillId="3" borderId="1">
      <alignment horizontal="right" vertical="center"/>
    </xf>
    <xf numFmtId="4" fontId="13" fillId="3" borderId="1">
      <alignment horizontal="right" vertical="center"/>
    </xf>
    <xf numFmtId="4" fontId="12" fillId="5" borderId="1">
      <alignment horizontal="right" vertical="center"/>
    </xf>
    <xf numFmtId="4" fontId="13" fillId="3" borderId="1">
      <alignment horizontal="right" vertical="center"/>
    </xf>
    <xf numFmtId="4" fontId="13" fillId="3" borderId="1">
      <alignment horizontal="right" vertical="center"/>
    </xf>
    <xf numFmtId="4" fontId="12" fillId="5" borderId="1">
      <alignment horizontal="right" vertical="center"/>
    </xf>
    <xf numFmtId="4" fontId="12" fillId="5" borderId="1">
      <alignment horizontal="right" vertical="center"/>
    </xf>
    <xf numFmtId="4" fontId="12" fillId="5" borderId="1">
      <alignment horizontal="right" vertical="center"/>
    </xf>
    <xf numFmtId="4" fontId="13" fillId="3" borderId="1">
      <alignment horizontal="right" vertical="center"/>
    </xf>
    <xf numFmtId="4" fontId="13" fillId="3" borderId="1">
      <alignment horizontal="right" vertical="center"/>
    </xf>
    <xf numFmtId="4" fontId="12" fillId="5" borderId="1">
      <alignment horizontal="right" vertical="center"/>
    </xf>
    <xf numFmtId="4" fontId="12" fillId="5" borderId="1">
      <alignment horizontal="right" vertical="center"/>
    </xf>
    <xf numFmtId="4" fontId="13" fillId="3" borderId="1">
      <alignment horizontal="right" vertical="center"/>
    </xf>
    <xf numFmtId="4" fontId="13" fillId="3" borderId="1">
      <alignment horizontal="right" vertical="center"/>
    </xf>
    <xf numFmtId="4" fontId="12" fillId="5" borderId="1">
      <alignment horizontal="right" vertical="center"/>
    </xf>
    <xf numFmtId="4" fontId="12" fillId="5" borderId="1">
      <alignment horizontal="right" vertical="center"/>
    </xf>
    <xf numFmtId="4" fontId="13" fillId="3" borderId="1">
      <alignment horizontal="right" vertical="center"/>
    </xf>
    <xf numFmtId="4" fontId="13" fillId="3" borderId="1">
      <alignment horizontal="right" vertical="center"/>
    </xf>
    <xf numFmtId="4" fontId="13" fillId="3" borderId="1">
      <alignment horizontal="right" vertical="center"/>
    </xf>
    <xf numFmtId="4" fontId="13" fillId="3" borderId="1">
      <alignment horizontal="right" vertical="center"/>
    </xf>
    <xf numFmtId="0" fontId="12" fillId="5" borderId="1">
      <alignment horizontal="right" vertical="center"/>
    </xf>
    <xf numFmtId="0" fontId="12" fillId="5"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2" fillId="5" borderId="1">
      <alignment horizontal="right" vertical="center"/>
    </xf>
    <xf numFmtId="0" fontId="12" fillId="5"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2" fillId="5"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2" fillId="5"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3" fillId="3" borderId="1">
      <alignment horizontal="right" vertical="center"/>
    </xf>
    <xf numFmtId="0" fontId="12" fillId="5" borderId="1">
      <alignment horizontal="right" vertical="center"/>
    </xf>
    <xf numFmtId="0" fontId="13" fillId="3" borderId="1">
      <alignment horizontal="right" vertical="center"/>
    </xf>
    <xf numFmtId="0" fontId="13" fillId="3" borderId="1">
      <alignment horizontal="right" vertical="center"/>
    </xf>
    <xf numFmtId="0" fontId="11" fillId="5" borderId="3">
      <alignment horizontal="right" vertical="center"/>
    </xf>
    <xf numFmtId="0" fontId="11" fillId="8"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0" fontId="11" fillId="8"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11" fillId="8" borderId="1">
      <alignment horizontal="right" vertical="center"/>
    </xf>
    <xf numFmtId="4" fontId="11" fillId="8"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4" fontId="5" fillId="3" borderId="1">
      <alignment horizontal="right" vertical="center"/>
    </xf>
    <xf numFmtId="0" fontId="11" fillId="8"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5" fillId="3" borderId="1">
      <alignment horizontal="right" vertical="center"/>
    </xf>
    <xf numFmtId="0" fontId="11" fillId="8" borderId="1">
      <alignment horizontal="right" vertical="center"/>
    </xf>
    <xf numFmtId="0" fontId="5" fillId="3" borderId="1">
      <alignment horizontal="right" vertical="center"/>
    </xf>
    <xf numFmtId="0" fontId="5" fillId="3" borderId="1">
      <alignment horizontal="right" vertical="center"/>
    </xf>
    <xf numFmtId="0" fontId="11" fillId="8" borderId="3">
      <alignment horizontal="right" vertical="center"/>
    </xf>
    <xf numFmtId="0" fontId="11" fillId="8" borderId="4">
      <alignment horizontal="right" vertical="center"/>
    </xf>
    <xf numFmtId="0" fontId="11" fillId="8" borderId="5">
      <alignment horizontal="right" vertical="center"/>
    </xf>
    <xf numFmtId="4" fontId="11" fillId="8" borderId="5">
      <alignment horizontal="right" vertical="center"/>
    </xf>
    <xf numFmtId="4" fontId="11" fillId="8" borderId="5">
      <alignment horizontal="right" vertical="center"/>
    </xf>
    <xf numFmtId="4" fontId="5" fillId="3" borderId="5">
      <alignment horizontal="right" vertical="center"/>
    </xf>
    <xf numFmtId="4" fontId="11" fillId="8" borderId="5">
      <alignment horizontal="right" vertical="center"/>
    </xf>
    <xf numFmtId="4" fontId="11" fillId="8" borderId="5">
      <alignment horizontal="right" vertical="center"/>
    </xf>
    <xf numFmtId="4" fontId="11" fillId="8" borderId="5">
      <alignment horizontal="right" vertical="center"/>
    </xf>
    <xf numFmtId="4" fontId="5" fillId="3" borderId="5">
      <alignment horizontal="right" vertical="center"/>
    </xf>
    <xf numFmtId="4" fontId="5" fillId="3" borderId="5">
      <alignment horizontal="right" vertical="center"/>
    </xf>
    <xf numFmtId="4" fontId="11" fillId="8" borderId="5">
      <alignment horizontal="right" vertical="center"/>
    </xf>
    <xf numFmtId="4" fontId="11" fillId="8" borderId="5">
      <alignment horizontal="right" vertical="center"/>
    </xf>
    <xf numFmtId="4" fontId="5" fillId="3" borderId="5">
      <alignment horizontal="right" vertical="center"/>
    </xf>
    <xf numFmtId="4" fontId="5" fillId="3" borderId="5">
      <alignment horizontal="right" vertical="center"/>
    </xf>
    <xf numFmtId="4" fontId="11" fillId="8" borderId="5">
      <alignment horizontal="right" vertical="center"/>
    </xf>
    <xf numFmtId="4" fontId="11" fillId="8" borderId="5">
      <alignment horizontal="right" vertical="center"/>
    </xf>
    <xf numFmtId="4" fontId="5" fillId="3" borderId="5">
      <alignment horizontal="right" vertical="center"/>
    </xf>
    <xf numFmtId="4" fontId="5" fillId="3" borderId="5">
      <alignment horizontal="right" vertical="center"/>
    </xf>
    <xf numFmtId="4" fontId="11" fillId="8" borderId="5">
      <alignment horizontal="right" vertical="center"/>
    </xf>
    <xf numFmtId="4" fontId="5" fillId="3" borderId="5">
      <alignment horizontal="right" vertical="center"/>
    </xf>
    <xf numFmtId="4" fontId="5" fillId="3" borderId="5">
      <alignment horizontal="right" vertical="center"/>
    </xf>
    <xf numFmtId="4" fontId="5" fillId="3" borderId="5">
      <alignment horizontal="right" vertical="center"/>
    </xf>
    <xf numFmtId="0" fontId="11" fillId="8" borderId="5">
      <alignment horizontal="right" vertical="center"/>
    </xf>
    <xf numFmtId="0" fontId="5" fillId="3" borderId="5">
      <alignment horizontal="right" vertical="center"/>
    </xf>
    <xf numFmtId="0" fontId="11" fillId="8" borderId="5">
      <alignment horizontal="right" vertical="center"/>
    </xf>
    <xf numFmtId="0" fontId="11" fillId="8" borderId="5">
      <alignment horizontal="right" vertical="center"/>
    </xf>
    <xf numFmtId="0" fontId="11" fillId="8" borderId="5">
      <alignment horizontal="right" vertical="center"/>
    </xf>
    <xf numFmtId="0" fontId="5" fillId="3" borderId="5">
      <alignment horizontal="right" vertical="center"/>
    </xf>
    <xf numFmtId="0" fontId="5" fillId="3" borderId="5">
      <alignment horizontal="right" vertical="center"/>
    </xf>
    <xf numFmtId="0" fontId="11" fillId="8" borderId="5">
      <alignment horizontal="right" vertical="center"/>
    </xf>
    <xf numFmtId="0" fontId="11" fillId="8" borderId="5">
      <alignment horizontal="right" vertical="center"/>
    </xf>
    <xf numFmtId="0" fontId="5" fillId="3" borderId="5">
      <alignment horizontal="right" vertical="center"/>
    </xf>
    <xf numFmtId="0" fontId="5" fillId="3" borderId="5">
      <alignment horizontal="right" vertical="center"/>
    </xf>
    <xf numFmtId="0" fontId="11" fillId="8" borderId="5">
      <alignment horizontal="right" vertical="center"/>
    </xf>
    <xf numFmtId="0" fontId="11" fillId="8" borderId="5">
      <alignment horizontal="right" vertical="center"/>
    </xf>
    <xf numFmtId="0" fontId="5" fillId="3" borderId="5">
      <alignment horizontal="right" vertical="center"/>
    </xf>
    <xf numFmtId="0" fontId="5" fillId="3" borderId="5">
      <alignment horizontal="right" vertical="center"/>
    </xf>
    <xf numFmtId="0" fontId="11" fillId="8" borderId="5">
      <alignment horizontal="right" vertical="center"/>
    </xf>
    <xf numFmtId="0" fontId="5" fillId="3" borderId="5">
      <alignment horizontal="right" vertical="center"/>
    </xf>
    <xf numFmtId="0" fontId="5" fillId="3" borderId="5">
      <alignment horizontal="right" vertical="center"/>
    </xf>
    <xf numFmtId="0" fontId="11" fillId="8" borderId="5">
      <alignment horizontal="right" vertical="center"/>
    </xf>
    <xf numFmtId="0" fontId="5" fillId="3" borderId="5">
      <alignment horizontal="right" vertical="center"/>
    </xf>
    <xf numFmtId="0" fontId="5" fillId="3" borderId="5">
      <alignment horizontal="right" vertical="center"/>
    </xf>
    <xf numFmtId="0" fontId="11" fillId="8" borderId="6">
      <alignment horizontal="right" vertical="center"/>
    </xf>
    <xf numFmtId="4" fontId="11" fillId="8" borderId="6">
      <alignment horizontal="right" vertical="center"/>
    </xf>
    <xf numFmtId="4" fontId="11" fillId="8" borderId="6">
      <alignment horizontal="right" vertical="center"/>
    </xf>
    <xf numFmtId="4" fontId="11" fillId="8" borderId="6">
      <alignment horizontal="right" vertical="center"/>
    </xf>
    <xf numFmtId="4" fontId="11" fillId="8" borderId="6">
      <alignment horizontal="right" vertical="center"/>
    </xf>
    <xf numFmtId="4" fontId="5" fillId="3" borderId="6">
      <alignment horizontal="right" vertical="center"/>
    </xf>
    <xf numFmtId="4" fontId="5" fillId="3" borderId="6">
      <alignment horizontal="right" vertical="center"/>
    </xf>
    <xf numFmtId="4" fontId="5" fillId="3" borderId="6">
      <alignment horizontal="right" vertical="center"/>
    </xf>
    <xf numFmtId="4" fontId="11" fillId="8" borderId="6">
      <alignment horizontal="right" vertical="center"/>
    </xf>
    <xf numFmtId="4" fontId="11" fillId="8" borderId="6">
      <alignment horizontal="right" vertical="center"/>
    </xf>
    <xf numFmtId="4" fontId="11" fillId="8" borderId="6">
      <alignment horizontal="right" vertical="center"/>
    </xf>
    <xf numFmtId="4" fontId="5" fillId="3" borderId="6">
      <alignment horizontal="right" vertical="center"/>
    </xf>
    <xf numFmtId="4" fontId="5" fillId="3" borderId="6">
      <alignment horizontal="right" vertical="center"/>
    </xf>
    <xf numFmtId="4" fontId="11" fillId="8" borderId="6">
      <alignment horizontal="right" vertical="center"/>
    </xf>
    <xf numFmtId="4" fontId="11" fillId="8" borderId="6">
      <alignment horizontal="right" vertical="center"/>
    </xf>
    <xf numFmtId="4" fontId="5" fillId="3" borderId="6">
      <alignment horizontal="right" vertical="center"/>
    </xf>
    <xf numFmtId="4" fontId="5" fillId="3" borderId="6">
      <alignment horizontal="right" vertical="center"/>
    </xf>
    <xf numFmtId="4" fontId="11" fillId="8" borderId="6">
      <alignment horizontal="right" vertical="center"/>
    </xf>
    <xf numFmtId="4" fontId="11" fillId="8" borderId="6">
      <alignment horizontal="right" vertical="center"/>
    </xf>
    <xf numFmtId="4" fontId="5" fillId="3" borderId="6">
      <alignment horizontal="right" vertical="center"/>
    </xf>
    <xf numFmtId="4" fontId="5" fillId="3" borderId="6">
      <alignment horizontal="right" vertical="center"/>
    </xf>
    <xf numFmtId="4" fontId="11" fillId="8" borderId="6">
      <alignment horizontal="right" vertical="center"/>
    </xf>
    <xf numFmtId="4" fontId="5" fillId="3" borderId="6">
      <alignment horizontal="right" vertical="center"/>
    </xf>
    <xf numFmtId="4" fontId="5" fillId="3" borderId="6">
      <alignment horizontal="right" vertical="center"/>
    </xf>
    <xf numFmtId="4" fontId="5" fillId="3" borderId="6">
      <alignment horizontal="right" vertical="center"/>
    </xf>
    <xf numFmtId="0" fontId="11" fillId="8" borderId="6">
      <alignment horizontal="right" vertical="center"/>
    </xf>
    <xf numFmtId="0" fontId="11" fillId="8" borderId="6">
      <alignment horizontal="right" vertical="center"/>
    </xf>
    <xf numFmtId="0" fontId="11" fillId="8" borderId="6">
      <alignment horizontal="right" vertical="center"/>
    </xf>
    <xf numFmtId="0" fontId="5" fillId="3"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0" fontId="5" fillId="3" borderId="6">
      <alignment horizontal="right" vertical="center"/>
    </xf>
    <xf numFmtId="0" fontId="11" fillId="8" borderId="6">
      <alignment horizontal="right" vertical="center"/>
    </xf>
    <xf numFmtId="0" fontId="11" fillId="8"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0" fontId="11" fillId="8"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0" fontId="11" fillId="8"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0" fontId="11" fillId="8" borderId="6">
      <alignment horizontal="right" vertical="center"/>
    </xf>
    <xf numFmtId="0" fontId="5" fillId="3" borderId="6">
      <alignment horizontal="right" vertical="center"/>
    </xf>
    <xf numFmtId="0" fontId="5" fillId="3" borderId="6">
      <alignment horizontal="right" vertical="center"/>
    </xf>
    <xf numFmtId="4" fontId="11" fillId="8" borderId="6">
      <alignment horizontal="right" vertical="center"/>
    </xf>
    <xf numFmtId="0" fontId="2" fillId="21" borderId="0"/>
    <xf numFmtId="0" fontId="1" fillId="21" borderId="0"/>
    <xf numFmtId="0" fontId="2" fillId="22" borderId="0"/>
    <xf numFmtId="0" fontId="1" fillId="3" borderId="0"/>
    <xf numFmtId="0" fontId="2" fillId="23" borderId="0"/>
    <xf numFmtId="0" fontId="1" fillId="24" borderId="0"/>
    <xf numFmtId="0" fontId="2" fillId="14" borderId="0"/>
    <xf numFmtId="0" fontId="1" fillId="3" borderId="0"/>
    <xf numFmtId="0" fontId="2" fillId="15" borderId="0"/>
    <xf numFmtId="0" fontId="1" fillId="3" borderId="0"/>
    <xf numFmtId="0" fontId="2" fillId="25" borderId="0"/>
    <xf numFmtId="0" fontId="1" fillId="3" borderId="0"/>
    <xf numFmtId="0" fontId="14" fillId="26" borderId="7"/>
    <xf numFmtId="0" fontId="14" fillId="26" borderId="7"/>
    <xf numFmtId="0" fontId="14" fillId="26" borderId="7"/>
    <xf numFmtId="0" fontId="14" fillId="3" borderId="7"/>
    <xf numFmtId="0" fontId="14" fillId="3" borderId="7"/>
    <xf numFmtId="0" fontId="14" fillId="26" borderId="7"/>
    <xf numFmtId="0" fontId="14" fillId="26" borderId="7"/>
    <xf numFmtId="0" fontId="14" fillId="3" borderId="7"/>
    <xf numFmtId="0" fontId="14" fillId="3" borderId="7"/>
    <xf numFmtId="0" fontId="14" fillId="26" borderId="7"/>
    <xf numFmtId="0" fontId="14" fillId="3" borderId="7"/>
    <xf numFmtId="0" fontId="14" fillId="3" borderId="7"/>
    <xf numFmtId="0" fontId="14" fillId="26" borderId="7"/>
    <xf numFmtId="0" fontId="14" fillId="26" borderId="7"/>
    <xf numFmtId="0" fontId="14" fillId="26" borderId="7"/>
    <xf numFmtId="0" fontId="14" fillId="3" borderId="7"/>
    <xf numFmtId="0" fontId="14" fillId="3" borderId="7"/>
    <xf numFmtId="0" fontId="14" fillId="26" borderId="7"/>
    <xf numFmtId="0" fontId="14" fillId="26" borderId="7"/>
    <xf numFmtId="0" fontId="14" fillId="3" borderId="7"/>
    <xf numFmtId="0" fontId="14" fillId="3" borderId="7"/>
    <xf numFmtId="0" fontId="14" fillId="26" borderId="7"/>
    <xf numFmtId="0" fontId="14" fillId="3" borderId="7"/>
    <xf numFmtId="0" fontId="14" fillId="3" borderId="7"/>
    <xf numFmtId="0" fontId="14" fillId="26" borderId="7"/>
    <xf numFmtId="0" fontId="14" fillId="26" borderId="7"/>
    <xf numFmtId="0" fontId="14" fillId="3" borderId="7"/>
    <xf numFmtId="0" fontId="14" fillId="3" borderId="7"/>
    <xf numFmtId="0" fontId="14" fillId="26" borderId="7"/>
    <xf numFmtId="0" fontId="14" fillId="26" borderId="7"/>
    <xf numFmtId="0" fontId="14" fillId="3" borderId="7"/>
    <xf numFmtId="0" fontId="14" fillId="3" borderId="7"/>
    <xf numFmtId="0" fontId="14" fillId="26" borderId="7"/>
    <xf numFmtId="0" fontId="14" fillId="3" borderId="7"/>
    <xf numFmtId="0" fontId="15" fillId="27" borderId="0"/>
    <xf numFmtId="0" fontId="7" fillId="3" borderId="0"/>
    <xf numFmtId="0" fontId="16" fillId="4" borderId="0"/>
    <xf numFmtId="0" fontId="1" fillId="3" borderId="0"/>
    <xf numFmtId="0" fontId="16" fillId="4" borderId="0"/>
    <xf numFmtId="0" fontId="1" fillId="3" borderId="0"/>
    <xf numFmtId="0" fontId="16" fillId="4" borderId="0"/>
    <xf numFmtId="0" fontId="1" fillId="3" borderId="0"/>
    <xf numFmtId="0" fontId="17" fillId="27" borderId="0"/>
    <xf numFmtId="0" fontId="18" fillId="26" borderId="8"/>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9" fillId="3" borderId="1"/>
    <xf numFmtId="0" fontId="19" fillId="3" borderId="1"/>
    <xf numFmtId="0" fontId="18" fillId="26" borderId="8"/>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9" fillId="3" borderId="1"/>
    <xf numFmtId="4" fontId="10" fillId="0" borderId="0">
      <alignment horizontal="right" vertical="center"/>
    </xf>
    <xf numFmtId="4" fontId="10" fillId="0" borderId="0">
      <alignment horizontal="right" vertical="center"/>
    </xf>
    <xf numFmtId="0" fontId="18" fillId="26" borderId="8"/>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9" fillId="3" borderId="1"/>
    <xf numFmtId="0" fontId="19" fillId="3" borderId="1"/>
    <xf numFmtId="0" fontId="18" fillId="26" borderId="8"/>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8" fillId="26" borderId="8"/>
    <xf numFmtId="0" fontId="19" fillId="3" borderId="1"/>
    <xf numFmtId="0" fontId="19" fillId="3" borderId="1"/>
    <xf numFmtId="0" fontId="18" fillId="26" borderId="8"/>
    <xf numFmtId="0" fontId="19" fillId="3" borderId="1"/>
    <xf numFmtId="0" fontId="19" fillId="3" borderId="1"/>
    <xf numFmtId="0" fontId="20" fillId="28" borderId="9"/>
    <xf numFmtId="0" fontId="19" fillId="3" borderId="9"/>
    <xf numFmtId="0" fontId="20" fillId="28" borderId="9"/>
    <xf numFmtId="0" fontId="19" fillId="3" borderId="9"/>
    <xf numFmtId="0" fontId="20" fillId="28" borderId="9"/>
    <xf numFmtId="0" fontId="19" fillId="3" borderId="9"/>
    <xf numFmtId="164" fontId="94" fillId="0" borderId="0"/>
    <xf numFmtId="165" fontId="94" fillId="0" borderId="0"/>
    <xf numFmtId="165" fontId="94" fillId="0" borderId="0"/>
    <xf numFmtId="165" fontId="1" fillId="0" borderId="0"/>
    <xf numFmtId="165" fontId="1" fillId="0" borderId="0"/>
    <xf numFmtId="164" fontId="1" fillId="0" borderId="0"/>
    <xf numFmtId="164" fontId="94" fillId="0" borderId="0"/>
    <xf numFmtId="164" fontId="1" fillId="0" borderId="0"/>
    <xf numFmtId="0" fontId="11" fillId="0" borderId="0">
      <alignment horizontal="right"/>
    </xf>
    <xf numFmtId="0" fontId="5" fillId="0" borderId="0">
      <alignment horizontal="right"/>
    </xf>
    <xf numFmtId="0" fontId="21" fillId="0" borderId="0">
      <alignment horizontal="left" vertical="center" indent="1"/>
    </xf>
    <xf numFmtId="0" fontId="22" fillId="0" borderId="0">
      <alignment horizontal="left" vertical="center" indent="1"/>
    </xf>
    <xf numFmtId="0" fontId="5" fillId="8"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8"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3"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94" fillId="0" borderId="0"/>
    <xf numFmtId="0" fontId="1" fillId="0" borderId="0"/>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0" borderId="10">
      <alignment horizontal="left" vertical="center" wrapText="1" indent="15"/>
    </xf>
    <xf numFmtId="0" fontId="5" fillId="5" borderId="5">
      <alignment horizontal="left" vertical="center"/>
    </xf>
    <xf numFmtId="0" fontId="5" fillId="5" borderId="5">
      <alignment horizontal="left" vertical="center"/>
    </xf>
    <xf numFmtId="0" fontId="5" fillId="3" borderId="5">
      <alignment horizontal="left" vertical="center"/>
    </xf>
    <xf numFmtId="0" fontId="5" fillId="5" borderId="5">
      <alignment horizontal="left" vertical="center"/>
    </xf>
    <xf numFmtId="0" fontId="5" fillId="5" borderId="5">
      <alignment horizontal="left" vertical="center"/>
    </xf>
    <xf numFmtId="0" fontId="5" fillId="5" borderId="5">
      <alignment horizontal="left" vertical="center"/>
    </xf>
    <xf numFmtId="0" fontId="5" fillId="3" borderId="5">
      <alignment horizontal="left" vertical="center"/>
    </xf>
    <xf numFmtId="0" fontId="5" fillId="3" borderId="5">
      <alignment horizontal="left" vertical="center"/>
    </xf>
    <xf numFmtId="0" fontId="5" fillId="5" borderId="5">
      <alignment horizontal="left" vertical="center"/>
    </xf>
    <xf numFmtId="0" fontId="5" fillId="5" borderId="5">
      <alignment horizontal="left" vertical="center"/>
    </xf>
    <xf numFmtId="0" fontId="5" fillId="3" borderId="5">
      <alignment horizontal="left" vertical="center"/>
    </xf>
    <xf numFmtId="0" fontId="5" fillId="3" borderId="5">
      <alignment horizontal="left" vertical="center"/>
    </xf>
    <xf numFmtId="0" fontId="5" fillId="5" borderId="5">
      <alignment horizontal="left" vertical="center"/>
    </xf>
    <xf numFmtId="0" fontId="5" fillId="5" borderId="5">
      <alignment horizontal="left" vertical="center"/>
    </xf>
    <xf numFmtId="0" fontId="5" fillId="3" borderId="5">
      <alignment horizontal="left" vertical="center"/>
    </xf>
    <xf numFmtId="0" fontId="5" fillId="3" borderId="5">
      <alignment horizontal="left" vertical="center"/>
    </xf>
    <xf numFmtId="0" fontId="5" fillId="5" borderId="5">
      <alignment horizontal="left" vertical="center"/>
    </xf>
    <xf numFmtId="0" fontId="5" fillId="3" borderId="5">
      <alignment horizontal="left" vertical="center"/>
    </xf>
    <xf numFmtId="0" fontId="5" fillId="3" borderId="5">
      <alignment horizontal="left" vertical="center"/>
    </xf>
    <xf numFmtId="0" fontId="5" fillId="3" borderId="5">
      <alignment horizontal="left" vertical="center"/>
    </xf>
    <xf numFmtId="0" fontId="11" fillId="0" borderId="11">
      <alignment horizontal="left" vertical="top" wrapText="1"/>
    </xf>
    <xf numFmtId="0" fontId="23" fillId="8" borderId="8"/>
    <xf numFmtId="0" fontId="23" fillId="8" borderId="8"/>
    <xf numFmtId="0" fontId="23" fillId="3" borderId="1"/>
    <xf numFmtId="0" fontId="23" fillId="8" borderId="8"/>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3" borderId="1"/>
    <xf numFmtId="0" fontId="23" fillId="3" borderId="1"/>
    <xf numFmtId="0" fontId="23" fillId="8" borderId="8"/>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3" borderId="1"/>
    <xf numFmtId="0" fontId="23" fillId="3" borderId="1"/>
    <xf numFmtId="0" fontId="24" fillId="0" borderId="12"/>
    <xf numFmtId="0" fontId="25"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19" fillId="0" borderId="13"/>
    <xf numFmtId="0" fontId="19" fillId="0" borderId="13"/>
    <xf numFmtId="0" fontId="25"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25" fillId="0" borderId="13"/>
    <xf numFmtId="0" fontId="19" fillId="0" borderId="13"/>
    <xf numFmtId="0" fontId="19" fillId="0" borderId="13"/>
    <xf numFmtId="0" fontId="25" fillId="0" borderId="13"/>
    <xf numFmtId="0" fontId="19" fillId="0" borderId="13"/>
    <xf numFmtId="0" fontId="26" fillId="0" borderId="0"/>
    <xf numFmtId="0" fontId="27" fillId="0" borderId="0"/>
    <xf numFmtId="0" fontId="26" fillId="0" borderId="0"/>
    <xf numFmtId="0" fontId="27" fillId="0" borderId="0"/>
    <xf numFmtId="0" fontId="28" fillId="29" borderId="0"/>
    <xf numFmtId="0" fontId="9" fillId="3" borderId="0"/>
    <xf numFmtId="0" fontId="28" fillId="30" borderId="0"/>
    <xf numFmtId="0" fontId="26" fillId="0" borderId="0"/>
    <xf numFmtId="0" fontId="27" fillId="0" borderId="0"/>
    <xf numFmtId="0" fontId="26" fillId="0" borderId="0"/>
    <xf numFmtId="0" fontId="27" fillId="0" borderId="0"/>
    <xf numFmtId="0" fontId="29" fillId="0" borderId="0"/>
    <xf numFmtId="0" fontId="30" fillId="0" borderId="0"/>
    <xf numFmtId="0" fontId="29" fillId="0" borderId="0"/>
    <xf numFmtId="0" fontId="31" fillId="5" borderId="0"/>
    <xf numFmtId="0" fontId="7" fillId="3" borderId="0"/>
    <xf numFmtId="0" fontId="32" fillId="5" borderId="0"/>
    <xf numFmtId="0" fontId="33" fillId="5" borderId="0"/>
    <xf numFmtId="0" fontId="1" fillId="3" borderId="0"/>
    <xf numFmtId="0" fontId="33" fillId="5" borderId="0"/>
    <xf numFmtId="0" fontId="1" fillId="3" borderId="0"/>
    <xf numFmtId="0" fontId="33" fillId="5" borderId="0"/>
    <xf numFmtId="0" fontId="1" fillId="3" borderId="0"/>
    <xf numFmtId="0" fontId="33" fillId="5" borderId="0"/>
    <xf numFmtId="0" fontId="1" fillId="3" borderId="0"/>
    <xf numFmtId="0" fontId="34" fillId="0" borderId="0"/>
    <xf numFmtId="0" fontId="35" fillId="0" borderId="0"/>
    <xf numFmtId="0" fontId="34" fillId="0" borderId="0"/>
    <xf numFmtId="0" fontId="36" fillId="0" borderId="14"/>
    <xf numFmtId="0" fontId="36" fillId="0" borderId="14"/>
    <xf numFmtId="0" fontId="36" fillId="0" borderId="14"/>
    <xf numFmtId="0" fontId="36" fillId="0" borderId="14"/>
    <xf numFmtId="0" fontId="36" fillId="0" borderId="14"/>
    <xf numFmtId="0" fontId="36" fillId="0" borderId="14"/>
    <xf numFmtId="0" fontId="37" fillId="0" borderId="0"/>
    <xf numFmtId="0" fontId="38" fillId="0" borderId="0"/>
    <xf numFmtId="0" fontId="37" fillId="0" borderId="0"/>
    <xf numFmtId="0" fontId="39" fillId="0" borderId="15"/>
    <xf numFmtId="0" fontId="39" fillId="0" borderId="16"/>
    <xf numFmtId="0" fontId="39" fillId="0" borderId="15"/>
    <xf numFmtId="0" fontId="39" fillId="0" borderId="16"/>
    <xf numFmtId="0" fontId="39" fillId="0" borderId="15"/>
    <xf numFmtId="0" fontId="39" fillId="0" borderId="16"/>
    <xf numFmtId="0" fontId="40" fillId="0" borderId="0"/>
    <xf numFmtId="0" fontId="41" fillId="0" borderId="17"/>
    <xf numFmtId="0" fontId="41" fillId="0" borderId="12"/>
    <xf numFmtId="0" fontId="41" fillId="0" borderId="17"/>
    <xf numFmtId="0" fontId="41" fillId="0" borderId="12"/>
    <xf numFmtId="0" fontId="41" fillId="0" borderId="17"/>
    <xf numFmtId="0" fontId="41" fillId="0" borderId="12"/>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3" fillId="0" borderId="0"/>
    <xf numFmtId="0" fontId="43" fillId="0" borderId="0"/>
    <xf numFmtId="0" fontId="44" fillId="0" borderId="0"/>
    <xf numFmtId="0" fontId="45" fillId="0" borderId="0"/>
    <xf numFmtId="0" fontId="46" fillId="0" borderId="0"/>
    <xf numFmtId="0" fontId="23" fillId="8" borderId="8"/>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3" borderId="1"/>
    <xf numFmtId="0" fontId="23" fillId="3" borderId="1"/>
    <xf numFmtId="0" fontId="23" fillId="8" borderId="8"/>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8" borderId="8"/>
    <xf numFmtId="0" fontId="23" fillId="3" borderId="1"/>
    <xf numFmtId="0" fontId="23" fillId="3" borderId="1"/>
    <xf numFmtId="0" fontId="23" fillId="8" borderId="8"/>
    <xf numFmtId="0" fontId="23" fillId="3" borderId="1"/>
    <xf numFmtId="0" fontId="23" fillId="3" borderId="1"/>
    <xf numFmtId="0" fontId="23" fillId="8" borderId="8"/>
    <xf numFmtId="0" fontId="23" fillId="3" borderId="1"/>
    <xf numFmtId="0" fontId="5" fillId="0" borderId="0">
      <alignment horizontal="right" vertical="center"/>
    </xf>
    <xf numFmtId="4" fontId="5" fillId="0" borderId="0">
      <alignment horizontal="right" vertical="center"/>
    </xf>
    <xf numFmtId="4" fontId="5" fillId="0" borderId="0">
      <alignment horizontal="right" vertical="center"/>
    </xf>
    <xf numFmtId="0" fontId="5" fillId="0" borderId="0">
      <alignment horizontal="right" vertical="center"/>
    </xf>
    <xf numFmtId="0" fontId="5" fillId="0" borderId="0">
      <alignment horizontal="right" vertical="center"/>
    </xf>
    <xf numFmtId="0" fontId="5" fillId="0" borderId="0">
      <alignment horizontal="right" vertical="center"/>
    </xf>
    <xf numFmtId="0" fontId="5" fillId="0" borderId="0">
      <alignment horizontal="right" vertical="center"/>
    </xf>
    <xf numFmtId="0" fontId="5" fillId="0" borderId="0">
      <alignment horizontal="right" vertical="center"/>
    </xf>
    <xf numFmtId="0"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4"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1">
      <alignment horizontal="right" vertical="center"/>
    </xf>
    <xf numFmtId="0" fontId="5" fillId="0" borderId="3">
      <alignment horizontal="right" vertical="center"/>
    </xf>
    <xf numFmtId="0" fontId="5" fillId="0" borderId="18">
      <alignment horizontal="right" vertical="center"/>
    </xf>
    <xf numFmtId="1" fontId="47" fillId="5" borderId="0">
      <alignment horizontal="right" vertical="center"/>
    </xf>
    <xf numFmtId="1" fontId="43" fillId="3" borderId="0">
      <alignment horizontal="right" vertical="center"/>
    </xf>
    <xf numFmtId="0" fontId="24" fillId="18" borderId="1"/>
    <xf numFmtId="0" fontId="48" fillId="0" borderId="19"/>
    <xf numFmtId="0" fontId="1" fillId="0" borderId="20"/>
    <xf numFmtId="0" fontId="48" fillId="0" borderId="19"/>
    <xf numFmtId="0" fontId="1" fillId="0" borderId="20"/>
    <xf numFmtId="0" fontId="48" fillId="0" borderId="19"/>
    <xf numFmtId="0" fontId="1" fillId="0" borderId="20"/>
    <xf numFmtId="164" fontId="94" fillId="0" borderId="0"/>
    <xf numFmtId="164" fontId="1" fillId="0" borderId="0"/>
    <xf numFmtId="164" fontId="1" fillId="0" borderId="0"/>
    <xf numFmtId="0" fontId="49" fillId="31" borderId="0"/>
    <xf numFmtId="0" fontId="50" fillId="3" borderId="0"/>
    <xf numFmtId="0" fontId="51" fillId="31" borderId="0"/>
    <xf numFmtId="0" fontId="52" fillId="31" borderId="0"/>
    <xf numFmtId="0" fontId="1" fillId="3" borderId="0"/>
    <xf numFmtId="0" fontId="52" fillId="31" borderId="0"/>
    <xf numFmtId="0" fontId="1" fillId="3" borderId="0"/>
    <xf numFmtId="0" fontId="24" fillId="0" borderId="0"/>
    <xf numFmtId="0" fontId="24" fillId="0" borderId="0"/>
    <xf numFmtId="0" fontId="24" fillId="0" borderId="0"/>
    <xf numFmtId="0" fontId="24"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24" fillId="0" borderId="0"/>
    <xf numFmtId="0" fontId="24" fillId="0" borderId="0"/>
    <xf numFmtId="0" fontId="24" fillId="0" borderId="0"/>
    <xf numFmtId="0" fontId="24" fillId="0" borderId="0"/>
    <xf numFmtId="0" fontId="53" fillId="0" borderId="0"/>
    <xf numFmtId="0" fontId="94" fillId="0" borderId="0"/>
    <xf numFmtId="0" fontId="24" fillId="0" borderId="0"/>
    <xf numFmtId="0" fontId="24" fillId="0" borderId="0"/>
    <xf numFmtId="0" fontId="24" fillId="0" borderId="0"/>
    <xf numFmtId="0" fontId="24" fillId="0" borderId="0"/>
    <xf numFmtId="0" fontId="54" fillId="0" borderId="0"/>
    <xf numFmtId="0" fontId="54" fillId="0" borderId="0"/>
    <xf numFmtId="0" fontId="54" fillId="0" borderId="0"/>
    <xf numFmtId="0" fontId="54" fillId="0" borderId="0"/>
    <xf numFmtId="4" fontId="24" fillId="0" borderId="0"/>
    <xf numFmtId="4" fontId="24" fillId="0" borderId="0"/>
    <xf numFmtId="0" fontId="1" fillId="0" borderId="0"/>
    <xf numFmtId="0" fontId="1" fillId="0" borderId="0"/>
    <xf numFmtId="4" fontId="24" fillId="0" borderId="0"/>
    <xf numFmtId="4" fontId="24" fillId="0" borderId="0"/>
    <xf numFmtId="4" fontId="24" fillId="0" borderId="0"/>
    <xf numFmtId="4" fontId="24" fillId="0" borderId="0"/>
    <xf numFmtId="4" fontId="24" fillId="0" borderId="0"/>
    <xf numFmtId="4" fontId="24" fillId="0" borderId="0"/>
    <xf numFmtId="4" fontId="24" fillId="0" borderId="0"/>
    <xf numFmtId="4" fontId="24" fillId="0" borderId="0"/>
    <xf numFmtId="0" fontId="1" fillId="0" borderId="0"/>
    <xf numFmtId="0" fontId="9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 fillId="0" borderId="0"/>
    <xf numFmtId="0" fontId="24" fillId="0" borderId="0"/>
    <xf numFmtId="0" fontId="94"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24" fillId="0" borderId="0"/>
    <xf numFmtId="0" fontId="24" fillId="0" borderId="0"/>
    <xf numFmtId="0" fontId="94" fillId="0" borderId="0"/>
    <xf numFmtId="0" fontId="1" fillId="0" borderId="0"/>
    <xf numFmtId="0" fontId="94" fillId="0" borderId="0"/>
    <xf numFmtId="0" fontId="1" fillId="0" borderId="0"/>
    <xf numFmtId="0" fontId="2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24" fillId="0" borderId="0"/>
    <xf numFmtId="0" fontId="94"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94" fillId="0" borderId="0"/>
    <xf numFmtId="0" fontId="1" fillId="0" borderId="0"/>
    <xf numFmtId="0" fontId="1" fillId="0" borderId="0"/>
    <xf numFmtId="0" fontId="94" fillId="0" borderId="0"/>
    <xf numFmtId="0" fontId="1" fillId="0" borderId="0"/>
    <xf numFmtId="0" fontId="1" fillId="0" borderId="0"/>
    <xf numFmtId="0" fontId="94" fillId="0" borderId="0"/>
    <xf numFmtId="0" fontId="94" fillId="0" borderId="0"/>
    <xf numFmtId="0" fontId="1" fillId="0" borderId="0"/>
    <xf numFmtId="0" fontId="1" fillId="0" borderId="0"/>
    <xf numFmtId="0" fontId="24" fillId="0" borderId="0"/>
    <xf numFmtId="0" fontId="24" fillId="0" borderId="0"/>
    <xf numFmtId="0" fontId="94" fillId="0" borderId="0"/>
    <xf numFmtId="0" fontId="1" fillId="0" borderId="0"/>
    <xf numFmtId="0" fontId="94" fillId="0" borderId="0"/>
    <xf numFmtId="0" fontId="1"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94" fillId="0" borderId="0"/>
    <xf numFmtId="0" fontId="94" fillId="0" borderId="0"/>
    <xf numFmtId="0" fontId="1" fillId="0" borderId="0"/>
    <xf numFmtId="0" fontId="1" fillId="0" borderId="0"/>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4" fontId="5" fillId="0" borderId="0">
      <alignment horizontal="righ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10" fillId="0" borderId="0">
      <alignment horizontal="left" vertical="center"/>
    </xf>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94" fillId="28" borderId="0"/>
    <xf numFmtId="0" fontId="94" fillId="28" borderId="0"/>
    <xf numFmtId="0" fontId="94" fillId="28" borderId="0"/>
    <xf numFmtId="0" fontId="1" fillId="3" borderId="0"/>
    <xf numFmtId="0" fontId="94" fillId="28" borderId="0"/>
    <xf numFmtId="0" fontId="1" fillId="3" borderId="0"/>
    <xf numFmtId="0" fontId="94" fillId="28" borderId="0"/>
    <xf numFmtId="0" fontId="1" fillId="3" borderId="0"/>
    <xf numFmtId="0" fontId="94" fillId="28" borderId="0"/>
    <xf numFmtId="0" fontId="1" fillId="3" borderId="0"/>
    <xf numFmtId="0" fontId="1" fillId="3" borderId="0"/>
    <xf numFmtId="0" fontId="94" fillId="28" borderId="0"/>
    <xf numFmtId="0" fontId="94" fillId="28" borderId="0"/>
    <xf numFmtId="0" fontId="1" fillId="3" borderId="0"/>
    <xf numFmtId="0" fontId="1" fillId="3" borderId="0"/>
    <xf numFmtId="0" fontId="94" fillId="26" borderId="0"/>
    <xf numFmtId="0" fontId="94" fillId="26" borderId="0"/>
    <xf numFmtId="0" fontId="1" fillId="3" borderId="0"/>
    <xf numFmtId="0" fontId="1" fillId="3" borderId="0"/>
    <xf numFmtId="0" fontId="1" fillId="3" borderId="0"/>
    <xf numFmtId="0" fontId="13" fillId="0" borderId="0"/>
    <xf numFmtId="4" fontId="24" fillId="0" borderId="0"/>
    <xf numFmtId="0" fontId="94" fillId="0" borderId="0"/>
    <xf numFmtId="0" fontId="94" fillId="0" borderId="0"/>
    <xf numFmtId="0" fontId="55" fillId="31" borderId="8"/>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cellStyleXfs>
  <cellXfs count="461">
    <xf numFmtId="0" fontId="0" fillId="0" borderId="0" xfId="0"/>
    <xf numFmtId="0" fontId="0" fillId="0" borderId="0" xfId="1535" applyFont="1"/>
    <xf numFmtId="0" fontId="25" fillId="33" borderId="0" xfId="1125" applyFont="1" applyFill="1" applyAlignment="1">
      <alignment horizontal="center"/>
    </xf>
    <xf numFmtId="166" fontId="0" fillId="0" borderId="0" xfId="1535" applyNumberFormat="1" applyFont="1"/>
    <xf numFmtId="0" fontId="0" fillId="0" borderId="23" xfId="1535" applyFont="1" applyBorder="1"/>
    <xf numFmtId="0" fontId="0" fillId="0" borderId="24" xfId="1535" applyFont="1" applyBorder="1"/>
    <xf numFmtId="0" fontId="0" fillId="0" borderId="25" xfId="1535" applyFont="1" applyBorder="1"/>
    <xf numFmtId="0" fontId="56" fillId="0" borderId="26" xfId="1125" applyFont="1" applyBorder="1"/>
    <xf numFmtId="0" fontId="1" fillId="3" borderId="25" xfId="1124" applyFont="1" applyFill="1" applyBorder="1"/>
    <xf numFmtId="167" fontId="0" fillId="0" borderId="24" xfId="1535" applyNumberFormat="1" applyFont="1" applyBorder="1"/>
    <xf numFmtId="167" fontId="0" fillId="0" borderId="25" xfId="1535" applyNumberFormat="1" applyFont="1" applyBorder="1"/>
    <xf numFmtId="168" fontId="0" fillId="0" borderId="25" xfId="1535" applyNumberFormat="1" applyFont="1" applyBorder="1"/>
    <xf numFmtId="0" fontId="24" fillId="3" borderId="26" xfId="1136" applyFont="1" applyFill="1" applyBorder="1"/>
    <xf numFmtId="0" fontId="1" fillId="3" borderId="23" xfId="1124" applyFont="1" applyFill="1" applyBorder="1"/>
    <xf numFmtId="0" fontId="1" fillId="3" borderId="24" xfId="1124" applyFont="1" applyFill="1" applyBorder="1"/>
    <xf numFmtId="167" fontId="1" fillId="0" borderId="24" xfId="1535" applyNumberFormat="1" applyFont="1" applyBorder="1"/>
    <xf numFmtId="167" fontId="1" fillId="0" borderId="25" xfId="1535" applyNumberFormat="1" applyFont="1" applyBorder="1"/>
    <xf numFmtId="2" fontId="0" fillId="0" borderId="23" xfId="1535" applyNumberFormat="1" applyFont="1" applyBorder="1"/>
    <xf numFmtId="2" fontId="0" fillId="0" borderId="24" xfId="1535" applyNumberFormat="1" applyFont="1" applyBorder="1"/>
    <xf numFmtId="2" fontId="0" fillId="0" borderId="25" xfId="1535" applyNumberFormat="1" applyFont="1" applyBorder="1"/>
    <xf numFmtId="0" fontId="0" fillId="0" borderId="27" xfId="1535" applyFont="1" applyBorder="1"/>
    <xf numFmtId="0" fontId="0" fillId="0" borderId="28" xfId="1535" applyFont="1" applyBorder="1"/>
    <xf numFmtId="0" fontId="0" fillId="0" borderId="29" xfId="1535" applyFont="1" applyBorder="1"/>
    <xf numFmtId="167" fontId="0" fillId="0" borderId="28" xfId="1535" applyNumberFormat="1" applyFont="1" applyBorder="1"/>
    <xf numFmtId="167" fontId="0" fillId="0" borderId="29" xfId="1535" applyNumberFormat="1" applyFont="1" applyBorder="1"/>
    <xf numFmtId="168" fontId="0" fillId="0" borderId="0" xfId="1535" applyNumberFormat="1" applyFont="1"/>
    <xf numFmtId="169" fontId="0" fillId="0" borderId="0" xfId="1535" applyNumberFormat="1" applyFont="1"/>
    <xf numFmtId="170" fontId="0" fillId="0" borderId="0" xfId="1535" applyNumberFormat="1" applyFont="1"/>
    <xf numFmtId="0" fontId="0" fillId="0" borderId="26" xfId="1125" applyFont="1" applyBorder="1"/>
    <xf numFmtId="171" fontId="0" fillId="0" borderId="23" xfId="1535" applyNumberFormat="1" applyFont="1" applyBorder="1"/>
    <xf numFmtId="171" fontId="0" fillId="0" borderId="24" xfId="1535" applyNumberFormat="1" applyFont="1" applyBorder="1"/>
    <xf numFmtId="171" fontId="0" fillId="0" borderId="25" xfId="1535" applyNumberFormat="1" applyFont="1" applyBorder="1"/>
    <xf numFmtId="0" fontId="0" fillId="0" borderId="30" xfId="1535" applyFont="1" applyBorder="1"/>
    <xf numFmtId="167" fontId="0" fillId="0" borderId="23" xfId="1535" applyNumberFormat="1" applyFont="1" applyBorder="1"/>
    <xf numFmtId="0" fontId="1" fillId="0" borderId="26" xfId="1125" applyFont="1" applyBorder="1"/>
    <xf numFmtId="171" fontId="0" fillId="0" borderId="27" xfId="1535" applyNumberFormat="1" applyFont="1" applyBorder="1"/>
    <xf numFmtId="171" fontId="0" fillId="0" borderId="28" xfId="1535" applyNumberFormat="1" applyFont="1" applyBorder="1"/>
    <xf numFmtId="171" fontId="0" fillId="0" borderId="29" xfId="1535" applyNumberFormat="1" applyFont="1" applyBorder="1"/>
    <xf numFmtId="0" fontId="57" fillId="0" borderId="0" xfId="1535" applyFont="1"/>
    <xf numFmtId="167" fontId="57" fillId="0" borderId="0" xfId="1535" applyNumberFormat="1" applyFont="1"/>
    <xf numFmtId="0" fontId="0" fillId="0" borderId="31" xfId="1535" applyFont="1" applyBorder="1" applyAlignment="1">
      <alignment horizontal="center" vertical="center"/>
    </xf>
    <xf numFmtId="0" fontId="0" fillId="0" borderId="30" xfId="1535" applyFont="1" applyBorder="1" applyAlignment="1">
      <alignment horizontal="center" vertical="center"/>
    </xf>
    <xf numFmtId="0" fontId="0" fillId="0" borderId="32" xfId="1535" applyFont="1" applyBorder="1" applyAlignment="1">
      <alignment horizontal="center" vertical="center"/>
    </xf>
    <xf numFmtId="0" fontId="0" fillId="0" borderId="24" xfId="1125" applyFont="1" applyBorder="1"/>
    <xf numFmtId="0" fontId="1" fillId="0" borderId="24" xfId="1125" applyFont="1" applyBorder="1"/>
    <xf numFmtId="0" fontId="0" fillId="0" borderId="0" xfId="1540" applyFont="1"/>
    <xf numFmtId="0" fontId="56" fillId="0" borderId="1" xfId="1125" applyFont="1" applyBorder="1"/>
    <xf numFmtId="0" fontId="1" fillId="0" borderId="24" xfId="1535" applyFont="1" applyBorder="1"/>
    <xf numFmtId="0" fontId="0" fillId="0" borderId="33" xfId="1535" applyFont="1" applyBorder="1"/>
    <xf numFmtId="168" fontId="0" fillId="0" borderId="24" xfId="1535" applyNumberFormat="1" applyFont="1" applyBorder="1"/>
    <xf numFmtId="0" fontId="52" fillId="0" borderId="0" xfId="1535" applyFont="1"/>
    <xf numFmtId="0" fontId="24" fillId="3" borderId="1" xfId="1136" applyFont="1" applyFill="1" applyBorder="1"/>
    <xf numFmtId="0" fontId="58" fillId="3" borderId="1" xfId="1136" applyFont="1" applyFill="1" applyBorder="1"/>
    <xf numFmtId="2" fontId="59" fillId="3" borderId="24" xfId="1124" applyNumberFormat="1" applyFont="1" applyFill="1" applyBorder="1"/>
    <xf numFmtId="0" fontId="60" fillId="0" borderId="0" xfId="1535" applyFont="1"/>
    <xf numFmtId="0" fontId="59" fillId="3" borderId="24" xfId="1124" applyFont="1" applyFill="1" applyBorder="1"/>
    <xf numFmtId="0" fontId="1" fillId="0" borderId="0" xfId="1535" applyFont="1"/>
    <xf numFmtId="0" fontId="58" fillId="0" borderId="34" xfId="1125" applyFont="1" applyBorder="1"/>
    <xf numFmtId="2" fontId="59" fillId="0" borderId="35" xfId="1535" applyNumberFormat="1" applyFont="1" applyBorder="1"/>
    <xf numFmtId="0" fontId="61" fillId="0" borderId="0" xfId="1540" applyFont="1"/>
    <xf numFmtId="0" fontId="25" fillId="0" borderId="0" xfId="1125" applyFont="1" applyAlignment="1">
      <alignment horizontal="center"/>
    </xf>
    <xf numFmtId="0" fontId="62" fillId="0" borderId="0" xfId="1540" applyFont="1"/>
    <xf numFmtId="0" fontId="0" fillId="0" borderId="1" xfId="1540" applyFont="1" applyBorder="1"/>
    <xf numFmtId="0" fontId="25" fillId="3" borderId="36" xfId="1540" applyFont="1" applyFill="1" applyBorder="1"/>
    <xf numFmtId="0" fontId="25" fillId="3" borderId="37" xfId="1540" applyFont="1" applyFill="1" applyBorder="1"/>
    <xf numFmtId="0" fontId="25" fillId="3" borderId="38" xfId="1540" applyFont="1" applyFill="1" applyBorder="1" applyAlignment="1">
      <alignment horizontal="center"/>
    </xf>
    <xf numFmtId="0" fontId="25" fillId="3" borderId="39" xfId="1540" applyFont="1" applyFill="1" applyBorder="1" applyAlignment="1">
      <alignment horizontal="center"/>
    </xf>
    <xf numFmtId="0" fontId="25" fillId="3" borderId="40" xfId="1540" applyFont="1" applyFill="1" applyBorder="1" applyAlignment="1">
      <alignment horizontal="center"/>
    </xf>
    <xf numFmtId="0" fontId="25" fillId="3" borderId="0" xfId="1540" applyFont="1" applyFill="1" applyAlignment="1">
      <alignment horizontal="center"/>
    </xf>
    <xf numFmtId="2" fontId="25" fillId="3" borderId="10" xfId="1540" applyNumberFormat="1" applyFont="1" applyFill="1" applyBorder="1"/>
    <xf numFmtId="2" fontId="25" fillId="3" borderId="41" xfId="1540" applyNumberFormat="1" applyFont="1" applyFill="1" applyBorder="1"/>
    <xf numFmtId="2" fontId="0" fillId="3" borderId="42" xfId="1540" applyNumberFormat="1" applyFont="1" applyFill="1" applyBorder="1" applyAlignment="1">
      <alignment horizontal="center"/>
    </xf>
    <xf numFmtId="2" fontId="0" fillId="3" borderId="1" xfId="1540" applyNumberFormat="1" applyFont="1" applyFill="1" applyBorder="1" applyAlignment="1">
      <alignment horizontal="center"/>
    </xf>
    <xf numFmtId="2" fontId="0" fillId="3" borderId="6" xfId="1540" applyNumberFormat="1" applyFont="1" applyFill="1" applyBorder="1" applyAlignment="1">
      <alignment horizontal="center"/>
    </xf>
    <xf numFmtId="2" fontId="25" fillId="3" borderId="43" xfId="1540" applyNumberFormat="1" applyFont="1" applyFill="1" applyBorder="1"/>
    <xf numFmtId="2" fontId="25" fillId="3" borderId="44" xfId="1540" applyNumberFormat="1" applyFont="1" applyFill="1" applyBorder="1"/>
    <xf numFmtId="2" fontId="0" fillId="3" borderId="45" xfId="1540" applyNumberFormat="1" applyFont="1" applyFill="1" applyBorder="1" applyAlignment="1">
      <alignment horizontal="center"/>
    </xf>
    <xf numFmtId="2" fontId="0" fillId="0" borderId="0" xfId="1540" applyNumberFormat="1" applyFont="1"/>
    <xf numFmtId="0" fontId="1" fillId="0" borderId="0" xfId="1540" applyFont="1"/>
    <xf numFmtId="0" fontId="0" fillId="3" borderId="46" xfId="1540" applyFont="1" applyFill="1" applyBorder="1"/>
    <xf numFmtId="0" fontId="0" fillId="3" borderId="47" xfId="1540" applyFont="1" applyFill="1" applyBorder="1"/>
    <xf numFmtId="0" fontId="0" fillId="3" borderId="48" xfId="1540" applyFont="1" applyFill="1" applyBorder="1"/>
    <xf numFmtId="0" fontId="0" fillId="3" borderId="21" xfId="1540" applyFont="1" applyFill="1" applyBorder="1"/>
    <xf numFmtId="0" fontId="0" fillId="3" borderId="0" xfId="1540" applyFont="1" applyFill="1"/>
    <xf numFmtId="0" fontId="0" fillId="3" borderId="49" xfId="1540" applyFont="1" applyFill="1" applyBorder="1"/>
    <xf numFmtId="0" fontId="0" fillId="3" borderId="1" xfId="1540" applyFont="1" applyFill="1" applyBorder="1"/>
    <xf numFmtId="0" fontId="0" fillId="0" borderId="26" xfId="1540" applyFont="1" applyBorder="1"/>
    <xf numFmtId="0" fontId="0" fillId="34" borderId="5" xfId="1540" applyFont="1" applyFill="1" applyBorder="1"/>
    <xf numFmtId="0" fontId="0" fillId="34" borderId="6" xfId="1540" applyFont="1" applyFill="1" applyBorder="1"/>
    <xf numFmtId="0" fontId="0" fillId="0" borderId="5" xfId="1540" applyFont="1" applyBorder="1"/>
    <xf numFmtId="0" fontId="0" fillId="0" borderId="6" xfId="1540" applyFont="1" applyBorder="1"/>
    <xf numFmtId="2" fontId="0" fillId="0" borderId="5" xfId="1540" applyNumberFormat="1" applyFont="1" applyBorder="1"/>
    <xf numFmtId="2" fontId="0" fillId="0" borderId="1" xfId="1540" applyNumberFormat="1" applyFont="1" applyBorder="1"/>
    <xf numFmtId="2" fontId="0" fillId="0" borderId="6" xfId="1540" applyNumberFormat="1" applyFont="1" applyBorder="1"/>
    <xf numFmtId="0" fontId="0" fillId="0" borderId="0" xfId="1540" applyFont="1" applyAlignment="1">
      <alignment vertical="center" wrapText="1"/>
    </xf>
    <xf numFmtId="172" fontId="53" fillId="3" borderId="1" xfId="2" applyNumberFormat="1" applyFill="1" applyBorder="1"/>
    <xf numFmtId="2" fontId="0" fillId="3" borderId="1" xfId="1540" applyNumberFormat="1" applyFont="1" applyFill="1" applyBorder="1"/>
    <xf numFmtId="166" fontId="53" fillId="3" borderId="1" xfId="2" applyFill="1" applyBorder="1"/>
    <xf numFmtId="0" fontId="0" fillId="34" borderId="4" xfId="1540" applyFont="1" applyFill="1" applyBorder="1"/>
    <xf numFmtId="0" fontId="0" fillId="34" borderId="51" xfId="1540" applyFont="1" applyFill="1" applyBorder="1"/>
    <xf numFmtId="2" fontId="0" fillId="0" borderId="4" xfId="1540" applyNumberFormat="1" applyFont="1" applyBorder="1"/>
    <xf numFmtId="2" fontId="0" fillId="0" borderId="3" xfId="1540" applyNumberFormat="1" applyFont="1" applyBorder="1"/>
    <xf numFmtId="2" fontId="0" fillId="0" borderId="51" xfId="1540" applyNumberFormat="1" applyFont="1" applyBorder="1"/>
    <xf numFmtId="0" fontId="0" fillId="0" borderId="52" xfId="1540" applyFont="1" applyBorder="1"/>
    <xf numFmtId="0" fontId="0" fillId="0" borderId="2" xfId="1540" applyFont="1" applyBorder="1"/>
    <xf numFmtId="0" fontId="0" fillId="0" borderId="53" xfId="1540" applyFont="1" applyBorder="1"/>
    <xf numFmtId="0" fontId="63" fillId="0" borderId="1" xfId="1540" applyFont="1" applyBorder="1"/>
    <xf numFmtId="0" fontId="63" fillId="0" borderId="6" xfId="1540" applyFont="1" applyBorder="1"/>
    <xf numFmtId="0" fontId="63" fillId="0" borderId="0" xfId="1540" applyFont="1"/>
    <xf numFmtId="0" fontId="63" fillId="0" borderId="3" xfId="1540" applyFont="1" applyBorder="1"/>
    <xf numFmtId="0" fontId="0" fillId="0" borderId="3" xfId="1540" applyFont="1" applyBorder="1"/>
    <xf numFmtId="0" fontId="63" fillId="0" borderId="51" xfId="1540" applyFont="1" applyBorder="1"/>
    <xf numFmtId="0" fontId="0" fillId="3" borderId="54" xfId="1540" applyFont="1" applyFill="1" applyBorder="1"/>
    <xf numFmtId="0" fontId="0" fillId="3" borderId="12" xfId="1540" applyFont="1" applyFill="1" applyBorder="1"/>
    <xf numFmtId="0" fontId="0" fillId="3" borderId="55" xfId="1540" applyFont="1" applyFill="1" applyBorder="1"/>
    <xf numFmtId="0" fontId="0" fillId="0" borderId="24" xfId="1540" applyFont="1" applyBorder="1"/>
    <xf numFmtId="167" fontId="0" fillId="0" borderId="24" xfId="1540" applyNumberFormat="1" applyFont="1" applyBorder="1"/>
    <xf numFmtId="2" fontId="0" fillId="0" borderId="24" xfId="1540" applyNumberFormat="1" applyFont="1" applyBorder="1"/>
    <xf numFmtId="0" fontId="56" fillId="0" borderId="0" xfId="1125" applyFont="1"/>
    <xf numFmtId="167" fontId="0" fillId="0" borderId="0" xfId="1540" applyNumberFormat="1" applyFont="1"/>
    <xf numFmtId="0" fontId="24" fillId="0" borderId="1" xfId="1125" applyFont="1" applyBorder="1"/>
    <xf numFmtId="0" fontId="1" fillId="0" borderId="24" xfId="1540" applyFont="1" applyBorder="1"/>
    <xf numFmtId="167" fontId="1" fillId="0" borderId="24" xfId="1540" applyNumberFormat="1" applyFont="1" applyBorder="1"/>
    <xf numFmtId="0" fontId="0" fillId="0" borderId="1" xfId="1125" applyFont="1" applyBorder="1"/>
    <xf numFmtId="0" fontId="52" fillId="0" borderId="1" xfId="1125" applyFont="1" applyBorder="1"/>
    <xf numFmtId="0" fontId="64" fillId="0" borderId="56" xfId="1535" applyFont="1" applyBorder="1" applyAlignment="1">
      <alignment horizontal="center"/>
    </xf>
    <xf numFmtId="0" fontId="64" fillId="0" borderId="57" xfId="1535" applyFont="1" applyBorder="1" applyAlignment="1">
      <alignment horizontal="center"/>
    </xf>
    <xf numFmtId="167" fontId="0" fillId="0" borderId="0" xfId="1535" applyNumberFormat="1" applyFont="1"/>
    <xf numFmtId="2" fontId="57" fillId="0" borderId="0" xfId="1535" applyNumberFormat="1" applyFont="1"/>
    <xf numFmtId="2" fontId="62" fillId="0" borderId="0" xfId="1540" applyNumberFormat="1" applyFont="1"/>
    <xf numFmtId="2" fontId="0" fillId="0" borderId="0" xfId="1535" applyNumberFormat="1" applyFont="1"/>
    <xf numFmtId="2" fontId="62" fillId="0" borderId="0" xfId="1535" applyNumberFormat="1" applyFont="1"/>
    <xf numFmtId="0" fontId="52" fillId="0" borderId="24" xfId="1125" applyFont="1" applyBorder="1"/>
    <xf numFmtId="0" fontId="65" fillId="3" borderId="0" xfId="1535" applyFont="1" applyFill="1" applyAlignment="1">
      <alignment horizontal="left" vertical="center"/>
    </xf>
    <xf numFmtId="0" fontId="25" fillId="0" borderId="1" xfId="1535" applyFont="1" applyBorder="1"/>
    <xf numFmtId="3" fontId="25" fillId="34" borderId="31" xfId="1535" applyNumberFormat="1" applyFont="1" applyFill="1" applyBorder="1"/>
    <xf numFmtId="0" fontId="0" fillId="35" borderId="1" xfId="1535" applyFont="1" applyFill="1" applyBorder="1"/>
    <xf numFmtId="0" fontId="66" fillId="3" borderId="1" xfId="1535" applyFont="1" applyFill="1" applyBorder="1" applyAlignment="1">
      <alignment horizontal="center" vertical="center"/>
    </xf>
    <xf numFmtId="171" fontId="0" fillId="0" borderId="1" xfId="1535" applyNumberFormat="1" applyFont="1" applyBorder="1"/>
    <xf numFmtId="171" fontId="0" fillId="34" borderId="31" xfId="1535" applyNumberFormat="1" applyFont="1" applyFill="1" applyBorder="1"/>
    <xf numFmtId="0" fontId="0" fillId="36" borderId="1" xfId="1535" applyFont="1" applyFill="1" applyBorder="1"/>
    <xf numFmtId="0" fontId="0" fillId="37" borderId="1" xfId="1535" applyFont="1" applyFill="1" applyBorder="1"/>
    <xf numFmtId="0" fontId="0" fillId="38" borderId="1" xfId="1535" applyFont="1" applyFill="1" applyBorder="1"/>
    <xf numFmtId="0" fontId="0" fillId="39" borderId="1" xfId="1535" applyFont="1" applyFill="1" applyBorder="1"/>
    <xf numFmtId="0" fontId="0" fillId="40" borderId="1" xfId="1535" applyFont="1" applyFill="1" applyBorder="1"/>
    <xf numFmtId="0" fontId="0" fillId="41" borderId="1" xfId="1535" applyFont="1" applyFill="1" applyBorder="1"/>
    <xf numFmtId="171" fontId="0" fillId="0" borderId="0" xfId="1535" applyNumberFormat="1" applyFont="1"/>
    <xf numFmtId="0" fontId="67" fillId="0" borderId="0" xfId="1535" applyFont="1"/>
    <xf numFmtId="0" fontId="25" fillId="0" borderId="0" xfId="1535" applyFont="1"/>
    <xf numFmtId="171" fontId="0" fillId="0" borderId="0" xfId="1535" applyNumberFormat="1" applyFont="1" applyAlignment="1">
      <alignment horizontal="right"/>
    </xf>
    <xf numFmtId="0" fontId="0" fillId="38" borderId="0" xfId="1535" applyFont="1" applyFill="1"/>
    <xf numFmtId="0" fontId="0" fillId="41" borderId="0" xfId="1535" applyFont="1" applyFill="1"/>
    <xf numFmtId="0" fontId="0" fillId="36" borderId="0" xfId="1535" applyFont="1" applyFill="1"/>
    <xf numFmtId="0" fontId="0" fillId="35" borderId="0" xfId="1535" applyFont="1" applyFill="1"/>
    <xf numFmtId="0" fontId="0" fillId="40" borderId="0" xfId="1535" applyFont="1" applyFill="1"/>
    <xf numFmtId="171" fontId="0" fillId="40" borderId="0" xfId="1535" applyNumberFormat="1" applyFont="1" applyFill="1"/>
    <xf numFmtId="0" fontId="0" fillId="37" borderId="0" xfId="1535" applyFont="1" applyFill="1"/>
    <xf numFmtId="0" fontId="0" fillId="39" borderId="0" xfId="1535" applyFont="1" applyFill="1"/>
    <xf numFmtId="0" fontId="25" fillId="0" borderId="24" xfId="1535" applyFont="1" applyBorder="1"/>
    <xf numFmtId="171" fontId="68" fillId="0" borderId="24" xfId="1535" applyNumberFormat="1" applyFont="1" applyBorder="1"/>
    <xf numFmtId="167" fontId="25" fillId="0" borderId="24" xfId="1535" applyNumberFormat="1" applyFont="1" applyBorder="1"/>
    <xf numFmtId="169" fontId="19" fillId="42" borderId="24" xfId="1535" applyNumberFormat="1" applyFont="1" applyFill="1" applyBorder="1"/>
    <xf numFmtId="0" fontId="62" fillId="0" borderId="0" xfId="1535" applyFont="1"/>
    <xf numFmtId="0" fontId="64" fillId="0" borderId="24" xfId="1535" applyFont="1" applyBorder="1" applyAlignment="1">
      <alignment horizontal="center"/>
    </xf>
    <xf numFmtId="0" fontId="61" fillId="0" borderId="0" xfId="1535" applyFont="1"/>
    <xf numFmtId="0" fontId="20" fillId="43" borderId="0" xfId="1535" applyFont="1" applyFill="1"/>
    <xf numFmtId="0" fontId="19" fillId="44" borderId="1" xfId="1535" applyFont="1" applyFill="1" applyBorder="1" applyAlignment="1">
      <alignment horizontal="center" wrapText="1"/>
    </xf>
    <xf numFmtId="0" fontId="19" fillId="44" borderId="1" xfId="1535" applyFont="1" applyFill="1" applyBorder="1" applyAlignment="1">
      <alignment wrapText="1"/>
    </xf>
    <xf numFmtId="0" fontId="19" fillId="44" borderId="59" xfId="1535" applyFont="1" applyFill="1" applyBorder="1" applyAlignment="1">
      <alignment horizontal="center" wrapText="1"/>
    </xf>
    <xf numFmtId="0" fontId="69" fillId="26" borderId="1" xfId="1535" applyFont="1" applyFill="1" applyBorder="1" applyAlignment="1">
      <alignment wrapText="1"/>
    </xf>
    <xf numFmtId="1" fontId="0" fillId="44" borderId="1" xfId="1535" applyNumberFormat="1" applyFont="1" applyFill="1" applyBorder="1"/>
    <xf numFmtId="1" fontId="0" fillId="0" borderId="0" xfId="1535" applyNumberFormat="1" applyFont="1"/>
    <xf numFmtId="0" fontId="25" fillId="16" borderId="1" xfId="1535" applyFont="1" applyFill="1" applyBorder="1"/>
    <xf numFmtId="1" fontId="0" fillId="0" borderId="1" xfId="1535" applyNumberFormat="1" applyFont="1" applyBorder="1"/>
    <xf numFmtId="1" fontId="70" fillId="0" borderId="1" xfId="1535" applyNumberFormat="1" applyFont="1" applyBorder="1"/>
    <xf numFmtId="172" fontId="53" fillId="0" borderId="0" xfId="2" applyNumberFormat="1"/>
    <xf numFmtId="1" fontId="71" fillId="0" borderId="1" xfId="1535" applyNumberFormat="1" applyFont="1" applyBorder="1"/>
    <xf numFmtId="0" fontId="72" fillId="0" borderId="0" xfId="3"/>
    <xf numFmtId="0" fontId="25" fillId="16" borderId="1" xfId="1535" applyFont="1" applyFill="1" applyBorder="1" applyAlignment="1">
      <alignment horizontal="left" indent="1"/>
    </xf>
    <xf numFmtId="1" fontId="61" fillId="0" borderId="1" xfId="1535" applyNumberFormat="1" applyFont="1" applyBorder="1"/>
    <xf numFmtId="166" fontId="53" fillId="0" borderId="0" xfId="2"/>
    <xf numFmtId="0" fontId="73" fillId="26" borderId="1" xfId="1535" applyFont="1" applyFill="1" applyBorder="1" applyAlignment="1">
      <alignment wrapText="1"/>
    </xf>
    <xf numFmtId="0" fontId="73" fillId="26" borderId="1" xfId="1535" applyFont="1" applyFill="1" applyBorder="1" applyAlignment="1">
      <alignment horizontal="center" wrapText="1"/>
    </xf>
    <xf numFmtId="0" fontId="73" fillId="26" borderId="1" xfId="1535" applyFont="1" applyFill="1" applyBorder="1" applyAlignment="1">
      <alignment horizontal="center" vertical="center" wrapText="1"/>
    </xf>
    <xf numFmtId="0" fontId="73" fillId="39" borderId="1" xfId="1535" applyFont="1" applyFill="1" applyBorder="1"/>
    <xf numFmtId="172" fontId="1" fillId="46" borderId="1" xfId="2" applyNumberFormat="1" applyFont="1" applyFill="1" applyBorder="1"/>
    <xf numFmtId="172" fontId="0" fillId="44" borderId="1" xfId="1535" applyNumberFormat="1" applyFont="1" applyFill="1" applyBorder="1"/>
    <xf numFmtId="0" fontId="73" fillId="39" borderId="1" xfId="1535" applyFont="1" applyFill="1" applyBorder="1" applyAlignment="1">
      <alignment horizontal="center"/>
    </xf>
    <xf numFmtId="0" fontId="19" fillId="0" borderId="0" xfId="1535" applyFont="1"/>
    <xf numFmtId="0" fontId="0" fillId="42" borderId="1" xfId="1535" applyFont="1" applyFill="1" applyBorder="1"/>
    <xf numFmtId="0" fontId="74" fillId="42" borderId="1" xfId="1535" applyFont="1" applyFill="1" applyBorder="1" applyAlignment="1">
      <alignment horizontal="center"/>
    </xf>
    <xf numFmtId="166" fontId="1" fillId="0" borderId="1" xfId="2" applyFont="1" applyBorder="1"/>
    <xf numFmtId="166" fontId="0" fillId="44" borderId="1" xfId="1535" applyNumberFormat="1" applyFont="1" applyFill="1" applyBorder="1"/>
    <xf numFmtId="172" fontId="70" fillId="0" borderId="1" xfId="2" applyNumberFormat="1" applyFont="1" applyBorder="1"/>
    <xf numFmtId="0" fontId="71" fillId="0" borderId="0" xfId="1535" applyFont="1"/>
    <xf numFmtId="0" fontId="0" fillId="47" borderId="1" xfId="1535" applyFont="1" applyFill="1" applyBorder="1"/>
    <xf numFmtId="0" fontId="74" fillId="47" borderId="1" xfId="1535" applyFont="1" applyFill="1" applyBorder="1" applyAlignment="1">
      <alignment horizontal="center"/>
    </xf>
    <xf numFmtId="166" fontId="1" fillId="47" borderId="1" xfId="2" applyFont="1" applyFill="1" applyBorder="1"/>
    <xf numFmtId="166" fontId="0" fillId="47" borderId="1" xfId="1535" applyNumberFormat="1" applyFont="1" applyFill="1" applyBorder="1"/>
    <xf numFmtId="172" fontId="1" fillId="47" borderId="1" xfId="2" applyNumberFormat="1" applyFont="1" applyFill="1" applyBorder="1"/>
    <xf numFmtId="172" fontId="0" fillId="47" borderId="1" xfId="1535" applyNumberFormat="1" applyFont="1" applyFill="1" applyBorder="1"/>
    <xf numFmtId="172" fontId="1" fillId="0" borderId="1" xfId="2" applyNumberFormat="1" applyFont="1" applyBorder="1"/>
    <xf numFmtId="166" fontId="61" fillId="0" borderId="1" xfId="2" applyFont="1" applyBorder="1"/>
    <xf numFmtId="166" fontId="1" fillId="46" borderId="1" xfId="2" applyFont="1" applyFill="1" applyBorder="1"/>
    <xf numFmtId="172" fontId="61" fillId="0" borderId="1" xfId="2" applyNumberFormat="1" applyFont="1" applyBorder="1"/>
    <xf numFmtId="0" fontId="75" fillId="39" borderId="1" xfId="1535" applyFont="1" applyFill="1" applyBorder="1"/>
    <xf numFmtId="172" fontId="76" fillId="0" borderId="1" xfId="2" applyNumberFormat="1" applyFont="1" applyBorder="1"/>
    <xf numFmtId="0" fontId="73" fillId="39" borderId="1" xfId="1535" applyFont="1" applyFill="1" applyBorder="1" applyAlignment="1">
      <alignment vertical="center"/>
    </xf>
    <xf numFmtId="172" fontId="77" fillId="0" borderId="1" xfId="2" applyNumberFormat="1" applyFont="1" applyBorder="1"/>
    <xf numFmtId="172" fontId="70" fillId="46" borderId="1" xfId="2" applyNumberFormat="1" applyFont="1" applyFill="1" applyBorder="1"/>
    <xf numFmtId="172" fontId="0" fillId="0" borderId="1" xfId="2" applyNumberFormat="1" applyFont="1" applyBorder="1"/>
    <xf numFmtId="0" fontId="56" fillId="39" borderId="1" xfId="1535" applyFont="1" applyFill="1" applyBorder="1"/>
    <xf numFmtId="0" fontId="78" fillId="47" borderId="1" xfId="1535" applyFont="1" applyFill="1" applyBorder="1"/>
    <xf numFmtId="0" fontId="25" fillId="0" borderId="0" xfId="1535" applyFont="1" applyAlignment="1">
      <alignment horizontal="center"/>
    </xf>
    <xf numFmtId="0" fontId="73" fillId="0" borderId="0" xfId="1535" applyFont="1" applyAlignment="1">
      <alignment horizontal="center" wrapText="1"/>
    </xf>
    <xf numFmtId="170" fontId="0" fillId="0" borderId="1" xfId="1535" applyNumberFormat="1" applyFont="1" applyBorder="1" applyAlignment="1">
      <alignment horizontal="center"/>
    </xf>
    <xf numFmtId="166" fontId="0" fillId="0" borderId="1" xfId="1535" applyNumberFormat="1" applyFont="1" applyBorder="1" applyAlignment="1">
      <alignment horizontal="center"/>
    </xf>
    <xf numFmtId="166" fontId="0" fillId="0" borderId="0" xfId="1535" applyNumberFormat="1" applyFont="1" applyAlignment="1">
      <alignment horizontal="center"/>
    </xf>
    <xf numFmtId="172" fontId="1" fillId="0" borderId="1" xfId="2" applyNumberFormat="1" applyFont="1" applyBorder="1" applyAlignment="1">
      <alignment horizontal="center"/>
    </xf>
    <xf numFmtId="166" fontId="0" fillId="0" borderId="1" xfId="1535" applyNumberFormat="1" applyFont="1" applyBorder="1"/>
    <xf numFmtId="166" fontId="0" fillId="26" borderId="0" xfId="1535" applyNumberFormat="1" applyFont="1" applyFill="1" applyAlignment="1">
      <alignment horizontal="center"/>
    </xf>
    <xf numFmtId="166" fontId="0" fillId="44" borderId="1" xfId="1535" applyNumberFormat="1" applyFont="1" applyFill="1" applyBorder="1" applyAlignment="1">
      <alignment horizontal="center"/>
    </xf>
    <xf numFmtId="166" fontId="53" fillId="0" borderId="1" xfId="2" applyBorder="1"/>
    <xf numFmtId="166" fontId="53" fillId="0" borderId="1" xfId="2" applyBorder="1" applyAlignment="1">
      <alignment horizontal="center"/>
    </xf>
    <xf numFmtId="166" fontId="0" fillId="3" borderId="1" xfId="1535" applyNumberFormat="1" applyFont="1" applyFill="1" applyBorder="1" applyAlignment="1">
      <alignment horizontal="center"/>
    </xf>
    <xf numFmtId="166" fontId="0" fillId="26" borderId="1" xfId="1535" applyNumberFormat="1" applyFont="1" applyFill="1" applyBorder="1" applyAlignment="1">
      <alignment horizontal="center"/>
    </xf>
    <xf numFmtId="166" fontId="0" fillId="0" borderId="60" xfId="1535" applyNumberFormat="1" applyFont="1" applyBorder="1" applyAlignment="1">
      <alignment horizontal="center"/>
    </xf>
    <xf numFmtId="0" fontId="20" fillId="43" borderId="0" xfId="1535" applyFont="1" applyFill="1" applyAlignment="1">
      <alignment horizontal="left"/>
    </xf>
    <xf numFmtId="0" fontId="25" fillId="19" borderId="38" xfId="1535" applyFont="1" applyFill="1" applyBorder="1" applyAlignment="1">
      <alignment horizontal="center" vertical="center"/>
    </xf>
    <xf numFmtId="166" fontId="80" fillId="20" borderId="1" xfId="1535" applyNumberFormat="1" applyFont="1" applyFill="1" applyBorder="1" applyAlignment="1">
      <alignment vertical="center"/>
    </xf>
    <xf numFmtId="166" fontId="74" fillId="0" borderId="1" xfId="1535" applyNumberFormat="1" applyFont="1" applyBorder="1" applyAlignment="1">
      <alignment horizontal="center"/>
    </xf>
    <xf numFmtId="166" fontId="81" fillId="20" borderId="1" xfId="1535" applyNumberFormat="1" applyFont="1" applyFill="1" applyBorder="1" applyAlignment="1">
      <alignment vertical="center"/>
    </xf>
    <xf numFmtId="0" fontId="53" fillId="0" borderId="0" xfId="1535" applyFont="1"/>
    <xf numFmtId="167" fontId="0" fillId="0" borderId="1" xfId="1535" applyNumberFormat="1" applyFont="1" applyBorder="1" applyAlignment="1">
      <alignment horizontal="center"/>
    </xf>
    <xf numFmtId="166" fontId="80" fillId="20" borderId="1" xfId="1535" applyNumberFormat="1" applyFont="1" applyFill="1" applyBorder="1" applyAlignment="1">
      <alignment horizontal="center"/>
    </xf>
    <xf numFmtId="0" fontId="82" fillId="0" borderId="0" xfId="1533" applyFont="1" applyAlignment="1">
      <alignment horizontal="center" vertical="center"/>
    </xf>
    <xf numFmtId="0" fontId="83" fillId="0" borderId="59" xfId="1535" applyFont="1" applyBorder="1" applyAlignment="1">
      <alignment horizontal="center" vertical="center" wrapText="1"/>
    </xf>
    <xf numFmtId="0" fontId="84" fillId="0" borderId="1" xfId="1535" applyFont="1" applyBorder="1" applyAlignment="1">
      <alignment vertical="center"/>
    </xf>
    <xf numFmtId="166" fontId="84" fillId="0" borderId="1" xfId="2" applyFont="1" applyBorder="1" applyAlignment="1">
      <alignment horizontal="right" vertical="center"/>
    </xf>
    <xf numFmtId="166" fontId="85" fillId="0" borderId="1" xfId="1535" applyNumberFormat="1" applyFont="1" applyBorder="1" applyAlignment="1">
      <alignment horizontal="center"/>
    </xf>
    <xf numFmtId="0" fontId="83" fillId="0" borderId="1" xfId="1535" applyFont="1" applyBorder="1" applyAlignment="1">
      <alignment vertical="center"/>
    </xf>
    <xf numFmtId="166" fontId="83" fillId="0" borderId="1" xfId="2" applyFont="1" applyBorder="1" applyAlignment="1">
      <alignment horizontal="right" vertical="center"/>
    </xf>
    <xf numFmtId="0" fontId="79" fillId="0" borderId="0" xfId="1535" applyFont="1" applyAlignment="1">
      <alignment horizontal="center"/>
    </xf>
    <xf numFmtId="0" fontId="79" fillId="0" borderId="0" xfId="1535" applyFont="1" applyAlignment="1">
      <alignment horizontal="left" vertical="center"/>
    </xf>
    <xf numFmtId="0" fontId="25" fillId="19" borderId="1" xfId="1535" applyFont="1" applyFill="1" applyBorder="1" applyAlignment="1">
      <alignment horizontal="center" vertical="center"/>
    </xf>
    <xf numFmtId="0" fontId="0" fillId="42" borderId="1" xfId="1535" applyFont="1" applyFill="1" applyBorder="1" applyAlignment="1">
      <alignment vertical="center"/>
    </xf>
    <xf numFmtId="166" fontId="86" fillId="0" borderId="1" xfId="1535" applyNumberFormat="1" applyFont="1" applyBorder="1" applyAlignment="1">
      <alignment horizontal="center"/>
    </xf>
    <xf numFmtId="0" fontId="0" fillId="42" borderId="1" xfId="1535" applyFont="1" applyFill="1" applyBorder="1" applyAlignment="1">
      <alignment horizontal="left" vertical="center" indent="12"/>
    </xf>
    <xf numFmtId="0" fontId="87" fillId="0" borderId="0" xfId="1535" applyFont="1"/>
    <xf numFmtId="0" fontId="79" fillId="0" borderId="0" xfId="1535" applyFont="1"/>
    <xf numFmtId="0" fontId="79" fillId="0" borderId="0" xfId="1535" applyFont="1" applyAlignment="1">
      <alignment horizontal="left"/>
    </xf>
    <xf numFmtId="0" fontId="0" fillId="0" borderId="62" xfId="1535" applyFont="1" applyBorder="1"/>
    <xf numFmtId="0" fontId="0" fillId="0" borderId="56" xfId="1535" applyFont="1" applyBorder="1"/>
    <xf numFmtId="0" fontId="0" fillId="0" borderId="57" xfId="1535" applyFont="1" applyBorder="1"/>
    <xf numFmtId="2" fontId="25" fillId="0" borderId="58" xfId="1535" applyNumberFormat="1" applyFont="1" applyBorder="1" applyAlignment="1">
      <alignment horizontal="center"/>
    </xf>
    <xf numFmtId="2" fontId="25" fillId="0" borderId="0" xfId="1535" applyNumberFormat="1" applyFont="1" applyAlignment="1">
      <alignment horizontal="center"/>
    </xf>
    <xf numFmtId="2" fontId="0" fillId="0" borderId="60" xfId="1535" applyNumberFormat="1" applyFont="1" applyBorder="1"/>
    <xf numFmtId="2" fontId="0" fillId="0" borderId="58" xfId="1535" applyNumberFormat="1" applyFont="1" applyBorder="1"/>
    <xf numFmtId="0" fontId="0" fillId="0" borderId="58" xfId="1535" applyFont="1" applyBorder="1"/>
    <xf numFmtId="0" fontId="0" fillId="0" borderId="60" xfId="1535" applyFont="1" applyBorder="1"/>
    <xf numFmtId="0" fontId="0" fillId="0" borderId="58" xfId="1535" applyFont="1" applyBorder="1" applyAlignment="1">
      <alignment horizontal="left" vertical="center"/>
    </xf>
    <xf numFmtId="0" fontId="0" fillId="0" borderId="58" xfId="1535" applyFont="1" applyBorder="1" applyAlignment="1">
      <alignment horizontal="left" vertical="center" wrapText="1"/>
    </xf>
    <xf numFmtId="2" fontId="0" fillId="0" borderId="63" xfId="1535" applyNumberFormat="1" applyFont="1" applyBorder="1"/>
    <xf numFmtId="2" fontId="0" fillId="0" borderId="18" xfId="1535" applyNumberFormat="1" applyFont="1" applyBorder="1"/>
    <xf numFmtId="2" fontId="0" fillId="0" borderId="38" xfId="1535" applyNumberFormat="1" applyFont="1" applyBorder="1"/>
    <xf numFmtId="0" fontId="73" fillId="36" borderId="0" xfId="1535" applyFont="1" applyFill="1" applyAlignment="1">
      <alignment horizontal="center" vertical="center" wrapText="1"/>
    </xf>
    <xf numFmtId="0" fontId="0" fillId="19" borderId="39" xfId="1535" applyFont="1" applyFill="1" applyBorder="1" applyAlignment="1">
      <alignment horizontal="center"/>
    </xf>
    <xf numFmtId="0" fontId="0" fillId="0" borderId="39" xfId="1535" applyFont="1" applyBorder="1" applyAlignment="1">
      <alignment horizontal="center"/>
    </xf>
    <xf numFmtId="0" fontId="75" fillId="26" borderId="1" xfId="1" applyNumberFormat="1" applyFont="1" applyFill="1" applyBorder="1" applyAlignment="1">
      <alignment horizontal="center"/>
    </xf>
    <xf numFmtId="0" fontId="25" fillId="47" borderId="1" xfId="1535" applyFont="1" applyFill="1" applyBorder="1" applyAlignment="1">
      <alignment horizontal="center" vertical="center"/>
    </xf>
    <xf numFmtId="0" fontId="20" fillId="38" borderId="1" xfId="1535" applyFont="1" applyFill="1" applyBorder="1" applyAlignment="1">
      <alignment horizontal="center" vertical="center"/>
    </xf>
    <xf numFmtId="0" fontId="20" fillId="48" borderId="1" xfId="1535" applyFont="1" applyFill="1" applyBorder="1" applyAlignment="1">
      <alignment horizontal="center" vertical="center"/>
    </xf>
    <xf numFmtId="0" fontId="20" fillId="41" borderId="1" xfId="1535" applyFont="1" applyFill="1" applyBorder="1" applyAlignment="1">
      <alignment horizontal="center" vertical="center"/>
    </xf>
    <xf numFmtId="0" fontId="20" fillId="49" borderId="42" xfId="1535" applyFont="1" applyFill="1" applyBorder="1" applyAlignment="1">
      <alignment horizontal="center" vertical="center"/>
    </xf>
    <xf numFmtId="0" fontId="53" fillId="0" borderId="1" xfId="1535" applyFont="1" applyBorder="1"/>
    <xf numFmtId="0" fontId="0" fillId="3" borderId="34" xfId="1535" applyFont="1" applyFill="1" applyBorder="1" applyAlignment="1">
      <alignment vertical="center"/>
    </xf>
    <xf numFmtId="166" fontId="0" fillId="47" borderId="34" xfId="1535" applyNumberFormat="1" applyFont="1" applyFill="1" applyBorder="1" applyAlignment="1">
      <alignment horizontal="center" vertical="center"/>
    </xf>
    <xf numFmtId="166" fontId="2" fillId="38" borderId="34" xfId="1535" applyNumberFormat="1" applyFont="1" applyFill="1" applyBorder="1" applyAlignment="1">
      <alignment horizontal="center" vertical="center"/>
    </xf>
    <xf numFmtId="166" fontId="2" fillId="48" borderId="34" xfId="1535" applyNumberFormat="1" applyFont="1" applyFill="1" applyBorder="1" applyAlignment="1">
      <alignment horizontal="center" vertical="center"/>
    </xf>
    <xf numFmtId="166" fontId="2" fillId="41" borderId="34" xfId="1535" applyNumberFormat="1" applyFont="1" applyFill="1" applyBorder="1" applyAlignment="1">
      <alignment horizontal="center" vertical="center"/>
    </xf>
    <xf numFmtId="166" fontId="2" fillId="49" borderId="60" xfId="1535" applyNumberFormat="1" applyFont="1" applyFill="1" applyBorder="1" applyAlignment="1">
      <alignment horizontal="center" vertical="center"/>
    </xf>
    <xf numFmtId="0" fontId="53" fillId="0" borderId="59" xfId="1535" applyFont="1" applyBorder="1" applyAlignment="1">
      <alignment vertical="center"/>
    </xf>
    <xf numFmtId="166" fontId="0" fillId="0" borderId="59" xfId="1535" applyNumberFormat="1" applyFont="1" applyBorder="1"/>
    <xf numFmtId="166" fontId="74" fillId="19" borderId="1" xfId="1535" applyNumberFormat="1" applyFont="1" applyFill="1" applyBorder="1" applyAlignment="1">
      <alignment horizontal="center"/>
    </xf>
    <xf numFmtId="166" fontId="74" fillId="26" borderId="1" xfId="1535" applyNumberFormat="1" applyFont="1" applyFill="1" applyBorder="1" applyAlignment="1">
      <alignment horizontal="center"/>
    </xf>
    <xf numFmtId="0" fontId="53" fillId="0" borderId="34" xfId="1535" applyFont="1" applyBorder="1" applyAlignment="1">
      <alignment vertical="center"/>
    </xf>
    <xf numFmtId="166" fontId="0" fillId="0" borderId="34" xfId="1535" applyNumberFormat="1" applyFont="1" applyBorder="1"/>
    <xf numFmtId="0" fontId="0" fillId="3" borderId="39" xfId="1535" applyFont="1" applyFill="1" applyBorder="1"/>
    <xf numFmtId="166" fontId="0" fillId="47" borderId="39" xfId="2" applyFont="1" applyFill="1" applyBorder="1" applyAlignment="1">
      <alignment horizontal="center" vertical="center"/>
    </xf>
    <xf numFmtId="166" fontId="2" fillId="38" borderId="39" xfId="2" applyFont="1" applyFill="1" applyBorder="1" applyAlignment="1">
      <alignment horizontal="center" vertical="center"/>
    </xf>
    <xf numFmtId="166" fontId="2" fillId="48" borderId="39" xfId="2" applyFont="1" applyFill="1" applyBorder="1" applyAlignment="1">
      <alignment horizontal="center" vertical="center"/>
    </xf>
    <xf numFmtId="166" fontId="2" fillId="41" borderId="39" xfId="2" applyFont="1" applyFill="1" applyBorder="1" applyAlignment="1">
      <alignment horizontal="center" vertical="center"/>
    </xf>
    <xf numFmtId="166" fontId="2" fillId="49" borderId="38" xfId="2" applyFont="1" applyFill="1" applyBorder="1" applyAlignment="1">
      <alignment horizontal="center" vertical="center"/>
    </xf>
    <xf numFmtId="0" fontId="53" fillId="0" borderId="39" xfId="1535" applyFont="1" applyBorder="1"/>
    <xf numFmtId="166" fontId="0" fillId="0" borderId="39" xfId="1535" applyNumberFormat="1" applyFont="1" applyBorder="1"/>
    <xf numFmtId="0" fontId="25" fillId="0" borderId="1" xfId="1535" applyFont="1" applyBorder="1" applyAlignment="1">
      <alignment horizontal="center" vertical="center"/>
    </xf>
    <xf numFmtId="0" fontId="0" fillId="0" borderId="1" xfId="1535" applyFont="1" applyBorder="1"/>
    <xf numFmtId="170" fontId="0" fillId="0" borderId="1" xfId="2" applyNumberFormat="1" applyFont="1" applyBorder="1"/>
    <xf numFmtId="166" fontId="85" fillId="19" borderId="1" xfId="1535" applyNumberFormat="1" applyFont="1" applyFill="1" applyBorder="1" applyAlignment="1">
      <alignment horizontal="center"/>
    </xf>
    <xf numFmtId="0" fontId="0" fillId="0" borderId="0" xfId="1535" applyFont="1" applyAlignment="1">
      <alignment horizontal="center"/>
    </xf>
    <xf numFmtId="0" fontId="0" fillId="0" borderId="0" xfId="1535" applyFont="1" applyAlignment="1">
      <alignment horizontal="right"/>
    </xf>
    <xf numFmtId="0" fontId="94" fillId="3" borderId="0" xfId="1125" applyFill="1"/>
    <xf numFmtId="0" fontId="94" fillId="0" borderId="0" xfId="1125"/>
    <xf numFmtId="2" fontId="94" fillId="0" borderId="24" xfId="1125" applyNumberFormat="1" applyBorder="1"/>
    <xf numFmtId="0" fontId="20" fillId="28" borderId="0" xfId="1535" applyFont="1" applyFill="1" applyAlignment="1">
      <alignment horizontal="center"/>
    </xf>
    <xf numFmtId="0" fontId="88" fillId="0" borderId="0" xfId="1535" applyFont="1"/>
    <xf numFmtId="0" fontId="0" fillId="47" borderId="24" xfId="1535" applyFont="1" applyFill="1" applyBorder="1"/>
    <xf numFmtId="0" fontId="0" fillId="47" borderId="0" xfId="1535" applyFont="1" applyFill="1"/>
    <xf numFmtId="0" fontId="89" fillId="0" borderId="24" xfId="1535" applyFont="1" applyBorder="1" applyAlignment="1">
      <alignment horizontal="left" indent="1"/>
    </xf>
    <xf numFmtId="166" fontId="90" fillId="0" borderId="0" xfId="2" applyFont="1"/>
    <xf numFmtId="0" fontId="0" fillId="0" borderId="65" xfId="1535" applyFont="1" applyBorder="1"/>
    <xf numFmtId="0" fontId="88" fillId="0" borderId="56" xfId="1535" applyFont="1" applyBorder="1"/>
    <xf numFmtId="0" fontId="0" fillId="47" borderId="66" xfId="1535" applyFont="1" applyFill="1" applyBorder="1"/>
    <xf numFmtId="0" fontId="0" fillId="47" borderId="60" xfId="1535" applyFont="1" applyFill="1" applyBorder="1"/>
    <xf numFmtId="0" fontId="89" fillId="0" borderId="66" xfId="1535" applyFont="1" applyBorder="1" applyAlignment="1">
      <alignment horizontal="left" indent="1"/>
    </xf>
    <xf numFmtId="166" fontId="91" fillId="0" borderId="0" xfId="2" applyFont="1"/>
    <xf numFmtId="166" fontId="91" fillId="0" borderId="60" xfId="2" applyFont="1" applyBorder="1"/>
    <xf numFmtId="0" fontId="70" fillId="0" borderId="0" xfId="1540" applyFont="1"/>
    <xf numFmtId="166" fontId="90" fillId="0" borderId="60" xfId="2" applyFont="1" applyBorder="1"/>
    <xf numFmtId="166" fontId="92" fillId="0" borderId="60" xfId="2" applyFont="1" applyBorder="1"/>
    <xf numFmtId="166" fontId="92" fillId="0" borderId="0" xfId="2" applyFont="1"/>
    <xf numFmtId="0" fontId="89" fillId="0" borderId="67" xfId="1535" applyFont="1" applyBorder="1" applyAlignment="1">
      <alignment horizontal="left" indent="1"/>
    </xf>
    <xf numFmtId="166" fontId="90" fillId="0" borderId="18" xfId="2" applyFont="1" applyBorder="1"/>
    <xf numFmtId="166" fontId="90" fillId="0" borderId="38" xfId="2" applyFont="1" applyBorder="1"/>
    <xf numFmtId="166" fontId="0" fillId="0" borderId="0" xfId="1540" applyNumberFormat="1" applyFont="1"/>
    <xf numFmtId="1" fontId="0" fillId="0" borderId="68" xfId="1535" applyNumberFormat="1" applyFont="1" applyBorder="1" applyAlignment="1">
      <alignment horizontal="center"/>
    </xf>
    <xf numFmtId="1" fontId="0" fillId="0" borderId="1" xfId="1535" applyNumberFormat="1" applyFont="1" applyBorder="1" applyAlignment="1">
      <alignment horizontal="center"/>
    </xf>
    <xf numFmtId="1" fontId="0" fillId="0" borderId="69" xfId="1535" applyNumberFormat="1" applyFont="1" applyBorder="1" applyAlignment="1">
      <alignment horizontal="center"/>
    </xf>
    <xf numFmtId="171" fontId="93" fillId="20" borderId="68" xfId="1535" applyNumberFormat="1" applyFont="1" applyFill="1" applyBorder="1" applyAlignment="1">
      <alignment horizontal="center"/>
    </xf>
    <xf numFmtId="171" fontId="93" fillId="20" borderId="1" xfId="1535" applyNumberFormat="1" applyFont="1" applyFill="1" applyBorder="1" applyAlignment="1">
      <alignment horizontal="center"/>
    </xf>
    <xf numFmtId="171" fontId="93" fillId="20" borderId="69" xfId="1535" applyNumberFormat="1" applyFont="1" applyFill="1" applyBorder="1" applyAlignment="1">
      <alignment horizontal="center"/>
    </xf>
    <xf numFmtId="0" fontId="20" fillId="51" borderId="1" xfId="1535" applyFont="1" applyFill="1" applyBorder="1" applyAlignment="1">
      <alignment horizontal="center"/>
    </xf>
    <xf numFmtId="3" fontId="81" fillId="51" borderId="70" xfId="1535" applyNumberFormat="1" applyFont="1" applyFill="1" applyBorder="1" applyAlignment="1">
      <alignment horizontal="center"/>
    </xf>
    <xf numFmtId="171" fontId="81" fillId="51" borderId="70" xfId="1535" applyNumberFormat="1" applyFont="1" applyFill="1" applyBorder="1" applyAlignment="1">
      <alignment horizontal="center"/>
    </xf>
    <xf numFmtId="0" fontId="73" fillId="39" borderId="1" xfId="1535" applyFont="1" applyFill="1" applyBorder="1" applyAlignment="1">
      <alignment horizontal="left"/>
    </xf>
    <xf numFmtId="170" fontId="0" fillId="0" borderId="24" xfId="1535" applyNumberFormat="1" applyFont="1" applyBorder="1"/>
    <xf numFmtId="169" fontId="0" fillId="0" borderId="24" xfId="1535" applyNumberFormat="1" applyFont="1" applyBorder="1"/>
    <xf numFmtId="166" fontId="0" fillId="0" borderId="24" xfId="1535" applyNumberFormat="1" applyFont="1" applyBorder="1"/>
    <xf numFmtId="0" fontId="0" fillId="0" borderId="71" xfId="1535" applyFont="1" applyBorder="1"/>
    <xf numFmtId="3" fontId="93" fillId="51" borderId="70" xfId="1535" applyNumberFormat="1" applyFont="1" applyFill="1" applyBorder="1" applyAlignment="1">
      <alignment horizontal="center"/>
    </xf>
    <xf numFmtId="171" fontId="93" fillId="51" borderId="70" xfId="1535" applyNumberFormat="1" applyFont="1" applyFill="1" applyBorder="1" applyAlignment="1">
      <alignment horizontal="center"/>
    </xf>
    <xf numFmtId="0" fontId="79" fillId="0" borderId="1" xfId="1540" applyFont="1" applyBorder="1" applyAlignment="1" applyProtection="1">
      <alignment horizontal="center" vertical="center"/>
      <protection hidden="1"/>
    </xf>
    <xf numFmtId="0" fontId="79" fillId="0" borderId="1" xfId="1540" applyFont="1" applyBorder="1" applyAlignment="1" applyProtection="1">
      <alignment horizontal="center" vertical="center" wrapText="1"/>
      <protection hidden="1"/>
    </xf>
    <xf numFmtId="0" fontId="25" fillId="52" borderId="1" xfId="1160" applyFont="1" applyFill="1" applyBorder="1" applyAlignment="1" applyProtection="1">
      <alignment horizontal="left"/>
      <protection hidden="1"/>
    </xf>
    <xf numFmtId="0" fontId="0" fillId="0" borderId="1" xfId="1540" applyFont="1" applyBorder="1" applyAlignment="1">
      <alignment horizontal="center"/>
    </xf>
    <xf numFmtId="2" fontId="25" fillId="52" borderId="1" xfId="1540" applyNumberFormat="1" applyFont="1" applyFill="1" applyBorder="1" applyAlignment="1" applyProtection="1">
      <alignment horizontal="center"/>
      <protection hidden="1"/>
    </xf>
    <xf numFmtId="0" fontId="0" fillId="52" borderId="1" xfId="1160" applyFont="1" applyFill="1" applyBorder="1" applyProtection="1">
      <protection hidden="1"/>
    </xf>
    <xf numFmtId="2" fontId="0" fillId="52" borderId="1" xfId="1540" applyNumberFormat="1" applyFont="1" applyFill="1" applyBorder="1" applyAlignment="1" applyProtection="1">
      <alignment horizontal="center"/>
      <protection hidden="1"/>
    </xf>
    <xf numFmtId="2" fontId="0" fillId="52" borderId="1" xfId="1540" applyNumberFormat="1" applyFont="1" applyFill="1" applyBorder="1" applyAlignment="1" applyProtection="1">
      <alignment horizontal="center" vertical="center"/>
      <protection hidden="1"/>
    </xf>
    <xf numFmtId="0" fontId="1" fillId="52" borderId="1" xfId="1160" applyFont="1" applyFill="1" applyBorder="1" applyProtection="1">
      <protection hidden="1"/>
    </xf>
    <xf numFmtId="0" fontId="19" fillId="7" borderId="1" xfId="1160" applyFont="1" applyFill="1" applyBorder="1" applyProtection="1">
      <protection hidden="1"/>
    </xf>
    <xf numFmtId="2" fontId="25" fillId="7" borderId="1" xfId="1540" applyNumberFormat="1" applyFont="1" applyFill="1" applyBorder="1" applyAlignment="1" applyProtection="1">
      <alignment horizontal="center"/>
      <protection hidden="1"/>
    </xf>
    <xf numFmtId="168" fontId="25" fillId="7" borderId="1" xfId="1540" applyNumberFormat="1" applyFont="1" applyFill="1" applyBorder="1" applyAlignment="1" applyProtection="1">
      <alignment horizontal="center"/>
      <protection hidden="1"/>
    </xf>
    <xf numFmtId="2" fontId="79" fillId="7" borderId="1" xfId="1540" applyNumberFormat="1" applyFont="1" applyFill="1" applyBorder="1" applyAlignment="1" applyProtection="1">
      <alignment horizontal="center"/>
      <protection hidden="1"/>
    </xf>
    <xf numFmtId="0" fontId="79" fillId="7" borderId="1" xfId="1160" applyFont="1" applyFill="1" applyBorder="1" applyProtection="1">
      <protection hidden="1"/>
    </xf>
    <xf numFmtId="2" fontId="0" fillId="7" borderId="1" xfId="1540" applyNumberFormat="1" applyFont="1" applyFill="1" applyBorder="1" applyAlignment="1" applyProtection="1">
      <alignment horizontal="center"/>
      <protection hidden="1"/>
    </xf>
    <xf numFmtId="2" fontId="0" fillId="7" borderId="1" xfId="1540" applyNumberFormat="1" applyFont="1" applyFill="1" applyBorder="1" applyAlignment="1" applyProtection="1">
      <alignment horizontal="center" vertical="center"/>
      <protection hidden="1"/>
    </xf>
    <xf numFmtId="2" fontId="61" fillId="7" borderId="1" xfId="1540" applyNumberFormat="1" applyFont="1" applyFill="1" applyBorder="1" applyAlignment="1" applyProtection="1">
      <alignment horizontal="center"/>
      <protection hidden="1"/>
    </xf>
    <xf numFmtId="2" fontId="61" fillId="7" borderId="1" xfId="1540" applyNumberFormat="1" applyFont="1" applyFill="1" applyBorder="1" applyAlignment="1" applyProtection="1">
      <alignment horizontal="center" vertical="center"/>
      <protection hidden="1"/>
    </xf>
    <xf numFmtId="4" fontId="19" fillId="53" borderId="1" xfId="1142" applyFont="1" applyFill="1" applyBorder="1" applyProtection="1">
      <protection hidden="1"/>
    </xf>
    <xf numFmtId="2" fontId="25" fillId="53" borderId="1" xfId="1540" applyNumberFormat="1" applyFont="1" applyFill="1" applyBorder="1" applyAlignment="1" applyProtection="1">
      <alignment horizontal="center"/>
      <protection hidden="1"/>
    </xf>
    <xf numFmtId="2" fontId="0" fillId="53" borderId="1" xfId="1540" applyNumberFormat="1" applyFont="1" applyFill="1" applyBorder="1" applyAlignment="1" applyProtection="1">
      <alignment horizontal="center"/>
      <protection hidden="1"/>
    </xf>
    <xf numFmtId="0" fontId="79" fillId="53" borderId="1" xfId="1160" applyFont="1" applyFill="1" applyBorder="1" applyProtection="1">
      <protection hidden="1"/>
    </xf>
    <xf numFmtId="2" fontId="0" fillId="53" borderId="1" xfId="1540" applyNumberFormat="1" applyFont="1" applyFill="1" applyBorder="1" applyAlignment="1" applyProtection="1">
      <alignment horizontal="center" vertical="center"/>
      <protection hidden="1"/>
    </xf>
    <xf numFmtId="0" fontId="79" fillId="53" borderId="1" xfId="1160" applyFont="1" applyFill="1" applyBorder="1" applyAlignment="1" applyProtection="1">
      <alignment wrapText="1"/>
      <protection hidden="1"/>
    </xf>
    <xf numFmtId="0" fontId="25" fillId="54" borderId="1" xfId="1160" applyFont="1" applyFill="1" applyBorder="1" applyProtection="1">
      <protection hidden="1"/>
    </xf>
    <xf numFmtId="2" fontId="25" fillId="54" borderId="1" xfId="1540" applyNumberFormat="1" applyFont="1" applyFill="1" applyBorder="1" applyAlignment="1" applyProtection="1">
      <alignment horizontal="center"/>
      <protection hidden="1"/>
    </xf>
    <xf numFmtId="168" fontId="25" fillId="54" borderId="1" xfId="1540" applyNumberFormat="1" applyFont="1" applyFill="1" applyBorder="1" applyAlignment="1" applyProtection="1">
      <alignment horizontal="center"/>
      <protection hidden="1"/>
    </xf>
    <xf numFmtId="2" fontId="79" fillId="54" borderId="1" xfId="1540" applyNumberFormat="1" applyFont="1" applyFill="1" applyBorder="1" applyAlignment="1" applyProtection="1">
      <alignment horizontal="center"/>
      <protection hidden="1"/>
    </xf>
    <xf numFmtId="0" fontId="79" fillId="54" borderId="1" xfId="1160" applyFont="1" applyFill="1" applyBorder="1" applyProtection="1">
      <protection hidden="1"/>
    </xf>
    <xf numFmtId="2" fontId="0" fillId="54" borderId="1" xfId="1540" applyNumberFormat="1" applyFont="1" applyFill="1" applyBorder="1" applyAlignment="1" applyProtection="1">
      <alignment horizontal="center"/>
      <protection hidden="1"/>
    </xf>
    <xf numFmtId="2" fontId="0" fillId="54" borderId="1" xfId="1540" applyNumberFormat="1" applyFont="1" applyFill="1" applyBorder="1" applyAlignment="1" applyProtection="1">
      <alignment horizontal="center" vertical="center"/>
      <protection hidden="1"/>
    </xf>
    <xf numFmtId="2" fontId="61" fillId="54" borderId="1" xfId="1540" applyNumberFormat="1" applyFont="1" applyFill="1" applyBorder="1" applyAlignment="1" applyProtection="1">
      <alignment horizontal="center"/>
      <protection hidden="1"/>
    </xf>
    <xf numFmtId="0" fontId="0" fillId="54" borderId="1" xfId="1160" applyFont="1" applyFill="1" applyBorder="1" applyProtection="1">
      <protection hidden="1"/>
    </xf>
    <xf numFmtId="0" fontId="0" fillId="54" borderId="1" xfId="1160" applyFont="1" applyFill="1" applyBorder="1" applyAlignment="1" applyProtection="1">
      <alignment horizontal="left" vertical="center"/>
      <protection hidden="1"/>
    </xf>
    <xf numFmtId="0" fontId="25" fillId="31" borderId="1" xfId="1160" applyFont="1" applyFill="1" applyBorder="1" applyProtection="1">
      <protection hidden="1"/>
    </xf>
    <xf numFmtId="2" fontId="25" fillId="31" borderId="1" xfId="1540" applyNumberFormat="1" applyFont="1" applyFill="1" applyBorder="1" applyAlignment="1" applyProtection="1">
      <alignment horizontal="center"/>
      <protection hidden="1"/>
    </xf>
    <xf numFmtId="2" fontId="79" fillId="31" borderId="1" xfId="1540" applyNumberFormat="1" applyFont="1" applyFill="1" applyBorder="1" applyAlignment="1" applyProtection="1">
      <alignment horizontal="center"/>
      <protection hidden="1"/>
    </xf>
    <xf numFmtId="0" fontId="79" fillId="31" borderId="1" xfId="1160" applyFont="1" applyFill="1" applyBorder="1" applyAlignment="1" applyProtection="1">
      <alignment horizontal="left"/>
      <protection hidden="1"/>
    </xf>
    <xf numFmtId="2" fontId="0" fillId="31" borderId="1" xfId="1540" applyNumberFormat="1" applyFont="1" applyFill="1" applyBorder="1" applyAlignment="1" applyProtection="1">
      <alignment horizontal="center"/>
      <protection hidden="1"/>
    </xf>
    <xf numFmtId="2" fontId="0" fillId="31" borderId="1" xfId="1540" applyNumberFormat="1" applyFont="1" applyFill="1" applyBorder="1" applyAlignment="1" applyProtection="1">
      <alignment horizontal="center" vertical="center"/>
      <protection hidden="1"/>
    </xf>
    <xf numFmtId="2" fontId="61" fillId="31" borderId="1" xfId="1540" applyNumberFormat="1" applyFont="1" applyFill="1" applyBorder="1" applyAlignment="1" applyProtection="1">
      <alignment horizontal="center" vertical="center"/>
      <protection hidden="1"/>
    </xf>
    <xf numFmtId="0" fontId="0" fillId="31" borderId="1" xfId="1540" applyFont="1" applyFill="1" applyBorder="1" applyProtection="1">
      <protection hidden="1"/>
    </xf>
    <xf numFmtId="0" fontId="0" fillId="31" borderId="1" xfId="1160" applyFont="1" applyFill="1" applyBorder="1" applyProtection="1">
      <protection hidden="1"/>
    </xf>
    <xf numFmtId="0" fontId="25" fillId="55" borderId="1" xfId="1160" applyFont="1" applyFill="1" applyBorder="1" applyProtection="1">
      <protection hidden="1"/>
    </xf>
    <xf numFmtId="2" fontId="25" fillId="55" borderId="1" xfId="1540" applyNumberFormat="1" applyFont="1" applyFill="1" applyBorder="1" applyAlignment="1" applyProtection="1">
      <alignment horizontal="center"/>
      <protection hidden="1"/>
    </xf>
    <xf numFmtId="0" fontId="79" fillId="55" borderId="1" xfId="1160" applyFont="1" applyFill="1" applyBorder="1" applyProtection="1">
      <protection hidden="1"/>
    </xf>
    <xf numFmtId="2" fontId="0" fillId="55" borderId="1" xfId="1540" applyNumberFormat="1" applyFont="1" applyFill="1" applyBorder="1" applyAlignment="1" applyProtection="1">
      <alignment horizontal="center"/>
      <protection hidden="1"/>
    </xf>
    <xf numFmtId="2" fontId="0" fillId="55" borderId="1" xfId="1540" applyNumberFormat="1" applyFont="1" applyFill="1" applyBorder="1" applyAlignment="1" applyProtection="1">
      <alignment horizontal="center" vertical="center"/>
      <protection hidden="1"/>
    </xf>
    <xf numFmtId="0" fontId="25" fillId="0" borderId="1" xfId="1540" applyFont="1" applyBorder="1" applyProtection="1">
      <protection hidden="1"/>
    </xf>
    <xf numFmtId="2" fontId="25" fillId="0" borderId="1" xfId="1540" applyNumberFormat="1" applyFont="1" applyBorder="1" applyAlignment="1" applyProtection="1">
      <alignment horizontal="center"/>
      <protection hidden="1"/>
    </xf>
    <xf numFmtId="2" fontId="79" fillId="0" borderId="1" xfId="1540" applyNumberFormat="1" applyFont="1" applyBorder="1" applyAlignment="1" applyProtection="1">
      <alignment horizontal="center"/>
      <protection hidden="1"/>
    </xf>
    <xf numFmtId="0" fontId="0" fillId="55" borderId="1" xfId="1160" applyFont="1" applyFill="1" applyBorder="1" applyProtection="1">
      <protection hidden="1"/>
    </xf>
    <xf numFmtId="2" fontId="0" fillId="0" borderId="1" xfId="1540" applyNumberFormat="1" applyFont="1" applyBorder="1" applyAlignment="1" applyProtection="1">
      <alignment horizontal="center"/>
      <protection hidden="1"/>
    </xf>
    <xf numFmtId="2" fontId="0" fillId="0" borderId="1" xfId="1540" applyNumberFormat="1" applyFont="1" applyBorder="1" applyAlignment="1" applyProtection="1">
      <alignment horizontal="center" vertical="center"/>
      <protection hidden="1"/>
    </xf>
    <xf numFmtId="0" fontId="0" fillId="56" borderId="1" xfId="1160" applyFont="1" applyFill="1" applyBorder="1" applyProtection="1">
      <protection hidden="1"/>
    </xf>
    <xf numFmtId="0" fontId="0" fillId="34" borderId="1" xfId="1160" applyFont="1" applyFill="1" applyBorder="1" applyProtection="1">
      <protection hidden="1"/>
    </xf>
    <xf numFmtId="0" fontId="0" fillId="0" borderId="1" xfId="1160" applyFont="1" applyBorder="1" applyProtection="1">
      <protection hidden="1"/>
    </xf>
    <xf numFmtId="2" fontId="61" fillId="0" borderId="1" xfId="1540" applyNumberFormat="1" applyFont="1" applyBorder="1" applyAlignment="1" applyProtection="1">
      <alignment horizontal="center" vertical="center"/>
      <protection hidden="1"/>
    </xf>
    <xf numFmtId="173" fontId="25" fillId="0" borderId="0" xfId="1540" applyNumberFormat="1" applyFont="1"/>
    <xf numFmtId="0" fontId="0" fillId="0" borderId="0" xfId="1160" applyFont="1" applyProtection="1">
      <protection hidden="1"/>
    </xf>
    <xf numFmtId="0" fontId="61" fillId="36" borderId="0" xfId="1540" applyFont="1" applyFill="1"/>
    <xf numFmtId="2" fontId="19" fillId="7" borderId="1" xfId="1540" applyNumberFormat="1" applyFont="1" applyFill="1" applyBorder="1" applyAlignment="1" applyProtection="1">
      <alignment horizontal="center"/>
      <protection hidden="1"/>
    </xf>
    <xf numFmtId="2" fontId="1" fillId="7" borderId="1" xfId="1540" applyNumberFormat="1" applyFont="1" applyFill="1" applyBorder="1" applyAlignment="1" applyProtection="1">
      <alignment horizontal="center" vertical="center"/>
      <protection hidden="1"/>
    </xf>
    <xf numFmtId="0" fontId="95" fillId="0" borderId="0" xfId="1540" applyFont="1"/>
    <xf numFmtId="0" fontId="96" fillId="0" borderId="0" xfId="1540" applyFont="1"/>
    <xf numFmtId="171" fontId="97" fillId="20" borderId="1" xfId="1535" applyNumberFormat="1" applyFont="1" applyFill="1" applyBorder="1" applyAlignment="1">
      <alignment horizontal="center"/>
    </xf>
    <xf numFmtId="0" fontId="0" fillId="57" borderId="0" xfId="1540" applyFont="1" applyFill="1"/>
    <xf numFmtId="166" fontId="95" fillId="0" borderId="0" xfId="2" applyFont="1"/>
    <xf numFmtId="171" fontId="98" fillId="20" borderId="1" xfId="1535" applyNumberFormat="1" applyFont="1" applyFill="1" applyBorder="1" applyAlignment="1">
      <alignment horizontal="center"/>
    </xf>
    <xf numFmtId="166" fontId="95" fillId="57" borderId="0" xfId="2" applyFont="1" applyFill="1"/>
    <xf numFmtId="0" fontId="95" fillId="0" borderId="24" xfId="1535" applyFont="1" applyBorder="1"/>
    <xf numFmtId="0" fontId="96" fillId="0" borderId="24" xfId="1535" applyFont="1" applyBorder="1"/>
    <xf numFmtId="171" fontId="97" fillId="51" borderId="70" xfId="1535" applyNumberFormat="1" applyFont="1" applyFill="1" applyBorder="1" applyAlignment="1">
      <alignment horizontal="center"/>
    </xf>
    <xf numFmtId="171" fontId="98" fillId="51" borderId="70" xfId="1535" applyNumberFormat="1" applyFont="1" applyFill="1" applyBorder="1" applyAlignment="1">
      <alignment horizontal="center"/>
    </xf>
    <xf numFmtId="0" fontId="25" fillId="33" borderId="0" xfId="1125" applyFont="1" applyFill="1" applyAlignment="1">
      <alignment horizontal="center"/>
    </xf>
    <xf numFmtId="0" fontId="0" fillId="0" borderId="22" xfId="1535" applyFont="1" applyBorder="1" applyAlignment="1">
      <alignment horizontal="center" vertical="center"/>
    </xf>
    <xf numFmtId="0" fontId="0" fillId="32" borderId="21" xfId="1535" applyFont="1" applyFill="1" applyBorder="1" applyAlignment="1">
      <alignment horizontal="center"/>
    </xf>
    <xf numFmtId="0" fontId="0" fillId="0" borderId="24" xfId="1535" applyFont="1" applyBorder="1" applyAlignment="1">
      <alignment horizontal="center" vertical="center"/>
    </xf>
    <xf numFmtId="0" fontId="0" fillId="0" borderId="37" xfId="1540" applyFont="1" applyBorder="1" applyAlignment="1">
      <alignment horizontal="center"/>
    </xf>
    <xf numFmtId="0" fontId="0" fillId="34" borderId="50" xfId="1540" applyFont="1" applyFill="1" applyBorder="1" applyAlignment="1">
      <alignment horizontal="center"/>
    </xf>
    <xf numFmtId="0" fontId="0" fillId="0" borderId="50" xfId="1540" applyFont="1" applyBorder="1" applyAlignment="1">
      <alignment horizontal="center"/>
    </xf>
    <xf numFmtId="0" fontId="0" fillId="0" borderId="24" xfId="1540" applyFont="1" applyBorder="1" applyAlignment="1">
      <alignment horizontal="center" vertical="center"/>
    </xf>
    <xf numFmtId="0" fontId="0" fillId="0" borderId="0" xfId="1535" applyFont="1" applyAlignment="1">
      <alignment horizontal="center" vertical="center"/>
    </xf>
    <xf numFmtId="0" fontId="0" fillId="0" borderId="24" xfId="1535" applyFont="1" applyBorder="1" applyAlignment="1">
      <alignment horizontal="center"/>
    </xf>
    <xf numFmtId="0" fontId="0" fillId="0" borderId="0" xfId="1535" applyFont="1" applyAlignment="1">
      <alignment horizontal="center"/>
    </xf>
    <xf numFmtId="167" fontId="0" fillId="0" borderId="24" xfId="1535" applyNumberFormat="1" applyFont="1" applyBorder="1"/>
    <xf numFmtId="0" fontId="25" fillId="33" borderId="58" xfId="1535" applyFont="1" applyFill="1" applyBorder="1" applyAlignment="1">
      <alignment horizontal="left"/>
    </xf>
    <xf numFmtId="0" fontId="25" fillId="33" borderId="1" xfId="1535" applyFont="1" applyFill="1" applyBorder="1" applyAlignment="1">
      <alignment horizontal="center"/>
    </xf>
    <xf numFmtId="0" fontId="0" fillId="33" borderId="18" xfId="1535" applyFont="1" applyFill="1" applyBorder="1" applyAlignment="1">
      <alignment horizontal="center"/>
    </xf>
    <xf numFmtId="0" fontId="25" fillId="16" borderId="1" xfId="1535" applyFont="1" applyFill="1" applyBorder="1" applyAlignment="1">
      <alignment horizontal="center" vertical="center" wrapText="1"/>
    </xf>
    <xf numFmtId="0" fontId="19" fillId="44" borderId="1" xfId="1535" applyFont="1" applyFill="1" applyBorder="1" applyAlignment="1">
      <alignment horizontal="center" wrapText="1"/>
    </xf>
    <xf numFmtId="0" fontId="25" fillId="45" borderId="1" xfId="1535" applyFont="1" applyFill="1" applyBorder="1" applyAlignment="1">
      <alignment horizontal="center"/>
    </xf>
    <xf numFmtId="0" fontId="73" fillId="42" borderId="1" xfId="1535" applyFont="1" applyFill="1" applyBorder="1" applyAlignment="1">
      <alignment horizontal="center" vertical="center"/>
    </xf>
    <xf numFmtId="0" fontId="73" fillId="42" borderId="38" xfId="1535" applyFont="1" applyFill="1" applyBorder="1" applyAlignment="1">
      <alignment horizontal="center" vertical="center"/>
    </xf>
    <xf numFmtId="0" fontId="73" fillId="39" borderId="1" xfId="1535" applyFont="1" applyFill="1" applyBorder="1" applyAlignment="1">
      <alignment horizontal="center"/>
    </xf>
    <xf numFmtId="0" fontId="79" fillId="32" borderId="0" xfId="1535" applyFont="1" applyFill="1" applyAlignment="1">
      <alignment horizontal="center"/>
    </xf>
    <xf numFmtId="0" fontId="25" fillId="19" borderId="18" xfId="1535" applyFont="1" applyFill="1" applyBorder="1" applyAlignment="1">
      <alignment horizontal="center"/>
    </xf>
    <xf numFmtId="0" fontId="73" fillId="42" borderId="1" xfId="1535" applyFont="1" applyFill="1" applyBorder="1" applyAlignment="1">
      <alignment horizontal="center"/>
    </xf>
    <xf numFmtId="0" fontId="73" fillId="26" borderId="1" xfId="1535" applyFont="1" applyFill="1" applyBorder="1" applyAlignment="1">
      <alignment horizontal="center" wrapText="1"/>
    </xf>
    <xf numFmtId="1" fontId="0" fillId="44" borderId="1" xfId="1535" applyNumberFormat="1" applyFont="1" applyFill="1" applyBorder="1" applyAlignment="1">
      <alignment horizontal="center"/>
    </xf>
    <xf numFmtId="0" fontId="73" fillId="39" borderId="1" xfId="1535" applyFont="1" applyFill="1" applyBorder="1" applyAlignment="1">
      <alignment horizontal="center" vertical="center"/>
    </xf>
    <xf numFmtId="0" fontId="25" fillId="19" borderId="38" xfId="1535" applyFont="1" applyFill="1" applyBorder="1" applyAlignment="1">
      <alignment horizontal="center" vertical="center"/>
    </xf>
    <xf numFmtId="0" fontId="73" fillId="18" borderId="1" xfId="1535" applyFont="1" applyFill="1" applyBorder="1" applyAlignment="1">
      <alignment horizontal="center" vertical="center"/>
    </xf>
    <xf numFmtId="0" fontId="73" fillId="18" borderId="61" xfId="1535" applyFont="1" applyFill="1" applyBorder="1" applyAlignment="1">
      <alignment horizontal="center" vertical="center"/>
    </xf>
    <xf numFmtId="0" fontId="0" fillId="42" borderId="1" xfId="1535" applyFont="1" applyFill="1" applyBorder="1" applyAlignment="1">
      <alignment horizontal="center" vertical="center"/>
    </xf>
    <xf numFmtId="0" fontId="73" fillId="18" borderId="1" xfId="1535" applyFont="1" applyFill="1" applyBorder="1" applyAlignment="1">
      <alignment horizontal="center"/>
    </xf>
    <xf numFmtId="0" fontId="25" fillId="19" borderId="38" xfId="1535" applyFont="1" applyFill="1" applyBorder="1" applyAlignment="1">
      <alignment horizontal="center" vertical="center" wrapText="1"/>
    </xf>
    <xf numFmtId="0" fontId="73" fillId="26" borderId="1" xfId="1535" applyFont="1" applyFill="1" applyBorder="1" applyAlignment="1">
      <alignment horizontal="center" vertical="center" wrapText="1"/>
    </xf>
    <xf numFmtId="0" fontId="53" fillId="0" borderId="1" xfId="1535" applyFont="1" applyBorder="1" applyAlignment="1">
      <alignment horizontal="center"/>
    </xf>
    <xf numFmtId="0" fontId="25" fillId="19" borderId="1" xfId="1535" applyFont="1" applyFill="1" applyBorder="1" applyAlignment="1">
      <alignment horizontal="center" vertical="center"/>
    </xf>
    <xf numFmtId="0" fontId="73" fillId="39" borderId="26" xfId="1535" applyFont="1" applyFill="1" applyBorder="1" applyAlignment="1">
      <alignment horizontal="center" vertical="center"/>
    </xf>
    <xf numFmtId="0" fontId="0" fillId="42" borderId="26" xfId="1535" applyFont="1" applyFill="1" applyBorder="1" applyAlignment="1">
      <alignment horizontal="left" vertical="center"/>
    </xf>
    <xf numFmtId="0" fontId="0" fillId="0" borderId="1" xfId="1535" applyFont="1" applyBorder="1" applyAlignment="1">
      <alignment horizontal="center"/>
    </xf>
    <xf numFmtId="0" fontId="73" fillId="36" borderId="58" xfId="1535" applyFont="1" applyFill="1" applyBorder="1" applyAlignment="1">
      <alignment horizontal="center" vertical="center" wrapText="1"/>
    </xf>
    <xf numFmtId="0" fontId="0" fillId="19" borderId="1" xfId="1535" applyFont="1" applyFill="1" applyBorder="1" applyAlignment="1">
      <alignment horizontal="center" vertical="center"/>
    </xf>
    <xf numFmtId="166" fontId="75" fillId="26" borderId="1" xfId="1535" applyNumberFormat="1" applyFont="1" applyFill="1" applyBorder="1" applyAlignment="1">
      <alignment horizontal="center"/>
    </xf>
    <xf numFmtId="0" fontId="0" fillId="50" borderId="64" xfId="1535" applyFont="1" applyFill="1" applyBorder="1" applyAlignment="1">
      <alignment horizontal="center" vertical="center" wrapText="1"/>
    </xf>
    <xf numFmtId="0" fontId="73" fillId="18" borderId="24" xfId="1535" applyFont="1" applyFill="1" applyBorder="1" applyAlignment="1">
      <alignment horizontal="center" vertical="center"/>
    </xf>
    <xf numFmtId="0" fontId="25" fillId="0" borderId="1" xfId="1540" applyFont="1" applyBorder="1" applyAlignment="1">
      <alignment horizontal="center"/>
    </xf>
    <xf numFmtId="0" fontId="8" fillId="0" borderId="1" xfId="1540" applyFont="1" applyBorder="1" applyAlignment="1">
      <alignment horizontal="center" vertical="center" wrapText="1"/>
    </xf>
  </cellXfs>
  <cellStyles count="1792">
    <cellStyle name="???????????" xfId="205" xr:uid="{00000000-0005-0000-0000-000000000000}"/>
    <cellStyle name="??????????? 2" xfId="206" xr:uid="{00000000-0005-0000-0000-000001000000}"/>
    <cellStyle name="???????_2++" xfId="207" xr:uid="{00000000-0005-0000-0000-000002000000}"/>
    <cellStyle name="20 % - Akzent1 2" xfId="4" xr:uid="{00000000-0005-0000-0000-000003000000}"/>
    <cellStyle name="20 % - Akzent1 2 2" xfId="5" xr:uid="{00000000-0005-0000-0000-000004000000}"/>
    <cellStyle name="20 % - Akzent1 3" xfId="6" xr:uid="{00000000-0005-0000-0000-000005000000}"/>
    <cellStyle name="20 % - Akzent1 3 2" xfId="7" xr:uid="{00000000-0005-0000-0000-000006000000}"/>
    <cellStyle name="20 % - Akzent2 2" xfId="8" xr:uid="{00000000-0005-0000-0000-000007000000}"/>
    <cellStyle name="20 % - Akzent2 2 2" xfId="9" xr:uid="{00000000-0005-0000-0000-000008000000}"/>
    <cellStyle name="20 % - Akzent2 3" xfId="10" xr:uid="{00000000-0005-0000-0000-000009000000}"/>
    <cellStyle name="20 % - Akzent2 3 2" xfId="11" xr:uid="{00000000-0005-0000-0000-00000A000000}"/>
    <cellStyle name="20 % - Akzent3 2" xfId="12" xr:uid="{00000000-0005-0000-0000-00000B000000}"/>
    <cellStyle name="20 % - Akzent3 2 2" xfId="13" xr:uid="{00000000-0005-0000-0000-00000C000000}"/>
    <cellStyle name="20 % - Akzent3 3" xfId="14" xr:uid="{00000000-0005-0000-0000-00000D000000}"/>
    <cellStyle name="20 % - Akzent3 3 2" xfId="15" xr:uid="{00000000-0005-0000-0000-00000E000000}"/>
    <cellStyle name="20 % - Akzent4 2" xfId="16" xr:uid="{00000000-0005-0000-0000-00000F000000}"/>
    <cellStyle name="20 % - Akzent4 2 2" xfId="17" xr:uid="{00000000-0005-0000-0000-000010000000}"/>
    <cellStyle name="20 % - Akzent4 3" xfId="18" xr:uid="{00000000-0005-0000-0000-000011000000}"/>
    <cellStyle name="20 % - Akzent4 3 2" xfId="19" xr:uid="{00000000-0005-0000-0000-000012000000}"/>
    <cellStyle name="20 % - Akzent5 2" xfId="20" xr:uid="{00000000-0005-0000-0000-000013000000}"/>
    <cellStyle name="20 % - Akzent5 2 2" xfId="21" xr:uid="{00000000-0005-0000-0000-000014000000}"/>
    <cellStyle name="20 % - Akzent5 3" xfId="22" xr:uid="{00000000-0005-0000-0000-000015000000}"/>
    <cellStyle name="20 % - Akzent5 3 2" xfId="23" xr:uid="{00000000-0005-0000-0000-000016000000}"/>
    <cellStyle name="20 % - Akzent6 2" xfId="24" xr:uid="{00000000-0005-0000-0000-000017000000}"/>
    <cellStyle name="20 % - Akzent6 2 2" xfId="25" xr:uid="{00000000-0005-0000-0000-000018000000}"/>
    <cellStyle name="20 % - Akzent6 3" xfId="26" xr:uid="{00000000-0005-0000-0000-000019000000}"/>
    <cellStyle name="20 % - Akzent6 3 2" xfId="27" xr:uid="{00000000-0005-0000-0000-00001A000000}"/>
    <cellStyle name="20% - Accent1 2" xfId="28" xr:uid="{00000000-0005-0000-0000-00001B000000}"/>
    <cellStyle name="20% - Accent1 2 2" xfId="29" xr:uid="{00000000-0005-0000-0000-00001C000000}"/>
    <cellStyle name="20% - Accent1 3" xfId="30" xr:uid="{00000000-0005-0000-0000-00001D000000}"/>
    <cellStyle name="20% - Accent1 3 2" xfId="31" xr:uid="{00000000-0005-0000-0000-00001E000000}"/>
    <cellStyle name="20% - Accent2 2" xfId="32" xr:uid="{00000000-0005-0000-0000-00001F000000}"/>
    <cellStyle name="20% - Accent2 2 2" xfId="33" xr:uid="{00000000-0005-0000-0000-000020000000}"/>
    <cellStyle name="20% - Accent2 3" xfId="34" xr:uid="{00000000-0005-0000-0000-000021000000}"/>
    <cellStyle name="20% - Accent2 3 2" xfId="35" xr:uid="{00000000-0005-0000-0000-000022000000}"/>
    <cellStyle name="20% - Accent3 2" xfId="36" xr:uid="{00000000-0005-0000-0000-000023000000}"/>
    <cellStyle name="20% - Accent3 2 2" xfId="37" xr:uid="{00000000-0005-0000-0000-000024000000}"/>
    <cellStyle name="20% - Accent3 3" xfId="38" xr:uid="{00000000-0005-0000-0000-000025000000}"/>
    <cellStyle name="20% - Accent3 3 2" xfId="39" xr:uid="{00000000-0005-0000-0000-000026000000}"/>
    <cellStyle name="20% - Accent4 2" xfId="40" xr:uid="{00000000-0005-0000-0000-000027000000}"/>
    <cellStyle name="20% - Accent4 2 2" xfId="41" xr:uid="{00000000-0005-0000-0000-000028000000}"/>
    <cellStyle name="20% - Accent4 3" xfId="42" xr:uid="{00000000-0005-0000-0000-000029000000}"/>
    <cellStyle name="20% - Accent4 3 2" xfId="43" xr:uid="{00000000-0005-0000-0000-00002A000000}"/>
    <cellStyle name="20% - Accent5 2" xfId="44" xr:uid="{00000000-0005-0000-0000-00002B000000}"/>
    <cellStyle name="20% - Accent5 2 2" xfId="45" xr:uid="{00000000-0005-0000-0000-00002C000000}"/>
    <cellStyle name="20% - Accent5 3" xfId="46" xr:uid="{00000000-0005-0000-0000-00002D000000}"/>
    <cellStyle name="20% - Accent5 3 2" xfId="47" xr:uid="{00000000-0005-0000-0000-00002E000000}"/>
    <cellStyle name="20% - Accent6 2" xfId="48" xr:uid="{00000000-0005-0000-0000-00002F000000}"/>
    <cellStyle name="20% - Accent6 2 2" xfId="49" xr:uid="{00000000-0005-0000-0000-000030000000}"/>
    <cellStyle name="20% - Accent6 3" xfId="50" xr:uid="{00000000-0005-0000-0000-000031000000}"/>
    <cellStyle name="20% - Accent6 3 2" xfId="51" xr:uid="{00000000-0005-0000-0000-000032000000}"/>
    <cellStyle name="2x indented GHG Textfiels" xfId="52" xr:uid="{00000000-0005-0000-0000-000033000000}"/>
    <cellStyle name="2x indented GHG Textfiels 2" xfId="53" xr:uid="{00000000-0005-0000-0000-000034000000}"/>
    <cellStyle name="2x indented GHG Textfiels 2 2" xfId="54" xr:uid="{00000000-0005-0000-0000-000035000000}"/>
    <cellStyle name="2x indented GHG Textfiels 2 2 2" xfId="55" xr:uid="{00000000-0005-0000-0000-000036000000}"/>
    <cellStyle name="2x indented GHG Textfiels 2 3" xfId="56" xr:uid="{00000000-0005-0000-0000-000037000000}"/>
    <cellStyle name="2x indented GHG Textfiels 3" xfId="57" xr:uid="{00000000-0005-0000-0000-000038000000}"/>
    <cellStyle name="2x indented GHG Textfiels 3 2" xfId="58" xr:uid="{00000000-0005-0000-0000-000039000000}"/>
    <cellStyle name="2x indented GHG Textfiels 3 2 2" xfId="59" xr:uid="{00000000-0005-0000-0000-00003A000000}"/>
    <cellStyle name="2x indented GHG Textfiels 3 2 2 2" xfId="60" xr:uid="{00000000-0005-0000-0000-00003B000000}"/>
    <cellStyle name="2x indented GHG Textfiels 3 2 2 2 2" xfId="61" xr:uid="{00000000-0005-0000-0000-00003C000000}"/>
    <cellStyle name="2x indented GHG Textfiels 3 2 2 3" xfId="62" xr:uid="{00000000-0005-0000-0000-00003D000000}"/>
    <cellStyle name="2x indented GHG Textfiels 3 2 3" xfId="63" xr:uid="{00000000-0005-0000-0000-00003E000000}"/>
    <cellStyle name="2x indented GHG Textfiels 3 2 3 2" xfId="64" xr:uid="{00000000-0005-0000-0000-00003F000000}"/>
    <cellStyle name="2x indented GHG Textfiels 3 2 4" xfId="65" xr:uid="{00000000-0005-0000-0000-000040000000}"/>
    <cellStyle name="2x indented GHG Textfiels 3 3" xfId="66" xr:uid="{00000000-0005-0000-0000-000041000000}"/>
    <cellStyle name="2x indented GHG Textfiels 3 3 2" xfId="67" xr:uid="{00000000-0005-0000-0000-000042000000}"/>
    <cellStyle name="2x indented GHG Textfiels 3 3 2 2" xfId="68" xr:uid="{00000000-0005-0000-0000-000043000000}"/>
    <cellStyle name="2x indented GHG Textfiels 3 3 2 2 2" xfId="69" xr:uid="{00000000-0005-0000-0000-000044000000}"/>
    <cellStyle name="2x indented GHG Textfiels 3 3 2 3" xfId="70" xr:uid="{00000000-0005-0000-0000-000045000000}"/>
    <cellStyle name="2x indented GHG Textfiels 3 3 3" xfId="71" xr:uid="{00000000-0005-0000-0000-000046000000}"/>
    <cellStyle name="2x indented GHG Textfiels 3 3 3 2" xfId="72" xr:uid="{00000000-0005-0000-0000-000047000000}"/>
    <cellStyle name="2x indented GHG Textfiels 3 3 3 2 2" xfId="73" xr:uid="{00000000-0005-0000-0000-000048000000}"/>
    <cellStyle name="2x indented GHG Textfiels 3 3 3 3" xfId="74" xr:uid="{00000000-0005-0000-0000-000049000000}"/>
    <cellStyle name="2x indented GHG Textfiels 3 3 4" xfId="75" xr:uid="{00000000-0005-0000-0000-00004A000000}"/>
    <cellStyle name="2x indented GHG Textfiels 3 3 4 2" xfId="76" xr:uid="{00000000-0005-0000-0000-00004B000000}"/>
    <cellStyle name="2x indented GHG Textfiels 3 3 4 2 2" xfId="77" xr:uid="{00000000-0005-0000-0000-00004C000000}"/>
    <cellStyle name="2x indented GHG Textfiels 3 3 4 3" xfId="78" xr:uid="{00000000-0005-0000-0000-00004D000000}"/>
    <cellStyle name="2x indented GHG Textfiels 3 3 5" xfId="79" xr:uid="{00000000-0005-0000-0000-00004E000000}"/>
    <cellStyle name="2x indented GHG Textfiels 3 4" xfId="80" xr:uid="{00000000-0005-0000-0000-00004F000000}"/>
    <cellStyle name="2x indented GHG Textfiels 4" xfId="81" xr:uid="{00000000-0005-0000-0000-000050000000}"/>
    <cellStyle name="40 % - Akzent1 2" xfId="82" xr:uid="{00000000-0005-0000-0000-000051000000}"/>
    <cellStyle name="40 % - Akzent1 2 2" xfId="83" xr:uid="{00000000-0005-0000-0000-000052000000}"/>
    <cellStyle name="40 % - Akzent1 3" xfId="84" xr:uid="{00000000-0005-0000-0000-000053000000}"/>
    <cellStyle name="40 % - Akzent1 3 2" xfId="85" xr:uid="{00000000-0005-0000-0000-000054000000}"/>
    <cellStyle name="40 % - Akzent2 2" xfId="86" xr:uid="{00000000-0005-0000-0000-000055000000}"/>
    <cellStyle name="40 % - Akzent2 2 2" xfId="87" xr:uid="{00000000-0005-0000-0000-000056000000}"/>
    <cellStyle name="40 % - Akzent2 3" xfId="88" xr:uid="{00000000-0005-0000-0000-000057000000}"/>
    <cellStyle name="40 % - Akzent2 3 2" xfId="89" xr:uid="{00000000-0005-0000-0000-000058000000}"/>
    <cellStyle name="40 % - Akzent3 2" xfId="90" xr:uid="{00000000-0005-0000-0000-000059000000}"/>
    <cellStyle name="40 % - Akzent3 2 2" xfId="91" xr:uid="{00000000-0005-0000-0000-00005A000000}"/>
    <cellStyle name="40 % - Akzent3 3" xfId="92" xr:uid="{00000000-0005-0000-0000-00005B000000}"/>
    <cellStyle name="40 % - Akzent3 3 2" xfId="93" xr:uid="{00000000-0005-0000-0000-00005C000000}"/>
    <cellStyle name="40 % - Akzent4 2" xfId="94" xr:uid="{00000000-0005-0000-0000-00005D000000}"/>
    <cellStyle name="40 % - Akzent4 2 2" xfId="95" xr:uid="{00000000-0005-0000-0000-00005E000000}"/>
    <cellStyle name="40 % - Akzent4 3" xfId="96" xr:uid="{00000000-0005-0000-0000-00005F000000}"/>
    <cellStyle name="40 % - Akzent4 3 2" xfId="97" xr:uid="{00000000-0005-0000-0000-000060000000}"/>
    <cellStyle name="40 % - Akzent5 2" xfId="98" xr:uid="{00000000-0005-0000-0000-000061000000}"/>
    <cellStyle name="40 % - Akzent5 2 2" xfId="99" xr:uid="{00000000-0005-0000-0000-000062000000}"/>
    <cellStyle name="40 % - Akzent5 3" xfId="100" xr:uid="{00000000-0005-0000-0000-000063000000}"/>
    <cellStyle name="40 % - Akzent5 3 2" xfId="101" xr:uid="{00000000-0005-0000-0000-000064000000}"/>
    <cellStyle name="40 % - Akzent6 2" xfId="102" xr:uid="{00000000-0005-0000-0000-000065000000}"/>
    <cellStyle name="40 % - Akzent6 2 2" xfId="103" xr:uid="{00000000-0005-0000-0000-000066000000}"/>
    <cellStyle name="40 % - Akzent6 3" xfId="104" xr:uid="{00000000-0005-0000-0000-000067000000}"/>
    <cellStyle name="40 % - Akzent6 3 2" xfId="105" xr:uid="{00000000-0005-0000-0000-000068000000}"/>
    <cellStyle name="40% - Accent1 2" xfId="106" xr:uid="{00000000-0005-0000-0000-000069000000}"/>
    <cellStyle name="40% - Accent1 2 2" xfId="107" xr:uid="{00000000-0005-0000-0000-00006A000000}"/>
    <cellStyle name="40% - Accent1 3" xfId="108" xr:uid="{00000000-0005-0000-0000-00006B000000}"/>
    <cellStyle name="40% - Accent1 3 2" xfId="109" xr:uid="{00000000-0005-0000-0000-00006C000000}"/>
    <cellStyle name="40% - Accent2 2" xfId="110" xr:uid="{00000000-0005-0000-0000-00006D000000}"/>
    <cellStyle name="40% - Accent2 2 2" xfId="111" xr:uid="{00000000-0005-0000-0000-00006E000000}"/>
    <cellStyle name="40% - Accent2 3" xfId="112" xr:uid="{00000000-0005-0000-0000-00006F000000}"/>
    <cellStyle name="40% - Accent2 3 2" xfId="113" xr:uid="{00000000-0005-0000-0000-000070000000}"/>
    <cellStyle name="40% - Accent3 2" xfId="114" xr:uid="{00000000-0005-0000-0000-000071000000}"/>
    <cellStyle name="40% - Accent3 2 2" xfId="115" xr:uid="{00000000-0005-0000-0000-000072000000}"/>
    <cellStyle name="40% - Accent3 3" xfId="116" xr:uid="{00000000-0005-0000-0000-000073000000}"/>
    <cellStyle name="40% - Accent3 3 2" xfId="117" xr:uid="{00000000-0005-0000-0000-000074000000}"/>
    <cellStyle name="40% - Accent4 2" xfId="118" xr:uid="{00000000-0005-0000-0000-000075000000}"/>
    <cellStyle name="40% - Accent4 2 2" xfId="119" xr:uid="{00000000-0005-0000-0000-000076000000}"/>
    <cellStyle name="40% - Accent4 3" xfId="120" xr:uid="{00000000-0005-0000-0000-000077000000}"/>
    <cellStyle name="40% - Accent4 3 2" xfId="121" xr:uid="{00000000-0005-0000-0000-000078000000}"/>
    <cellStyle name="40% - Accent5 2" xfId="122" xr:uid="{00000000-0005-0000-0000-000079000000}"/>
    <cellStyle name="40% - Accent5 2 2" xfId="123" xr:uid="{00000000-0005-0000-0000-00007A000000}"/>
    <cellStyle name="40% - Accent5 3" xfId="124" xr:uid="{00000000-0005-0000-0000-00007B000000}"/>
    <cellStyle name="40% - Accent5 3 2" xfId="125" xr:uid="{00000000-0005-0000-0000-00007C000000}"/>
    <cellStyle name="40% - Accent6 2" xfId="126" xr:uid="{00000000-0005-0000-0000-00007D000000}"/>
    <cellStyle name="40% - Accent6 2 2" xfId="127" xr:uid="{00000000-0005-0000-0000-00007E000000}"/>
    <cellStyle name="40% - Accent6 3" xfId="128" xr:uid="{00000000-0005-0000-0000-00007F000000}"/>
    <cellStyle name="40% - Accent6 3 2" xfId="129" xr:uid="{00000000-0005-0000-0000-000080000000}"/>
    <cellStyle name="5x indented GHG Textfiels" xfId="130" xr:uid="{00000000-0005-0000-0000-000081000000}"/>
    <cellStyle name="5x indented GHG Textfiels 2" xfId="131" xr:uid="{00000000-0005-0000-0000-000082000000}"/>
    <cellStyle name="5x indented GHG Textfiels 2 2" xfId="132" xr:uid="{00000000-0005-0000-0000-000083000000}"/>
    <cellStyle name="5x indented GHG Textfiels 2 2 2" xfId="133" xr:uid="{00000000-0005-0000-0000-000084000000}"/>
    <cellStyle name="5x indented GHG Textfiels 2 3" xfId="134" xr:uid="{00000000-0005-0000-0000-000085000000}"/>
    <cellStyle name="5x indented GHG Textfiels 3" xfId="135" xr:uid="{00000000-0005-0000-0000-000086000000}"/>
    <cellStyle name="5x indented GHG Textfiels 3 2" xfId="136" xr:uid="{00000000-0005-0000-0000-000087000000}"/>
    <cellStyle name="5x indented GHG Textfiels 3 2 2" xfId="137" xr:uid="{00000000-0005-0000-0000-000088000000}"/>
    <cellStyle name="5x indented GHG Textfiels 3 3" xfId="138" xr:uid="{00000000-0005-0000-0000-000089000000}"/>
    <cellStyle name="5x indented GHG Textfiels 3 3 2" xfId="139" xr:uid="{00000000-0005-0000-0000-00008A000000}"/>
    <cellStyle name="5x indented GHG Textfiels 3 3 2 2" xfId="140" xr:uid="{00000000-0005-0000-0000-00008B000000}"/>
    <cellStyle name="5x indented GHG Textfiels 3 3 2 2 2" xfId="141" xr:uid="{00000000-0005-0000-0000-00008C000000}"/>
    <cellStyle name="5x indented GHG Textfiels 3 3 2 3" xfId="142" xr:uid="{00000000-0005-0000-0000-00008D000000}"/>
    <cellStyle name="5x indented GHG Textfiels 3 3 3" xfId="143" xr:uid="{00000000-0005-0000-0000-00008E000000}"/>
    <cellStyle name="5x indented GHG Textfiels 3 3 3 2" xfId="144" xr:uid="{00000000-0005-0000-0000-00008F000000}"/>
    <cellStyle name="5x indented GHG Textfiels 3 3 3 2 2" xfId="145" xr:uid="{00000000-0005-0000-0000-000090000000}"/>
    <cellStyle name="5x indented GHG Textfiels 3 3 3 3" xfId="146" xr:uid="{00000000-0005-0000-0000-000091000000}"/>
    <cellStyle name="5x indented GHG Textfiels 3 3 4" xfId="147" xr:uid="{00000000-0005-0000-0000-000092000000}"/>
    <cellStyle name="5x indented GHG Textfiels 3 3 4 2" xfId="148" xr:uid="{00000000-0005-0000-0000-000093000000}"/>
    <cellStyle name="5x indented GHG Textfiels 3 3 4 2 2" xfId="149" xr:uid="{00000000-0005-0000-0000-000094000000}"/>
    <cellStyle name="5x indented GHG Textfiels 3 3 4 3" xfId="150" xr:uid="{00000000-0005-0000-0000-000095000000}"/>
    <cellStyle name="5x indented GHG Textfiels 3 3 5" xfId="151" xr:uid="{00000000-0005-0000-0000-000096000000}"/>
    <cellStyle name="5x indented GHG Textfiels 3 3 5 2" xfId="152" xr:uid="{00000000-0005-0000-0000-000097000000}"/>
    <cellStyle name="5x indented GHG Textfiels 3 3 6" xfId="153" xr:uid="{00000000-0005-0000-0000-000098000000}"/>
    <cellStyle name="5x indented GHG Textfiels 3 4" xfId="154" xr:uid="{00000000-0005-0000-0000-000099000000}"/>
    <cellStyle name="5x indented GHG Textfiels 4" xfId="155" xr:uid="{00000000-0005-0000-0000-00009A000000}"/>
    <cellStyle name="5x indented GHG Textfiels_Table 4(II)" xfId="156" xr:uid="{00000000-0005-0000-0000-00009B000000}"/>
    <cellStyle name="60 % - Akzent1 2" xfId="157" xr:uid="{00000000-0005-0000-0000-00009C000000}"/>
    <cellStyle name="60 % - Akzent1 2 2" xfId="158" xr:uid="{00000000-0005-0000-0000-00009D000000}"/>
    <cellStyle name="60 % - Akzent1 3" xfId="159" xr:uid="{00000000-0005-0000-0000-00009E000000}"/>
    <cellStyle name="60 % - Akzent1 3 2" xfId="160" xr:uid="{00000000-0005-0000-0000-00009F000000}"/>
    <cellStyle name="60 % - Akzent2 2" xfId="161" xr:uid="{00000000-0005-0000-0000-0000A0000000}"/>
    <cellStyle name="60 % - Akzent2 2 2" xfId="162" xr:uid="{00000000-0005-0000-0000-0000A1000000}"/>
    <cellStyle name="60 % - Akzent2 3" xfId="163" xr:uid="{00000000-0005-0000-0000-0000A2000000}"/>
    <cellStyle name="60 % - Akzent2 3 2" xfId="164" xr:uid="{00000000-0005-0000-0000-0000A3000000}"/>
    <cellStyle name="60 % - Akzent3 2" xfId="165" xr:uid="{00000000-0005-0000-0000-0000A4000000}"/>
    <cellStyle name="60 % - Akzent3 2 2" xfId="166" xr:uid="{00000000-0005-0000-0000-0000A5000000}"/>
    <cellStyle name="60 % - Akzent3 3" xfId="167" xr:uid="{00000000-0005-0000-0000-0000A6000000}"/>
    <cellStyle name="60 % - Akzent3 3 2" xfId="168" xr:uid="{00000000-0005-0000-0000-0000A7000000}"/>
    <cellStyle name="60 % - Akzent4 2" xfId="169" xr:uid="{00000000-0005-0000-0000-0000A8000000}"/>
    <cellStyle name="60 % - Akzent4 2 2" xfId="170" xr:uid="{00000000-0005-0000-0000-0000A9000000}"/>
    <cellStyle name="60 % - Akzent4 3" xfId="171" xr:uid="{00000000-0005-0000-0000-0000AA000000}"/>
    <cellStyle name="60 % - Akzent4 3 2" xfId="172" xr:uid="{00000000-0005-0000-0000-0000AB000000}"/>
    <cellStyle name="60 % - Akzent5 2" xfId="173" xr:uid="{00000000-0005-0000-0000-0000AC000000}"/>
    <cellStyle name="60 % - Akzent5 2 2" xfId="174" xr:uid="{00000000-0005-0000-0000-0000AD000000}"/>
    <cellStyle name="60 % - Akzent5 3" xfId="175" xr:uid="{00000000-0005-0000-0000-0000AE000000}"/>
    <cellStyle name="60 % - Akzent5 3 2" xfId="176" xr:uid="{00000000-0005-0000-0000-0000AF000000}"/>
    <cellStyle name="60 % - Akzent6 2" xfId="177" xr:uid="{00000000-0005-0000-0000-0000B0000000}"/>
    <cellStyle name="60 % - Akzent6 2 2" xfId="178" xr:uid="{00000000-0005-0000-0000-0000B1000000}"/>
    <cellStyle name="60 % - Akzent6 3" xfId="179" xr:uid="{00000000-0005-0000-0000-0000B2000000}"/>
    <cellStyle name="60 % - Akzent6 3 2" xfId="180" xr:uid="{00000000-0005-0000-0000-0000B3000000}"/>
    <cellStyle name="60% - Accent1 2" xfId="181" xr:uid="{00000000-0005-0000-0000-0000B4000000}"/>
    <cellStyle name="60% - Accent1 2 2" xfId="182" xr:uid="{00000000-0005-0000-0000-0000B5000000}"/>
    <cellStyle name="60% - Accent1 3" xfId="183" xr:uid="{00000000-0005-0000-0000-0000B6000000}"/>
    <cellStyle name="60% - Accent1 3 2" xfId="184" xr:uid="{00000000-0005-0000-0000-0000B7000000}"/>
    <cellStyle name="60% - Accent2 2" xfId="185" xr:uid="{00000000-0005-0000-0000-0000B8000000}"/>
    <cellStyle name="60% - Accent2 2 2" xfId="186" xr:uid="{00000000-0005-0000-0000-0000B9000000}"/>
    <cellStyle name="60% - Accent2 3" xfId="187" xr:uid="{00000000-0005-0000-0000-0000BA000000}"/>
    <cellStyle name="60% - Accent2 3 2" xfId="188" xr:uid="{00000000-0005-0000-0000-0000BB000000}"/>
    <cellStyle name="60% - Accent3 2" xfId="189" xr:uid="{00000000-0005-0000-0000-0000BC000000}"/>
    <cellStyle name="60% - Accent3 2 2" xfId="190" xr:uid="{00000000-0005-0000-0000-0000BD000000}"/>
    <cellStyle name="60% - Accent3 3" xfId="191" xr:uid="{00000000-0005-0000-0000-0000BE000000}"/>
    <cellStyle name="60% - Accent3 3 2" xfId="192" xr:uid="{00000000-0005-0000-0000-0000BF000000}"/>
    <cellStyle name="60% - Accent4 2" xfId="193" xr:uid="{00000000-0005-0000-0000-0000C0000000}"/>
    <cellStyle name="60% - Accent4 2 2" xfId="194" xr:uid="{00000000-0005-0000-0000-0000C1000000}"/>
    <cellStyle name="60% - Accent4 3" xfId="195" xr:uid="{00000000-0005-0000-0000-0000C2000000}"/>
    <cellStyle name="60% - Accent4 3 2" xfId="196" xr:uid="{00000000-0005-0000-0000-0000C3000000}"/>
    <cellStyle name="60% - Accent5 2" xfId="197" xr:uid="{00000000-0005-0000-0000-0000C4000000}"/>
    <cellStyle name="60% - Accent5 2 2" xfId="198" xr:uid="{00000000-0005-0000-0000-0000C5000000}"/>
    <cellStyle name="60% - Accent5 3" xfId="199" xr:uid="{00000000-0005-0000-0000-0000C6000000}"/>
    <cellStyle name="60% - Accent5 3 2" xfId="200" xr:uid="{00000000-0005-0000-0000-0000C7000000}"/>
    <cellStyle name="60% - Accent6 2" xfId="201" xr:uid="{00000000-0005-0000-0000-0000C8000000}"/>
    <cellStyle name="60% - Accent6 2 2" xfId="202" xr:uid="{00000000-0005-0000-0000-0000C9000000}"/>
    <cellStyle name="60% - Accent6 3" xfId="203" xr:uid="{00000000-0005-0000-0000-0000CA000000}"/>
    <cellStyle name="60% - Accent6 3 2" xfId="204" xr:uid="{00000000-0005-0000-0000-0000CB000000}"/>
    <cellStyle name="Accent 1 1" xfId="208" xr:uid="{00000000-0005-0000-0000-0000CC000000}"/>
    <cellStyle name="Accent 1 1 2" xfId="209" xr:uid="{00000000-0005-0000-0000-0000CD000000}"/>
    <cellStyle name="Accent 1 6" xfId="210" xr:uid="{00000000-0005-0000-0000-0000CE000000}"/>
    <cellStyle name="Accent 2 1" xfId="211" xr:uid="{00000000-0005-0000-0000-0000CF000000}"/>
    <cellStyle name="Accent 2 1 2" xfId="212" xr:uid="{00000000-0005-0000-0000-0000D0000000}"/>
    <cellStyle name="Accent 2 7" xfId="213" xr:uid="{00000000-0005-0000-0000-0000D1000000}"/>
    <cellStyle name="Accent 3 1" xfId="214" xr:uid="{00000000-0005-0000-0000-0000D2000000}"/>
    <cellStyle name="Accent 3 1 2" xfId="215" xr:uid="{00000000-0005-0000-0000-0000D3000000}"/>
    <cellStyle name="Accent 3 8" xfId="216" xr:uid="{00000000-0005-0000-0000-0000D4000000}"/>
    <cellStyle name="Accent 4" xfId="217" xr:uid="{00000000-0005-0000-0000-0000D5000000}"/>
    <cellStyle name="Accent 4 2" xfId="218" xr:uid="{00000000-0005-0000-0000-0000D6000000}"/>
    <cellStyle name="Accent 5" xfId="219" xr:uid="{00000000-0005-0000-0000-0000D7000000}"/>
    <cellStyle name="Accent1 2" xfId="220" xr:uid="{00000000-0005-0000-0000-0000D8000000}"/>
    <cellStyle name="Accent1 2 2" xfId="221" xr:uid="{00000000-0005-0000-0000-0000D9000000}"/>
    <cellStyle name="Accent1 3" xfId="222" xr:uid="{00000000-0005-0000-0000-0000DA000000}"/>
    <cellStyle name="Accent1 3 2" xfId="223" xr:uid="{00000000-0005-0000-0000-0000DB000000}"/>
    <cellStyle name="Accent1 4" xfId="224" xr:uid="{00000000-0005-0000-0000-0000DC000000}"/>
    <cellStyle name="Accent1 4 2" xfId="225" xr:uid="{00000000-0005-0000-0000-0000DD000000}"/>
    <cellStyle name="Accent2 2" xfId="226" xr:uid="{00000000-0005-0000-0000-0000DE000000}"/>
    <cellStyle name="Accent2 2 2" xfId="227" xr:uid="{00000000-0005-0000-0000-0000DF000000}"/>
    <cellStyle name="Accent2 3" xfId="228" xr:uid="{00000000-0005-0000-0000-0000E0000000}"/>
    <cellStyle name="Accent2 3 2" xfId="229" xr:uid="{00000000-0005-0000-0000-0000E1000000}"/>
    <cellStyle name="Accent2 4" xfId="230" xr:uid="{00000000-0005-0000-0000-0000E2000000}"/>
    <cellStyle name="Accent2 4 2" xfId="231" xr:uid="{00000000-0005-0000-0000-0000E3000000}"/>
    <cellStyle name="Accent3 2" xfId="232" xr:uid="{00000000-0005-0000-0000-0000E4000000}"/>
    <cellStyle name="Accent3 2 2" xfId="233" xr:uid="{00000000-0005-0000-0000-0000E5000000}"/>
    <cellStyle name="Accent3 3" xfId="234" xr:uid="{00000000-0005-0000-0000-0000E6000000}"/>
    <cellStyle name="Accent3 3 2" xfId="235" xr:uid="{00000000-0005-0000-0000-0000E7000000}"/>
    <cellStyle name="Accent3 4" xfId="236" xr:uid="{00000000-0005-0000-0000-0000E8000000}"/>
    <cellStyle name="Accent3 4 2" xfId="237" xr:uid="{00000000-0005-0000-0000-0000E9000000}"/>
    <cellStyle name="Accent4 2" xfId="238" xr:uid="{00000000-0005-0000-0000-0000EA000000}"/>
    <cellStyle name="Accent4 2 2" xfId="239" xr:uid="{00000000-0005-0000-0000-0000EB000000}"/>
    <cellStyle name="Accent4 3" xfId="240" xr:uid="{00000000-0005-0000-0000-0000EC000000}"/>
    <cellStyle name="Accent4 3 2" xfId="241" xr:uid="{00000000-0005-0000-0000-0000ED000000}"/>
    <cellStyle name="Accent4 4" xfId="242" xr:uid="{00000000-0005-0000-0000-0000EE000000}"/>
    <cellStyle name="Accent4 4 2" xfId="243" xr:uid="{00000000-0005-0000-0000-0000EF000000}"/>
    <cellStyle name="Accent5 2" xfId="244" xr:uid="{00000000-0005-0000-0000-0000F0000000}"/>
    <cellStyle name="Accent5 2 2" xfId="245" xr:uid="{00000000-0005-0000-0000-0000F1000000}"/>
    <cellStyle name="Accent5 3" xfId="246" xr:uid="{00000000-0005-0000-0000-0000F2000000}"/>
    <cellStyle name="Accent5 3 2" xfId="247" xr:uid="{00000000-0005-0000-0000-0000F3000000}"/>
    <cellStyle name="Accent5 4" xfId="248" xr:uid="{00000000-0005-0000-0000-0000F4000000}"/>
    <cellStyle name="Accent5 4 2" xfId="249" xr:uid="{00000000-0005-0000-0000-0000F5000000}"/>
    <cellStyle name="Accent6 2" xfId="250" xr:uid="{00000000-0005-0000-0000-0000F6000000}"/>
    <cellStyle name="Accent6 2 2" xfId="251" xr:uid="{00000000-0005-0000-0000-0000F7000000}"/>
    <cellStyle name="Accent6 3" xfId="252" xr:uid="{00000000-0005-0000-0000-0000F8000000}"/>
    <cellStyle name="Accent6 3 2" xfId="253" xr:uid="{00000000-0005-0000-0000-0000F9000000}"/>
    <cellStyle name="Accent6 4" xfId="254" xr:uid="{00000000-0005-0000-0000-0000FA000000}"/>
    <cellStyle name="Accent6 4 2" xfId="255" xr:uid="{00000000-0005-0000-0000-0000FB000000}"/>
    <cellStyle name="AggblueBoldCels" xfId="256" xr:uid="{00000000-0005-0000-0000-0000FC000000}"/>
    <cellStyle name="AggblueBoldCels 2" xfId="257" xr:uid="{00000000-0005-0000-0000-0000FD000000}"/>
    <cellStyle name="AggblueBoldCels 2 2" xfId="258" xr:uid="{00000000-0005-0000-0000-0000FE000000}"/>
    <cellStyle name="AggblueBoldCels 3" xfId="259" xr:uid="{00000000-0005-0000-0000-0000FF000000}"/>
    <cellStyle name="AggblueCels" xfId="260" xr:uid="{00000000-0005-0000-0000-000000010000}"/>
    <cellStyle name="AggblueCels 2" xfId="261" xr:uid="{00000000-0005-0000-0000-000001010000}"/>
    <cellStyle name="AggblueCels 2 2" xfId="262" xr:uid="{00000000-0005-0000-0000-000002010000}"/>
    <cellStyle name="AggblueCels 3" xfId="263" xr:uid="{00000000-0005-0000-0000-000003010000}"/>
    <cellStyle name="AggblueCels_1x" xfId="264" xr:uid="{00000000-0005-0000-0000-000004010000}"/>
    <cellStyle name="AggBoldCells" xfId="265" xr:uid="{00000000-0005-0000-0000-000005010000}"/>
    <cellStyle name="AggBoldCells 2" xfId="266" xr:uid="{00000000-0005-0000-0000-000006010000}"/>
    <cellStyle name="AggBoldCells 2 2" xfId="267" xr:uid="{00000000-0005-0000-0000-000007010000}"/>
    <cellStyle name="AggBoldCells 3" xfId="268" xr:uid="{00000000-0005-0000-0000-000008010000}"/>
    <cellStyle name="AggBoldCells 3 2" xfId="269" xr:uid="{00000000-0005-0000-0000-000009010000}"/>
    <cellStyle name="AggBoldCells 4" xfId="270" xr:uid="{00000000-0005-0000-0000-00000A010000}"/>
    <cellStyle name="AggBoldCells 4 2" xfId="271" xr:uid="{00000000-0005-0000-0000-00000B010000}"/>
    <cellStyle name="AggBoldCells 5" xfId="272" xr:uid="{00000000-0005-0000-0000-00000C010000}"/>
    <cellStyle name="AggCels" xfId="273" xr:uid="{00000000-0005-0000-0000-00000D010000}"/>
    <cellStyle name="AggCels 2" xfId="274" xr:uid="{00000000-0005-0000-0000-00000E010000}"/>
    <cellStyle name="AggCels 2 2" xfId="275" xr:uid="{00000000-0005-0000-0000-00000F010000}"/>
    <cellStyle name="AggCels 3" xfId="276" xr:uid="{00000000-0005-0000-0000-000010010000}"/>
    <cellStyle name="AggCels 3 2" xfId="277" xr:uid="{00000000-0005-0000-0000-000011010000}"/>
    <cellStyle name="AggCels 4" xfId="278" xr:uid="{00000000-0005-0000-0000-000012010000}"/>
    <cellStyle name="AggCels 4 2" xfId="279" xr:uid="{00000000-0005-0000-0000-000013010000}"/>
    <cellStyle name="AggCels 5" xfId="280" xr:uid="{00000000-0005-0000-0000-000014010000}"/>
    <cellStyle name="AggCels_T(2)" xfId="281" xr:uid="{00000000-0005-0000-0000-000015010000}"/>
    <cellStyle name="AggGreen" xfId="282" xr:uid="{00000000-0005-0000-0000-000016010000}"/>
    <cellStyle name="AggGreen 2" xfId="283" xr:uid="{00000000-0005-0000-0000-000017010000}"/>
    <cellStyle name="AggGreen 2 2" xfId="284" xr:uid="{00000000-0005-0000-0000-000018010000}"/>
    <cellStyle name="AggGreen 2 2 2" xfId="285" xr:uid="{00000000-0005-0000-0000-000019010000}"/>
    <cellStyle name="AggGreen 2 2 2 2" xfId="286" xr:uid="{00000000-0005-0000-0000-00001A010000}"/>
    <cellStyle name="AggGreen 2 2 2 2 2" xfId="287" xr:uid="{00000000-0005-0000-0000-00001B010000}"/>
    <cellStyle name="AggGreen 2 2 2 3" xfId="288" xr:uid="{00000000-0005-0000-0000-00001C010000}"/>
    <cellStyle name="AggGreen 2 2 3" xfId="289" xr:uid="{00000000-0005-0000-0000-00001D010000}"/>
    <cellStyle name="AggGreen 2 2 3 2" xfId="290" xr:uid="{00000000-0005-0000-0000-00001E010000}"/>
    <cellStyle name="AggGreen 2 2 4" xfId="291" xr:uid="{00000000-0005-0000-0000-00001F010000}"/>
    <cellStyle name="AggGreen 2 3" xfId="292" xr:uid="{00000000-0005-0000-0000-000020010000}"/>
    <cellStyle name="AggGreen 2 3 2" xfId="293" xr:uid="{00000000-0005-0000-0000-000021010000}"/>
    <cellStyle name="AggGreen 2 3 2 2" xfId="294" xr:uid="{00000000-0005-0000-0000-000022010000}"/>
    <cellStyle name="AggGreen 2 3 2 2 2" xfId="295" xr:uid="{00000000-0005-0000-0000-000023010000}"/>
    <cellStyle name="AggGreen 2 3 2 3" xfId="296" xr:uid="{00000000-0005-0000-0000-000024010000}"/>
    <cellStyle name="AggGreen 2 3 3" xfId="297" xr:uid="{00000000-0005-0000-0000-000025010000}"/>
    <cellStyle name="AggGreen 2 3 3 2" xfId="298" xr:uid="{00000000-0005-0000-0000-000026010000}"/>
    <cellStyle name="AggGreen 2 3 3 2 2" xfId="299" xr:uid="{00000000-0005-0000-0000-000027010000}"/>
    <cellStyle name="AggGreen 2 3 3 3" xfId="300" xr:uid="{00000000-0005-0000-0000-000028010000}"/>
    <cellStyle name="AggGreen 2 3 4" xfId="301" xr:uid="{00000000-0005-0000-0000-000029010000}"/>
    <cellStyle name="AggGreen 2 3 4 2" xfId="302" xr:uid="{00000000-0005-0000-0000-00002A010000}"/>
    <cellStyle name="AggGreen 2 3 4 2 2" xfId="303" xr:uid="{00000000-0005-0000-0000-00002B010000}"/>
    <cellStyle name="AggGreen 2 3 4 3" xfId="304" xr:uid="{00000000-0005-0000-0000-00002C010000}"/>
    <cellStyle name="AggGreen 2 3 5" xfId="305" xr:uid="{00000000-0005-0000-0000-00002D010000}"/>
    <cellStyle name="AggGreen 2 4" xfId="306" xr:uid="{00000000-0005-0000-0000-00002E010000}"/>
    <cellStyle name="AggGreen 3" xfId="307" xr:uid="{00000000-0005-0000-0000-00002F010000}"/>
    <cellStyle name="AggGreen 3 2" xfId="308" xr:uid="{00000000-0005-0000-0000-000030010000}"/>
    <cellStyle name="AggGreen 3 2 2" xfId="309" xr:uid="{00000000-0005-0000-0000-000031010000}"/>
    <cellStyle name="AggGreen 3 2 2 2" xfId="310" xr:uid="{00000000-0005-0000-0000-000032010000}"/>
    <cellStyle name="AggGreen 3 2 3" xfId="311" xr:uid="{00000000-0005-0000-0000-000033010000}"/>
    <cellStyle name="AggGreen 3 3" xfId="312" xr:uid="{00000000-0005-0000-0000-000034010000}"/>
    <cellStyle name="AggGreen 3 3 2" xfId="313" xr:uid="{00000000-0005-0000-0000-000035010000}"/>
    <cellStyle name="AggGreen 3 4" xfId="314" xr:uid="{00000000-0005-0000-0000-000036010000}"/>
    <cellStyle name="AggGreen 4" xfId="315" xr:uid="{00000000-0005-0000-0000-000037010000}"/>
    <cellStyle name="AggGreen 4 2" xfId="316" xr:uid="{00000000-0005-0000-0000-000038010000}"/>
    <cellStyle name="AggGreen 4 2 2" xfId="317" xr:uid="{00000000-0005-0000-0000-000039010000}"/>
    <cellStyle name="AggGreen 4 2 2 2" xfId="318" xr:uid="{00000000-0005-0000-0000-00003A010000}"/>
    <cellStyle name="AggGreen 4 2 3" xfId="319" xr:uid="{00000000-0005-0000-0000-00003B010000}"/>
    <cellStyle name="AggGreen 4 3" xfId="320" xr:uid="{00000000-0005-0000-0000-00003C010000}"/>
    <cellStyle name="AggGreen 4 3 2" xfId="321" xr:uid="{00000000-0005-0000-0000-00003D010000}"/>
    <cellStyle name="AggGreen 4 3 2 2" xfId="322" xr:uid="{00000000-0005-0000-0000-00003E010000}"/>
    <cellStyle name="AggGreen 4 3 3" xfId="323" xr:uid="{00000000-0005-0000-0000-00003F010000}"/>
    <cellStyle name="AggGreen 4 4" xfId="324" xr:uid="{00000000-0005-0000-0000-000040010000}"/>
    <cellStyle name="AggGreen 4 4 2" xfId="325" xr:uid="{00000000-0005-0000-0000-000041010000}"/>
    <cellStyle name="AggGreen 4 4 2 2" xfId="326" xr:uid="{00000000-0005-0000-0000-000042010000}"/>
    <cellStyle name="AggGreen 4 4 3" xfId="327" xr:uid="{00000000-0005-0000-0000-000043010000}"/>
    <cellStyle name="AggGreen 4 5" xfId="328" xr:uid="{00000000-0005-0000-0000-000044010000}"/>
    <cellStyle name="AggGreen 5" xfId="329" xr:uid="{00000000-0005-0000-0000-000045010000}"/>
    <cellStyle name="AggGreen 5 2" xfId="330" xr:uid="{00000000-0005-0000-0000-000046010000}"/>
    <cellStyle name="AggGreen 6" xfId="331" xr:uid="{00000000-0005-0000-0000-000047010000}"/>
    <cellStyle name="AggGreen_Bbdr" xfId="382" xr:uid="{00000000-0005-0000-0000-000048010000}"/>
    <cellStyle name="AggGreen12" xfId="332" xr:uid="{00000000-0005-0000-0000-000049010000}"/>
    <cellStyle name="AggGreen12 2" xfId="333" xr:uid="{00000000-0005-0000-0000-00004A010000}"/>
    <cellStyle name="AggGreen12 2 2" xfId="334" xr:uid="{00000000-0005-0000-0000-00004B010000}"/>
    <cellStyle name="AggGreen12 2 2 2" xfId="335" xr:uid="{00000000-0005-0000-0000-00004C010000}"/>
    <cellStyle name="AggGreen12 2 2 2 2" xfId="336" xr:uid="{00000000-0005-0000-0000-00004D010000}"/>
    <cellStyle name="AggGreen12 2 2 2 2 2" xfId="337" xr:uid="{00000000-0005-0000-0000-00004E010000}"/>
    <cellStyle name="AggGreen12 2 2 2 3" xfId="338" xr:uid="{00000000-0005-0000-0000-00004F010000}"/>
    <cellStyle name="AggGreen12 2 2 3" xfId="339" xr:uid="{00000000-0005-0000-0000-000050010000}"/>
    <cellStyle name="AggGreen12 2 2 3 2" xfId="340" xr:uid="{00000000-0005-0000-0000-000051010000}"/>
    <cellStyle name="AggGreen12 2 2 4" xfId="341" xr:uid="{00000000-0005-0000-0000-000052010000}"/>
    <cellStyle name="AggGreen12 2 3" xfId="342" xr:uid="{00000000-0005-0000-0000-000053010000}"/>
    <cellStyle name="AggGreen12 2 3 2" xfId="343" xr:uid="{00000000-0005-0000-0000-000054010000}"/>
    <cellStyle name="AggGreen12 2 3 2 2" xfId="344" xr:uid="{00000000-0005-0000-0000-000055010000}"/>
    <cellStyle name="AggGreen12 2 3 2 2 2" xfId="345" xr:uid="{00000000-0005-0000-0000-000056010000}"/>
    <cellStyle name="AggGreen12 2 3 2 3" xfId="346" xr:uid="{00000000-0005-0000-0000-000057010000}"/>
    <cellStyle name="AggGreen12 2 3 3" xfId="347" xr:uid="{00000000-0005-0000-0000-000058010000}"/>
    <cellStyle name="AggGreen12 2 3 3 2" xfId="348" xr:uid="{00000000-0005-0000-0000-000059010000}"/>
    <cellStyle name="AggGreen12 2 3 3 2 2" xfId="349" xr:uid="{00000000-0005-0000-0000-00005A010000}"/>
    <cellStyle name="AggGreen12 2 3 3 3" xfId="350" xr:uid="{00000000-0005-0000-0000-00005B010000}"/>
    <cellStyle name="AggGreen12 2 3 4" xfId="351" xr:uid="{00000000-0005-0000-0000-00005C010000}"/>
    <cellStyle name="AggGreen12 2 3 4 2" xfId="352" xr:uid="{00000000-0005-0000-0000-00005D010000}"/>
    <cellStyle name="AggGreen12 2 3 4 2 2" xfId="353" xr:uid="{00000000-0005-0000-0000-00005E010000}"/>
    <cellStyle name="AggGreen12 2 3 4 3" xfId="354" xr:uid="{00000000-0005-0000-0000-00005F010000}"/>
    <cellStyle name="AggGreen12 2 3 5" xfId="355" xr:uid="{00000000-0005-0000-0000-000060010000}"/>
    <cellStyle name="AggGreen12 2 4" xfId="356" xr:uid="{00000000-0005-0000-0000-000061010000}"/>
    <cellStyle name="AggGreen12 3" xfId="357" xr:uid="{00000000-0005-0000-0000-000062010000}"/>
    <cellStyle name="AggGreen12 3 2" xfId="358" xr:uid="{00000000-0005-0000-0000-000063010000}"/>
    <cellStyle name="AggGreen12 3 2 2" xfId="359" xr:uid="{00000000-0005-0000-0000-000064010000}"/>
    <cellStyle name="AggGreen12 3 2 2 2" xfId="360" xr:uid="{00000000-0005-0000-0000-000065010000}"/>
    <cellStyle name="AggGreen12 3 2 3" xfId="361" xr:uid="{00000000-0005-0000-0000-000066010000}"/>
    <cellStyle name="AggGreen12 3 3" xfId="362" xr:uid="{00000000-0005-0000-0000-000067010000}"/>
    <cellStyle name="AggGreen12 3 3 2" xfId="363" xr:uid="{00000000-0005-0000-0000-000068010000}"/>
    <cellStyle name="AggGreen12 3 4" xfId="364" xr:uid="{00000000-0005-0000-0000-000069010000}"/>
    <cellStyle name="AggGreen12 4" xfId="365" xr:uid="{00000000-0005-0000-0000-00006A010000}"/>
    <cellStyle name="AggGreen12 4 2" xfId="366" xr:uid="{00000000-0005-0000-0000-00006B010000}"/>
    <cellStyle name="AggGreen12 4 2 2" xfId="367" xr:uid="{00000000-0005-0000-0000-00006C010000}"/>
    <cellStyle name="AggGreen12 4 2 2 2" xfId="368" xr:uid="{00000000-0005-0000-0000-00006D010000}"/>
    <cellStyle name="AggGreen12 4 2 3" xfId="369" xr:uid="{00000000-0005-0000-0000-00006E010000}"/>
    <cellStyle name="AggGreen12 4 3" xfId="370" xr:uid="{00000000-0005-0000-0000-00006F010000}"/>
    <cellStyle name="AggGreen12 4 3 2" xfId="371" xr:uid="{00000000-0005-0000-0000-000070010000}"/>
    <cellStyle name="AggGreen12 4 3 2 2" xfId="372" xr:uid="{00000000-0005-0000-0000-000071010000}"/>
    <cellStyle name="AggGreen12 4 3 3" xfId="373" xr:uid="{00000000-0005-0000-0000-000072010000}"/>
    <cellStyle name="AggGreen12 4 4" xfId="374" xr:uid="{00000000-0005-0000-0000-000073010000}"/>
    <cellStyle name="AggGreen12 4 4 2" xfId="375" xr:uid="{00000000-0005-0000-0000-000074010000}"/>
    <cellStyle name="AggGreen12 4 4 2 2" xfId="376" xr:uid="{00000000-0005-0000-0000-000075010000}"/>
    <cellStyle name="AggGreen12 4 4 3" xfId="377" xr:uid="{00000000-0005-0000-0000-000076010000}"/>
    <cellStyle name="AggGreen12 4 5" xfId="378" xr:uid="{00000000-0005-0000-0000-000077010000}"/>
    <cellStyle name="AggGreen12 5" xfId="379" xr:uid="{00000000-0005-0000-0000-000078010000}"/>
    <cellStyle name="AggGreen12 5 2" xfId="380" xr:uid="{00000000-0005-0000-0000-000079010000}"/>
    <cellStyle name="AggGreen12 6" xfId="381" xr:uid="{00000000-0005-0000-0000-00007A010000}"/>
    <cellStyle name="AggOrange" xfId="383" xr:uid="{00000000-0005-0000-0000-00007B010000}"/>
    <cellStyle name="AggOrange 2" xfId="384" xr:uid="{00000000-0005-0000-0000-00007C010000}"/>
    <cellStyle name="AggOrange 2 2" xfId="385" xr:uid="{00000000-0005-0000-0000-00007D010000}"/>
    <cellStyle name="AggOrange 2 2 2" xfId="386" xr:uid="{00000000-0005-0000-0000-00007E010000}"/>
    <cellStyle name="AggOrange 2 2 2 2" xfId="387" xr:uid="{00000000-0005-0000-0000-00007F010000}"/>
    <cellStyle name="AggOrange 2 2 2 2 2" xfId="388" xr:uid="{00000000-0005-0000-0000-000080010000}"/>
    <cellStyle name="AggOrange 2 2 2 3" xfId="389" xr:uid="{00000000-0005-0000-0000-000081010000}"/>
    <cellStyle name="AggOrange 2 2 3" xfId="390" xr:uid="{00000000-0005-0000-0000-000082010000}"/>
    <cellStyle name="AggOrange 2 2 3 2" xfId="391" xr:uid="{00000000-0005-0000-0000-000083010000}"/>
    <cellStyle name="AggOrange 2 2 4" xfId="392" xr:uid="{00000000-0005-0000-0000-000084010000}"/>
    <cellStyle name="AggOrange 2 3" xfId="393" xr:uid="{00000000-0005-0000-0000-000085010000}"/>
    <cellStyle name="AggOrange 2 3 2" xfId="394" xr:uid="{00000000-0005-0000-0000-000086010000}"/>
    <cellStyle name="AggOrange 2 3 2 2" xfId="395" xr:uid="{00000000-0005-0000-0000-000087010000}"/>
    <cellStyle name="AggOrange 2 3 2 2 2" xfId="396" xr:uid="{00000000-0005-0000-0000-000088010000}"/>
    <cellStyle name="AggOrange 2 3 2 3" xfId="397" xr:uid="{00000000-0005-0000-0000-000089010000}"/>
    <cellStyle name="AggOrange 2 3 3" xfId="398" xr:uid="{00000000-0005-0000-0000-00008A010000}"/>
    <cellStyle name="AggOrange 2 3 3 2" xfId="399" xr:uid="{00000000-0005-0000-0000-00008B010000}"/>
    <cellStyle name="AggOrange 2 3 3 2 2" xfId="400" xr:uid="{00000000-0005-0000-0000-00008C010000}"/>
    <cellStyle name="AggOrange 2 3 3 3" xfId="401" xr:uid="{00000000-0005-0000-0000-00008D010000}"/>
    <cellStyle name="AggOrange 2 3 4" xfId="402" xr:uid="{00000000-0005-0000-0000-00008E010000}"/>
    <cellStyle name="AggOrange 2 3 4 2" xfId="403" xr:uid="{00000000-0005-0000-0000-00008F010000}"/>
    <cellStyle name="AggOrange 2 3 4 2 2" xfId="404" xr:uid="{00000000-0005-0000-0000-000090010000}"/>
    <cellStyle name="AggOrange 2 3 4 3" xfId="405" xr:uid="{00000000-0005-0000-0000-000091010000}"/>
    <cellStyle name="AggOrange 2 3 5" xfId="406" xr:uid="{00000000-0005-0000-0000-000092010000}"/>
    <cellStyle name="AggOrange 2 4" xfId="407" xr:uid="{00000000-0005-0000-0000-000093010000}"/>
    <cellStyle name="AggOrange 3" xfId="408" xr:uid="{00000000-0005-0000-0000-000094010000}"/>
    <cellStyle name="AggOrange 3 2" xfId="409" xr:uid="{00000000-0005-0000-0000-000095010000}"/>
    <cellStyle name="AggOrange 3 2 2" xfId="410" xr:uid="{00000000-0005-0000-0000-000096010000}"/>
    <cellStyle name="AggOrange 3 2 2 2" xfId="411" xr:uid="{00000000-0005-0000-0000-000097010000}"/>
    <cellStyle name="AggOrange 3 2 3" xfId="412" xr:uid="{00000000-0005-0000-0000-000098010000}"/>
    <cellStyle name="AggOrange 3 3" xfId="413" xr:uid="{00000000-0005-0000-0000-000099010000}"/>
    <cellStyle name="AggOrange 3 3 2" xfId="414" xr:uid="{00000000-0005-0000-0000-00009A010000}"/>
    <cellStyle name="AggOrange 3 4" xfId="415" xr:uid="{00000000-0005-0000-0000-00009B010000}"/>
    <cellStyle name="AggOrange 4" xfId="416" xr:uid="{00000000-0005-0000-0000-00009C010000}"/>
    <cellStyle name="AggOrange 4 2" xfId="417" xr:uid="{00000000-0005-0000-0000-00009D010000}"/>
    <cellStyle name="AggOrange 4 2 2" xfId="418" xr:uid="{00000000-0005-0000-0000-00009E010000}"/>
    <cellStyle name="AggOrange 4 2 2 2" xfId="419" xr:uid="{00000000-0005-0000-0000-00009F010000}"/>
    <cellStyle name="AggOrange 4 2 3" xfId="420" xr:uid="{00000000-0005-0000-0000-0000A0010000}"/>
    <cellStyle name="AggOrange 4 3" xfId="421" xr:uid="{00000000-0005-0000-0000-0000A1010000}"/>
    <cellStyle name="AggOrange 4 3 2" xfId="422" xr:uid="{00000000-0005-0000-0000-0000A2010000}"/>
    <cellStyle name="AggOrange 4 3 2 2" xfId="423" xr:uid="{00000000-0005-0000-0000-0000A3010000}"/>
    <cellStyle name="AggOrange 4 3 3" xfId="424" xr:uid="{00000000-0005-0000-0000-0000A4010000}"/>
    <cellStyle name="AggOrange 4 4" xfId="425" xr:uid="{00000000-0005-0000-0000-0000A5010000}"/>
    <cellStyle name="AggOrange 4 4 2" xfId="426" xr:uid="{00000000-0005-0000-0000-0000A6010000}"/>
    <cellStyle name="AggOrange 4 4 2 2" xfId="427" xr:uid="{00000000-0005-0000-0000-0000A7010000}"/>
    <cellStyle name="AggOrange 4 4 3" xfId="428" xr:uid="{00000000-0005-0000-0000-0000A8010000}"/>
    <cellStyle name="AggOrange 4 5" xfId="429" xr:uid="{00000000-0005-0000-0000-0000A9010000}"/>
    <cellStyle name="AggOrange 5" xfId="430" xr:uid="{00000000-0005-0000-0000-0000AA010000}"/>
    <cellStyle name="AggOrange 5 2" xfId="431" xr:uid="{00000000-0005-0000-0000-0000AB010000}"/>
    <cellStyle name="AggOrange 6" xfId="432" xr:uid="{00000000-0005-0000-0000-0000AC010000}"/>
    <cellStyle name="AggOrange_B_border" xfId="483" xr:uid="{00000000-0005-0000-0000-0000AD010000}"/>
    <cellStyle name="AggOrange9" xfId="433" xr:uid="{00000000-0005-0000-0000-0000AE010000}"/>
    <cellStyle name="AggOrange9 2" xfId="434" xr:uid="{00000000-0005-0000-0000-0000AF010000}"/>
    <cellStyle name="AggOrange9 2 2" xfId="435" xr:uid="{00000000-0005-0000-0000-0000B0010000}"/>
    <cellStyle name="AggOrange9 2 2 2" xfId="436" xr:uid="{00000000-0005-0000-0000-0000B1010000}"/>
    <cellStyle name="AggOrange9 2 2 2 2" xfId="437" xr:uid="{00000000-0005-0000-0000-0000B2010000}"/>
    <cellStyle name="AggOrange9 2 2 2 2 2" xfId="438" xr:uid="{00000000-0005-0000-0000-0000B3010000}"/>
    <cellStyle name="AggOrange9 2 2 2 3" xfId="439" xr:uid="{00000000-0005-0000-0000-0000B4010000}"/>
    <cellStyle name="AggOrange9 2 2 3" xfId="440" xr:uid="{00000000-0005-0000-0000-0000B5010000}"/>
    <cellStyle name="AggOrange9 2 2 3 2" xfId="441" xr:uid="{00000000-0005-0000-0000-0000B6010000}"/>
    <cellStyle name="AggOrange9 2 2 4" xfId="442" xr:uid="{00000000-0005-0000-0000-0000B7010000}"/>
    <cellStyle name="AggOrange9 2 3" xfId="443" xr:uid="{00000000-0005-0000-0000-0000B8010000}"/>
    <cellStyle name="AggOrange9 2 3 2" xfId="444" xr:uid="{00000000-0005-0000-0000-0000B9010000}"/>
    <cellStyle name="AggOrange9 2 3 2 2" xfId="445" xr:uid="{00000000-0005-0000-0000-0000BA010000}"/>
    <cellStyle name="AggOrange9 2 3 2 2 2" xfId="446" xr:uid="{00000000-0005-0000-0000-0000BB010000}"/>
    <cellStyle name="AggOrange9 2 3 2 3" xfId="447" xr:uid="{00000000-0005-0000-0000-0000BC010000}"/>
    <cellStyle name="AggOrange9 2 3 3" xfId="448" xr:uid="{00000000-0005-0000-0000-0000BD010000}"/>
    <cellStyle name="AggOrange9 2 3 3 2" xfId="449" xr:uid="{00000000-0005-0000-0000-0000BE010000}"/>
    <cellStyle name="AggOrange9 2 3 3 2 2" xfId="450" xr:uid="{00000000-0005-0000-0000-0000BF010000}"/>
    <cellStyle name="AggOrange9 2 3 3 3" xfId="451" xr:uid="{00000000-0005-0000-0000-0000C0010000}"/>
    <cellStyle name="AggOrange9 2 3 4" xfId="452" xr:uid="{00000000-0005-0000-0000-0000C1010000}"/>
    <cellStyle name="AggOrange9 2 3 4 2" xfId="453" xr:uid="{00000000-0005-0000-0000-0000C2010000}"/>
    <cellStyle name="AggOrange9 2 3 4 2 2" xfId="454" xr:uid="{00000000-0005-0000-0000-0000C3010000}"/>
    <cellStyle name="AggOrange9 2 3 4 3" xfId="455" xr:uid="{00000000-0005-0000-0000-0000C4010000}"/>
    <cellStyle name="AggOrange9 2 3 5" xfId="456" xr:uid="{00000000-0005-0000-0000-0000C5010000}"/>
    <cellStyle name="AggOrange9 2 4" xfId="457" xr:uid="{00000000-0005-0000-0000-0000C6010000}"/>
    <cellStyle name="AggOrange9 3" xfId="458" xr:uid="{00000000-0005-0000-0000-0000C7010000}"/>
    <cellStyle name="AggOrange9 3 2" xfId="459" xr:uid="{00000000-0005-0000-0000-0000C8010000}"/>
    <cellStyle name="AggOrange9 3 2 2" xfId="460" xr:uid="{00000000-0005-0000-0000-0000C9010000}"/>
    <cellStyle name="AggOrange9 3 2 2 2" xfId="461" xr:uid="{00000000-0005-0000-0000-0000CA010000}"/>
    <cellStyle name="AggOrange9 3 2 3" xfId="462" xr:uid="{00000000-0005-0000-0000-0000CB010000}"/>
    <cellStyle name="AggOrange9 3 3" xfId="463" xr:uid="{00000000-0005-0000-0000-0000CC010000}"/>
    <cellStyle name="AggOrange9 3 3 2" xfId="464" xr:uid="{00000000-0005-0000-0000-0000CD010000}"/>
    <cellStyle name="AggOrange9 3 4" xfId="465" xr:uid="{00000000-0005-0000-0000-0000CE010000}"/>
    <cellStyle name="AggOrange9 4" xfId="466" xr:uid="{00000000-0005-0000-0000-0000CF010000}"/>
    <cellStyle name="AggOrange9 4 2" xfId="467" xr:uid="{00000000-0005-0000-0000-0000D0010000}"/>
    <cellStyle name="AggOrange9 4 2 2" xfId="468" xr:uid="{00000000-0005-0000-0000-0000D1010000}"/>
    <cellStyle name="AggOrange9 4 2 2 2" xfId="469" xr:uid="{00000000-0005-0000-0000-0000D2010000}"/>
    <cellStyle name="AggOrange9 4 2 3" xfId="470" xr:uid="{00000000-0005-0000-0000-0000D3010000}"/>
    <cellStyle name="AggOrange9 4 3" xfId="471" xr:uid="{00000000-0005-0000-0000-0000D4010000}"/>
    <cellStyle name="AggOrange9 4 3 2" xfId="472" xr:uid="{00000000-0005-0000-0000-0000D5010000}"/>
    <cellStyle name="AggOrange9 4 3 2 2" xfId="473" xr:uid="{00000000-0005-0000-0000-0000D6010000}"/>
    <cellStyle name="AggOrange9 4 3 3" xfId="474" xr:uid="{00000000-0005-0000-0000-0000D7010000}"/>
    <cellStyle name="AggOrange9 4 4" xfId="475" xr:uid="{00000000-0005-0000-0000-0000D8010000}"/>
    <cellStyle name="AggOrange9 4 4 2" xfId="476" xr:uid="{00000000-0005-0000-0000-0000D9010000}"/>
    <cellStyle name="AggOrange9 4 4 2 2" xfId="477" xr:uid="{00000000-0005-0000-0000-0000DA010000}"/>
    <cellStyle name="AggOrange9 4 4 3" xfId="478" xr:uid="{00000000-0005-0000-0000-0000DB010000}"/>
    <cellStyle name="AggOrange9 4 5" xfId="479" xr:uid="{00000000-0005-0000-0000-0000DC010000}"/>
    <cellStyle name="AggOrange9 5" xfId="480" xr:uid="{00000000-0005-0000-0000-0000DD010000}"/>
    <cellStyle name="AggOrange9 5 2" xfId="481" xr:uid="{00000000-0005-0000-0000-0000DE010000}"/>
    <cellStyle name="AggOrange9 6" xfId="482" xr:uid="{00000000-0005-0000-0000-0000DF010000}"/>
    <cellStyle name="AggOrangeLB_2x" xfId="484" xr:uid="{00000000-0005-0000-0000-0000E0010000}"/>
    <cellStyle name="AggOrangeLBorder" xfId="485" xr:uid="{00000000-0005-0000-0000-0000E1010000}"/>
    <cellStyle name="AggOrangeLBorder 2" xfId="486" xr:uid="{00000000-0005-0000-0000-0000E2010000}"/>
    <cellStyle name="AggOrangeLBorder 2 2" xfId="487" xr:uid="{00000000-0005-0000-0000-0000E3010000}"/>
    <cellStyle name="AggOrangeLBorder 2 2 2" xfId="488" xr:uid="{00000000-0005-0000-0000-0000E4010000}"/>
    <cellStyle name="AggOrangeLBorder 2 3" xfId="489" xr:uid="{00000000-0005-0000-0000-0000E5010000}"/>
    <cellStyle name="AggOrangeLBorder 2 3 2" xfId="490" xr:uid="{00000000-0005-0000-0000-0000E6010000}"/>
    <cellStyle name="AggOrangeLBorder 2 3 2 2" xfId="491" xr:uid="{00000000-0005-0000-0000-0000E7010000}"/>
    <cellStyle name="AggOrangeLBorder 2 3 2 2 2" xfId="492" xr:uid="{00000000-0005-0000-0000-0000E8010000}"/>
    <cellStyle name="AggOrangeLBorder 2 3 2 3" xfId="493" xr:uid="{00000000-0005-0000-0000-0000E9010000}"/>
    <cellStyle name="AggOrangeLBorder 2 3 3" xfId="494" xr:uid="{00000000-0005-0000-0000-0000EA010000}"/>
    <cellStyle name="AggOrangeLBorder 2 3 3 2" xfId="495" xr:uid="{00000000-0005-0000-0000-0000EB010000}"/>
    <cellStyle name="AggOrangeLBorder 2 3 3 2 2" xfId="496" xr:uid="{00000000-0005-0000-0000-0000EC010000}"/>
    <cellStyle name="AggOrangeLBorder 2 3 3 3" xfId="497" xr:uid="{00000000-0005-0000-0000-0000ED010000}"/>
    <cellStyle name="AggOrangeLBorder 2 3 4" xfId="498" xr:uid="{00000000-0005-0000-0000-0000EE010000}"/>
    <cellStyle name="AggOrangeLBorder 2 3 4 2" xfId="499" xr:uid="{00000000-0005-0000-0000-0000EF010000}"/>
    <cellStyle name="AggOrangeLBorder 2 3 4 2 2" xfId="500" xr:uid="{00000000-0005-0000-0000-0000F0010000}"/>
    <cellStyle name="AggOrangeLBorder 2 3 4 3" xfId="501" xr:uid="{00000000-0005-0000-0000-0000F1010000}"/>
    <cellStyle name="AggOrangeLBorder 2 3 5" xfId="502" xr:uid="{00000000-0005-0000-0000-0000F2010000}"/>
    <cellStyle name="AggOrangeLBorder 2 3 5 2" xfId="503" xr:uid="{00000000-0005-0000-0000-0000F3010000}"/>
    <cellStyle name="AggOrangeLBorder 2 3 6" xfId="504" xr:uid="{00000000-0005-0000-0000-0000F4010000}"/>
    <cellStyle name="AggOrangeLBorder 2 4" xfId="505" xr:uid="{00000000-0005-0000-0000-0000F5010000}"/>
    <cellStyle name="AggOrangeLBorder 3" xfId="506" xr:uid="{00000000-0005-0000-0000-0000F6010000}"/>
    <cellStyle name="AggOrangeLBorder 3 2" xfId="507" xr:uid="{00000000-0005-0000-0000-0000F7010000}"/>
    <cellStyle name="AggOrangeLBorder 4" xfId="508" xr:uid="{00000000-0005-0000-0000-0000F8010000}"/>
    <cellStyle name="AggOrangeLBorder 4 2" xfId="509" xr:uid="{00000000-0005-0000-0000-0000F9010000}"/>
    <cellStyle name="AggOrangeLBorder 4 2 2" xfId="510" xr:uid="{00000000-0005-0000-0000-0000FA010000}"/>
    <cellStyle name="AggOrangeLBorder 4 2 2 2" xfId="511" xr:uid="{00000000-0005-0000-0000-0000FB010000}"/>
    <cellStyle name="AggOrangeLBorder 4 2 3" xfId="512" xr:uid="{00000000-0005-0000-0000-0000FC010000}"/>
    <cellStyle name="AggOrangeLBorder 4 3" xfId="513" xr:uid="{00000000-0005-0000-0000-0000FD010000}"/>
    <cellStyle name="AggOrangeLBorder 4 3 2" xfId="514" xr:uid="{00000000-0005-0000-0000-0000FE010000}"/>
    <cellStyle name="AggOrangeLBorder 4 3 2 2" xfId="515" xr:uid="{00000000-0005-0000-0000-0000FF010000}"/>
    <cellStyle name="AggOrangeLBorder 4 3 3" xfId="516" xr:uid="{00000000-0005-0000-0000-000000020000}"/>
    <cellStyle name="AggOrangeLBorder 4 4" xfId="517" xr:uid="{00000000-0005-0000-0000-000001020000}"/>
    <cellStyle name="AggOrangeLBorder 4 4 2" xfId="518" xr:uid="{00000000-0005-0000-0000-000002020000}"/>
    <cellStyle name="AggOrangeLBorder 4 4 2 2" xfId="519" xr:uid="{00000000-0005-0000-0000-000003020000}"/>
    <cellStyle name="AggOrangeLBorder 4 4 3" xfId="520" xr:uid="{00000000-0005-0000-0000-000004020000}"/>
    <cellStyle name="AggOrangeLBorder 4 5" xfId="521" xr:uid="{00000000-0005-0000-0000-000005020000}"/>
    <cellStyle name="AggOrangeLBorder 4 5 2" xfId="522" xr:uid="{00000000-0005-0000-0000-000006020000}"/>
    <cellStyle name="AggOrangeLBorder 4 6" xfId="523" xr:uid="{00000000-0005-0000-0000-000007020000}"/>
    <cellStyle name="AggOrangeLBorder 5" xfId="524" xr:uid="{00000000-0005-0000-0000-000008020000}"/>
    <cellStyle name="AggOrangeLBorder 5 2" xfId="525" xr:uid="{00000000-0005-0000-0000-000009020000}"/>
    <cellStyle name="AggOrangeLBorder 6" xfId="526" xr:uid="{00000000-0005-0000-0000-00000A020000}"/>
    <cellStyle name="AggOrangeRBorder" xfId="527" xr:uid="{00000000-0005-0000-0000-00000B020000}"/>
    <cellStyle name="AggOrangeRBorder 2" xfId="528" xr:uid="{00000000-0005-0000-0000-00000C020000}"/>
    <cellStyle name="AggOrangeRBorder 2 2" xfId="529" xr:uid="{00000000-0005-0000-0000-00000D020000}"/>
    <cellStyle name="AggOrangeRBorder 2 2 2" xfId="530" xr:uid="{00000000-0005-0000-0000-00000E020000}"/>
    <cellStyle name="AggOrangeRBorder 2 2 2 2" xfId="531" xr:uid="{00000000-0005-0000-0000-00000F020000}"/>
    <cellStyle name="AggOrangeRBorder 2 2 2 2 2" xfId="532" xr:uid="{00000000-0005-0000-0000-000010020000}"/>
    <cellStyle name="AggOrangeRBorder 2 2 2 3" xfId="533" xr:uid="{00000000-0005-0000-0000-000011020000}"/>
    <cellStyle name="AggOrangeRBorder 2 2 3" xfId="534" xr:uid="{00000000-0005-0000-0000-000012020000}"/>
    <cellStyle name="AggOrangeRBorder 2 3" xfId="535" xr:uid="{00000000-0005-0000-0000-000013020000}"/>
    <cellStyle name="AggOrangeRBorder 2 3 2" xfId="536" xr:uid="{00000000-0005-0000-0000-000014020000}"/>
    <cellStyle name="AggOrangeRBorder 2 3 2 2" xfId="537" xr:uid="{00000000-0005-0000-0000-000015020000}"/>
    <cellStyle name="AggOrangeRBorder 2 3 2 2 2" xfId="538" xr:uid="{00000000-0005-0000-0000-000016020000}"/>
    <cellStyle name="AggOrangeRBorder 2 3 2 3" xfId="539" xr:uid="{00000000-0005-0000-0000-000017020000}"/>
    <cellStyle name="AggOrangeRBorder 2 3 3" xfId="540" xr:uid="{00000000-0005-0000-0000-000018020000}"/>
    <cellStyle name="AggOrangeRBorder 2 3 3 2" xfId="541" xr:uid="{00000000-0005-0000-0000-000019020000}"/>
    <cellStyle name="AggOrangeRBorder 2 3 3 2 2" xfId="542" xr:uid="{00000000-0005-0000-0000-00001A020000}"/>
    <cellStyle name="AggOrangeRBorder 2 3 3 3" xfId="543" xr:uid="{00000000-0005-0000-0000-00001B020000}"/>
    <cellStyle name="AggOrangeRBorder 2 3 4" xfId="544" xr:uid="{00000000-0005-0000-0000-00001C020000}"/>
    <cellStyle name="AggOrangeRBorder 2 3 4 2" xfId="545" xr:uid="{00000000-0005-0000-0000-00001D020000}"/>
    <cellStyle name="AggOrangeRBorder 2 3 4 2 2" xfId="546" xr:uid="{00000000-0005-0000-0000-00001E020000}"/>
    <cellStyle name="AggOrangeRBorder 2 3 4 3" xfId="547" xr:uid="{00000000-0005-0000-0000-00001F020000}"/>
    <cellStyle name="AggOrangeRBorder 2 3 5" xfId="548" xr:uid="{00000000-0005-0000-0000-000020020000}"/>
    <cellStyle name="AggOrangeRBorder 2 3 5 2" xfId="549" xr:uid="{00000000-0005-0000-0000-000021020000}"/>
    <cellStyle name="AggOrangeRBorder 2 3 6" xfId="550" xr:uid="{00000000-0005-0000-0000-000022020000}"/>
    <cellStyle name="AggOrangeRBorder 2 4" xfId="551" xr:uid="{00000000-0005-0000-0000-000023020000}"/>
    <cellStyle name="AggOrangeRBorder 3" xfId="552" xr:uid="{00000000-0005-0000-0000-000024020000}"/>
    <cellStyle name="AggOrangeRBorder 3 2" xfId="553" xr:uid="{00000000-0005-0000-0000-000025020000}"/>
    <cellStyle name="AggOrangeRBorder 3 2 2" xfId="554" xr:uid="{00000000-0005-0000-0000-000026020000}"/>
    <cellStyle name="AggOrangeRBorder 3 2 2 2" xfId="555" xr:uid="{00000000-0005-0000-0000-000027020000}"/>
    <cellStyle name="AggOrangeRBorder 3 2 3" xfId="556" xr:uid="{00000000-0005-0000-0000-000028020000}"/>
    <cellStyle name="AggOrangeRBorder 3 2 3 2" xfId="557" xr:uid="{00000000-0005-0000-0000-000029020000}"/>
    <cellStyle name="AggOrangeRBorder 3 2 4" xfId="558" xr:uid="{00000000-0005-0000-0000-00002A020000}"/>
    <cellStyle name="AggOrangeRBorder 3 3" xfId="559" xr:uid="{00000000-0005-0000-0000-00002B020000}"/>
    <cellStyle name="AggOrangeRBorder 4" xfId="560" xr:uid="{00000000-0005-0000-0000-00002C020000}"/>
    <cellStyle name="AggOrangeRBorder 4 2" xfId="561" xr:uid="{00000000-0005-0000-0000-00002D020000}"/>
    <cellStyle name="AggOrangeRBorder 4 2 2" xfId="562" xr:uid="{00000000-0005-0000-0000-00002E020000}"/>
    <cellStyle name="AggOrangeRBorder 4 2 2 2" xfId="563" xr:uid="{00000000-0005-0000-0000-00002F020000}"/>
    <cellStyle name="AggOrangeRBorder 4 2 3" xfId="564" xr:uid="{00000000-0005-0000-0000-000030020000}"/>
    <cellStyle name="AggOrangeRBorder 4 3" xfId="565" xr:uid="{00000000-0005-0000-0000-000031020000}"/>
    <cellStyle name="AggOrangeRBorder 4 3 2" xfId="566" xr:uid="{00000000-0005-0000-0000-000032020000}"/>
    <cellStyle name="AggOrangeRBorder 4 3 2 2" xfId="567" xr:uid="{00000000-0005-0000-0000-000033020000}"/>
    <cellStyle name="AggOrangeRBorder 4 3 3" xfId="568" xr:uid="{00000000-0005-0000-0000-000034020000}"/>
    <cellStyle name="AggOrangeRBorder 4 4" xfId="569" xr:uid="{00000000-0005-0000-0000-000035020000}"/>
    <cellStyle name="AggOrangeRBorder 4 4 2" xfId="570" xr:uid="{00000000-0005-0000-0000-000036020000}"/>
    <cellStyle name="AggOrangeRBorder 4 4 2 2" xfId="571" xr:uid="{00000000-0005-0000-0000-000037020000}"/>
    <cellStyle name="AggOrangeRBorder 4 4 3" xfId="572" xr:uid="{00000000-0005-0000-0000-000038020000}"/>
    <cellStyle name="AggOrangeRBorder 4 5" xfId="573" xr:uid="{00000000-0005-0000-0000-000039020000}"/>
    <cellStyle name="AggOrangeRBorder 4 5 2" xfId="574" xr:uid="{00000000-0005-0000-0000-00003A020000}"/>
    <cellStyle name="AggOrangeRBorder 4 6" xfId="575" xr:uid="{00000000-0005-0000-0000-00003B020000}"/>
    <cellStyle name="AggOrangeRBorder 5" xfId="576" xr:uid="{00000000-0005-0000-0000-00003C020000}"/>
    <cellStyle name="AggOrangeRBorder 5 2" xfId="577" xr:uid="{00000000-0005-0000-0000-00003D020000}"/>
    <cellStyle name="AggOrangeRBorder 6" xfId="578" xr:uid="{00000000-0005-0000-0000-00003E020000}"/>
    <cellStyle name="AggOrangeRBorder_CRFReport-template" xfId="579" xr:uid="{00000000-0005-0000-0000-00003F020000}"/>
    <cellStyle name="Akzent1" xfId="580" xr:uid="{00000000-0005-0000-0000-000040020000}"/>
    <cellStyle name="Akzent1 2" xfId="581" xr:uid="{00000000-0005-0000-0000-000041020000}"/>
    <cellStyle name="Akzent2" xfId="582" xr:uid="{00000000-0005-0000-0000-000042020000}"/>
    <cellStyle name="Akzent2 2" xfId="583" xr:uid="{00000000-0005-0000-0000-000043020000}"/>
    <cellStyle name="Akzent3" xfId="584" xr:uid="{00000000-0005-0000-0000-000044020000}"/>
    <cellStyle name="Akzent3 2" xfId="585" xr:uid="{00000000-0005-0000-0000-000045020000}"/>
    <cellStyle name="Akzent4" xfId="586" xr:uid="{00000000-0005-0000-0000-000046020000}"/>
    <cellStyle name="Akzent4 2" xfId="587" xr:uid="{00000000-0005-0000-0000-000047020000}"/>
    <cellStyle name="Akzent5" xfId="588" xr:uid="{00000000-0005-0000-0000-000048020000}"/>
    <cellStyle name="Akzent5 2" xfId="589" xr:uid="{00000000-0005-0000-0000-000049020000}"/>
    <cellStyle name="Akzent6" xfId="590" xr:uid="{00000000-0005-0000-0000-00004A020000}"/>
    <cellStyle name="Akzent6 2" xfId="591" xr:uid="{00000000-0005-0000-0000-00004B020000}"/>
    <cellStyle name="Ausgabe 2" xfId="592" xr:uid="{00000000-0005-0000-0000-00004C020000}"/>
    <cellStyle name="Ausgabe 2 2" xfId="593" xr:uid="{00000000-0005-0000-0000-00004D020000}"/>
    <cellStyle name="Ausgabe 2 2 2" xfId="594" xr:uid="{00000000-0005-0000-0000-00004E020000}"/>
    <cellStyle name="Ausgabe 2 2 2 2" xfId="595" xr:uid="{00000000-0005-0000-0000-00004F020000}"/>
    <cellStyle name="Ausgabe 2 2 3" xfId="596" xr:uid="{00000000-0005-0000-0000-000050020000}"/>
    <cellStyle name="Ausgabe 2 3" xfId="597" xr:uid="{00000000-0005-0000-0000-000051020000}"/>
    <cellStyle name="Ausgabe 2 3 2" xfId="598" xr:uid="{00000000-0005-0000-0000-000052020000}"/>
    <cellStyle name="Ausgabe 2 3 2 2" xfId="599" xr:uid="{00000000-0005-0000-0000-000053020000}"/>
    <cellStyle name="Ausgabe 2 3 3" xfId="600" xr:uid="{00000000-0005-0000-0000-000054020000}"/>
    <cellStyle name="Ausgabe 2 4" xfId="601" xr:uid="{00000000-0005-0000-0000-000055020000}"/>
    <cellStyle name="Ausgabe 2 4 2" xfId="602" xr:uid="{00000000-0005-0000-0000-000056020000}"/>
    <cellStyle name="Ausgabe 2 5" xfId="603" xr:uid="{00000000-0005-0000-0000-000057020000}"/>
    <cellStyle name="Ausgabe 3" xfId="604" xr:uid="{00000000-0005-0000-0000-000058020000}"/>
    <cellStyle name="Ausgabe 3 2" xfId="605" xr:uid="{00000000-0005-0000-0000-000059020000}"/>
    <cellStyle name="Ausgabe 3 2 2" xfId="606" xr:uid="{00000000-0005-0000-0000-00005A020000}"/>
    <cellStyle name="Ausgabe 3 2 2 2" xfId="607" xr:uid="{00000000-0005-0000-0000-00005B020000}"/>
    <cellStyle name="Ausgabe 3 2 3" xfId="608" xr:uid="{00000000-0005-0000-0000-00005C020000}"/>
    <cellStyle name="Ausgabe 3 3" xfId="609" xr:uid="{00000000-0005-0000-0000-00005D020000}"/>
    <cellStyle name="Ausgabe 3 3 2" xfId="610" xr:uid="{00000000-0005-0000-0000-00005E020000}"/>
    <cellStyle name="Ausgabe 3 3 2 2" xfId="611" xr:uid="{00000000-0005-0000-0000-00005F020000}"/>
    <cellStyle name="Ausgabe 3 3 3" xfId="612" xr:uid="{00000000-0005-0000-0000-000060020000}"/>
    <cellStyle name="Ausgabe 3 4" xfId="613" xr:uid="{00000000-0005-0000-0000-000061020000}"/>
    <cellStyle name="Ausgabe 3 4 2" xfId="614" xr:uid="{00000000-0005-0000-0000-000062020000}"/>
    <cellStyle name="Ausgabe 3 5" xfId="615" xr:uid="{00000000-0005-0000-0000-000063020000}"/>
    <cellStyle name="Ausgabe 4" xfId="616" xr:uid="{00000000-0005-0000-0000-000064020000}"/>
    <cellStyle name="Ausgabe 4 2" xfId="617" xr:uid="{00000000-0005-0000-0000-000065020000}"/>
    <cellStyle name="Ausgabe 4 2 2" xfId="618" xr:uid="{00000000-0005-0000-0000-000066020000}"/>
    <cellStyle name="Ausgabe 4 3" xfId="619" xr:uid="{00000000-0005-0000-0000-000067020000}"/>
    <cellStyle name="Ausgabe 5" xfId="620" xr:uid="{00000000-0005-0000-0000-000068020000}"/>
    <cellStyle name="Ausgabe 5 2" xfId="621" xr:uid="{00000000-0005-0000-0000-000069020000}"/>
    <cellStyle name="Ausgabe 5 2 2" xfId="622" xr:uid="{00000000-0005-0000-0000-00006A020000}"/>
    <cellStyle name="Ausgabe 5 3" xfId="623" xr:uid="{00000000-0005-0000-0000-00006B020000}"/>
    <cellStyle name="Ausgabe 6" xfId="624" xr:uid="{00000000-0005-0000-0000-00006C020000}"/>
    <cellStyle name="Ausgabe 6 2" xfId="625" xr:uid="{00000000-0005-0000-0000-00006D020000}"/>
    <cellStyle name="Bad 1" xfId="626" xr:uid="{00000000-0005-0000-0000-00006E020000}"/>
    <cellStyle name="Bad 1 2" xfId="627" xr:uid="{00000000-0005-0000-0000-00006F020000}"/>
    <cellStyle name="Bad 2" xfId="628" xr:uid="{00000000-0005-0000-0000-000070020000}"/>
    <cellStyle name="Bad 2 2" xfId="629" xr:uid="{00000000-0005-0000-0000-000071020000}"/>
    <cellStyle name="Bad 3" xfId="630" xr:uid="{00000000-0005-0000-0000-000072020000}"/>
    <cellStyle name="Bad 3 2" xfId="631" xr:uid="{00000000-0005-0000-0000-000073020000}"/>
    <cellStyle name="Bad 4" xfId="632" xr:uid="{00000000-0005-0000-0000-000074020000}"/>
    <cellStyle name="Bad 4 2" xfId="633" xr:uid="{00000000-0005-0000-0000-000075020000}"/>
    <cellStyle name="Bad 9" xfId="634" xr:uid="{00000000-0005-0000-0000-000076020000}"/>
    <cellStyle name="Berechnung 2" xfId="635" xr:uid="{00000000-0005-0000-0000-000077020000}"/>
    <cellStyle name="Berechnung 2 2" xfId="636" xr:uid="{00000000-0005-0000-0000-000078020000}"/>
    <cellStyle name="Berechnung 2 2 2" xfId="637" xr:uid="{00000000-0005-0000-0000-000079020000}"/>
    <cellStyle name="Berechnung 2 2 2 2" xfId="638" xr:uid="{00000000-0005-0000-0000-00007A020000}"/>
    <cellStyle name="Berechnung 2 2 3" xfId="639" xr:uid="{00000000-0005-0000-0000-00007B020000}"/>
    <cellStyle name="Berechnung 2 3" xfId="640" xr:uid="{00000000-0005-0000-0000-00007C020000}"/>
    <cellStyle name="Berechnung 2 3 2" xfId="641" xr:uid="{00000000-0005-0000-0000-00007D020000}"/>
    <cellStyle name="Berechnung 2 3 2 2" xfId="642" xr:uid="{00000000-0005-0000-0000-00007E020000}"/>
    <cellStyle name="Berechnung 2 3 3" xfId="643" xr:uid="{00000000-0005-0000-0000-00007F020000}"/>
    <cellStyle name="Berechnung 2 4" xfId="644" xr:uid="{00000000-0005-0000-0000-000080020000}"/>
    <cellStyle name="Berechnung 2 4 2" xfId="645" xr:uid="{00000000-0005-0000-0000-000081020000}"/>
    <cellStyle name="Berechnung 2 4 2 2" xfId="646" xr:uid="{00000000-0005-0000-0000-000082020000}"/>
    <cellStyle name="Berechnung 2 4 3" xfId="647" xr:uid="{00000000-0005-0000-0000-000083020000}"/>
    <cellStyle name="Berechnung 2 5" xfId="648" xr:uid="{00000000-0005-0000-0000-000084020000}"/>
    <cellStyle name="Berechnung 2 5 2" xfId="649" xr:uid="{00000000-0005-0000-0000-000085020000}"/>
    <cellStyle name="Berechnung 2 6" xfId="650" xr:uid="{00000000-0005-0000-0000-000086020000}"/>
    <cellStyle name="Berechnung 3" xfId="651" xr:uid="{00000000-0005-0000-0000-000087020000}"/>
    <cellStyle name="Berechnung 3 2" xfId="652" xr:uid="{00000000-0005-0000-0000-000088020000}"/>
    <cellStyle name="Berechnung 3 2 2" xfId="653" xr:uid="{00000000-0005-0000-0000-000089020000}"/>
    <cellStyle name="Berechnung 3 2 2 2" xfId="654" xr:uid="{00000000-0005-0000-0000-00008A020000}"/>
    <cellStyle name="Berechnung 3 2 3" xfId="655" xr:uid="{00000000-0005-0000-0000-00008B020000}"/>
    <cellStyle name="Berechnung 3 3" xfId="656" xr:uid="{00000000-0005-0000-0000-00008C020000}"/>
    <cellStyle name="Berechnung 3 3 2" xfId="657" xr:uid="{00000000-0005-0000-0000-00008D020000}"/>
    <cellStyle name="Berechnung 3 3 2 2" xfId="658" xr:uid="{00000000-0005-0000-0000-00008E020000}"/>
    <cellStyle name="Berechnung 3 3 3" xfId="659" xr:uid="{00000000-0005-0000-0000-00008F020000}"/>
    <cellStyle name="Berechnung 3 4" xfId="660" xr:uid="{00000000-0005-0000-0000-000090020000}"/>
    <cellStyle name="Berechnung 3 4 2" xfId="661" xr:uid="{00000000-0005-0000-0000-000091020000}"/>
    <cellStyle name="Berechnung 3 4 2 2" xfId="662" xr:uid="{00000000-0005-0000-0000-000092020000}"/>
    <cellStyle name="Berechnung 3 4 3" xfId="663" xr:uid="{00000000-0005-0000-0000-000093020000}"/>
    <cellStyle name="Berechnung 3 5" xfId="664" xr:uid="{00000000-0005-0000-0000-000094020000}"/>
    <cellStyle name="Berechnung 3 5 2" xfId="665" xr:uid="{00000000-0005-0000-0000-000095020000}"/>
    <cellStyle name="Berechnung 3 6" xfId="666" xr:uid="{00000000-0005-0000-0000-000096020000}"/>
    <cellStyle name="Berechnung 4" xfId="667" xr:uid="{00000000-0005-0000-0000-000097020000}"/>
    <cellStyle name="Berechnung 4 2" xfId="668" xr:uid="{00000000-0005-0000-0000-000098020000}"/>
    <cellStyle name="Berechnung 4 2 2" xfId="669" xr:uid="{00000000-0005-0000-0000-000099020000}"/>
    <cellStyle name="Berechnung 4 3" xfId="670" xr:uid="{00000000-0005-0000-0000-00009A020000}"/>
    <cellStyle name="Berechnung 5" xfId="671" xr:uid="{00000000-0005-0000-0000-00009B020000}"/>
    <cellStyle name="Berechnung 5 2" xfId="672" xr:uid="{00000000-0005-0000-0000-00009C020000}"/>
    <cellStyle name="Berechnung 5 2 2" xfId="673" xr:uid="{00000000-0005-0000-0000-00009D020000}"/>
    <cellStyle name="Berechnung 5 3" xfId="674" xr:uid="{00000000-0005-0000-0000-00009E020000}"/>
    <cellStyle name="Berechnung 6" xfId="675" xr:uid="{00000000-0005-0000-0000-00009F020000}"/>
    <cellStyle name="Berechnung 6 2" xfId="676" xr:uid="{00000000-0005-0000-0000-0000A0020000}"/>
    <cellStyle name="Berechnung 6 2 2" xfId="677" xr:uid="{00000000-0005-0000-0000-0000A1020000}"/>
    <cellStyle name="Berechnung 6 3" xfId="678" xr:uid="{00000000-0005-0000-0000-0000A2020000}"/>
    <cellStyle name="Berechnung 7" xfId="679" xr:uid="{00000000-0005-0000-0000-0000A3020000}"/>
    <cellStyle name="Berechnung 7 2" xfId="680" xr:uid="{00000000-0005-0000-0000-0000A4020000}"/>
    <cellStyle name="Bold GHG Numbers (0.00)" xfId="681" xr:uid="{00000000-0005-0000-0000-0000A5020000}"/>
    <cellStyle name="Bold GHG Numbers (0.00) 2" xfId="682" xr:uid="{00000000-0005-0000-0000-0000A6020000}"/>
    <cellStyle name="Calculation 2" xfId="683" xr:uid="{00000000-0005-0000-0000-0000A7020000}"/>
    <cellStyle name="Calculation 2 2" xfId="684" xr:uid="{00000000-0005-0000-0000-0000A8020000}"/>
    <cellStyle name="Calculation 2 2 2" xfId="685" xr:uid="{00000000-0005-0000-0000-0000A9020000}"/>
    <cellStyle name="Calculation 2 2 2 2" xfId="686" xr:uid="{00000000-0005-0000-0000-0000AA020000}"/>
    <cellStyle name="Calculation 2 2 3" xfId="687" xr:uid="{00000000-0005-0000-0000-0000AB020000}"/>
    <cellStyle name="Calculation 2 3" xfId="688" xr:uid="{00000000-0005-0000-0000-0000AC020000}"/>
    <cellStyle name="Calculation 2 3 2" xfId="689" xr:uid="{00000000-0005-0000-0000-0000AD020000}"/>
    <cellStyle name="Calculation 2 3 2 2" xfId="690" xr:uid="{00000000-0005-0000-0000-0000AE020000}"/>
    <cellStyle name="Calculation 2 3 3" xfId="691" xr:uid="{00000000-0005-0000-0000-0000AF020000}"/>
    <cellStyle name="Calculation 2 4" xfId="692" xr:uid="{00000000-0005-0000-0000-0000B0020000}"/>
    <cellStyle name="Calculation 2 4 2" xfId="693" xr:uid="{00000000-0005-0000-0000-0000B1020000}"/>
    <cellStyle name="Calculation 2 4 2 2" xfId="694" xr:uid="{00000000-0005-0000-0000-0000B2020000}"/>
    <cellStyle name="Calculation 2 4 3" xfId="695" xr:uid="{00000000-0005-0000-0000-0000B3020000}"/>
    <cellStyle name="Calculation 2 5" xfId="696" xr:uid="{00000000-0005-0000-0000-0000B4020000}"/>
    <cellStyle name="Calculation 2 5 2" xfId="697" xr:uid="{00000000-0005-0000-0000-0000B5020000}"/>
    <cellStyle name="Calculation 2 6" xfId="698" xr:uid="{00000000-0005-0000-0000-0000B6020000}"/>
    <cellStyle name="Calculation 3" xfId="699" xr:uid="{00000000-0005-0000-0000-0000B7020000}"/>
    <cellStyle name="Calculation 3 2" xfId="700" xr:uid="{00000000-0005-0000-0000-0000B8020000}"/>
    <cellStyle name="Calculation 3 2 2" xfId="701" xr:uid="{00000000-0005-0000-0000-0000B9020000}"/>
    <cellStyle name="Calculation 3 2 2 2" xfId="702" xr:uid="{00000000-0005-0000-0000-0000BA020000}"/>
    <cellStyle name="Calculation 3 2 3" xfId="703" xr:uid="{00000000-0005-0000-0000-0000BB020000}"/>
    <cellStyle name="Calculation 3 3" xfId="704" xr:uid="{00000000-0005-0000-0000-0000BC020000}"/>
    <cellStyle name="Calculation 3 3 2" xfId="705" xr:uid="{00000000-0005-0000-0000-0000BD020000}"/>
    <cellStyle name="Calculation 3 3 2 2" xfId="706" xr:uid="{00000000-0005-0000-0000-0000BE020000}"/>
    <cellStyle name="Calculation 3 3 3" xfId="707" xr:uid="{00000000-0005-0000-0000-0000BF020000}"/>
    <cellStyle name="Calculation 3 4" xfId="708" xr:uid="{00000000-0005-0000-0000-0000C0020000}"/>
    <cellStyle name="Calculation 3 4 2" xfId="709" xr:uid="{00000000-0005-0000-0000-0000C1020000}"/>
    <cellStyle name="Calculation 3 4 2 2" xfId="710" xr:uid="{00000000-0005-0000-0000-0000C2020000}"/>
    <cellStyle name="Calculation 3 4 3" xfId="711" xr:uid="{00000000-0005-0000-0000-0000C3020000}"/>
    <cellStyle name="Calculation 3 5" xfId="712" xr:uid="{00000000-0005-0000-0000-0000C4020000}"/>
    <cellStyle name="Calculation 3 5 2" xfId="713" xr:uid="{00000000-0005-0000-0000-0000C5020000}"/>
    <cellStyle name="Calculation 3 6" xfId="714" xr:uid="{00000000-0005-0000-0000-0000C6020000}"/>
    <cellStyle name="Check Cell 2" xfId="715" xr:uid="{00000000-0005-0000-0000-0000C7020000}"/>
    <cellStyle name="Check Cell 2 2" xfId="716" xr:uid="{00000000-0005-0000-0000-0000C8020000}"/>
    <cellStyle name="Check Cell 3" xfId="717" xr:uid="{00000000-0005-0000-0000-0000C9020000}"/>
    <cellStyle name="Check Cell 3 2" xfId="718" xr:uid="{00000000-0005-0000-0000-0000CA020000}"/>
    <cellStyle name="Check Cell 4" xfId="719" xr:uid="{00000000-0005-0000-0000-0000CB020000}"/>
    <cellStyle name="Check Cell 4 2" xfId="720" xr:uid="{00000000-0005-0000-0000-0000CC020000}"/>
    <cellStyle name="Comma 2" xfId="721" xr:uid="{00000000-0005-0000-0000-0000CD020000}"/>
    <cellStyle name="Comma 2 2" xfId="722" xr:uid="{00000000-0005-0000-0000-0000CE020000}"/>
    <cellStyle name="Comma 2 2 2" xfId="723" xr:uid="{00000000-0005-0000-0000-0000CF020000}"/>
    <cellStyle name="Comma 2 2 2 2" xfId="724" xr:uid="{00000000-0005-0000-0000-0000D0020000}"/>
    <cellStyle name="Comma 2 2 3" xfId="725" xr:uid="{00000000-0005-0000-0000-0000D1020000}"/>
    <cellStyle name="Comma 2 3" xfId="726" xr:uid="{00000000-0005-0000-0000-0000D2020000}"/>
    <cellStyle name="Comma 3" xfId="727" xr:uid="{00000000-0005-0000-0000-0000D3020000}"/>
    <cellStyle name="Comma 3 2" xfId="728" xr:uid="{00000000-0005-0000-0000-0000D4020000}"/>
    <cellStyle name="Constants" xfId="729" xr:uid="{00000000-0005-0000-0000-0000D5020000}"/>
    <cellStyle name="Constants 2" xfId="730" xr:uid="{00000000-0005-0000-0000-0000D6020000}"/>
    <cellStyle name="ContentsHyperlink" xfId="731" xr:uid="{00000000-0005-0000-0000-0000D7020000}"/>
    <cellStyle name="ContentsHyperlink 2" xfId="732" xr:uid="{00000000-0005-0000-0000-0000D8020000}"/>
    <cellStyle name="CustomCellsOrange" xfId="733" xr:uid="{00000000-0005-0000-0000-0000D9020000}"/>
    <cellStyle name="CustomCellsOrange 2" xfId="734" xr:uid="{00000000-0005-0000-0000-0000DA020000}"/>
    <cellStyle name="CustomCellsOrange 2 2" xfId="735" xr:uid="{00000000-0005-0000-0000-0000DB020000}"/>
    <cellStyle name="CustomCellsOrange 2 2 2" xfId="736" xr:uid="{00000000-0005-0000-0000-0000DC020000}"/>
    <cellStyle name="CustomCellsOrange 2 2 2 2" xfId="737" xr:uid="{00000000-0005-0000-0000-0000DD020000}"/>
    <cellStyle name="CustomCellsOrange 2 2 2 2 2" xfId="738" xr:uid="{00000000-0005-0000-0000-0000DE020000}"/>
    <cellStyle name="CustomCellsOrange 2 2 2 2 2 2" xfId="739" xr:uid="{00000000-0005-0000-0000-0000DF020000}"/>
    <cellStyle name="CustomCellsOrange 2 2 2 2 3" xfId="740" xr:uid="{00000000-0005-0000-0000-0000E0020000}"/>
    <cellStyle name="CustomCellsOrange 2 2 2 3" xfId="741" xr:uid="{00000000-0005-0000-0000-0000E1020000}"/>
    <cellStyle name="CustomCellsOrange 2 2 3" xfId="742" xr:uid="{00000000-0005-0000-0000-0000E2020000}"/>
    <cellStyle name="CustomCellsOrange 2 2 3 2" xfId="743" xr:uid="{00000000-0005-0000-0000-0000E3020000}"/>
    <cellStyle name="CustomCellsOrange 2 2 3 2 2" xfId="744" xr:uid="{00000000-0005-0000-0000-0000E4020000}"/>
    <cellStyle name="CustomCellsOrange 2 2 3 3" xfId="745" xr:uid="{00000000-0005-0000-0000-0000E5020000}"/>
    <cellStyle name="CustomCellsOrange 2 2 4" xfId="746" xr:uid="{00000000-0005-0000-0000-0000E6020000}"/>
    <cellStyle name="CustomCellsOrange 2 2 4 2" xfId="747" xr:uid="{00000000-0005-0000-0000-0000E7020000}"/>
    <cellStyle name="CustomCellsOrange 2 2 4 2 2" xfId="748" xr:uid="{00000000-0005-0000-0000-0000E8020000}"/>
    <cellStyle name="CustomCellsOrange 2 2 4 3" xfId="749" xr:uid="{00000000-0005-0000-0000-0000E9020000}"/>
    <cellStyle name="CustomCellsOrange 2 2 5" xfId="750" xr:uid="{00000000-0005-0000-0000-0000EA020000}"/>
    <cellStyle name="CustomCellsOrange 2 2 5 2" xfId="751" xr:uid="{00000000-0005-0000-0000-0000EB020000}"/>
    <cellStyle name="CustomCellsOrange 2 2 5 2 2" xfId="752" xr:uid="{00000000-0005-0000-0000-0000EC020000}"/>
    <cellStyle name="CustomCellsOrange 2 2 5 3" xfId="753" xr:uid="{00000000-0005-0000-0000-0000ED020000}"/>
    <cellStyle name="CustomCellsOrange 2 2 6" xfId="754" xr:uid="{00000000-0005-0000-0000-0000EE020000}"/>
    <cellStyle name="CustomCellsOrange 2 3" xfId="755" xr:uid="{00000000-0005-0000-0000-0000EF020000}"/>
    <cellStyle name="CustomCellsOrange 3" xfId="756" xr:uid="{00000000-0005-0000-0000-0000F0020000}"/>
    <cellStyle name="CustomCellsOrange 3 2" xfId="757" xr:uid="{00000000-0005-0000-0000-0000F1020000}"/>
    <cellStyle name="CustomCellsOrange 3 2 2" xfId="758" xr:uid="{00000000-0005-0000-0000-0000F2020000}"/>
    <cellStyle name="CustomCellsOrange 3 2 2 2" xfId="759" xr:uid="{00000000-0005-0000-0000-0000F3020000}"/>
    <cellStyle name="CustomCellsOrange 3 2 3" xfId="760" xr:uid="{00000000-0005-0000-0000-0000F4020000}"/>
    <cellStyle name="CustomCellsOrange 3 3" xfId="761" xr:uid="{00000000-0005-0000-0000-0000F5020000}"/>
    <cellStyle name="CustomCellsOrange 3 3 2" xfId="762" xr:uid="{00000000-0005-0000-0000-0000F6020000}"/>
    <cellStyle name="CustomCellsOrange 3 3 2 2" xfId="763" xr:uid="{00000000-0005-0000-0000-0000F7020000}"/>
    <cellStyle name="CustomCellsOrange 3 3 3" xfId="764" xr:uid="{00000000-0005-0000-0000-0000F8020000}"/>
    <cellStyle name="CustomCellsOrange 3 4" xfId="765" xr:uid="{00000000-0005-0000-0000-0000F9020000}"/>
    <cellStyle name="CustomCellsOrange 3 4 2" xfId="766" xr:uid="{00000000-0005-0000-0000-0000FA020000}"/>
    <cellStyle name="CustomCellsOrange 3 4 2 2" xfId="767" xr:uid="{00000000-0005-0000-0000-0000FB020000}"/>
    <cellStyle name="CustomCellsOrange 3 4 3" xfId="768" xr:uid="{00000000-0005-0000-0000-0000FC020000}"/>
    <cellStyle name="CustomCellsOrange 3 5" xfId="769" xr:uid="{00000000-0005-0000-0000-0000FD020000}"/>
    <cellStyle name="CustomCellsOrange 3 5 2" xfId="770" xr:uid="{00000000-0005-0000-0000-0000FE020000}"/>
    <cellStyle name="CustomCellsOrange 3 6" xfId="771" xr:uid="{00000000-0005-0000-0000-0000FF020000}"/>
    <cellStyle name="CustomCellsOrange 4" xfId="772" xr:uid="{00000000-0005-0000-0000-000000030000}"/>
    <cellStyle name="CustomizationCells" xfId="773" xr:uid="{00000000-0005-0000-0000-000001030000}"/>
    <cellStyle name="CustomizationCells 2" xfId="774" xr:uid="{00000000-0005-0000-0000-000002030000}"/>
    <cellStyle name="CustomizationCells 2 2" xfId="775" xr:uid="{00000000-0005-0000-0000-000003030000}"/>
    <cellStyle name="CustomizationCells 2 2 2" xfId="776" xr:uid="{00000000-0005-0000-0000-000004030000}"/>
    <cellStyle name="CustomizationCells 2 2 2 2" xfId="777" xr:uid="{00000000-0005-0000-0000-000005030000}"/>
    <cellStyle name="CustomizationCells 2 2 2 2 2" xfId="778" xr:uid="{00000000-0005-0000-0000-000006030000}"/>
    <cellStyle name="CustomizationCells 2 2 2 2 2 2" xfId="779" xr:uid="{00000000-0005-0000-0000-000007030000}"/>
    <cellStyle name="CustomizationCells 2 2 2 2 3" xfId="780" xr:uid="{00000000-0005-0000-0000-000008030000}"/>
    <cellStyle name="CustomizationCells 2 2 2 3" xfId="781" xr:uid="{00000000-0005-0000-0000-000009030000}"/>
    <cellStyle name="CustomizationCells 2 2 3" xfId="782" xr:uid="{00000000-0005-0000-0000-00000A030000}"/>
    <cellStyle name="CustomizationCells 2 2 3 2" xfId="783" xr:uid="{00000000-0005-0000-0000-00000B030000}"/>
    <cellStyle name="CustomizationCells 2 2 3 2 2" xfId="784" xr:uid="{00000000-0005-0000-0000-00000C030000}"/>
    <cellStyle name="CustomizationCells 2 2 3 3" xfId="785" xr:uid="{00000000-0005-0000-0000-00000D030000}"/>
    <cellStyle name="CustomizationCells 2 2 4" xfId="786" xr:uid="{00000000-0005-0000-0000-00000E030000}"/>
    <cellStyle name="CustomizationCells 2 2 4 2" xfId="787" xr:uid="{00000000-0005-0000-0000-00000F030000}"/>
    <cellStyle name="CustomizationCells 2 2 4 2 2" xfId="788" xr:uid="{00000000-0005-0000-0000-000010030000}"/>
    <cellStyle name="CustomizationCells 2 2 4 3" xfId="789" xr:uid="{00000000-0005-0000-0000-000011030000}"/>
    <cellStyle name="CustomizationCells 2 2 5" xfId="790" xr:uid="{00000000-0005-0000-0000-000012030000}"/>
    <cellStyle name="CustomizationCells 2 2 5 2" xfId="791" xr:uid="{00000000-0005-0000-0000-000013030000}"/>
    <cellStyle name="CustomizationCells 2 2 5 2 2" xfId="792" xr:uid="{00000000-0005-0000-0000-000014030000}"/>
    <cellStyle name="CustomizationCells 2 2 5 3" xfId="793" xr:uid="{00000000-0005-0000-0000-000015030000}"/>
    <cellStyle name="CustomizationCells 2 2 6" xfId="794" xr:uid="{00000000-0005-0000-0000-000016030000}"/>
    <cellStyle name="CustomizationCells 2 3" xfId="795" xr:uid="{00000000-0005-0000-0000-000017030000}"/>
    <cellStyle name="CustomizationCells 3" xfId="796" xr:uid="{00000000-0005-0000-0000-000018030000}"/>
    <cellStyle name="CustomizationCells 3 2" xfId="797" xr:uid="{00000000-0005-0000-0000-000019030000}"/>
    <cellStyle name="CustomizationCells 3 2 2" xfId="798" xr:uid="{00000000-0005-0000-0000-00001A030000}"/>
    <cellStyle name="CustomizationCells 3 2 2 2" xfId="799" xr:uid="{00000000-0005-0000-0000-00001B030000}"/>
    <cellStyle name="CustomizationCells 3 2 3" xfId="800" xr:uid="{00000000-0005-0000-0000-00001C030000}"/>
    <cellStyle name="CustomizationCells 3 3" xfId="801" xr:uid="{00000000-0005-0000-0000-00001D030000}"/>
    <cellStyle name="CustomizationCells 3 3 2" xfId="802" xr:uid="{00000000-0005-0000-0000-00001E030000}"/>
    <cellStyle name="CustomizationCells 3 3 2 2" xfId="803" xr:uid="{00000000-0005-0000-0000-00001F030000}"/>
    <cellStyle name="CustomizationCells 3 3 3" xfId="804" xr:uid="{00000000-0005-0000-0000-000020030000}"/>
    <cellStyle name="CustomizationCells 3 4" xfId="805" xr:uid="{00000000-0005-0000-0000-000021030000}"/>
    <cellStyle name="CustomizationCells 3 4 2" xfId="806" xr:uid="{00000000-0005-0000-0000-000022030000}"/>
    <cellStyle name="CustomizationCells 3 4 2 2" xfId="807" xr:uid="{00000000-0005-0000-0000-000023030000}"/>
    <cellStyle name="CustomizationCells 3 4 3" xfId="808" xr:uid="{00000000-0005-0000-0000-000024030000}"/>
    <cellStyle name="CustomizationCells 3 5" xfId="809" xr:uid="{00000000-0005-0000-0000-000025030000}"/>
    <cellStyle name="CustomizationCells 3 5 2" xfId="810" xr:uid="{00000000-0005-0000-0000-000026030000}"/>
    <cellStyle name="CustomizationCells 3 6" xfId="811" xr:uid="{00000000-0005-0000-0000-000027030000}"/>
    <cellStyle name="CustomizationCells 4" xfId="812" xr:uid="{00000000-0005-0000-0000-000028030000}"/>
    <cellStyle name="CustomizationCells 4 2" xfId="813" xr:uid="{00000000-0005-0000-0000-000029030000}"/>
    <cellStyle name="CustomizationCells 5" xfId="814" xr:uid="{00000000-0005-0000-0000-00002A030000}"/>
    <cellStyle name="CustomizationGreenCells" xfId="815" xr:uid="{00000000-0005-0000-0000-00002B030000}"/>
    <cellStyle name="CustomizationGreenCells 2" xfId="816" xr:uid="{00000000-0005-0000-0000-00002C030000}"/>
    <cellStyle name="CustomizationGreenCells 2 2" xfId="817" xr:uid="{00000000-0005-0000-0000-00002D030000}"/>
    <cellStyle name="CustomizationGreenCells 3" xfId="818" xr:uid="{00000000-0005-0000-0000-00002E030000}"/>
    <cellStyle name="CustomizationGreenCells 3 2" xfId="819" xr:uid="{00000000-0005-0000-0000-00002F030000}"/>
    <cellStyle name="CustomizationGreenCells 3 2 2" xfId="820" xr:uid="{00000000-0005-0000-0000-000030030000}"/>
    <cellStyle name="CustomizationGreenCells 3 2 2 2" xfId="821" xr:uid="{00000000-0005-0000-0000-000031030000}"/>
    <cellStyle name="CustomizationGreenCells 3 2 3" xfId="822" xr:uid="{00000000-0005-0000-0000-000032030000}"/>
    <cellStyle name="CustomizationGreenCells 3 3" xfId="823" xr:uid="{00000000-0005-0000-0000-000033030000}"/>
    <cellStyle name="CustomizationGreenCells 3 3 2" xfId="824" xr:uid="{00000000-0005-0000-0000-000034030000}"/>
    <cellStyle name="CustomizationGreenCells 3 3 2 2" xfId="825" xr:uid="{00000000-0005-0000-0000-000035030000}"/>
    <cellStyle name="CustomizationGreenCells 3 3 3" xfId="826" xr:uid="{00000000-0005-0000-0000-000036030000}"/>
    <cellStyle name="CustomizationGreenCells 3 4" xfId="827" xr:uid="{00000000-0005-0000-0000-000037030000}"/>
    <cellStyle name="CustomizationGreenCells 3 4 2" xfId="828" xr:uid="{00000000-0005-0000-0000-000038030000}"/>
    <cellStyle name="CustomizationGreenCells 3 4 2 2" xfId="829" xr:uid="{00000000-0005-0000-0000-000039030000}"/>
    <cellStyle name="CustomizationGreenCells 3 4 3" xfId="830" xr:uid="{00000000-0005-0000-0000-00003A030000}"/>
    <cellStyle name="CustomizationGreenCells 3 5" xfId="831" xr:uid="{00000000-0005-0000-0000-00003B030000}"/>
    <cellStyle name="CustomizationGreenCells 3 5 2" xfId="832" xr:uid="{00000000-0005-0000-0000-00003C030000}"/>
    <cellStyle name="CustomizationGreenCells 3 6" xfId="833" xr:uid="{00000000-0005-0000-0000-00003D030000}"/>
    <cellStyle name="CustomizationGreenCells 4" xfId="834" xr:uid="{00000000-0005-0000-0000-00003E030000}"/>
    <cellStyle name="DocBox_EmptyRow" xfId="835" xr:uid="{00000000-0005-0000-0000-00003F030000}"/>
    <cellStyle name="Eingabe" xfId="836" xr:uid="{00000000-0005-0000-0000-000040030000}"/>
    <cellStyle name="Eingabe 2" xfId="837" xr:uid="{00000000-0005-0000-0000-000041030000}"/>
    <cellStyle name="Eingabe 2 2" xfId="838" xr:uid="{00000000-0005-0000-0000-000042030000}"/>
    <cellStyle name="Eingabe 3" xfId="839" xr:uid="{00000000-0005-0000-0000-000043030000}"/>
    <cellStyle name="Eingabe 3 2" xfId="840" xr:uid="{00000000-0005-0000-0000-000044030000}"/>
    <cellStyle name="Eingabe 3 2 2" xfId="841" xr:uid="{00000000-0005-0000-0000-000045030000}"/>
    <cellStyle name="Eingabe 3 2 2 2" xfId="842" xr:uid="{00000000-0005-0000-0000-000046030000}"/>
    <cellStyle name="Eingabe 3 2 3" xfId="843" xr:uid="{00000000-0005-0000-0000-000047030000}"/>
    <cellStyle name="Eingabe 3 3" xfId="844" xr:uid="{00000000-0005-0000-0000-000048030000}"/>
    <cellStyle name="Eingabe 3 3 2" xfId="845" xr:uid="{00000000-0005-0000-0000-000049030000}"/>
    <cellStyle name="Eingabe 3 3 2 2" xfId="846" xr:uid="{00000000-0005-0000-0000-00004A030000}"/>
    <cellStyle name="Eingabe 3 3 3" xfId="847" xr:uid="{00000000-0005-0000-0000-00004B030000}"/>
    <cellStyle name="Eingabe 3 4" xfId="848" xr:uid="{00000000-0005-0000-0000-00004C030000}"/>
    <cellStyle name="Eingabe 3 4 2" xfId="849" xr:uid="{00000000-0005-0000-0000-00004D030000}"/>
    <cellStyle name="Eingabe 3 4 2 2" xfId="850" xr:uid="{00000000-0005-0000-0000-00004E030000}"/>
    <cellStyle name="Eingabe 3 4 3" xfId="851" xr:uid="{00000000-0005-0000-0000-00004F030000}"/>
    <cellStyle name="Eingabe 3 5" xfId="852" xr:uid="{00000000-0005-0000-0000-000050030000}"/>
    <cellStyle name="Eingabe 3 5 2" xfId="853" xr:uid="{00000000-0005-0000-0000-000051030000}"/>
    <cellStyle name="Eingabe 3 6" xfId="854" xr:uid="{00000000-0005-0000-0000-000052030000}"/>
    <cellStyle name="Eingabe 4" xfId="855" xr:uid="{00000000-0005-0000-0000-000053030000}"/>
    <cellStyle name="Eingabe 4 2" xfId="856" xr:uid="{00000000-0005-0000-0000-000054030000}"/>
    <cellStyle name="Eingabe 4 2 2" xfId="857" xr:uid="{00000000-0005-0000-0000-000055030000}"/>
    <cellStyle name="Eingabe 4 2 2 2" xfId="858" xr:uid="{00000000-0005-0000-0000-000056030000}"/>
    <cellStyle name="Eingabe 4 2 3" xfId="859" xr:uid="{00000000-0005-0000-0000-000057030000}"/>
    <cellStyle name="Eingabe 4 3" xfId="860" xr:uid="{00000000-0005-0000-0000-000058030000}"/>
    <cellStyle name="Eingabe 4 3 2" xfId="861" xr:uid="{00000000-0005-0000-0000-000059030000}"/>
    <cellStyle name="Eingabe 4 3 2 2" xfId="862" xr:uid="{00000000-0005-0000-0000-00005A030000}"/>
    <cellStyle name="Eingabe 4 3 3" xfId="863" xr:uid="{00000000-0005-0000-0000-00005B030000}"/>
    <cellStyle name="Eingabe 4 4" xfId="864" xr:uid="{00000000-0005-0000-0000-00005C030000}"/>
    <cellStyle name="Eingabe 4 4 2" xfId="865" xr:uid="{00000000-0005-0000-0000-00005D030000}"/>
    <cellStyle name="Eingabe 4 4 2 2" xfId="866" xr:uid="{00000000-0005-0000-0000-00005E030000}"/>
    <cellStyle name="Eingabe 4 4 3" xfId="867" xr:uid="{00000000-0005-0000-0000-00005F030000}"/>
    <cellStyle name="Eingabe 4 5" xfId="868" xr:uid="{00000000-0005-0000-0000-000060030000}"/>
    <cellStyle name="Eingabe 4 5 2" xfId="869" xr:uid="{00000000-0005-0000-0000-000061030000}"/>
    <cellStyle name="Eingabe 4 6" xfId="870" xr:uid="{00000000-0005-0000-0000-000062030000}"/>
    <cellStyle name="Eingabe 5" xfId="871" xr:uid="{00000000-0005-0000-0000-000063030000}"/>
    <cellStyle name="Eingabe 5 2" xfId="872" xr:uid="{00000000-0005-0000-0000-000064030000}"/>
    <cellStyle name="Eingabe 5 2 2" xfId="873" xr:uid="{00000000-0005-0000-0000-000065030000}"/>
    <cellStyle name="Eingabe 5 3" xfId="874" xr:uid="{00000000-0005-0000-0000-000066030000}"/>
    <cellStyle name="Eingabe 6" xfId="875" xr:uid="{00000000-0005-0000-0000-000067030000}"/>
    <cellStyle name="Eingabe 6 2" xfId="876" xr:uid="{00000000-0005-0000-0000-000068030000}"/>
    <cellStyle name="Eingabe 6 2 2" xfId="877" xr:uid="{00000000-0005-0000-0000-000069030000}"/>
    <cellStyle name="Eingabe 6 3" xfId="878" xr:uid="{00000000-0005-0000-0000-00006A030000}"/>
    <cellStyle name="Eingabe 7" xfId="879" xr:uid="{00000000-0005-0000-0000-00006B030000}"/>
    <cellStyle name="Eingabe 7 2" xfId="880" xr:uid="{00000000-0005-0000-0000-00006C030000}"/>
    <cellStyle name="Eingabe 7 2 2" xfId="881" xr:uid="{00000000-0005-0000-0000-00006D030000}"/>
    <cellStyle name="Eingabe 7 3" xfId="882" xr:uid="{00000000-0005-0000-0000-00006E030000}"/>
    <cellStyle name="Eingabe 8" xfId="883" xr:uid="{00000000-0005-0000-0000-00006F030000}"/>
    <cellStyle name="Eingabe 8 2" xfId="884" xr:uid="{00000000-0005-0000-0000-000070030000}"/>
    <cellStyle name="Eingabe 9" xfId="885" xr:uid="{00000000-0005-0000-0000-000071030000}"/>
    <cellStyle name="Empty_B_border" xfId="886" xr:uid="{00000000-0005-0000-0000-000072030000}"/>
    <cellStyle name="Ergebnis 2" xfId="887" xr:uid="{00000000-0005-0000-0000-000073030000}"/>
    <cellStyle name="Ergebnis 2 2" xfId="888" xr:uid="{00000000-0005-0000-0000-000074030000}"/>
    <cellStyle name="Ergebnis 2 2 2" xfId="889" xr:uid="{00000000-0005-0000-0000-000075030000}"/>
    <cellStyle name="Ergebnis 2 2 2 2" xfId="890" xr:uid="{00000000-0005-0000-0000-000076030000}"/>
    <cellStyle name="Ergebnis 2 2 3" xfId="891" xr:uid="{00000000-0005-0000-0000-000077030000}"/>
    <cellStyle name="Ergebnis 2 3" xfId="892" xr:uid="{00000000-0005-0000-0000-000078030000}"/>
    <cellStyle name="Ergebnis 2 3 2" xfId="893" xr:uid="{00000000-0005-0000-0000-000079030000}"/>
    <cellStyle name="Ergebnis 2 3 2 2" xfId="894" xr:uid="{00000000-0005-0000-0000-00007A030000}"/>
    <cellStyle name="Ergebnis 2 3 3" xfId="895" xr:uid="{00000000-0005-0000-0000-00007B030000}"/>
    <cellStyle name="Ergebnis 2 4" xfId="896" xr:uid="{00000000-0005-0000-0000-00007C030000}"/>
    <cellStyle name="Ergebnis 2 4 2" xfId="897" xr:uid="{00000000-0005-0000-0000-00007D030000}"/>
    <cellStyle name="Ergebnis 2 4 2 2" xfId="898" xr:uid="{00000000-0005-0000-0000-00007E030000}"/>
    <cellStyle name="Ergebnis 2 4 3" xfId="899" xr:uid="{00000000-0005-0000-0000-00007F030000}"/>
    <cellStyle name="Ergebnis 2 5" xfId="900" xr:uid="{00000000-0005-0000-0000-000080030000}"/>
    <cellStyle name="Ergebnis 2 5 2" xfId="901" xr:uid="{00000000-0005-0000-0000-000081030000}"/>
    <cellStyle name="Ergebnis 2 6" xfId="902" xr:uid="{00000000-0005-0000-0000-000082030000}"/>
    <cellStyle name="Ergebnis 3" xfId="903" xr:uid="{00000000-0005-0000-0000-000083030000}"/>
    <cellStyle name="Ergebnis 3 2" xfId="904" xr:uid="{00000000-0005-0000-0000-000084030000}"/>
    <cellStyle name="Ergebnis 3 2 2" xfId="905" xr:uid="{00000000-0005-0000-0000-000085030000}"/>
    <cellStyle name="Ergebnis 3 2 2 2" xfId="906" xr:uid="{00000000-0005-0000-0000-000086030000}"/>
    <cellStyle name="Ergebnis 3 2 3" xfId="907" xr:uid="{00000000-0005-0000-0000-000087030000}"/>
    <cellStyle name="Ergebnis 3 3" xfId="908" xr:uid="{00000000-0005-0000-0000-000088030000}"/>
    <cellStyle name="Ergebnis 3 3 2" xfId="909" xr:uid="{00000000-0005-0000-0000-000089030000}"/>
    <cellStyle name="Ergebnis 3 3 2 2" xfId="910" xr:uid="{00000000-0005-0000-0000-00008A030000}"/>
    <cellStyle name="Ergebnis 3 3 3" xfId="911" xr:uid="{00000000-0005-0000-0000-00008B030000}"/>
    <cellStyle name="Ergebnis 3 4" xfId="912" xr:uid="{00000000-0005-0000-0000-00008C030000}"/>
    <cellStyle name="Ergebnis 3 4 2" xfId="913" xr:uid="{00000000-0005-0000-0000-00008D030000}"/>
    <cellStyle name="Ergebnis 3 4 2 2" xfId="914" xr:uid="{00000000-0005-0000-0000-00008E030000}"/>
    <cellStyle name="Ergebnis 3 4 3" xfId="915" xr:uid="{00000000-0005-0000-0000-00008F030000}"/>
    <cellStyle name="Ergebnis 3 5" xfId="916" xr:uid="{00000000-0005-0000-0000-000090030000}"/>
    <cellStyle name="Ergebnis 3 5 2" xfId="917" xr:uid="{00000000-0005-0000-0000-000091030000}"/>
    <cellStyle name="Ergebnis 3 6" xfId="918" xr:uid="{00000000-0005-0000-0000-000092030000}"/>
    <cellStyle name="Ergebnis 4" xfId="919" xr:uid="{00000000-0005-0000-0000-000093030000}"/>
    <cellStyle name="Ergebnis 4 2" xfId="920" xr:uid="{00000000-0005-0000-0000-000094030000}"/>
    <cellStyle name="Ergebnis 4 2 2" xfId="921" xr:uid="{00000000-0005-0000-0000-000095030000}"/>
    <cellStyle name="Ergebnis 4 3" xfId="922" xr:uid="{00000000-0005-0000-0000-000096030000}"/>
    <cellStyle name="Ergebnis 5" xfId="923" xr:uid="{00000000-0005-0000-0000-000097030000}"/>
    <cellStyle name="Ergebnis 5 2" xfId="924" xr:uid="{00000000-0005-0000-0000-000098030000}"/>
    <cellStyle name="Ergebnis 5 2 2" xfId="925" xr:uid="{00000000-0005-0000-0000-000099030000}"/>
    <cellStyle name="Ergebnis 5 3" xfId="926" xr:uid="{00000000-0005-0000-0000-00009A030000}"/>
    <cellStyle name="Ergebnis 6" xfId="927" xr:uid="{00000000-0005-0000-0000-00009B030000}"/>
    <cellStyle name="Ergebnis 6 2" xfId="928" xr:uid="{00000000-0005-0000-0000-00009C030000}"/>
    <cellStyle name="Ergebnis 6 2 2" xfId="929" xr:uid="{00000000-0005-0000-0000-00009D030000}"/>
    <cellStyle name="Ergebnis 6 3" xfId="930" xr:uid="{00000000-0005-0000-0000-00009E030000}"/>
    <cellStyle name="Ergebnis 7" xfId="931" xr:uid="{00000000-0005-0000-0000-00009F030000}"/>
    <cellStyle name="Ergebnis 7 2" xfId="932" xr:uid="{00000000-0005-0000-0000-0000A0030000}"/>
    <cellStyle name="Erklärender Text 2" xfId="933" xr:uid="{00000000-0005-0000-0000-0000A1030000}"/>
    <cellStyle name="Erklärender Text 2 2" xfId="934" xr:uid="{00000000-0005-0000-0000-0000A2030000}"/>
    <cellStyle name="Erklärender Text 3" xfId="935" xr:uid="{00000000-0005-0000-0000-0000A3030000}"/>
    <cellStyle name="Erklärender Text 3 2" xfId="936" xr:uid="{00000000-0005-0000-0000-0000A4030000}"/>
    <cellStyle name="Error 1" xfId="937" xr:uid="{00000000-0005-0000-0000-0000A5030000}"/>
    <cellStyle name="Error 1 2" xfId="938" xr:uid="{00000000-0005-0000-0000-0000A6030000}"/>
    <cellStyle name="Error 10" xfId="939" xr:uid="{00000000-0005-0000-0000-0000A7030000}"/>
    <cellStyle name="Explanatory Text 2" xfId="940" xr:uid="{00000000-0005-0000-0000-0000A8030000}"/>
    <cellStyle name="Explanatory Text 2 2" xfId="941" xr:uid="{00000000-0005-0000-0000-0000A9030000}"/>
    <cellStyle name="Explanatory Text 3" xfId="942" xr:uid="{00000000-0005-0000-0000-0000AA030000}"/>
    <cellStyle name="Explanatory Text 3 2" xfId="943" xr:uid="{00000000-0005-0000-0000-0000AB030000}"/>
    <cellStyle name="Footnote 1" xfId="944" xr:uid="{00000000-0005-0000-0000-0000AC030000}"/>
    <cellStyle name="Footnote 1 2" xfId="945" xr:uid="{00000000-0005-0000-0000-0000AD030000}"/>
    <cellStyle name="Footnote 11" xfId="946" xr:uid="{00000000-0005-0000-0000-0000AE030000}"/>
    <cellStyle name="Good 1" xfId="947" xr:uid="{00000000-0005-0000-0000-0000AF030000}"/>
    <cellStyle name="Good 1 2" xfId="948" xr:uid="{00000000-0005-0000-0000-0000B0030000}"/>
    <cellStyle name="Good 12" xfId="949" xr:uid="{00000000-0005-0000-0000-0000B1030000}"/>
    <cellStyle name="Good 2" xfId="950" xr:uid="{00000000-0005-0000-0000-0000B2030000}"/>
    <cellStyle name="Good 2 2" xfId="951" xr:uid="{00000000-0005-0000-0000-0000B3030000}"/>
    <cellStyle name="Good 3" xfId="952" xr:uid="{00000000-0005-0000-0000-0000B4030000}"/>
    <cellStyle name="Good 3 2" xfId="953" xr:uid="{00000000-0005-0000-0000-0000B5030000}"/>
    <cellStyle name="Good 4" xfId="954" xr:uid="{00000000-0005-0000-0000-0000B6030000}"/>
    <cellStyle name="Good 4 2" xfId="955" xr:uid="{00000000-0005-0000-0000-0000B7030000}"/>
    <cellStyle name="Gut" xfId="956" xr:uid="{00000000-0005-0000-0000-0000B8030000}"/>
    <cellStyle name="Gut 2" xfId="957" xr:uid="{00000000-0005-0000-0000-0000B9030000}"/>
    <cellStyle name="Heading 1 1" xfId="958" xr:uid="{00000000-0005-0000-0000-0000BA030000}"/>
    <cellStyle name="Heading 1 1 2" xfId="959" xr:uid="{00000000-0005-0000-0000-0000BB030000}"/>
    <cellStyle name="Heading 1 13" xfId="960" xr:uid="{00000000-0005-0000-0000-0000BC030000}"/>
    <cellStyle name="Heading 1 2" xfId="961" xr:uid="{00000000-0005-0000-0000-0000BD030000}"/>
    <cellStyle name="Heading 1 2 2" xfId="962" xr:uid="{00000000-0005-0000-0000-0000BE030000}"/>
    <cellStyle name="Heading 1 3" xfId="963" xr:uid="{00000000-0005-0000-0000-0000BF030000}"/>
    <cellStyle name="Heading 1 3 2" xfId="964" xr:uid="{00000000-0005-0000-0000-0000C0030000}"/>
    <cellStyle name="Heading 1 4" xfId="965" xr:uid="{00000000-0005-0000-0000-0000C1030000}"/>
    <cellStyle name="Heading 1 4 2" xfId="966" xr:uid="{00000000-0005-0000-0000-0000C2030000}"/>
    <cellStyle name="Heading 2 1" xfId="967" xr:uid="{00000000-0005-0000-0000-0000C3030000}"/>
    <cellStyle name="Heading 2 1 2" xfId="968" xr:uid="{00000000-0005-0000-0000-0000C4030000}"/>
    <cellStyle name="Heading 2 14" xfId="969" xr:uid="{00000000-0005-0000-0000-0000C5030000}"/>
    <cellStyle name="Heading 2 2" xfId="970" xr:uid="{00000000-0005-0000-0000-0000C6030000}"/>
    <cellStyle name="Heading 2 2 2" xfId="971" xr:uid="{00000000-0005-0000-0000-0000C7030000}"/>
    <cellStyle name="Heading 2 3" xfId="972" xr:uid="{00000000-0005-0000-0000-0000C8030000}"/>
    <cellStyle name="Heading 2 3 2" xfId="973" xr:uid="{00000000-0005-0000-0000-0000C9030000}"/>
    <cellStyle name="Heading 2 4" xfId="974" xr:uid="{00000000-0005-0000-0000-0000CA030000}"/>
    <cellStyle name="Heading 2 4 2" xfId="975" xr:uid="{00000000-0005-0000-0000-0000CB030000}"/>
    <cellStyle name="Heading 3" xfId="976" xr:uid="{00000000-0005-0000-0000-0000CC030000}"/>
    <cellStyle name="Heading 3 2" xfId="977" xr:uid="{00000000-0005-0000-0000-0000CD030000}"/>
    <cellStyle name="Heading 3 2 2" xfId="978" xr:uid="{00000000-0005-0000-0000-0000CE030000}"/>
    <cellStyle name="Heading 3 3" xfId="979" xr:uid="{00000000-0005-0000-0000-0000CF030000}"/>
    <cellStyle name="Heading 3 3 2" xfId="980" xr:uid="{00000000-0005-0000-0000-0000D0030000}"/>
    <cellStyle name="Heading 3 4" xfId="981" xr:uid="{00000000-0005-0000-0000-0000D1030000}"/>
    <cellStyle name="Heading 3 4 2" xfId="982" xr:uid="{00000000-0005-0000-0000-0000D2030000}"/>
    <cellStyle name="Heading 3 5" xfId="983" xr:uid="{00000000-0005-0000-0000-0000D3030000}"/>
    <cellStyle name="Heading 4 2" xfId="984" xr:uid="{00000000-0005-0000-0000-0000D4030000}"/>
    <cellStyle name="Heading 4 2 2" xfId="985" xr:uid="{00000000-0005-0000-0000-0000D5030000}"/>
    <cellStyle name="Heading 4 3" xfId="986" xr:uid="{00000000-0005-0000-0000-0000D6030000}"/>
    <cellStyle name="Heading 4 3 2" xfId="987" xr:uid="{00000000-0005-0000-0000-0000D7030000}"/>
    <cellStyle name="Heading 4 4" xfId="988" xr:uid="{00000000-0005-0000-0000-0000D8030000}"/>
    <cellStyle name="Heading 4 4 2" xfId="989" xr:uid="{00000000-0005-0000-0000-0000D9030000}"/>
    <cellStyle name="Headline" xfId="990" xr:uid="{00000000-0005-0000-0000-0000DA030000}"/>
    <cellStyle name="Headline 2" xfId="991" xr:uid="{00000000-0005-0000-0000-0000DB030000}"/>
    <cellStyle name="Hyperlink 1" xfId="992" xr:uid="{00000000-0005-0000-0000-0000DC030000}"/>
    <cellStyle name="Hyperlink 1 2" xfId="993" xr:uid="{00000000-0005-0000-0000-0000DD030000}"/>
    <cellStyle name="Hyperlink 15" xfId="994" xr:uid="{00000000-0005-0000-0000-0000DE030000}"/>
    <cellStyle name="Input 2" xfId="995" xr:uid="{00000000-0005-0000-0000-0000DF030000}"/>
    <cellStyle name="Input 2 2" xfId="996" xr:uid="{00000000-0005-0000-0000-0000E0030000}"/>
    <cellStyle name="Input 2 2 2" xfId="997" xr:uid="{00000000-0005-0000-0000-0000E1030000}"/>
    <cellStyle name="Input 2 2 2 2" xfId="998" xr:uid="{00000000-0005-0000-0000-0000E2030000}"/>
    <cellStyle name="Input 2 2 3" xfId="999" xr:uid="{00000000-0005-0000-0000-0000E3030000}"/>
    <cellStyle name="Input 2 3" xfId="1000" xr:uid="{00000000-0005-0000-0000-0000E4030000}"/>
    <cellStyle name="Input 2 3 2" xfId="1001" xr:uid="{00000000-0005-0000-0000-0000E5030000}"/>
    <cellStyle name="Input 2 3 2 2" xfId="1002" xr:uid="{00000000-0005-0000-0000-0000E6030000}"/>
    <cellStyle name="Input 2 3 3" xfId="1003" xr:uid="{00000000-0005-0000-0000-0000E7030000}"/>
    <cellStyle name="Input 2 4" xfId="1004" xr:uid="{00000000-0005-0000-0000-0000E8030000}"/>
    <cellStyle name="Input 2 4 2" xfId="1005" xr:uid="{00000000-0005-0000-0000-0000E9030000}"/>
    <cellStyle name="Input 2 4 2 2" xfId="1006" xr:uid="{00000000-0005-0000-0000-0000EA030000}"/>
    <cellStyle name="Input 2 4 3" xfId="1007" xr:uid="{00000000-0005-0000-0000-0000EB030000}"/>
    <cellStyle name="Input 2 5" xfId="1008" xr:uid="{00000000-0005-0000-0000-0000EC030000}"/>
    <cellStyle name="Input 2 5 2" xfId="1009" xr:uid="{00000000-0005-0000-0000-0000ED030000}"/>
    <cellStyle name="Input 2 6" xfId="1010" xr:uid="{00000000-0005-0000-0000-0000EE030000}"/>
    <cellStyle name="Input 3" xfId="1011" xr:uid="{00000000-0005-0000-0000-0000EF030000}"/>
    <cellStyle name="Input 3 2" xfId="1012" xr:uid="{00000000-0005-0000-0000-0000F0030000}"/>
    <cellStyle name="Input 3 2 2" xfId="1013" xr:uid="{00000000-0005-0000-0000-0000F1030000}"/>
    <cellStyle name="Input 3 2 2 2" xfId="1014" xr:uid="{00000000-0005-0000-0000-0000F2030000}"/>
    <cellStyle name="Input 3 2 3" xfId="1015" xr:uid="{00000000-0005-0000-0000-0000F3030000}"/>
    <cellStyle name="Input 3 3" xfId="1016" xr:uid="{00000000-0005-0000-0000-0000F4030000}"/>
    <cellStyle name="Input 3 3 2" xfId="1017" xr:uid="{00000000-0005-0000-0000-0000F5030000}"/>
    <cellStyle name="Input 3 3 2 2" xfId="1018" xr:uid="{00000000-0005-0000-0000-0000F6030000}"/>
    <cellStyle name="Input 3 3 3" xfId="1019" xr:uid="{00000000-0005-0000-0000-0000F7030000}"/>
    <cellStyle name="Input 3 4" xfId="1020" xr:uid="{00000000-0005-0000-0000-0000F8030000}"/>
    <cellStyle name="Input 3 4 2" xfId="1021" xr:uid="{00000000-0005-0000-0000-0000F9030000}"/>
    <cellStyle name="Input 3 4 2 2" xfId="1022" xr:uid="{00000000-0005-0000-0000-0000FA030000}"/>
    <cellStyle name="Input 3 4 3" xfId="1023" xr:uid="{00000000-0005-0000-0000-0000FB030000}"/>
    <cellStyle name="Input 3 5" xfId="1024" xr:uid="{00000000-0005-0000-0000-0000FC030000}"/>
    <cellStyle name="Input 3 5 2" xfId="1025" xr:uid="{00000000-0005-0000-0000-0000FD030000}"/>
    <cellStyle name="Input 3 6" xfId="1026" xr:uid="{00000000-0005-0000-0000-0000FE030000}"/>
    <cellStyle name="Input 4" xfId="1027" xr:uid="{00000000-0005-0000-0000-0000FF030000}"/>
    <cellStyle name="Input 4 2" xfId="1028" xr:uid="{00000000-0005-0000-0000-000000040000}"/>
    <cellStyle name="InputCells" xfId="1029" xr:uid="{00000000-0005-0000-0000-000001040000}"/>
    <cellStyle name="InputCells 2" xfId="1030" xr:uid="{00000000-0005-0000-0000-000002040000}"/>
    <cellStyle name="InputCells 2 2" xfId="1031" xr:uid="{00000000-0005-0000-0000-000003040000}"/>
    <cellStyle name="InputCells 3" xfId="1032" xr:uid="{00000000-0005-0000-0000-000004040000}"/>
    <cellStyle name="InputCells 3 2" xfId="1033" xr:uid="{00000000-0005-0000-0000-000005040000}"/>
    <cellStyle name="InputCells 4" xfId="1034" xr:uid="{00000000-0005-0000-0000-000006040000}"/>
    <cellStyle name="InputCells 4 2" xfId="1035" xr:uid="{00000000-0005-0000-0000-000007040000}"/>
    <cellStyle name="InputCells 5" xfId="1036" xr:uid="{00000000-0005-0000-0000-000008040000}"/>
    <cellStyle name="InputCells_Bborder_1" xfId="1088" xr:uid="{00000000-0005-0000-0000-000009040000}"/>
    <cellStyle name="InputCells12" xfId="1037" xr:uid="{00000000-0005-0000-0000-00000A040000}"/>
    <cellStyle name="InputCells12 2" xfId="1038" xr:uid="{00000000-0005-0000-0000-00000B040000}"/>
    <cellStyle name="InputCells12 2 2" xfId="1039" xr:uid="{00000000-0005-0000-0000-00000C040000}"/>
    <cellStyle name="InputCells12 2 2 2" xfId="1040" xr:uid="{00000000-0005-0000-0000-00000D040000}"/>
    <cellStyle name="InputCells12 2 2 2 2" xfId="1041" xr:uid="{00000000-0005-0000-0000-00000E040000}"/>
    <cellStyle name="InputCells12 2 2 2 2 2" xfId="1042" xr:uid="{00000000-0005-0000-0000-00000F040000}"/>
    <cellStyle name="InputCells12 2 2 2 3" xfId="1043" xr:uid="{00000000-0005-0000-0000-000010040000}"/>
    <cellStyle name="InputCells12 2 2 3" xfId="1044" xr:uid="{00000000-0005-0000-0000-000011040000}"/>
    <cellStyle name="InputCells12 2 2 3 2" xfId="1045" xr:uid="{00000000-0005-0000-0000-000012040000}"/>
    <cellStyle name="InputCells12 2 2 4" xfId="1046" xr:uid="{00000000-0005-0000-0000-000013040000}"/>
    <cellStyle name="InputCells12 2 3" xfId="1047" xr:uid="{00000000-0005-0000-0000-000014040000}"/>
    <cellStyle name="InputCells12 2 3 2" xfId="1048" xr:uid="{00000000-0005-0000-0000-000015040000}"/>
    <cellStyle name="InputCells12 2 3 2 2" xfId="1049" xr:uid="{00000000-0005-0000-0000-000016040000}"/>
    <cellStyle name="InputCells12 2 3 2 2 2" xfId="1050" xr:uid="{00000000-0005-0000-0000-000017040000}"/>
    <cellStyle name="InputCells12 2 3 2 3" xfId="1051" xr:uid="{00000000-0005-0000-0000-000018040000}"/>
    <cellStyle name="InputCells12 2 3 3" xfId="1052" xr:uid="{00000000-0005-0000-0000-000019040000}"/>
    <cellStyle name="InputCells12 2 3 3 2" xfId="1053" xr:uid="{00000000-0005-0000-0000-00001A040000}"/>
    <cellStyle name="InputCells12 2 3 3 2 2" xfId="1054" xr:uid="{00000000-0005-0000-0000-00001B040000}"/>
    <cellStyle name="InputCells12 2 3 3 3" xfId="1055" xr:uid="{00000000-0005-0000-0000-00001C040000}"/>
    <cellStyle name="InputCells12 2 3 4" xfId="1056" xr:uid="{00000000-0005-0000-0000-00001D040000}"/>
    <cellStyle name="InputCells12 2 3 4 2" xfId="1057" xr:uid="{00000000-0005-0000-0000-00001E040000}"/>
    <cellStyle name="InputCells12 2 3 4 2 2" xfId="1058" xr:uid="{00000000-0005-0000-0000-00001F040000}"/>
    <cellStyle name="InputCells12 2 3 4 3" xfId="1059" xr:uid="{00000000-0005-0000-0000-000020040000}"/>
    <cellStyle name="InputCells12 2 3 5" xfId="1060" xr:uid="{00000000-0005-0000-0000-000021040000}"/>
    <cellStyle name="InputCells12 2 4" xfId="1061" xr:uid="{00000000-0005-0000-0000-000022040000}"/>
    <cellStyle name="InputCells12 3" xfId="1062" xr:uid="{00000000-0005-0000-0000-000023040000}"/>
    <cellStyle name="InputCells12 3 2" xfId="1063" xr:uid="{00000000-0005-0000-0000-000024040000}"/>
    <cellStyle name="InputCells12 3 2 2" xfId="1064" xr:uid="{00000000-0005-0000-0000-000025040000}"/>
    <cellStyle name="InputCells12 3 2 2 2" xfId="1065" xr:uid="{00000000-0005-0000-0000-000026040000}"/>
    <cellStyle name="InputCells12 3 2 3" xfId="1066" xr:uid="{00000000-0005-0000-0000-000027040000}"/>
    <cellStyle name="InputCells12 3 3" xfId="1067" xr:uid="{00000000-0005-0000-0000-000028040000}"/>
    <cellStyle name="InputCells12 3 3 2" xfId="1068" xr:uid="{00000000-0005-0000-0000-000029040000}"/>
    <cellStyle name="InputCells12 3 4" xfId="1069" xr:uid="{00000000-0005-0000-0000-00002A040000}"/>
    <cellStyle name="InputCells12 4" xfId="1070" xr:uid="{00000000-0005-0000-0000-00002B040000}"/>
    <cellStyle name="InputCells12 4 2" xfId="1071" xr:uid="{00000000-0005-0000-0000-00002C040000}"/>
    <cellStyle name="InputCells12 4 2 2" xfId="1072" xr:uid="{00000000-0005-0000-0000-00002D040000}"/>
    <cellStyle name="InputCells12 4 2 2 2" xfId="1073" xr:uid="{00000000-0005-0000-0000-00002E040000}"/>
    <cellStyle name="InputCells12 4 2 3" xfId="1074" xr:uid="{00000000-0005-0000-0000-00002F040000}"/>
    <cellStyle name="InputCells12 4 3" xfId="1075" xr:uid="{00000000-0005-0000-0000-000030040000}"/>
    <cellStyle name="InputCells12 4 3 2" xfId="1076" xr:uid="{00000000-0005-0000-0000-000031040000}"/>
    <cellStyle name="InputCells12 4 3 2 2" xfId="1077" xr:uid="{00000000-0005-0000-0000-000032040000}"/>
    <cellStyle name="InputCells12 4 3 3" xfId="1078" xr:uid="{00000000-0005-0000-0000-000033040000}"/>
    <cellStyle name="InputCells12 4 4" xfId="1079" xr:uid="{00000000-0005-0000-0000-000034040000}"/>
    <cellStyle name="InputCells12 4 4 2" xfId="1080" xr:uid="{00000000-0005-0000-0000-000035040000}"/>
    <cellStyle name="InputCells12 4 4 2 2" xfId="1081" xr:uid="{00000000-0005-0000-0000-000036040000}"/>
    <cellStyle name="InputCells12 4 4 3" xfId="1082" xr:uid="{00000000-0005-0000-0000-000037040000}"/>
    <cellStyle name="InputCells12 4 5" xfId="1083" xr:uid="{00000000-0005-0000-0000-000038040000}"/>
    <cellStyle name="InputCells12 5" xfId="1084" xr:uid="{00000000-0005-0000-0000-000039040000}"/>
    <cellStyle name="InputCells12 5 2" xfId="1085" xr:uid="{00000000-0005-0000-0000-00003A040000}"/>
    <cellStyle name="InputCells12 6" xfId="1086" xr:uid="{00000000-0005-0000-0000-00003B040000}"/>
    <cellStyle name="InputCells12_BBorder" xfId="1087" xr:uid="{00000000-0005-0000-0000-00003C040000}"/>
    <cellStyle name="IntCells" xfId="1089" xr:uid="{00000000-0005-0000-0000-00003D040000}"/>
    <cellStyle name="IntCells 2" xfId="1090" xr:uid="{00000000-0005-0000-0000-00003E040000}"/>
    <cellStyle name="KP_thin_border_dark_grey" xfId="1091" xr:uid="{00000000-0005-0000-0000-00003F040000}"/>
    <cellStyle name="Lien hypertexte" xfId="3" builtinId="8"/>
    <cellStyle name="Linked Cell 2" xfId="1092" xr:uid="{00000000-0005-0000-0000-000041040000}"/>
    <cellStyle name="Linked Cell 2 2" xfId="1093" xr:uid="{00000000-0005-0000-0000-000042040000}"/>
    <cellStyle name="Linked Cell 3" xfId="1094" xr:uid="{00000000-0005-0000-0000-000043040000}"/>
    <cellStyle name="Linked Cell 3 2" xfId="1095" xr:uid="{00000000-0005-0000-0000-000044040000}"/>
    <cellStyle name="Linked Cell 4" xfId="1096" xr:uid="{00000000-0005-0000-0000-000045040000}"/>
    <cellStyle name="Linked Cell 4 2" xfId="1097" xr:uid="{00000000-0005-0000-0000-000046040000}"/>
    <cellStyle name="Milliers" xfId="1" builtinId="3"/>
    <cellStyle name="Milliers 2" xfId="1098" xr:uid="{00000000-0005-0000-0000-000048040000}"/>
    <cellStyle name="Milliers 2 2" xfId="1099" xr:uid="{00000000-0005-0000-0000-000049040000}"/>
    <cellStyle name="Milliers 3" xfId="1100" xr:uid="{00000000-0005-0000-0000-00004A040000}"/>
    <cellStyle name="Neutral 1" xfId="1101" xr:uid="{00000000-0005-0000-0000-00004B040000}"/>
    <cellStyle name="Neutral 1 2" xfId="1102" xr:uid="{00000000-0005-0000-0000-00004C040000}"/>
    <cellStyle name="Neutral 16" xfId="1103" xr:uid="{00000000-0005-0000-0000-00004D040000}"/>
    <cellStyle name="Neutral 2" xfId="1104" xr:uid="{00000000-0005-0000-0000-00004E040000}"/>
    <cellStyle name="Neutral 2 2" xfId="1105" xr:uid="{00000000-0005-0000-0000-00004F040000}"/>
    <cellStyle name="Neutral 3" xfId="1106" xr:uid="{00000000-0005-0000-0000-000050040000}"/>
    <cellStyle name="Neutral 3 2" xfId="1107" xr:uid="{00000000-0005-0000-0000-000051040000}"/>
    <cellStyle name="Normaali 2" xfId="1108" xr:uid="{00000000-0005-0000-0000-000052040000}"/>
    <cellStyle name="Normaali 2 2" xfId="1109" xr:uid="{00000000-0005-0000-0000-000053040000}"/>
    <cellStyle name="Normaali 2 2 2" xfId="1110" xr:uid="{00000000-0005-0000-0000-000054040000}"/>
    <cellStyle name="Normaali 2 3" xfId="1111" xr:uid="{00000000-0005-0000-0000-000055040000}"/>
    <cellStyle name="Normal" xfId="0" builtinId="0"/>
    <cellStyle name="Normal 10" xfId="1112" xr:uid="{00000000-0005-0000-0000-000057040000}"/>
    <cellStyle name="Normal 10 2" xfId="1113" xr:uid="{00000000-0005-0000-0000-000058040000}"/>
    <cellStyle name="Normal 10 2 2" xfId="1114" xr:uid="{00000000-0005-0000-0000-000059040000}"/>
    <cellStyle name="Normal 10 3" xfId="1115" xr:uid="{00000000-0005-0000-0000-00005A040000}"/>
    <cellStyle name="Normal 11" xfId="1116" xr:uid="{00000000-0005-0000-0000-00005B040000}"/>
    <cellStyle name="Normal 11 2" xfId="1117" xr:uid="{00000000-0005-0000-0000-00005C040000}"/>
    <cellStyle name="Normal 11 2 2" xfId="1118" xr:uid="{00000000-0005-0000-0000-00005D040000}"/>
    <cellStyle name="Normal 11 3" xfId="1119" xr:uid="{00000000-0005-0000-0000-00005E040000}"/>
    <cellStyle name="Normal 12" xfId="1120" xr:uid="{00000000-0005-0000-0000-00005F040000}"/>
    <cellStyle name="Normal 12 2" xfId="1121" xr:uid="{00000000-0005-0000-0000-000060040000}"/>
    <cellStyle name="Normal 12 2 2" xfId="1122" xr:uid="{00000000-0005-0000-0000-000061040000}"/>
    <cellStyle name="Normal 12 3" xfId="1123" xr:uid="{00000000-0005-0000-0000-000062040000}"/>
    <cellStyle name="Normal 13" xfId="1124" xr:uid="{00000000-0005-0000-0000-000063040000}"/>
    <cellStyle name="Normal 2" xfId="1125" xr:uid="{00000000-0005-0000-0000-000064040000}"/>
    <cellStyle name="Normal 2 2" xfId="1126" xr:uid="{00000000-0005-0000-0000-000065040000}"/>
    <cellStyle name="Normal 2 2 2" xfId="1127" xr:uid="{00000000-0005-0000-0000-000066040000}"/>
    <cellStyle name="Normal 2 2 2 2" xfId="1128" xr:uid="{00000000-0005-0000-0000-000067040000}"/>
    <cellStyle name="Normal 2 2 3" xfId="1129" xr:uid="{00000000-0005-0000-0000-000068040000}"/>
    <cellStyle name="Normal 2 3" xfId="1130" xr:uid="{00000000-0005-0000-0000-000069040000}"/>
    <cellStyle name="Normal 2 3 2" xfId="1131" xr:uid="{00000000-0005-0000-0000-00006A040000}"/>
    <cellStyle name="Normal 2 3 2 2" xfId="1132" xr:uid="{00000000-0005-0000-0000-00006B040000}"/>
    <cellStyle name="Normal 2 3 3" xfId="1133" xr:uid="{00000000-0005-0000-0000-00006C040000}"/>
    <cellStyle name="Normal 2 4" xfId="1134" xr:uid="{00000000-0005-0000-0000-00006D040000}"/>
    <cellStyle name="Normal 2 4 2" xfId="1135" xr:uid="{00000000-0005-0000-0000-00006E040000}"/>
    <cellStyle name="Normal 2 5" xfId="1136" xr:uid="{00000000-0005-0000-0000-00006F040000}"/>
    <cellStyle name="Normal 3" xfId="1137" xr:uid="{00000000-0005-0000-0000-000070040000}"/>
    <cellStyle name="Normal 3 2" xfId="1138" xr:uid="{00000000-0005-0000-0000-000071040000}"/>
    <cellStyle name="Normal 3 2 2" xfId="1139" xr:uid="{00000000-0005-0000-0000-000072040000}"/>
    <cellStyle name="Normal 3 2 2 2" xfId="1140" xr:uid="{00000000-0005-0000-0000-000073040000}"/>
    <cellStyle name="Normal 3 2 3" xfId="1141" xr:uid="{00000000-0005-0000-0000-000074040000}"/>
    <cellStyle name="Normal 3 3" xfId="1142" xr:uid="{00000000-0005-0000-0000-000075040000}"/>
    <cellStyle name="Normal 3 3 2" xfId="1143" xr:uid="{00000000-0005-0000-0000-000076040000}"/>
    <cellStyle name="Normal 3 4" xfId="1144" xr:uid="{00000000-0005-0000-0000-000077040000}"/>
    <cellStyle name="Normal 3 4 2" xfId="1145" xr:uid="{00000000-0005-0000-0000-000078040000}"/>
    <cellStyle name="Normal 3 5" xfId="1146" xr:uid="{00000000-0005-0000-0000-000079040000}"/>
    <cellStyle name="Normal 4" xfId="1147" xr:uid="{00000000-0005-0000-0000-00007A040000}"/>
    <cellStyle name="Normal 4 2" xfId="1148" xr:uid="{00000000-0005-0000-0000-00007B040000}"/>
    <cellStyle name="Normal 4 2 2" xfId="1149" xr:uid="{00000000-0005-0000-0000-00007C040000}"/>
    <cellStyle name="Normal 4 2 2 2" xfId="1150" xr:uid="{00000000-0005-0000-0000-00007D040000}"/>
    <cellStyle name="Normal 4 2 3" xfId="1151" xr:uid="{00000000-0005-0000-0000-00007E040000}"/>
    <cellStyle name="Normal 4 2 3 2" xfId="1152" xr:uid="{00000000-0005-0000-0000-00007F040000}"/>
    <cellStyle name="Normal 4 2 4" xfId="1153" xr:uid="{00000000-0005-0000-0000-000080040000}"/>
    <cellStyle name="Normal 4 3" xfId="1154" xr:uid="{00000000-0005-0000-0000-000081040000}"/>
    <cellStyle name="Normal 4 3 2" xfId="1155" xr:uid="{00000000-0005-0000-0000-000082040000}"/>
    <cellStyle name="Normal 4 3 2 2" xfId="1156" xr:uid="{00000000-0005-0000-0000-000083040000}"/>
    <cellStyle name="Normal 4 3 3" xfId="1157" xr:uid="{00000000-0005-0000-0000-000084040000}"/>
    <cellStyle name="Normal 4 4" xfId="1158" xr:uid="{00000000-0005-0000-0000-000085040000}"/>
    <cellStyle name="Normal 5" xfId="1159" xr:uid="{00000000-0005-0000-0000-000086040000}"/>
    <cellStyle name="Normal 5 2" xfId="1160" xr:uid="{00000000-0005-0000-0000-000087040000}"/>
    <cellStyle name="Normal 5 2 2" xfId="1161" xr:uid="{00000000-0005-0000-0000-000088040000}"/>
    <cellStyle name="Normal 5 2 2 2" xfId="1162" xr:uid="{00000000-0005-0000-0000-000089040000}"/>
    <cellStyle name="Normal 5 2 2 2 2" xfId="1163" xr:uid="{00000000-0005-0000-0000-00008A040000}"/>
    <cellStyle name="Normal 5 2 2 2 2 2" xfId="1164" xr:uid="{00000000-0005-0000-0000-00008B040000}"/>
    <cellStyle name="Normal 5 2 2 2 2 2 2" xfId="1165" xr:uid="{00000000-0005-0000-0000-00008C040000}"/>
    <cellStyle name="Normal 5 2 2 2 2 3" xfId="1166" xr:uid="{00000000-0005-0000-0000-00008D040000}"/>
    <cellStyle name="Normal 5 2 2 2 3" xfId="1167" xr:uid="{00000000-0005-0000-0000-00008E040000}"/>
    <cellStyle name="Normal 5 2 2 2 3 2" xfId="1168" xr:uid="{00000000-0005-0000-0000-00008F040000}"/>
    <cellStyle name="Normal 5 2 2 2 4" xfId="1169" xr:uid="{00000000-0005-0000-0000-000090040000}"/>
    <cellStyle name="Normal 5 2 2 3" xfId="1170" xr:uid="{00000000-0005-0000-0000-000091040000}"/>
    <cellStyle name="Normal 5 2 2 3 2" xfId="1171" xr:uid="{00000000-0005-0000-0000-000092040000}"/>
    <cellStyle name="Normal 5 2 2 3 2 2" xfId="1172" xr:uid="{00000000-0005-0000-0000-000093040000}"/>
    <cellStyle name="Normal 5 2 2 3 3" xfId="1173" xr:uid="{00000000-0005-0000-0000-000094040000}"/>
    <cellStyle name="Normal 5 2 2 4" xfId="1174" xr:uid="{00000000-0005-0000-0000-000095040000}"/>
    <cellStyle name="Normal 5 2 2 4 2" xfId="1175" xr:uid="{00000000-0005-0000-0000-000096040000}"/>
    <cellStyle name="Normal 5 2 2 5" xfId="1176" xr:uid="{00000000-0005-0000-0000-000097040000}"/>
    <cellStyle name="Normal 5 2 3" xfId="1177" xr:uid="{00000000-0005-0000-0000-000098040000}"/>
    <cellStyle name="Normal 5 2 3 2" xfId="1178" xr:uid="{00000000-0005-0000-0000-000099040000}"/>
    <cellStyle name="Normal 5 2 3 2 2" xfId="1179" xr:uid="{00000000-0005-0000-0000-00009A040000}"/>
    <cellStyle name="Normal 5 2 3 2 2 2" xfId="1180" xr:uid="{00000000-0005-0000-0000-00009B040000}"/>
    <cellStyle name="Normal 5 2 3 2 3" xfId="1181" xr:uid="{00000000-0005-0000-0000-00009C040000}"/>
    <cellStyle name="Normal 5 2 3 3" xfId="1182" xr:uid="{00000000-0005-0000-0000-00009D040000}"/>
    <cellStyle name="Normal 5 2 3 3 2" xfId="1183" xr:uid="{00000000-0005-0000-0000-00009E040000}"/>
    <cellStyle name="Normal 5 2 3 4" xfId="1184" xr:uid="{00000000-0005-0000-0000-00009F040000}"/>
    <cellStyle name="Normal 5 2 4" xfId="1185" xr:uid="{00000000-0005-0000-0000-0000A0040000}"/>
    <cellStyle name="Normal 5 2 4 2" xfId="1186" xr:uid="{00000000-0005-0000-0000-0000A1040000}"/>
    <cellStyle name="Normal 5 2 4 2 2" xfId="1187" xr:uid="{00000000-0005-0000-0000-0000A2040000}"/>
    <cellStyle name="Normal 5 2 4 3" xfId="1188" xr:uid="{00000000-0005-0000-0000-0000A3040000}"/>
    <cellStyle name="Normal 5 2 5" xfId="1189" xr:uid="{00000000-0005-0000-0000-0000A4040000}"/>
    <cellStyle name="Normal 5 2 5 2" xfId="1190" xr:uid="{00000000-0005-0000-0000-0000A5040000}"/>
    <cellStyle name="Normal 5 2 5 2 2" xfId="1191" xr:uid="{00000000-0005-0000-0000-0000A6040000}"/>
    <cellStyle name="Normal 5 2 5 3" xfId="1192" xr:uid="{00000000-0005-0000-0000-0000A7040000}"/>
    <cellStyle name="Normal 5 2 6" xfId="1193" xr:uid="{00000000-0005-0000-0000-0000A8040000}"/>
    <cellStyle name="Normal 5 2 6 2" xfId="1194" xr:uid="{00000000-0005-0000-0000-0000A9040000}"/>
    <cellStyle name="Normal 5 2 7" xfId="1195" xr:uid="{00000000-0005-0000-0000-0000AA040000}"/>
    <cellStyle name="Normal 5 3" xfId="1196" xr:uid="{00000000-0005-0000-0000-0000AB040000}"/>
    <cellStyle name="Normal 5 3 2" xfId="1197" xr:uid="{00000000-0005-0000-0000-0000AC040000}"/>
    <cellStyle name="Normal 5 3 2 2" xfId="1198" xr:uid="{00000000-0005-0000-0000-0000AD040000}"/>
    <cellStyle name="Normal 5 3 2 2 2" xfId="1199" xr:uid="{00000000-0005-0000-0000-0000AE040000}"/>
    <cellStyle name="Normal 5 3 2 2 2 2" xfId="1200" xr:uid="{00000000-0005-0000-0000-0000AF040000}"/>
    <cellStyle name="Normal 5 3 2 2 3" xfId="1201" xr:uid="{00000000-0005-0000-0000-0000B0040000}"/>
    <cellStyle name="Normal 5 3 2 3" xfId="1202" xr:uid="{00000000-0005-0000-0000-0000B1040000}"/>
    <cellStyle name="Normal 5 3 2 3 2" xfId="1203" xr:uid="{00000000-0005-0000-0000-0000B2040000}"/>
    <cellStyle name="Normal 5 3 2 4" xfId="1204" xr:uid="{00000000-0005-0000-0000-0000B3040000}"/>
    <cellStyle name="Normal 5 3 3" xfId="1205" xr:uid="{00000000-0005-0000-0000-0000B4040000}"/>
    <cellStyle name="Normal 5 3 3 2" xfId="1206" xr:uid="{00000000-0005-0000-0000-0000B5040000}"/>
    <cellStyle name="Normal 5 3 3 2 2" xfId="1207" xr:uid="{00000000-0005-0000-0000-0000B6040000}"/>
    <cellStyle name="Normal 5 3 3 3" xfId="1208" xr:uid="{00000000-0005-0000-0000-0000B7040000}"/>
    <cellStyle name="Normal 5 3 4" xfId="1209" xr:uid="{00000000-0005-0000-0000-0000B8040000}"/>
    <cellStyle name="Normal 5 3 4 2" xfId="1210" xr:uid="{00000000-0005-0000-0000-0000B9040000}"/>
    <cellStyle name="Normal 5 3 5" xfId="1211" xr:uid="{00000000-0005-0000-0000-0000BA040000}"/>
    <cellStyle name="Normal 5 4" xfId="1212" xr:uid="{00000000-0005-0000-0000-0000BB040000}"/>
    <cellStyle name="Normal 5 4 2" xfId="1213" xr:uid="{00000000-0005-0000-0000-0000BC040000}"/>
    <cellStyle name="Normal 5 4 2 2" xfId="1214" xr:uid="{00000000-0005-0000-0000-0000BD040000}"/>
    <cellStyle name="Normal 5 4 2 2 2" xfId="1215" xr:uid="{00000000-0005-0000-0000-0000BE040000}"/>
    <cellStyle name="Normal 5 4 2 3" xfId="1216" xr:uid="{00000000-0005-0000-0000-0000BF040000}"/>
    <cellStyle name="Normal 5 4 3" xfId="1217" xr:uid="{00000000-0005-0000-0000-0000C0040000}"/>
    <cellStyle name="Normal 5 4 3 2" xfId="1218" xr:uid="{00000000-0005-0000-0000-0000C1040000}"/>
    <cellStyle name="Normal 5 4 4" xfId="1219" xr:uid="{00000000-0005-0000-0000-0000C2040000}"/>
    <cellStyle name="Normal 5 5" xfId="1220" xr:uid="{00000000-0005-0000-0000-0000C3040000}"/>
    <cellStyle name="Normal 5 5 2" xfId="1221" xr:uid="{00000000-0005-0000-0000-0000C4040000}"/>
    <cellStyle name="Normal 5 5 2 2" xfId="1222" xr:uid="{00000000-0005-0000-0000-0000C5040000}"/>
    <cellStyle name="Normal 5 5 3" xfId="1223" xr:uid="{00000000-0005-0000-0000-0000C6040000}"/>
    <cellStyle name="Normal 5 6" xfId="1224" xr:uid="{00000000-0005-0000-0000-0000C7040000}"/>
    <cellStyle name="Normal 5 6 2" xfId="1225" xr:uid="{00000000-0005-0000-0000-0000C8040000}"/>
    <cellStyle name="Normal 5 7" xfId="1226" xr:uid="{00000000-0005-0000-0000-0000C9040000}"/>
    <cellStyle name="Normal 5 7 2" xfId="1227" xr:uid="{00000000-0005-0000-0000-0000CA040000}"/>
    <cellStyle name="Normal 5 8" xfId="1228" xr:uid="{00000000-0005-0000-0000-0000CB040000}"/>
    <cellStyle name="Normal 5 8 2" xfId="1229" xr:uid="{00000000-0005-0000-0000-0000CC040000}"/>
    <cellStyle name="Normal 5 9" xfId="1230" xr:uid="{00000000-0005-0000-0000-0000CD040000}"/>
    <cellStyle name="Normal 6" xfId="1231" xr:uid="{00000000-0005-0000-0000-0000CE040000}"/>
    <cellStyle name="Normal 6 10" xfId="1232" xr:uid="{00000000-0005-0000-0000-0000CF040000}"/>
    <cellStyle name="Normal 6 10 2" xfId="1233" xr:uid="{00000000-0005-0000-0000-0000D0040000}"/>
    <cellStyle name="Normal 6 10 2 2" xfId="1234" xr:uid="{00000000-0005-0000-0000-0000D1040000}"/>
    <cellStyle name="Normal 6 10 3" xfId="1235" xr:uid="{00000000-0005-0000-0000-0000D2040000}"/>
    <cellStyle name="Normal 6 11" xfId="1236" xr:uid="{00000000-0005-0000-0000-0000D3040000}"/>
    <cellStyle name="Normal 6 11 2" xfId="1237" xr:uid="{00000000-0005-0000-0000-0000D4040000}"/>
    <cellStyle name="Normal 6 12" xfId="1238" xr:uid="{00000000-0005-0000-0000-0000D5040000}"/>
    <cellStyle name="Normal 6 2" xfId="1239" xr:uid="{00000000-0005-0000-0000-0000D6040000}"/>
    <cellStyle name="Normal 6 2 2" xfId="1240" xr:uid="{00000000-0005-0000-0000-0000D7040000}"/>
    <cellStyle name="Normal 6 2 2 2" xfId="1241" xr:uid="{00000000-0005-0000-0000-0000D8040000}"/>
    <cellStyle name="Normal 6 2 2 2 2" xfId="1242" xr:uid="{00000000-0005-0000-0000-0000D9040000}"/>
    <cellStyle name="Normal 6 2 2 2 2 2" xfId="1243" xr:uid="{00000000-0005-0000-0000-0000DA040000}"/>
    <cellStyle name="Normal 6 2 2 2 2 2 2" xfId="1244" xr:uid="{00000000-0005-0000-0000-0000DB040000}"/>
    <cellStyle name="Normal 6 2 2 2 2 3" xfId="1245" xr:uid="{00000000-0005-0000-0000-0000DC040000}"/>
    <cellStyle name="Normal 6 2 2 2 3" xfId="1246" xr:uid="{00000000-0005-0000-0000-0000DD040000}"/>
    <cellStyle name="Normal 6 2 2 2 3 2" xfId="1247" xr:uid="{00000000-0005-0000-0000-0000DE040000}"/>
    <cellStyle name="Normal 6 2 2 2 4" xfId="1248" xr:uid="{00000000-0005-0000-0000-0000DF040000}"/>
    <cellStyle name="Normal 6 2 2 3" xfId="1249" xr:uid="{00000000-0005-0000-0000-0000E0040000}"/>
    <cellStyle name="Normal 6 2 2 3 2" xfId="1250" xr:uid="{00000000-0005-0000-0000-0000E1040000}"/>
    <cellStyle name="Normal 6 2 2 3 2 2" xfId="1251" xr:uid="{00000000-0005-0000-0000-0000E2040000}"/>
    <cellStyle name="Normal 6 2 2 3 3" xfId="1252" xr:uid="{00000000-0005-0000-0000-0000E3040000}"/>
    <cellStyle name="Normal 6 2 2 4" xfId="1253" xr:uid="{00000000-0005-0000-0000-0000E4040000}"/>
    <cellStyle name="Normal 6 2 2 4 2" xfId="1254" xr:uid="{00000000-0005-0000-0000-0000E5040000}"/>
    <cellStyle name="Normal 6 2 2 5" xfId="1255" xr:uid="{00000000-0005-0000-0000-0000E6040000}"/>
    <cellStyle name="Normal 6 2 3" xfId="1256" xr:uid="{00000000-0005-0000-0000-0000E7040000}"/>
    <cellStyle name="Normal 6 2 3 2" xfId="1257" xr:uid="{00000000-0005-0000-0000-0000E8040000}"/>
    <cellStyle name="Normal 6 2 3 2 2" xfId="1258" xr:uid="{00000000-0005-0000-0000-0000E9040000}"/>
    <cellStyle name="Normal 6 2 3 2 2 2" xfId="1259" xr:uid="{00000000-0005-0000-0000-0000EA040000}"/>
    <cellStyle name="Normal 6 2 3 2 3" xfId="1260" xr:uid="{00000000-0005-0000-0000-0000EB040000}"/>
    <cellStyle name="Normal 6 2 3 3" xfId="1261" xr:uid="{00000000-0005-0000-0000-0000EC040000}"/>
    <cellStyle name="Normal 6 2 3 3 2" xfId="1262" xr:uid="{00000000-0005-0000-0000-0000ED040000}"/>
    <cellStyle name="Normal 6 2 3 4" xfId="1263" xr:uid="{00000000-0005-0000-0000-0000EE040000}"/>
    <cellStyle name="Normal 6 2 4" xfId="1264" xr:uid="{00000000-0005-0000-0000-0000EF040000}"/>
    <cellStyle name="Normal 6 2 4 2" xfId="1265" xr:uid="{00000000-0005-0000-0000-0000F0040000}"/>
    <cellStyle name="Normal 6 2 4 2 2" xfId="1266" xr:uid="{00000000-0005-0000-0000-0000F1040000}"/>
    <cellStyle name="Normal 6 2 4 3" xfId="1267" xr:uid="{00000000-0005-0000-0000-0000F2040000}"/>
    <cellStyle name="Normal 6 2 5" xfId="1268" xr:uid="{00000000-0005-0000-0000-0000F3040000}"/>
    <cellStyle name="Normal 6 2 5 2" xfId="1269" xr:uid="{00000000-0005-0000-0000-0000F4040000}"/>
    <cellStyle name="Normal 6 2 5 2 2" xfId="1270" xr:uid="{00000000-0005-0000-0000-0000F5040000}"/>
    <cellStyle name="Normal 6 2 5 3" xfId="1271" xr:uid="{00000000-0005-0000-0000-0000F6040000}"/>
    <cellStyle name="Normal 6 2 6" xfId="1272" xr:uid="{00000000-0005-0000-0000-0000F7040000}"/>
    <cellStyle name="Normal 6 2 6 2" xfId="1273" xr:uid="{00000000-0005-0000-0000-0000F8040000}"/>
    <cellStyle name="Normal 6 2 7" xfId="1274" xr:uid="{00000000-0005-0000-0000-0000F9040000}"/>
    <cellStyle name="Normal 6 3" xfId="1275" xr:uid="{00000000-0005-0000-0000-0000FA040000}"/>
    <cellStyle name="Normal 6 3 2" xfId="1276" xr:uid="{00000000-0005-0000-0000-0000FB040000}"/>
    <cellStyle name="Normal 6 3 2 2" xfId="1277" xr:uid="{00000000-0005-0000-0000-0000FC040000}"/>
    <cellStyle name="Normal 6 3 2 2 2" xfId="1278" xr:uid="{00000000-0005-0000-0000-0000FD040000}"/>
    <cellStyle name="Normal 6 3 2 2 2 2" xfId="1279" xr:uid="{00000000-0005-0000-0000-0000FE040000}"/>
    <cellStyle name="Normal 6 3 2 2 2 2 2" xfId="1280" xr:uid="{00000000-0005-0000-0000-0000FF040000}"/>
    <cellStyle name="Normal 6 3 2 2 2 3" xfId="1281" xr:uid="{00000000-0005-0000-0000-000000050000}"/>
    <cellStyle name="Normal 6 3 2 2 3" xfId="1282" xr:uid="{00000000-0005-0000-0000-000001050000}"/>
    <cellStyle name="Normal 6 3 2 2 3 2" xfId="1283" xr:uid="{00000000-0005-0000-0000-000002050000}"/>
    <cellStyle name="Normal 6 3 2 2 4" xfId="1284" xr:uid="{00000000-0005-0000-0000-000003050000}"/>
    <cellStyle name="Normal 6 3 2 3" xfId="1285" xr:uid="{00000000-0005-0000-0000-000004050000}"/>
    <cellStyle name="Normal 6 3 2 3 2" xfId="1286" xr:uid="{00000000-0005-0000-0000-000005050000}"/>
    <cellStyle name="Normal 6 3 2 3 2 2" xfId="1287" xr:uid="{00000000-0005-0000-0000-000006050000}"/>
    <cellStyle name="Normal 6 3 2 3 3" xfId="1288" xr:uid="{00000000-0005-0000-0000-000007050000}"/>
    <cellStyle name="Normal 6 3 2 4" xfId="1289" xr:uid="{00000000-0005-0000-0000-000008050000}"/>
    <cellStyle name="Normal 6 3 2 4 2" xfId="1290" xr:uid="{00000000-0005-0000-0000-000009050000}"/>
    <cellStyle name="Normal 6 3 2 5" xfId="1291" xr:uid="{00000000-0005-0000-0000-00000A050000}"/>
    <cellStyle name="Normal 6 3 3" xfId="1292" xr:uid="{00000000-0005-0000-0000-00000B050000}"/>
    <cellStyle name="Normal 6 3 3 2" xfId="1293" xr:uid="{00000000-0005-0000-0000-00000C050000}"/>
    <cellStyle name="Normal 6 3 3 2 2" xfId="1294" xr:uid="{00000000-0005-0000-0000-00000D050000}"/>
    <cellStyle name="Normal 6 3 3 2 2 2" xfId="1295" xr:uid="{00000000-0005-0000-0000-00000E050000}"/>
    <cellStyle name="Normal 6 3 3 2 3" xfId="1296" xr:uid="{00000000-0005-0000-0000-00000F050000}"/>
    <cellStyle name="Normal 6 3 3 3" xfId="1297" xr:uid="{00000000-0005-0000-0000-000010050000}"/>
    <cellStyle name="Normal 6 3 3 3 2" xfId="1298" xr:uid="{00000000-0005-0000-0000-000011050000}"/>
    <cellStyle name="Normal 6 3 3 4" xfId="1299" xr:uid="{00000000-0005-0000-0000-000012050000}"/>
    <cellStyle name="Normal 6 3 4" xfId="1300" xr:uid="{00000000-0005-0000-0000-000013050000}"/>
    <cellStyle name="Normal 6 3 4 2" xfId="1301" xr:uid="{00000000-0005-0000-0000-000014050000}"/>
    <cellStyle name="Normal 6 3 4 2 2" xfId="1302" xr:uid="{00000000-0005-0000-0000-000015050000}"/>
    <cellStyle name="Normal 6 3 4 3" xfId="1303" xr:uid="{00000000-0005-0000-0000-000016050000}"/>
    <cellStyle name="Normal 6 3 5" xfId="1304" xr:uid="{00000000-0005-0000-0000-000017050000}"/>
    <cellStyle name="Normal 6 3 5 2" xfId="1305" xr:uid="{00000000-0005-0000-0000-000018050000}"/>
    <cellStyle name="Normal 6 3 6" xfId="1306" xr:uid="{00000000-0005-0000-0000-000019050000}"/>
    <cellStyle name="Normal 6 4" xfId="1307" xr:uid="{00000000-0005-0000-0000-00001A050000}"/>
    <cellStyle name="Normal 6 4 2" xfId="1308" xr:uid="{00000000-0005-0000-0000-00001B050000}"/>
    <cellStyle name="Normal 6 4 2 2" xfId="1309" xr:uid="{00000000-0005-0000-0000-00001C050000}"/>
    <cellStyle name="Normal 6 4 2 2 2" xfId="1310" xr:uid="{00000000-0005-0000-0000-00001D050000}"/>
    <cellStyle name="Normal 6 4 2 2 2 2" xfId="1311" xr:uid="{00000000-0005-0000-0000-00001E050000}"/>
    <cellStyle name="Normal 6 4 2 2 3" xfId="1312" xr:uid="{00000000-0005-0000-0000-00001F050000}"/>
    <cellStyle name="Normal 6 4 2 3" xfId="1313" xr:uid="{00000000-0005-0000-0000-000020050000}"/>
    <cellStyle name="Normal 6 4 2 3 2" xfId="1314" xr:uid="{00000000-0005-0000-0000-000021050000}"/>
    <cellStyle name="Normal 6 4 2 4" xfId="1315" xr:uid="{00000000-0005-0000-0000-000022050000}"/>
    <cellStyle name="Normal 6 4 3" xfId="1316" xr:uid="{00000000-0005-0000-0000-000023050000}"/>
    <cellStyle name="Normal 6 4 3 2" xfId="1317" xr:uid="{00000000-0005-0000-0000-000024050000}"/>
    <cellStyle name="Normal 6 4 3 2 2" xfId="1318" xr:uid="{00000000-0005-0000-0000-000025050000}"/>
    <cellStyle name="Normal 6 4 3 3" xfId="1319" xr:uid="{00000000-0005-0000-0000-000026050000}"/>
    <cellStyle name="Normal 6 4 4" xfId="1320" xr:uid="{00000000-0005-0000-0000-000027050000}"/>
    <cellStyle name="Normal 6 4 4 2" xfId="1321" xr:uid="{00000000-0005-0000-0000-000028050000}"/>
    <cellStyle name="Normal 6 4 5" xfId="1322" xr:uid="{00000000-0005-0000-0000-000029050000}"/>
    <cellStyle name="Normal 6 5" xfId="1323" xr:uid="{00000000-0005-0000-0000-00002A050000}"/>
    <cellStyle name="Normal 6 5 2" xfId="1324" xr:uid="{00000000-0005-0000-0000-00002B050000}"/>
    <cellStyle name="Normal 6 5 2 2" xfId="1325" xr:uid="{00000000-0005-0000-0000-00002C050000}"/>
    <cellStyle name="Normal 6 5 2 2 2" xfId="1326" xr:uid="{00000000-0005-0000-0000-00002D050000}"/>
    <cellStyle name="Normal 6 5 2 3" xfId="1327" xr:uid="{00000000-0005-0000-0000-00002E050000}"/>
    <cellStyle name="Normal 6 5 3" xfId="1328" xr:uid="{00000000-0005-0000-0000-00002F050000}"/>
    <cellStyle name="Normal 6 5 3 2" xfId="1329" xr:uid="{00000000-0005-0000-0000-000030050000}"/>
    <cellStyle name="Normal 6 5 4" xfId="1330" xr:uid="{00000000-0005-0000-0000-000031050000}"/>
    <cellStyle name="Normal 6 6" xfId="1331" xr:uid="{00000000-0005-0000-0000-000032050000}"/>
    <cellStyle name="Normal 6 6 2" xfId="1332" xr:uid="{00000000-0005-0000-0000-000033050000}"/>
    <cellStyle name="Normal 6 6 2 2" xfId="1333" xr:uid="{00000000-0005-0000-0000-000034050000}"/>
    <cellStyle name="Normal 6 6 3" xfId="1334" xr:uid="{00000000-0005-0000-0000-000035050000}"/>
    <cellStyle name="Normal 6 7" xfId="1335" xr:uid="{00000000-0005-0000-0000-000036050000}"/>
    <cellStyle name="Normal 6 7 2" xfId="1336" xr:uid="{00000000-0005-0000-0000-000037050000}"/>
    <cellStyle name="Normal 6 7 2 2" xfId="1337" xr:uid="{00000000-0005-0000-0000-000038050000}"/>
    <cellStyle name="Normal 6 7 3" xfId="1338" xr:uid="{00000000-0005-0000-0000-000039050000}"/>
    <cellStyle name="Normal 6 8" xfId="1339" xr:uid="{00000000-0005-0000-0000-00003A050000}"/>
    <cellStyle name="Normal 6 8 2" xfId="1340" xr:uid="{00000000-0005-0000-0000-00003B050000}"/>
    <cellStyle name="Normal 6 8 2 2" xfId="1341" xr:uid="{00000000-0005-0000-0000-00003C050000}"/>
    <cellStyle name="Normal 6 8 3" xfId="1342" xr:uid="{00000000-0005-0000-0000-00003D050000}"/>
    <cellStyle name="Normal 6 9" xfId="1343" xr:uid="{00000000-0005-0000-0000-00003E050000}"/>
    <cellStyle name="Normal 6 9 2" xfId="1344" xr:uid="{00000000-0005-0000-0000-00003F050000}"/>
    <cellStyle name="Normal 6 9 2 2" xfId="1345" xr:uid="{00000000-0005-0000-0000-000040050000}"/>
    <cellStyle name="Normal 6 9 3" xfId="1346" xr:uid="{00000000-0005-0000-0000-000041050000}"/>
    <cellStyle name="Normal 7" xfId="1347" xr:uid="{00000000-0005-0000-0000-000042050000}"/>
    <cellStyle name="Normal 7 2" xfId="1348" xr:uid="{00000000-0005-0000-0000-000043050000}"/>
    <cellStyle name="Normal 7 2 2" xfId="1349" xr:uid="{00000000-0005-0000-0000-000044050000}"/>
    <cellStyle name="Normal 7 2 2 2" xfId="1350" xr:uid="{00000000-0005-0000-0000-000045050000}"/>
    <cellStyle name="Normal 7 2 2 2 2" xfId="1351" xr:uid="{00000000-0005-0000-0000-000046050000}"/>
    <cellStyle name="Normal 7 2 2 2 2 2" xfId="1352" xr:uid="{00000000-0005-0000-0000-000047050000}"/>
    <cellStyle name="Normal 7 2 2 2 2 2 2" xfId="1353" xr:uid="{00000000-0005-0000-0000-000048050000}"/>
    <cellStyle name="Normal 7 2 2 2 2 3" xfId="1354" xr:uid="{00000000-0005-0000-0000-000049050000}"/>
    <cellStyle name="Normal 7 2 2 2 3" xfId="1355" xr:uid="{00000000-0005-0000-0000-00004A050000}"/>
    <cellStyle name="Normal 7 2 2 2 3 2" xfId="1356" xr:uid="{00000000-0005-0000-0000-00004B050000}"/>
    <cellStyle name="Normal 7 2 2 2 4" xfId="1357" xr:uid="{00000000-0005-0000-0000-00004C050000}"/>
    <cellStyle name="Normal 7 2 2 3" xfId="1358" xr:uid="{00000000-0005-0000-0000-00004D050000}"/>
    <cellStyle name="Normal 7 2 2 3 2" xfId="1359" xr:uid="{00000000-0005-0000-0000-00004E050000}"/>
    <cellStyle name="Normal 7 2 2 3 2 2" xfId="1360" xr:uid="{00000000-0005-0000-0000-00004F050000}"/>
    <cellStyle name="Normal 7 2 2 3 3" xfId="1361" xr:uid="{00000000-0005-0000-0000-000050050000}"/>
    <cellStyle name="Normal 7 2 2 4" xfId="1362" xr:uid="{00000000-0005-0000-0000-000051050000}"/>
    <cellStyle name="Normal 7 2 2 4 2" xfId="1363" xr:uid="{00000000-0005-0000-0000-000052050000}"/>
    <cellStyle name="Normal 7 2 2 5" xfId="1364" xr:uid="{00000000-0005-0000-0000-000053050000}"/>
    <cellStyle name="Normal 7 2 3" xfId="1365" xr:uid="{00000000-0005-0000-0000-000054050000}"/>
    <cellStyle name="Normal 7 2 3 2" xfId="1366" xr:uid="{00000000-0005-0000-0000-000055050000}"/>
    <cellStyle name="Normal 7 2 3 2 2" xfId="1367" xr:uid="{00000000-0005-0000-0000-000056050000}"/>
    <cellStyle name="Normal 7 2 3 2 2 2" xfId="1368" xr:uid="{00000000-0005-0000-0000-000057050000}"/>
    <cellStyle name="Normal 7 2 3 2 3" xfId="1369" xr:uid="{00000000-0005-0000-0000-000058050000}"/>
    <cellStyle name="Normal 7 2 3 3" xfId="1370" xr:uid="{00000000-0005-0000-0000-000059050000}"/>
    <cellStyle name="Normal 7 2 3 3 2" xfId="1371" xr:uid="{00000000-0005-0000-0000-00005A050000}"/>
    <cellStyle name="Normal 7 2 3 4" xfId="1372" xr:uid="{00000000-0005-0000-0000-00005B050000}"/>
    <cellStyle name="Normal 7 2 4" xfId="1373" xr:uid="{00000000-0005-0000-0000-00005C050000}"/>
    <cellStyle name="Normal 7 2 4 2" xfId="1374" xr:uid="{00000000-0005-0000-0000-00005D050000}"/>
    <cellStyle name="Normal 7 2 4 2 2" xfId="1375" xr:uid="{00000000-0005-0000-0000-00005E050000}"/>
    <cellStyle name="Normal 7 2 4 3" xfId="1376" xr:uid="{00000000-0005-0000-0000-00005F050000}"/>
    <cellStyle name="Normal 7 2 5" xfId="1377" xr:uid="{00000000-0005-0000-0000-000060050000}"/>
    <cellStyle name="Normal 7 2 5 2" xfId="1378" xr:uid="{00000000-0005-0000-0000-000061050000}"/>
    <cellStyle name="Normal 7 2 5 2 2" xfId="1379" xr:uid="{00000000-0005-0000-0000-000062050000}"/>
    <cellStyle name="Normal 7 2 5 3" xfId="1380" xr:uid="{00000000-0005-0000-0000-000063050000}"/>
    <cellStyle name="Normal 7 2 6" xfId="1381" xr:uid="{00000000-0005-0000-0000-000064050000}"/>
    <cellStyle name="Normal 7 2 6 2" xfId="1382" xr:uid="{00000000-0005-0000-0000-000065050000}"/>
    <cellStyle name="Normal 7 2 7" xfId="1383" xr:uid="{00000000-0005-0000-0000-000066050000}"/>
    <cellStyle name="Normal 7 3" xfId="1384" xr:uid="{00000000-0005-0000-0000-000067050000}"/>
    <cellStyle name="Normal 7 3 2" xfId="1385" xr:uid="{00000000-0005-0000-0000-000068050000}"/>
    <cellStyle name="Normal 7 3 2 2" xfId="1386" xr:uid="{00000000-0005-0000-0000-000069050000}"/>
    <cellStyle name="Normal 7 3 2 2 2" xfId="1387" xr:uid="{00000000-0005-0000-0000-00006A050000}"/>
    <cellStyle name="Normal 7 3 2 2 2 2" xfId="1388" xr:uid="{00000000-0005-0000-0000-00006B050000}"/>
    <cellStyle name="Normal 7 3 2 2 3" xfId="1389" xr:uid="{00000000-0005-0000-0000-00006C050000}"/>
    <cellStyle name="Normal 7 3 2 3" xfId="1390" xr:uid="{00000000-0005-0000-0000-00006D050000}"/>
    <cellStyle name="Normal 7 3 2 3 2" xfId="1391" xr:uid="{00000000-0005-0000-0000-00006E050000}"/>
    <cellStyle name="Normal 7 3 2 4" xfId="1392" xr:uid="{00000000-0005-0000-0000-00006F050000}"/>
    <cellStyle name="Normal 7 3 3" xfId="1393" xr:uid="{00000000-0005-0000-0000-000070050000}"/>
    <cellStyle name="Normal 7 3 3 2" xfId="1394" xr:uid="{00000000-0005-0000-0000-000071050000}"/>
    <cellStyle name="Normal 7 3 3 2 2" xfId="1395" xr:uid="{00000000-0005-0000-0000-000072050000}"/>
    <cellStyle name="Normal 7 3 3 3" xfId="1396" xr:uid="{00000000-0005-0000-0000-000073050000}"/>
    <cellStyle name="Normal 7 3 4" xfId="1397" xr:uid="{00000000-0005-0000-0000-000074050000}"/>
    <cellStyle name="Normal 7 3 4 2" xfId="1398" xr:uid="{00000000-0005-0000-0000-000075050000}"/>
    <cellStyle name="Normal 7 3 5" xfId="1399" xr:uid="{00000000-0005-0000-0000-000076050000}"/>
    <cellStyle name="Normal 7 4" xfId="1400" xr:uid="{00000000-0005-0000-0000-000077050000}"/>
    <cellStyle name="Normal 7 4 2" xfId="1401" xr:uid="{00000000-0005-0000-0000-000078050000}"/>
    <cellStyle name="Normal 7 4 2 2" xfId="1402" xr:uid="{00000000-0005-0000-0000-000079050000}"/>
    <cellStyle name="Normal 7 4 2 2 2" xfId="1403" xr:uid="{00000000-0005-0000-0000-00007A050000}"/>
    <cellStyle name="Normal 7 4 2 3" xfId="1404" xr:uid="{00000000-0005-0000-0000-00007B050000}"/>
    <cellStyle name="Normal 7 4 3" xfId="1405" xr:uid="{00000000-0005-0000-0000-00007C050000}"/>
    <cellStyle name="Normal 7 4 3 2" xfId="1406" xr:uid="{00000000-0005-0000-0000-00007D050000}"/>
    <cellStyle name="Normal 7 4 4" xfId="1407" xr:uid="{00000000-0005-0000-0000-00007E050000}"/>
    <cellStyle name="Normal 7 5" xfId="1408" xr:uid="{00000000-0005-0000-0000-00007F050000}"/>
    <cellStyle name="Normal 7 5 2" xfId="1409" xr:uid="{00000000-0005-0000-0000-000080050000}"/>
    <cellStyle name="Normal 7 5 2 2" xfId="1410" xr:uid="{00000000-0005-0000-0000-000081050000}"/>
    <cellStyle name="Normal 7 5 3" xfId="1411" xr:uid="{00000000-0005-0000-0000-000082050000}"/>
    <cellStyle name="Normal 7 6" xfId="1412" xr:uid="{00000000-0005-0000-0000-000083050000}"/>
    <cellStyle name="Normal 7 6 2" xfId="1413" xr:uid="{00000000-0005-0000-0000-000084050000}"/>
    <cellStyle name="Normal 7 7" xfId="1414" xr:uid="{00000000-0005-0000-0000-000085050000}"/>
    <cellStyle name="Normal 7 7 2" xfId="1415" xr:uid="{00000000-0005-0000-0000-000086050000}"/>
    <cellStyle name="Normal 7 8" xfId="1416" xr:uid="{00000000-0005-0000-0000-000087050000}"/>
    <cellStyle name="Normal 7 8 2" xfId="1417" xr:uid="{00000000-0005-0000-0000-000088050000}"/>
    <cellStyle name="Normal 7 9" xfId="1418" xr:uid="{00000000-0005-0000-0000-000089050000}"/>
    <cellStyle name="Normal 8" xfId="1419" xr:uid="{00000000-0005-0000-0000-00008A050000}"/>
    <cellStyle name="Normal 8 2" xfId="1420" xr:uid="{00000000-0005-0000-0000-00008B050000}"/>
    <cellStyle name="Normal 8 2 2" xfId="1421" xr:uid="{00000000-0005-0000-0000-00008C050000}"/>
    <cellStyle name="Normal 8 3" xfId="1422" xr:uid="{00000000-0005-0000-0000-00008D050000}"/>
    <cellStyle name="Normal 8 3 2" xfId="1423" xr:uid="{00000000-0005-0000-0000-00008E050000}"/>
    <cellStyle name="Normal 8 4" xfId="1424" xr:uid="{00000000-0005-0000-0000-00008F050000}"/>
    <cellStyle name="Normal 9" xfId="1425" xr:uid="{00000000-0005-0000-0000-000090050000}"/>
    <cellStyle name="Normal 9 2" xfId="1426" xr:uid="{00000000-0005-0000-0000-000091050000}"/>
    <cellStyle name="Normal 9 2 2" xfId="1427" xr:uid="{00000000-0005-0000-0000-000092050000}"/>
    <cellStyle name="Normal 9 3" xfId="1428" xr:uid="{00000000-0005-0000-0000-000093050000}"/>
    <cellStyle name="Normal GHG Numbers (0.00)" xfId="1429" xr:uid="{00000000-0005-0000-0000-000094050000}"/>
    <cellStyle name="Normal GHG Numbers (0.00) 2" xfId="1430" xr:uid="{00000000-0005-0000-0000-000095050000}"/>
    <cellStyle name="Normal GHG Numbers (0.00) 2 2" xfId="1431" xr:uid="{00000000-0005-0000-0000-000096050000}"/>
    <cellStyle name="Normal GHG Numbers (0.00) 3" xfId="1432" xr:uid="{00000000-0005-0000-0000-000097050000}"/>
    <cellStyle name="Normal GHG Numbers (0.00) 3 2" xfId="1433" xr:uid="{00000000-0005-0000-0000-000098050000}"/>
    <cellStyle name="Normal GHG Numbers (0.00) 3 2 2" xfId="1434" xr:uid="{00000000-0005-0000-0000-000099050000}"/>
    <cellStyle name="Normal GHG Numbers (0.00) 3 2 2 2" xfId="1435" xr:uid="{00000000-0005-0000-0000-00009A050000}"/>
    <cellStyle name="Normal GHG Numbers (0.00) 3 2 2 2 2" xfId="1436" xr:uid="{00000000-0005-0000-0000-00009B050000}"/>
    <cellStyle name="Normal GHG Numbers (0.00) 3 2 2 3" xfId="1437" xr:uid="{00000000-0005-0000-0000-00009C050000}"/>
    <cellStyle name="Normal GHG Numbers (0.00) 3 2 3" xfId="1438" xr:uid="{00000000-0005-0000-0000-00009D050000}"/>
    <cellStyle name="Normal GHG Numbers (0.00) 3 2 3 2" xfId="1439" xr:uid="{00000000-0005-0000-0000-00009E050000}"/>
    <cellStyle name="Normal GHG Numbers (0.00) 3 2 4" xfId="1440" xr:uid="{00000000-0005-0000-0000-00009F050000}"/>
    <cellStyle name="Normal GHG Numbers (0.00) 3 3" xfId="1441" xr:uid="{00000000-0005-0000-0000-0000A0050000}"/>
    <cellStyle name="Normal GHG Numbers (0.00) 3 3 2" xfId="1442" xr:uid="{00000000-0005-0000-0000-0000A1050000}"/>
    <cellStyle name="Normal GHG Numbers (0.00) 3 3 2 2" xfId="1443" xr:uid="{00000000-0005-0000-0000-0000A2050000}"/>
    <cellStyle name="Normal GHG Numbers (0.00) 3 3 2 2 2" xfId="1444" xr:uid="{00000000-0005-0000-0000-0000A3050000}"/>
    <cellStyle name="Normal GHG Numbers (0.00) 3 3 2 3" xfId="1445" xr:uid="{00000000-0005-0000-0000-0000A4050000}"/>
    <cellStyle name="Normal GHG Numbers (0.00) 3 3 3" xfId="1446" xr:uid="{00000000-0005-0000-0000-0000A5050000}"/>
    <cellStyle name="Normal GHG Numbers (0.00) 3 3 3 2" xfId="1447" xr:uid="{00000000-0005-0000-0000-0000A6050000}"/>
    <cellStyle name="Normal GHG Numbers (0.00) 3 3 3 2 2" xfId="1448" xr:uid="{00000000-0005-0000-0000-0000A7050000}"/>
    <cellStyle name="Normal GHG Numbers (0.00) 3 3 3 3" xfId="1449" xr:uid="{00000000-0005-0000-0000-0000A8050000}"/>
    <cellStyle name="Normal GHG Numbers (0.00) 3 3 4" xfId="1450" xr:uid="{00000000-0005-0000-0000-0000A9050000}"/>
    <cellStyle name="Normal GHG Numbers (0.00) 3 3 4 2" xfId="1451" xr:uid="{00000000-0005-0000-0000-0000AA050000}"/>
    <cellStyle name="Normal GHG Numbers (0.00) 3 3 4 2 2" xfId="1452" xr:uid="{00000000-0005-0000-0000-0000AB050000}"/>
    <cellStyle name="Normal GHG Numbers (0.00) 3 3 4 3" xfId="1453" xr:uid="{00000000-0005-0000-0000-0000AC050000}"/>
    <cellStyle name="Normal GHG Numbers (0.00) 3 3 5" xfId="1454" xr:uid="{00000000-0005-0000-0000-0000AD050000}"/>
    <cellStyle name="Normal GHG Numbers (0.00) 3 4" xfId="1455" xr:uid="{00000000-0005-0000-0000-0000AE050000}"/>
    <cellStyle name="Normal GHG Numbers (0.00) 3 4 2" xfId="1456" xr:uid="{00000000-0005-0000-0000-0000AF050000}"/>
    <cellStyle name="Normal GHG Numbers (0.00) 3 5" xfId="1457" xr:uid="{00000000-0005-0000-0000-0000B0050000}"/>
    <cellStyle name="Normal GHG Numbers (0.00) 4" xfId="1458" xr:uid="{00000000-0005-0000-0000-0000B1050000}"/>
    <cellStyle name="Normal GHG Textfiels Bold" xfId="1459" xr:uid="{00000000-0005-0000-0000-0000B2050000}"/>
    <cellStyle name="Normal GHG Textfiels Bold 2" xfId="1460" xr:uid="{00000000-0005-0000-0000-0000B3050000}"/>
    <cellStyle name="Normal GHG Textfiels Bold 2 2" xfId="1461" xr:uid="{00000000-0005-0000-0000-0000B4050000}"/>
    <cellStyle name="Normal GHG Textfiels Bold 3" xfId="1462" xr:uid="{00000000-0005-0000-0000-0000B5050000}"/>
    <cellStyle name="Normal GHG Textfiels Bold 3 2" xfId="1463" xr:uid="{00000000-0005-0000-0000-0000B6050000}"/>
    <cellStyle name="Normal GHG Textfiels Bold 3 2 2" xfId="1464" xr:uid="{00000000-0005-0000-0000-0000B7050000}"/>
    <cellStyle name="Normal GHG Textfiels Bold 3 2 2 2" xfId="1465" xr:uid="{00000000-0005-0000-0000-0000B8050000}"/>
    <cellStyle name="Normal GHG Textfiels Bold 3 2 2 2 2" xfId="1466" xr:uid="{00000000-0005-0000-0000-0000B9050000}"/>
    <cellStyle name="Normal GHG Textfiels Bold 3 2 2 3" xfId="1467" xr:uid="{00000000-0005-0000-0000-0000BA050000}"/>
    <cellStyle name="Normal GHG Textfiels Bold 3 2 3" xfId="1468" xr:uid="{00000000-0005-0000-0000-0000BB050000}"/>
    <cellStyle name="Normal GHG Textfiels Bold 3 2 3 2" xfId="1469" xr:uid="{00000000-0005-0000-0000-0000BC050000}"/>
    <cellStyle name="Normal GHG Textfiels Bold 3 2 4" xfId="1470" xr:uid="{00000000-0005-0000-0000-0000BD050000}"/>
    <cellStyle name="Normal GHG Textfiels Bold 3 3" xfId="1471" xr:uid="{00000000-0005-0000-0000-0000BE050000}"/>
    <cellStyle name="Normal GHG Textfiels Bold 3 3 2" xfId="1472" xr:uid="{00000000-0005-0000-0000-0000BF050000}"/>
    <cellStyle name="Normal GHG Textfiels Bold 3 3 2 2" xfId="1473" xr:uid="{00000000-0005-0000-0000-0000C0050000}"/>
    <cellStyle name="Normal GHG Textfiels Bold 3 3 2 2 2" xfId="1474" xr:uid="{00000000-0005-0000-0000-0000C1050000}"/>
    <cellStyle name="Normal GHG Textfiels Bold 3 3 2 3" xfId="1475" xr:uid="{00000000-0005-0000-0000-0000C2050000}"/>
    <cellStyle name="Normal GHG Textfiels Bold 3 3 3" xfId="1476" xr:uid="{00000000-0005-0000-0000-0000C3050000}"/>
    <cellStyle name="Normal GHG Textfiels Bold 3 3 3 2" xfId="1477" xr:uid="{00000000-0005-0000-0000-0000C4050000}"/>
    <cellStyle name="Normal GHG Textfiels Bold 3 3 3 2 2" xfId="1478" xr:uid="{00000000-0005-0000-0000-0000C5050000}"/>
    <cellStyle name="Normal GHG Textfiels Bold 3 3 3 3" xfId="1479" xr:uid="{00000000-0005-0000-0000-0000C6050000}"/>
    <cellStyle name="Normal GHG Textfiels Bold 3 3 4" xfId="1480" xr:uid="{00000000-0005-0000-0000-0000C7050000}"/>
    <cellStyle name="Normal GHG Textfiels Bold 3 3 4 2" xfId="1481" xr:uid="{00000000-0005-0000-0000-0000C8050000}"/>
    <cellStyle name="Normal GHG Textfiels Bold 3 3 4 2 2" xfId="1482" xr:uid="{00000000-0005-0000-0000-0000C9050000}"/>
    <cellStyle name="Normal GHG Textfiels Bold 3 3 4 3" xfId="1483" xr:uid="{00000000-0005-0000-0000-0000CA050000}"/>
    <cellStyle name="Normal GHG Textfiels Bold 3 3 5" xfId="1484" xr:uid="{00000000-0005-0000-0000-0000CB050000}"/>
    <cellStyle name="Normal GHG Textfiels Bold 3 4" xfId="1485" xr:uid="{00000000-0005-0000-0000-0000CC050000}"/>
    <cellStyle name="Normal GHG Textfiels Bold 4" xfId="1486" xr:uid="{00000000-0005-0000-0000-0000CD050000}"/>
    <cellStyle name="Normal GHG whole table" xfId="1487" xr:uid="{00000000-0005-0000-0000-0000CE050000}"/>
    <cellStyle name="Normal GHG whole table 2" xfId="1488" xr:uid="{00000000-0005-0000-0000-0000CF050000}"/>
    <cellStyle name="Normal GHG whole table 2 2" xfId="1489" xr:uid="{00000000-0005-0000-0000-0000D0050000}"/>
    <cellStyle name="Normal GHG whole table 2 2 2" xfId="1490" xr:uid="{00000000-0005-0000-0000-0000D1050000}"/>
    <cellStyle name="Normal GHG whole table 2 2 2 2" xfId="1491" xr:uid="{00000000-0005-0000-0000-0000D2050000}"/>
    <cellStyle name="Normal GHG whole table 2 2 3" xfId="1492" xr:uid="{00000000-0005-0000-0000-0000D3050000}"/>
    <cellStyle name="Normal GHG whole table 2 3" xfId="1493" xr:uid="{00000000-0005-0000-0000-0000D4050000}"/>
    <cellStyle name="Normal GHG whole table 2 3 2" xfId="1494" xr:uid="{00000000-0005-0000-0000-0000D5050000}"/>
    <cellStyle name="Normal GHG whole table 2 4" xfId="1495" xr:uid="{00000000-0005-0000-0000-0000D6050000}"/>
    <cellStyle name="Normal GHG whole table 3" xfId="1496" xr:uid="{00000000-0005-0000-0000-0000D7050000}"/>
    <cellStyle name="Normal GHG whole table 3 2" xfId="1497" xr:uid="{00000000-0005-0000-0000-0000D8050000}"/>
    <cellStyle name="Normal GHG whole table 3 2 2" xfId="1498" xr:uid="{00000000-0005-0000-0000-0000D9050000}"/>
    <cellStyle name="Normal GHG whole table 3 2 2 2" xfId="1499" xr:uid="{00000000-0005-0000-0000-0000DA050000}"/>
    <cellStyle name="Normal GHG whole table 3 2 3" xfId="1500" xr:uid="{00000000-0005-0000-0000-0000DB050000}"/>
    <cellStyle name="Normal GHG whole table 3 3" xfId="1501" xr:uid="{00000000-0005-0000-0000-0000DC050000}"/>
    <cellStyle name="Normal GHG whole table 3 3 2" xfId="1502" xr:uid="{00000000-0005-0000-0000-0000DD050000}"/>
    <cellStyle name="Normal GHG whole table 3 3 2 2" xfId="1503" xr:uid="{00000000-0005-0000-0000-0000DE050000}"/>
    <cellStyle name="Normal GHG whole table 3 3 3" xfId="1504" xr:uid="{00000000-0005-0000-0000-0000DF050000}"/>
    <cellStyle name="Normal GHG whole table 3 4" xfId="1505" xr:uid="{00000000-0005-0000-0000-0000E0050000}"/>
    <cellStyle name="Normal GHG whole table 3 4 2" xfId="1506" xr:uid="{00000000-0005-0000-0000-0000E1050000}"/>
    <cellStyle name="Normal GHG whole table 3 4 2 2" xfId="1507" xr:uid="{00000000-0005-0000-0000-0000E2050000}"/>
    <cellStyle name="Normal GHG whole table 3 4 3" xfId="1508" xr:uid="{00000000-0005-0000-0000-0000E3050000}"/>
    <cellStyle name="Normal GHG whole table 3 5" xfId="1509" xr:uid="{00000000-0005-0000-0000-0000E4050000}"/>
    <cellStyle name="Normal GHG whole table 4" xfId="1510" xr:uid="{00000000-0005-0000-0000-0000E5050000}"/>
    <cellStyle name="Normal GHG whole table 4 2" xfId="1511" xr:uid="{00000000-0005-0000-0000-0000E6050000}"/>
    <cellStyle name="Normal GHG whole table 5" xfId="1512" xr:uid="{00000000-0005-0000-0000-0000E7050000}"/>
    <cellStyle name="Normal GHG-Shade" xfId="1513" xr:uid="{00000000-0005-0000-0000-0000E8050000}"/>
    <cellStyle name="Normal GHG-Shade 2" xfId="1514" xr:uid="{00000000-0005-0000-0000-0000E9050000}"/>
    <cellStyle name="Normal GHG-Shade 2 2" xfId="1515" xr:uid="{00000000-0005-0000-0000-0000EA050000}"/>
    <cellStyle name="Normal GHG-Shade 2 2 2" xfId="1516" xr:uid="{00000000-0005-0000-0000-0000EB050000}"/>
    <cellStyle name="Normal GHG-Shade 2 3" xfId="1517" xr:uid="{00000000-0005-0000-0000-0000EC050000}"/>
    <cellStyle name="Normal GHG-Shade 2 3 2" xfId="1518" xr:uid="{00000000-0005-0000-0000-0000ED050000}"/>
    <cellStyle name="Normal GHG-Shade 2 4" xfId="1519" xr:uid="{00000000-0005-0000-0000-0000EE050000}"/>
    <cellStyle name="Normal GHG-Shade 2 4 2" xfId="1520" xr:uid="{00000000-0005-0000-0000-0000EF050000}"/>
    <cellStyle name="Normal GHG-Shade 2 5" xfId="1521" xr:uid="{00000000-0005-0000-0000-0000F0050000}"/>
    <cellStyle name="Normal GHG-Shade 2 5 2" xfId="1522" xr:uid="{00000000-0005-0000-0000-0000F1050000}"/>
    <cellStyle name="Normal GHG-Shade 2 6" xfId="1523" xr:uid="{00000000-0005-0000-0000-0000F2050000}"/>
    <cellStyle name="Normal GHG-Shade 3" xfId="1524" xr:uid="{00000000-0005-0000-0000-0000F3050000}"/>
    <cellStyle name="Normal GHG-Shade 3 2" xfId="1525" xr:uid="{00000000-0005-0000-0000-0000F4050000}"/>
    <cellStyle name="Normal GHG-Shade 3 2 2" xfId="1526" xr:uid="{00000000-0005-0000-0000-0000F5050000}"/>
    <cellStyle name="Normal GHG-Shade 3 3" xfId="1527" xr:uid="{00000000-0005-0000-0000-0000F6050000}"/>
    <cellStyle name="Normal GHG-Shade 4" xfId="1528" xr:uid="{00000000-0005-0000-0000-0000F7050000}"/>
    <cellStyle name="Normal GHG-Shade 4 2" xfId="1529" xr:uid="{00000000-0005-0000-0000-0000F8050000}"/>
    <cellStyle name="Normal GHG-Shade 4 2 2" xfId="1530" xr:uid="{00000000-0005-0000-0000-0000F9050000}"/>
    <cellStyle name="Normal GHG-Shade 4 3" xfId="1531" xr:uid="{00000000-0005-0000-0000-0000FA050000}"/>
    <cellStyle name="Normal GHG-Shade 5" xfId="1532" xr:uid="{00000000-0005-0000-0000-0000FB050000}"/>
    <cellStyle name="Normál_Munka1" xfId="1534" xr:uid="{00000000-0005-0000-0000-0000FC050000}"/>
    <cellStyle name="Normal_restitutions" xfId="1533" xr:uid="{00000000-0005-0000-0000-0000FD050000}"/>
    <cellStyle name="Note 1" xfId="1535" xr:uid="{00000000-0005-0000-0000-0000FE050000}"/>
    <cellStyle name="Note 1 2" xfId="1536" xr:uid="{00000000-0005-0000-0000-0000FF050000}"/>
    <cellStyle name="Note 17" xfId="1537" xr:uid="{00000000-0005-0000-0000-000000060000}"/>
    <cellStyle name="Note 2" xfId="1538" xr:uid="{00000000-0005-0000-0000-000001060000}"/>
    <cellStyle name="Note 2 2" xfId="1539" xr:uid="{00000000-0005-0000-0000-000002060000}"/>
    <cellStyle name="Note 2 2 2" xfId="1540" xr:uid="{00000000-0005-0000-0000-000003060000}"/>
    <cellStyle name="Note 2 2 2 2" xfId="1541" xr:uid="{00000000-0005-0000-0000-000004060000}"/>
    <cellStyle name="Note 2 2 3" xfId="1542" xr:uid="{00000000-0005-0000-0000-000005060000}"/>
    <cellStyle name="Note 2 3" xfId="1543" xr:uid="{00000000-0005-0000-0000-000006060000}"/>
    <cellStyle name="Note 2 3 2" xfId="1544" xr:uid="{00000000-0005-0000-0000-000007060000}"/>
    <cellStyle name="Note 2 3 2 2" xfId="1545" xr:uid="{00000000-0005-0000-0000-000008060000}"/>
    <cellStyle name="Note 2 3 3" xfId="1546" xr:uid="{00000000-0005-0000-0000-000009060000}"/>
    <cellStyle name="Note 2 4" xfId="1547" xr:uid="{00000000-0005-0000-0000-00000A060000}"/>
    <cellStyle name="Note 2 4 2" xfId="1548" xr:uid="{00000000-0005-0000-0000-00000B060000}"/>
    <cellStyle name="Note 2 4 2 2" xfId="1549" xr:uid="{00000000-0005-0000-0000-00000C060000}"/>
    <cellStyle name="Note 2 4 3" xfId="1550" xr:uid="{00000000-0005-0000-0000-00000D060000}"/>
    <cellStyle name="Note 2 5" xfId="1551" xr:uid="{00000000-0005-0000-0000-00000E060000}"/>
    <cellStyle name="Note 2 5 2" xfId="1552" xr:uid="{00000000-0005-0000-0000-00000F060000}"/>
    <cellStyle name="Note 2 6" xfId="1553" xr:uid="{00000000-0005-0000-0000-000010060000}"/>
    <cellStyle name="Note 3" xfId="1554" xr:uid="{00000000-0005-0000-0000-000011060000}"/>
    <cellStyle name="Note 3 2" xfId="1555" xr:uid="{00000000-0005-0000-0000-000012060000}"/>
    <cellStyle name="Note 3 2 2" xfId="1556" xr:uid="{00000000-0005-0000-0000-000013060000}"/>
    <cellStyle name="Note 3 2 2 2" xfId="1557" xr:uid="{00000000-0005-0000-0000-000014060000}"/>
    <cellStyle name="Note 3 2 3" xfId="1558" xr:uid="{00000000-0005-0000-0000-000015060000}"/>
    <cellStyle name="Note 3 3" xfId="1559" xr:uid="{00000000-0005-0000-0000-000016060000}"/>
    <cellStyle name="Note 3 3 2" xfId="1560" xr:uid="{00000000-0005-0000-0000-000017060000}"/>
    <cellStyle name="Note 3 3 2 2" xfId="1561" xr:uid="{00000000-0005-0000-0000-000018060000}"/>
    <cellStyle name="Note 3 3 3" xfId="1562" xr:uid="{00000000-0005-0000-0000-000019060000}"/>
    <cellStyle name="Note 3 4" xfId="1563" xr:uid="{00000000-0005-0000-0000-00001A060000}"/>
    <cellStyle name="Note 3 4 2" xfId="1564" xr:uid="{00000000-0005-0000-0000-00001B060000}"/>
    <cellStyle name="Note 3 4 2 2" xfId="1565" xr:uid="{00000000-0005-0000-0000-00001C060000}"/>
    <cellStyle name="Note 3 4 3" xfId="1566" xr:uid="{00000000-0005-0000-0000-00001D060000}"/>
    <cellStyle name="Note 3 5" xfId="1567" xr:uid="{00000000-0005-0000-0000-00001E060000}"/>
    <cellStyle name="Note 3 5 2" xfId="1568" xr:uid="{00000000-0005-0000-0000-00001F060000}"/>
    <cellStyle name="Note 3 6" xfId="1569" xr:uid="{00000000-0005-0000-0000-000020060000}"/>
    <cellStyle name="Notiz" xfId="1570" xr:uid="{00000000-0005-0000-0000-000021060000}"/>
    <cellStyle name="Notiz 2" xfId="1571" xr:uid="{00000000-0005-0000-0000-000022060000}"/>
    <cellStyle name="Notiz 2 2" xfId="1572" xr:uid="{00000000-0005-0000-0000-000023060000}"/>
    <cellStyle name="Notiz 2 2 2" xfId="1573" xr:uid="{00000000-0005-0000-0000-000024060000}"/>
    <cellStyle name="Notiz 2 3" xfId="1574" xr:uid="{00000000-0005-0000-0000-000025060000}"/>
    <cellStyle name="Notiz 3" xfId="1575" xr:uid="{00000000-0005-0000-0000-000026060000}"/>
    <cellStyle name="Notiz 3 2" xfId="1576" xr:uid="{00000000-0005-0000-0000-000027060000}"/>
    <cellStyle name="Notiz 3 2 2" xfId="1577" xr:uid="{00000000-0005-0000-0000-000028060000}"/>
    <cellStyle name="Notiz 3 3" xfId="1578" xr:uid="{00000000-0005-0000-0000-000029060000}"/>
    <cellStyle name="Notiz 4" xfId="1579" xr:uid="{00000000-0005-0000-0000-00002A060000}"/>
    <cellStyle name="Notiz 4 2" xfId="1580" xr:uid="{00000000-0005-0000-0000-00002B060000}"/>
    <cellStyle name="Notiz 4 2 2" xfId="1581" xr:uid="{00000000-0005-0000-0000-00002C060000}"/>
    <cellStyle name="Notiz 4 3" xfId="1582" xr:uid="{00000000-0005-0000-0000-00002D060000}"/>
    <cellStyle name="Notiz 5" xfId="1583" xr:uid="{00000000-0005-0000-0000-00002E060000}"/>
    <cellStyle name="Notiz 5 2" xfId="1584" xr:uid="{00000000-0005-0000-0000-00002F060000}"/>
    <cellStyle name="Notiz 6" xfId="1585" xr:uid="{00000000-0005-0000-0000-000030060000}"/>
    <cellStyle name="Output 2" xfId="1586" xr:uid="{00000000-0005-0000-0000-000031060000}"/>
    <cellStyle name="Output 2 2" xfId="1587" xr:uid="{00000000-0005-0000-0000-000032060000}"/>
    <cellStyle name="Output 2 2 2" xfId="1588" xr:uid="{00000000-0005-0000-0000-000033060000}"/>
    <cellStyle name="Output 2 2 2 2" xfId="1589" xr:uid="{00000000-0005-0000-0000-000034060000}"/>
    <cellStyle name="Output 2 2 3" xfId="1590" xr:uid="{00000000-0005-0000-0000-000035060000}"/>
    <cellStyle name="Output 2 3" xfId="1591" xr:uid="{00000000-0005-0000-0000-000036060000}"/>
    <cellStyle name="Output 2 3 2" xfId="1592" xr:uid="{00000000-0005-0000-0000-000037060000}"/>
    <cellStyle name="Output 2 3 2 2" xfId="1593" xr:uid="{00000000-0005-0000-0000-000038060000}"/>
    <cellStyle name="Output 2 3 3" xfId="1594" xr:uid="{00000000-0005-0000-0000-000039060000}"/>
    <cellStyle name="Output 2 4" xfId="1595" xr:uid="{00000000-0005-0000-0000-00003A060000}"/>
    <cellStyle name="Output 2 4 2" xfId="1596" xr:uid="{00000000-0005-0000-0000-00003B060000}"/>
    <cellStyle name="Output 2 5" xfId="1597" xr:uid="{00000000-0005-0000-0000-00003C060000}"/>
    <cellStyle name="Output 3" xfId="1598" xr:uid="{00000000-0005-0000-0000-00003D060000}"/>
    <cellStyle name="Output 3 2" xfId="1599" xr:uid="{00000000-0005-0000-0000-00003E060000}"/>
    <cellStyle name="Output 3 2 2" xfId="1600" xr:uid="{00000000-0005-0000-0000-00003F060000}"/>
    <cellStyle name="Output 3 2 2 2" xfId="1601" xr:uid="{00000000-0005-0000-0000-000040060000}"/>
    <cellStyle name="Output 3 2 3" xfId="1602" xr:uid="{00000000-0005-0000-0000-000041060000}"/>
    <cellStyle name="Output 3 3" xfId="1603" xr:uid="{00000000-0005-0000-0000-000042060000}"/>
    <cellStyle name="Output 3 3 2" xfId="1604" xr:uid="{00000000-0005-0000-0000-000043060000}"/>
    <cellStyle name="Output 3 3 2 2" xfId="1605" xr:uid="{00000000-0005-0000-0000-000044060000}"/>
    <cellStyle name="Output 3 3 3" xfId="1606" xr:uid="{00000000-0005-0000-0000-000045060000}"/>
    <cellStyle name="Output 3 4" xfId="1607" xr:uid="{00000000-0005-0000-0000-000046060000}"/>
    <cellStyle name="Output 3 4 2" xfId="1608" xr:uid="{00000000-0005-0000-0000-000047060000}"/>
    <cellStyle name="Output 3 5" xfId="1609" xr:uid="{00000000-0005-0000-0000-000048060000}"/>
    <cellStyle name="Pattern" xfId="1610" xr:uid="{00000000-0005-0000-0000-000049060000}"/>
    <cellStyle name="Pattern 2" xfId="1611" xr:uid="{00000000-0005-0000-0000-00004A060000}"/>
    <cellStyle name="Pattern 2 2" xfId="1612" xr:uid="{00000000-0005-0000-0000-00004B060000}"/>
    <cellStyle name="Pattern 2 2 2" xfId="1613" xr:uid="{00000000-0005-0000-0000-00004C060000}"/>
    <cellStyle name="Pattern 2 2 2 2" xfId="1614" xr:uid="{00000000-0005-0000-0000-00004D060000}"/>
    <cellStyle name="Pattern 2 2 3" xfId="1615" xr:uid="{00000000-0005-0000-0000-00004E060000}"/>
    <cellStyle name="Pattern 2 3" xfId="1616" xr:uid="{00000000-0005-0000-0000-00004F060000}"/>
    <cellStyle name="Pattern 2 3 2" xfId="1617" xr:uid="{00000000-0005-0000-0000-000050060000}"/>
    <cellStyle name="Pattern 2 4" xfId="1618" xr:uid="{00000000-0005-0000-0000-000051060000}"/>
    <cellStyle name="Pattern 3" xfId="1619" xr:uid="{00000000-0005-0000-0000-000052060000}"/>
    <cellStyle name="Pattern 3 2" xfId="1620" xr:uid="{00000000-0005-0000-0000-000053060000}"/>
    <cellStyle name="Pattern 3 2 2" xfId="1621" xr:uid="{00000000-0005-0000-0000-000054060000}"/>
    <cellStyle name="Pattern 3 2 2 2" xfId="1622" xr:uid="{00000000-0005-0000-0000-000055060000}"/>
    <cellStyle name="Pattern 3 2 3" xfId="1623" xr:uid="{00000000-0005-0000-0000-000056060000}"/>
    <cellStyle name="Pattern 3 3" xfId="1624" xr:uid="{00000000-0005-0000-0000-000057060000}"/>
    <cellStyle name="Pattern 3 3 2" xfId="1625" xr:uid="{00000000-0005-0000-0000-000058060000}"/>
    <cellStyle name="Pattern 3 3 2 2" xfId="1626" xr:uid="{00000000-0005-0000-0000-000059060000}"/>
    <cellStyle name="Pattern 3 3 3" xfId="1627" xr:uid="{00000000-0005-0000-0000-00005A060000}"/>
    <cellStyle name="Pattern 3 4" xfId="1628" xr:uid="{00000000-0005-0000-0000-00005B060000}"/>
    <cellStyle name="Pattern 3 4 2" xfId="1629" xr:uid="{00000000-0005-0000-0000-00005C060000}"/>
    <cellStyle name="Pattern 3 4 2 2" xfId="1630" xr:uid="{00000000-0005-0000-0000-00005D060000}"/>
    <cellStyle name="Pattern 3 4 3" xfId="1631" xr:uid="{00000000-0005-0000-0000-00005E060000}"/>
    <cellStyle name="Pattern 3 5" xfId="1632" xr:uid="{00000000-0005-0000-0000-00005F060000}"/>
    <cellStyle name="Pattern 4" xfId="1633" xr:uid="{00000000-0005-0000-0000-000060060000}"/>
    <cellStyle name="Percent 2" xfId="1634" xr:uid="{00000000-0005-0000-0000-000061060000}"/>
    <cellStyle name="Percent 2 2" xfId="1635" xr:uid="{00000000-0005-0000-0000-000062060000}"/>
    <cellStyle name="Percent 2 2 2" xfId="1636" xr:uid="{00000000-0005-0000-0000-000063060000}"/>
    <cellStyle name="Percent 2 3" xfId="1637" xr:uid="{00000000-0005-0000-0000-000064060000}"/>
    <cellStyle name="Pourcentage" xfId="2" builtinId="5"/>
    <cellStyle name="Pourcentage 2" xfId="1638" xr:uid="{00000000-0005-0000-0000-000066060000}"/>
    <cellStyle name="Pourcentage 2 2" xfId="1639" xr:uid="{00000000-0005-0000-0000-000067060000}"/>
    <cellStyle name="Pourcentage 2 2 2" xfId="1640" xr:uid="{00000000-0005-0000-0000-000068060000}"/>
    <cellStyle name="Pourcentage 2 3" xfId="1641" xr:uid="{00000000-0005-0000-0000-000069060000}"/>
    <cellStyle name="Pourcentage 3" xfId="1642" xr:uid="{00000000-0005-0000-0000-00006A060000}"/>
    <cellStyle name="Pourcentage 3 2" xfId="1643" xr:uid="{00000000-0005-0000-0000-00006B060000}"/>
    <cellStyle name="Pourcentage 4" xfId="1644" xr:uid="{00000000-0005-0000-0000-00006C060000}"/>
    <cellStyle name="Pourcentage 4 2" xfId="1645" xr:uid="{00000000-0005-0000-0000-00006D060000}"/>
    <cellStyle name="Pourcentage 5" xfId="1646" xr:uid="{00000000-0005-0000-0000-00006E060000}"/>
    <cellStyle name="RowLevel_1 2" xfId="1647" xr:uid="{00000000-0005-0000-0000-00006F060000}"/>
    <cellStyle name="Schlecht" xfId="1648" xr:uid="{00000000-0005-0000-0000-000070060000}"/>
    <cellStyle name="Schlecht 2" xfId="1649" xr:uid="{00000000-0005-0000-0000-000071060000}"/>
    <cellStyle name="Shade" xfId="1650" xr:uid="{00000000-0005-0000-0000-000072060000}"/>
    <cellStyle name="Shade 2" xfId="1651" xr:uid="{00000000-0005-0000-0000-000073060000}"/>
    <cellStyle name="Shade 2 2" xfId="1652" xr:uid="{00000000-0005-0000-0000-000074060000}"/>
    <cellStyle name="Shade 2 2 2" xfId="1653" xr:uid="{00000000-0005-0000-0000-000075060000}"/>
    <cellStyle name="Shade 2 2 2 2" xfId="1654" xr:uid="{00000000-0005-0000-0000-000076060000}"/>
    <cellStyle name="Shade 2 2 2 2 2" xfId="1655" xr:uid="{00000000-0005-0000-0000-000077060000}"/>
    <cellStyle name="Shade 2 2 2 3" xfId="1656" xr:uid="{00000000-0005-0000-0000-000078060000}"/>
    <cellStyle name="Shade 2 2 3" xfId="1657" xr:uid="{00000000-0005-0000-0000-000079060000}"/>
    <cellStyle name="Shade 2 2 3 2" xfId="1658" xr:uid="{00000000-0005-0000-0000-00007A060000}"/>
    <cellStyle name="Shade 2 2 4" xfId="1659" xr:uid="{00000000-0005-0000-0000-00007B060000}"/>
    <cellStyle name="Shade 2 3" xfId="1660" xr:uid="{00000000-0005-0000-0000-00007C060000}"/>
    <cellStyle name="Shade 2 3 2" xfId="1661" xr:uid="{00000000-0005-0000-0000-00007D060000}"/>
    <cellStyle name="Shade 2 3 2 2" xfId="1662" xr:uid="{00000000-0005-0000-0000-00007E060000}"/>
    <cellStyle name="Shade 2 3 2 2 2" xfId="1663" xr:uid="{00000000-0005-0000-0000-00007F060000}"/>
    <cellStyle name="Shade 2 3 2 3" xfId="1664" xr:uid="{00000000-0005-0000-0000-000080060000}"/>
    <cellStyle name="Shade 2 3 3" xfId="1665" xr:uid="{00000000-0005-0000-0000-000081060000}"/>
    <cellStyle name="Shade 2 3 3 2" xfId="1666" xr:uid="{00000000-0005-0000-0000-000082060000}"/>
    <cellStyle name="Shade 2 3 3 2 2" xfId="1667" xr:uid="{00000000-0005-0000-0000-000083060000}"/>
    <cellStyle name="Shade 2 3 3 3" xfId="1668" xr:uid="{00000000-0005-0000-0000-000084060000}"/>
    <cellStyle name="Shade 2 3 4" xfId="1669" xr:uid="{00000000-0005-0000-0000-000085060000}"/>
    <cellStyle name="Shade 2 3 4 2" xfId="1670" xr:uid="{00000000-0005-0000-0000-000086060000}"/>
    <cellStyle name="Shade 2 3 4 2 2" xfId="1671" xr:uid="{00000000-0005-0000-0000-000087060000}"/>
    <cellStyle name="Shade 2 3 4 3" xfId="1672" xr:uid="{00000000-0005-0000-0000-000088060000}"/>
    <cellStyle name="Shade 2 3 5" xfId="1673" xr:uid="{00000000-0005-0000-0000-000089060000}"/>
    <cellStyle name="Shade 2 4" xfId="1674" xr:uid="{00000000-0005-0000-0000-00008A060000}"/>
    <cellStyle name="Shade 3" xfId="1675" xr:uid="{00000000-0005-0000-0000-00008B060000}"/>
    <cellStyle name="Shade 3 2" xfId="1676" xr:uid="{00000000-0005-0000-0000-00008C060000}"/>
    <cellStyle name="Shade 3 2 2" xfId="1677" xr:uid="{00000000-0005-0000-0000-00008D060000}"/>
    <cellStyle name="Shade 3 2 2 2" xfId="1678" xr:uid="{00000000-0005-0000-0000-00008E060000}"/>
    <cellStyle name="Shade 3 2 3" xfId="1679" xr:uid="{00000000-0005-0000-0000-00008F060000}"/>
    <cellStyle name="Shade 3 3" xfId="1680" xr:uid="{00000000-0005-0000-0000-000090060000}"/>
    <cellStyle name="Shade 3 3 2" xfId="1681" xr:uid="{00000000-0005-0000-0000-000091060000}"/>
    <cellStyle name="Shade 3 4" xfId="1682" xr:uid="{00000000-0005-0000-0000-000092060000}"/>
    <cellStyle name="Shade 4" xfId="1683" xr:uid="{00000000-0005-0000-0000-000093060000}"/>
    <cellStyle name="Shade 4 2" xfId="1684" xr:uid="{00000000-0005-0000-0000-000094060000}"/>
    <cellStyle name="Shade 4 2 2" xfId="1685" xr:uid="{00000000-0005-0000-0000-000095060000}"/>
    <cellStyle name="Shade 4 2 2 2" xfId="1686" xr:uid="{00000000-0005-0000-0000-000096060000}"/>
    <cellStyle name="Shade 4 2 3" xfId="1687" xr:uid="{00000000-0005-0000-0000-000097060000}"/>
    <cellStyle name="Shade 4 2 3 2" xfId="1688" xr:uid="{00000000-0005-0000-0000-000098060000}"/>
    <cellStyle name="Shade 4 2 4" xfId="1689" xr:uid="{00000000-0005-0000-0000-000099060000}"/>
    <cellStyle name="Shade 4 3" xfId="1690" xr:uid="{00000000-0005-0000-0000-00009A060000}"/>
    <cellStyle name="Shade 4 3 2" xfId="1691" xr:uid="{00000000-0005-0000-0000-00009B060000}"/>
    <cellStyle name="Shade 4 3 2 2" xfId="1692" xr:uid="{00000000-0005-0000-0000-00009C060000}"/>
    <cellStyle name="Shade 4 3 3" xfId="1693" xr:uid="{00000000-0005-0000-0000-00009D060000}"/>
    <cellStyle name="Shade 4 4" xfId="1694" xr:uid="{00000000-0005-0000-0000-00009E060000}"/>
    <cellStyle name="Shade 4 4 2" xfId="1695" xr:uid="{00000000-0005-0000-0000-00009F060000}"/>
    <cellStyle name="Shade 4 4 2 2" xfId="1696" xr:uid="{00000000-0005-0000-0000-0000A0060000}"/>
    <cellStyle name="Shade 4 4 3" xfId="1697" xr:uid="{00000000-0005-0000-0000-0000A1060000}"/>
    <cellStyle name="Shade 4 5" xfId="1698" xr:uid="{00000000-0005-0000-0000-0000A2060000}"/>
    <cellStyle name="Shade 5" xfId="1699" xr:uid="{00000000-0005-0000-0000-0000A3060000}"/>
    <cellStyle name="Shade 5 2" xfId="1700" xr:uid="{00000000-0005-0000-0000-0000A4060000}"/>
    <cellStyle name="Shade 6" xfId="1701" xr:uid="{00000000-0005-0000-0000-0000A5060000}"/>
    <cellStyle name="Shade_B_border2" xfId="1702" xr:uid="{00000000-0005-0000-0000-0000A6060000}"/>
    <cellStyle name="Standard 2" xfId="1703" xr:uid="{00000000-0005-0000-0000-0000A7060000}"/>
    <cellStyle name="Standard 2 2" xfId="1704" xr:uid="{00000000-0005-0000-0000-0000A8060000}"/>
    <cellStyle name="Standard 2 2 2" xfId="1705" xr:uid="{00000000-0005-0000-0000-0000A9060000}"/>
    <cellStyle name="Standard 2 2 2 2" xfId="1706" xr:uid="{00000000-0005-0000-0000-0000AA060000}"/>
    <cellStyle name="Standard 2 2 3" xfId="1707" xr:uid="{00000000-0005-0000-0000-0000AB060000}"/>
    <cellStyle name="Standard 2 3" xfId="1708" xr:uid="{00000000-0005-0000-0000-0000AC060000}"/>
    <cellStyle name="Standard 2 3 2" xfId="1709" xr:uid="{00000000-0005-0000-0000-0000AD060000}"/>
    <cellStyle name="Standard 2 4" xfId="1710" xr:uid="{00000000-0005-0000-0000-0000AE060000}"/>
    <cellStyle name="Status 1" xfId="1711" xr:uid="{00000000-0005-0000-0000-0000AF060000}"/>
    <cellStyle name="Status 1 2" xfId="1712" xr:uid="{00000000-0005-0000-0000-0000B0060000}"/>
    <cellStyle name="Status 18" xfId="1713" xr:uid="{00000000-0005-0000-0000-0000B1060000}"/>
    <cellStyle name="Text 1" xfId="1714" xr:uid="{00000000-0005-0000-0000-0000B2060000}"/>
    <cellStyle name="Text 1 2" xfId="1715" xr:uid="{00000000-0005-0000-0000-0000B3060000}"/>
    <cellStyle name="Text 19" xfId="1716" xr:uid="{00000000-0005-0000-0000-0000B4060000}"/>
    <cellStyle name="Texte explicatif 2" xfId="1717" xr:uid="{00000000-0005-0000-0000-0000B5060000}"/>
    <cellStyle name="Texte explicatif 2 2" xfId="1718" xr:uid="{00000000-0005-0000-0000-0000B6060000}"/>
    <cellStyle name="Title 2" xfId="1719" xr:uid="{00000000-0005-0000-0000-0000B7060000}"/>
    <cellStyle name="Title 2 2" xfId="1720" xr:uid="{00000000-0005-0000-0000-0000B8060000}"/>
    <cellStyle name="Title 3" xfId="1721" xr:uid="{00000000-0005-0000-0000-0000B9060000}"/>
    <cellStyle name="Title 3 2" xfId="1722" xr:uid="{00000000-0005-0000-0000-0000BA060000}"/>
    <cellStyle name="Total 2" xfId="1723" xr:uid="{00000000-0005-0000-0000-0000BB060000}"/>
    <cellStyle name="Total 2 2" xfId="1724" xr:uid="{00000000-0005-0000-0000-0000BC060000}"/>
    <cellStyle name="Total 2 2 2" xfId="1725" xr:uid="{00000000-0005-0000-0000-0000BD060000}"/>
    <cellStyle name="Total 2 2 2 2" xfId="1726" xr:uid="{00000000-0005-0000-0000-0000BE060000}"/>
    <cellStyle name="Total 2 2 3" xfId="1727" xr:uid="{00000000-0005-0000-0000-0000BF060000}"/>
    <cellStyle name="Total 2 3" xfId="1728" xr:uid="{00000000-0005-0000-0000-0000C0060000}"/>
    <cellStyle name="Total 2 3 2" xfId="1729" xr:uid="{00000000-0005-0000-0000-0000C1060000}"/>
    <cellStyle name="Total 2 3 2 2" xfId="1730" xr:uid="{00000000-0005-0000-0000-0000C2060000}"/>
    <cellStyle name="Total 2 3 3" xfId="1731" xr:uid="{00000000-0005-0000-0000-0000C3060000}"/>
    <cellStyle name="Total 2 4" xfId="1732" xr:uid="{00000000-0005-0000-0000-0000C4060000}"/>
    <cellStyle name="Total 2 4 2" xfId="1733" xr:uid="{00000000-0005-0000-0000-0000C5060000}"/>
    <cellStyle name="Total 2 4 2 2" xfId="1734" xr:uid="{00000000-0005-0000-0000-0000C6060000}"/>
    <cellStyle name="Total 2 4 3" xfId="1735" xr:uid="{00000000-0005-0000-0000-0000C7060000}"/>
    <cellStyle name="Total 2 5" xfId="1736" xr:uid="{00000000-0005-0000-0000-0000C8060000}"/>
    <cellStyle name="Total 2 5 2" xfId="1737" xr:uid="{00000000-0005-0000-0000-0000C9060000}"/>
    <cellStyle name="Total 2 6" xfId="1738" xr:uid="{00000000-0005-0000-0000-0000CA060000}"/>
    <cellStyle name="Total 3" xfId="1739" xr:uid="{00000000-0005-0000-0000-0000CB060000}"/>
    <cellStyle name="Total 3 2" xfId="1740" xr:uid="{00000000-0005-0000-0000-0000CC060000}"/>
    <cellStyle name="Total 3 2 2" xfId="1741" xr:uid="{00000000-0005-0000-0000-0000CD060000}"/>
    <cellStyle name="Total 3 2 2 2" xfId="1742" xr:uid="{00000000-0005-0000-0000-0000CE060000}"/>
    <cellStyle name="Total 3 2 3" xfId="1743" xr:uid="{00000000-0005-0000-0000-0000CF060000}"/>
    <cellStyle name="Total 3 3" xfId="1744" xr:uid="{00000000-0005-0000-0000-0000D0060000}"/>
    <cellStyle name="Total 3 3 2" xfId="1745" xr:uid="{00000000-0005-0000-0000-0000D1060000}"/>
    <cellStyle name="Total 3 3 2 2" xfId="1746" xr:uid="{00000000-0005-0000-0000-0000D2060000}"/>
    <cellStyle name="Total 3 3 3" xfId="1747" xr:uid="{00000000-0005-0000-0000-0000D3060000}"/>
    <cellStyle name="Total 3 4" xfId="1748" xr:uid="{00000000-0005-0000-0000-0000D4060000}"/>
    <cellStyle name="Total 3 4 2" xfId="1749" xr:uid="{00000000-0005-0000-0000-0000D5060000}"/>
    <cellStyle name="Total 3 4 2 2" xfId="1750" xr:uid="{00000000-0005-0000-0000-0000D6060000}"/>
    <cellStyle name="Total 3 4 3" xfId="1751" xr:uid="{00000000-0005-0000-0000-0000D7060000}"/>
    <cellStyle name="Total 3 5" xfId="1752" xr:uid="{00000000-0005-0000-0000-0000D8060000}"/>
    <cellStyle name="Total 3 5 2" xfId="1753" xr:uid="{00000000-0005-0000-0000-0000D9060000}"/>
    <cellStyle name="Total 3 6" xfId="1754" xr:uid="{00000000-0005-0000-0000-0000DA060000}"/>
    <cellStyle name="Überschrift" xfId="1773" xr:uid="{00000000-0005-0000-0000-0000DB060000}"/>
    <cellStyle name="Überschrift 1" xfId="1774" xr:uid="{00000000-0005-0000-0000-0000DC060000}"/>
    <cellStyle name="Überschrift 1 2" xfId="1775" xr:uid="{00000000-0005-0000-0000-0000DD060000}"/>
    <cellStyle name="Überschrift 2" xfId="1776" xr:uid="{00000000-0005-0000-0000-0000DE060000}"/>
    <cellStyle name="Überschrift 2 2" xfId="1777" xr:uid="{00000000-0005-0000-0000-0000DF060000}"/>
    <cellStyle name="Überschrift 3" xfId="1778" xr:uid="{00000000-0005-0000-0000-0000E0060000}"/>
    <cellStyle name="Überschrift 3 2" xfId="1779" xr:uid="{00000000-0005-0000-0000-0000E1060000}"/>
    <cellStyle name="Überschrift 4" xfId="1780" xr:uid="{00000000-0005-0000-0000-0000E2060000}"/>
    <cellStyle name="Überschrift 4 2" xfId="1781" xr:uid="{00000000-0005-0000-0000-0000E3060000}"/>
    <cellStyle name="Überschrift 5" xfId="1782" xr:uid="{00000000-0005-0000-0000-0000E4060000}"/>
    <cellStyle name="Variable1" xfId="1755" xr:uid="{00000000-0005-0000-0000-0000E5060000}"/>
    <cellStyle name="VariableG_3" xfId="1756" xr:uid="{00000000-0005-0000-0000-0000E6060000}"/>
    <cellStyle name="VariableW_3" xfId="1757" xr:uid="{00000000-0005-0000-0000-0000E7060000}"/>
    <cellStyle name="Verknüpfte Zelle" xfId="1758" xr:uid="{00000000-0005-0000-0000-0000E8060000}"/>
    <cellStyle name="Verknüpfte Zelle 2" xfId="1759" xr:uid="{00000000-0005-0000-0000-0000E9060000}"/>
    <cellStyle name="Warnender Text 2" xfId="1760" xr:uid="{00000000-0005-0000-0000-0000EA060000}"/>
    <cellStyle name="Warnender Text 2 2" xfId="1761" xr:uid="{00000000-0005-0000-0000-0000EB060000}"/>
    <cellStyle name="Warnender Text 3" xfId="1762" xr:uid="{00000000-0005-0000-0000-0000EC060000}"/>
    <cellStyle name="Warnender Text 3 2" xfId="1763" xr:uid="{00000000-0005-0000-0000-0000ED060000}"/>
    <cellStyle name="Warning 1" xfId="1764" xr:uid="{00000000-0005-0000-0000-0000EE060000}"/>
    <cellStyle name="Warning 1 2" xfId="1765" xr:uid="{00000000-0005-0000-0000-0000EF060000}"/>
    <cellStyle name="Warning 20" xfId="1766" xr:uid="{00000000-0005-0000-0000-0000F0060000}"/>
    <cellStyle name="Warning Text 2" xfId="1767" xr:uid="{00000000-0005-0000-0000-0000F1060000}"/>
    <cellStyle name="Warning Text 2 2" xfId="1768" xr:uid="{00000000-0005-0000-0000-0000F2060000}"/>
    <cellStyle name="Warning Text 3" xfId="1769" xr:uid="{00000000-0005-0000-0000-0000F3060000}"/>
    <cellStyle name="Warning Text 3 2" xfId="1770" xr:uid="{00000000-0005-0000-0000-0000F4060000}"/>
    <cellStyle name="Zelle überprüfen" xfId="1771" xr:uid="{00000000-0005-0000-0000-0000F5060000}"/>
    <cellStyle name="Zelle überprüfen 2" xfId="1772" xr:uid="{00000000-0005-0000-0000-0000F6060000}"/>
    <cellStyle name="Гиперссылка" xfId="1783" xr:uid="{00000000-0005-0000-0000-0000F7060000}"/>
    <cellStyle name="Гиперссылка 2" xfId="1784" xr:uid="{00000000-0005-0000-0000-0000F8060000}"/>
    <cellStyle name="Гиперссылка 2 2" xfId="1785" xr:uid="{00000000-0005-0000-0000-0000F9060000}"/>
    <cellStyle name="Гиперссылка 3" xfId="1786" xr:uid="{00000000-0005-0000-0000-0000FA060000}"/>
    <cellStyle name="Гиперссылка 3 2" xfId="1787" xr:uid="{00000000-0005-0000-0000-0000FB060000}"/>
    <cellStyle name="Гиперссылка 4" xfId="1788" xr:uid="{00000000-0005-0000-0000-0000FC060000}"/>
    <cellStyle name="Гиперссылка 4 2" xfId="1789" xr:uid="{00000000-0005-0000-0000-0000FD060000}"/>
    <cellStyle name="Гиперссылка 5" xfId="1790" xr:uid="{00000000-0005-0000-0000-0000FE060000}"/>
    <cellStyle name="Обычный_2++" xfId="1791" xr:uid="{00000000-0005-0000-0000-0000FF060000}"/>
  </cellStyles>
  <dxfs count="0"/>
  <tableStyles count="0" defaultTableStyle="TableStyleMedium2" defaultPivotStyle="PivotStyleLight16"/>
  <colors>
    <indexedColors>
      <rgbColor rgb="FF000000"/>
      <rgbColor rgb="FFFFFFFF"/>
      <rgbColor rgb="FFFF0000"/>
      <rgbColor rgb="FF00FF00"/>
      <rgbColor rgb="FF0000FF"/>
      <rgbColor rgb="FFFFFF00"/>
      <rgbColor rgb="FFBFBFBF"/>
      <rgbColor rgb="FFB4C7E5"/>
      <rgbColor rgb="FFC40000"/>
      <rgbColor rgb="FF148317"/>
      <rgbColor rgb="FFE9E3F2"/>
      <rgbColor rgb="FFED7D31"/>
      <rgbColor rgb="FF800080"/>
      <rgbColor rgb="FF296098"/>
      <rgbColor rgb="FFC0C0C0"/>
      <rgbColor rgb="FF808080"/>
      <rgbColor rgb="FFA9A7A7"/>
      <rgbColor rgb="FF7A2D99"/>
      <rgbColor rgb="FFFFFFC8"/>
      <rgbColor rgb="FFCCFFFF"/>
      <rgbColor rgb="FFCCCCCC"/>
      <rgbColor rgb="FFFF898C"/>
      <rgbColor rgb="FF006DB4"/>
      <rgbColor rgb="FFCAD0FE"/>
      <rgbColor rgb="FFF2F2F2"/>
      <rgbColor rgb="FFB7C5DB"/>
      <rgbColor rgb="FFFFC000"/>
      <rgbColor rgb="FFBDD7EE"/>
      <rgbColor rgb="FFED661E"/>
      <rgbColor rgb="FFCC0101"/>
      <rgbColor rgb="FF2F5597"/>
      <rgbColor rgb="FFE0E3F2"/>
      <rgbColor rgb="FF9DC3E6"/>
      <rgbColor rgb="FFDEEBF7"/>
      <rgbColor rgb="FFCCFFCC"/>
      <rgbColor rgb="FFE2F0D9"/>
      <rgbColor rgb="FF9ACBFD"/>
      <rgbColor rgb="FFFF99CC"/>
      <rgbColor rgb="FFCC99FF"/>
      <rgbColor rgb="FFFFCC9B"/>
      <rgbColor rgb="FF3D7AC0"/>
      <rgbColor rgb="FF33CCCC"/>
      <rgbColor rgb="FF73AF45"/>
      <rgbColor rgb="FFFFCC00"/>
      <rgbColor rgb="FFFF9900"/>
      <rgbColor rgb="FFFF5900"/>
      <rgbColor rgb="FF2E66A0"/>
      <rgbColor rgb="FF959698"/>
      <rgbColor rgb="FF013347"/>
      <rgbColor rgb="FF508B36"/>
      <rgbColor rgb="FFD8D8D8"/>
      <rgbColor rgb="FFFF9109"/>
      <rgbColor rgb="FF72521C"/>
      <rgbColor rgb="FFF86032"/>
      <rgbColor rgb="FF333399"/>
      <rgbColor rgb="FF30343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Evolution des niveaux de production (indice 2019)</a:t>
            </a:r>
          </a:p>
        </c:rich>
      </c:tx>
      <c:overlay val="0"/>
      <c:spPr>
        <a:noFill/>
        <a:ln>
          <a:noFill/>
        </a:ln>
      </c:spPr>
    </c:title>
    <c:autoTitleDeleted val="0"/>
    <c:plotArea>
      <c:layout>
        <c:manualLayout>
          <c:layoutTarget val="inner"/>
          <c:xMode val="edge"/>
          <c:yMode val="edge"/>
          <c:x val="6.8738110336081196E-2"/>
          <c:y val="0.13943496940502501"/>
          <c:w val="0.87818642993024698"/>
          <c:h val="0.66098164301523199"/>
        </c:manualLayout>
      </c:layout>
      <c:scatterChart>
        <c:scatterStyle val="lineMarker"/>
        <c:varyColors val="0"/>
        <c:ser>
          <c:idx val="0"/>
          <c:order val="0"/>
          <c:tx>
            <c:strRef>
              <c:f>IGCE!$B$143</c:f>
              <c:strCache>
                <c:ptCount val="1"/>
                <c:pt idx="0">
                  <c:v>IGCE AMS</c:v>
                </c:pt>
              </c:strCache>
            </c:strRef>
          </c:tx>
          <c:spPr>
            <a:ln w="19080">
              <a:solidFill>
                <a:srgbClr val="5B9BD5"/>
              </a:solidFill>
              <a:round/>
            </a:ln>
          </c:spPr>
          <c:marker>
            <c:symbol val="circle"/>
            <c:size val="5"/>
            <c:spPr>
              <a:solidFill>
                <a:srgbClr val="5B9BD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IGCE!$C$119:$J$119</c:f>
              <c:numCache>
                <c:formatCode>General</c:formatCode>
                <c:ptCount val="8"/>
                <c:pt idx="0">
                  <c:v>2019</c:v>
                </c:pt>
                <c:pt idx="1">
                  <c:v>2020</c:v>
                </c:pt>
                <c:pt idx="2">
                  <c:v>2025</c:v>
                </c:pt>
                <c:pt idx="3">
                  <c:v>2030</c:v>
                </c:pt>
                <c:pt idx="4">
                  <c:v>2035</c:v>
                </c:pt>
                <c:pt idx="5">
                  <c:v>2040</c:v>
                </c:pt>
                <c:pt idx="6">
                  <c:v>2045</c:v>
                </c:pt>
                <c:pt idx="7">
                  <c:v>2050</c:v>
                </c:pt>
              </c:numCache>
            </c:numRef>
          </c:xVal>
          <c:yVal>
            <c:numRef>
              <c:f>IGCE!$C$135:$J$135</c:f>
              <c:numCache>
                <c:formatCode>General</c:formatCode>
                <c:ptCount val="8"/>
                <c:pt idx="0">
                  <c:v>1</c:v>
                </c:pt>
                <c:pt idx="1">
                  <c:v>0.85749020219596406</c:v>
                </c:pt>
                <c:pt idx="2">
                  <c:v>0.96624003182112683</c:v>
                </c:pt>
                <c:pt idx="3">
                  <c:v>0.93455044887886407</c:v>
                </c:pt>
                <c:pt idx="4">
                  <c:v>0.91339839073916274</c:v>
                </c:pt>
                <c:pt idx="5">
                  <c:v>0.89233050195127472</c:v>
                </c:pt>
                <c:pt idx="6">
                  <c:v>0.87102311683177558</c:v>
                </c:pt>
                <c:pt idx="7">
                  <c:v>0.84969337925109389</c:v>
                </c:pt>
              </c:numCache>
            </c:numRef>
          </c:yVal>
          <c:smooth val="1"/>
          <c:extLst>
            <c:ext xmlns:c16="http://schemas.microsoft.com/office/drawing/2014/chart" uri="{C3380CC4-5D6E-409C-BE32-E72D297353CC}">
              <c16:uniqueId val="{00000000-5500-4DC4-8946-4F05C21D521F}"/>
            </c:ext>
          </c:extLst>
        </c:ser>
        <c:ser>
          <c:idx val="1"/>
          <c:order val="1"/>
          <c:tx>
            <c:strRef>
              <c:f>IGCE!$B$145</c:f>
              <c:strCache>
                <c:ptCount val="1"/>
                <c:pt idx="0">
                  <c:v>Diffus AMS</c:v>
                </c:pt>
              </c:strCache>
            </c:strRef>
          </c:tx>
          <c:spPr>
            <a:ln w="19080">
              <a:solidFill>
                <a:srgbClr val="ED7D31"/>
              </a:solidFill>
              <a:round/>
            </a:ln>
          </c:spPr>
          <c:marker>
            <c:symbol val="circle"/>
            <c:size val="5"/>
            <c:spPr>
              <a:solidFill>
                <a:srgbClr val="ED7D3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Diffus!$C$96:$J$96</c:f>
              <c:numCache>
                <c:formatCode>General</c:formatCode>
                <c:ptCount val="8"/>
                <c:pt idx="0">
                  <c:v>2019</c:v>
                </c:pt>
                <c:pt idx="1">
                  <c:v>2020</c:v>
                </c:pt>
                <c:pt idx="2">
                  <c:v>2025</c:v>
                </c:pt>
                <c:pt idx="3">
                  <c:v>2030</c:v>
                </c:pt>
                <c:pt idx="4">
                  <c:v>2035</c:v>
                </c:pt>
                <c:pt idx="5">
                  <c:v>2040</c:v>
                </c:pt>
                <c:pt idx="6">
                  <c:v>2045</c:v>
                </c:pt>
                <c:pt idx="7">
                  <c:v>2050</c:v>
                </c:pt>
              </c:numCache>
            </c:numRef>
          </c:xVal>
          <c:yVal>
            <c:numRef>
              <c:f>Diffus!$C$107:$J$107</c:f>
              <c:numCache>
                <c:formatCode>0.00</c:formatCode>
                <c:ptCount val="8"/>
                <c:pt idx="0" formatCode="General">
                  <c:v>1</c:v>
                </c:pt>
                <c:pt idx="1">
                  <c:v>0.88950091832057854</c:v>
                </c:pt>
                <c:pt idx="2">
                  <c:v>0.92880568936396213</c:v>
                </c:pt>
                <c:pt idx="3">
                  <c:v>0.92696847557007844</c:v>
                </c:pt>
                <c:pt idx="4">
                  <c:v>0.93302302138248394</c:v>
                </c:pt>
                <c:pt idx="5">
                  <c:v>0.95772152394327092</c:v>
                </c:pt>
                <c:pt idx="6">
                  <c:v>0.98497368734073754</c:v>
                </c:pt>
                <c:pt idx="7">
                  <c:v>1.0029774857153191</c:v>
                </c:pt>
              </c:numCache>
            </c:numRef>
          </c:yVal>
          <c:smooth val="1"/>
          <c:extLst>
            <c:ext xmlns:c16="http://schemas.microsoft.com/office/drawing/2014/chart" uri="{C3380CC4-5D6E-409C-BE32-E72D297353CC}">
              <c16:uniqueId val="{00000001-5500-4DC4-8946-4F05C21D521F}"/>
            </c:ext>
          </c:extLst>
        </c:ser>
        <c:ser>
          <c:idx val="2"/>
          <c:order val="2"/>
          <c:tx>
            <c:strRef>
              <c:f>IGCE!$B$142</c:f>
              <c:strCache>
                <c:ptCount val="1"/>
                <c:pt idx="0">
                  <c:v>IGCE AME</c:v>
                </c:pt>
              </c:strCache>
            </c:strRef>
          </c:tx>
          <c:spPr>
            <a:ln w="19080">
              <a:solidFill>
                <a:srgbClr val="5B9BD5"/>
              </a:solidFill>
              <a:round/>
            </a:ln>
          </c:spPr>
          <c:marker>
            <c:symbol val="circle"/>
            <c:size val="5"/>
            <c:spPr>
              <a:solidFill>
                <a:srgbClr val="5B9BD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IGCE!$C$100:$J$100</c:f>
              <c:numCache>
                <c:formatCode>General</c:formatCode>
                <c:ptCount val="8"/>
                <c:pt idx="0">
                  <c:v>2019</c:v>
                </c:pt>
                <c:pt idx="1">
                  <c:v>2020</c:v>
                </c:pt>
                <c:pt idx="2">
                  <c:v>2025</c:v>
                </c:pt>
                <c:pt idx="3">
                  <c:v>2030</c:v>
                </c:pt>
                <c:pt idx="4">
                  <c:v>2035</c:v>
                </c:pt>
                <c:pt idx="5">
                  <c:v>2040</c:v>
                </c:pt>
                <c:pt idx="6">
                  <c:v>2045</c:v>
                </c:pt>
                <c:pt idx="7">
                  <c:v>2050</c:v>
                </c:pt>
              </c:numCache>
            </c:numRef>
          </c:xVal>
          <c:yVal>
            <c:numRef>
              <c:f>IGCE!$C$116:$J$116</c:f>
              <c:numCache>
                <c:formatCode>0.00</c:formatCode>
                <c:ptCount val="8"/>
                <c:pt idx="0">
                  <c:v>1</c:v>
                </c:pt>
                <c:pt idx="1">
                  <c:v>0.85749020219596384</c:v>
                </c:pt>
                <c:pt idx="2">
                  <c:v>0.99561983960066369</c:v>
                </c:pt>
                <c:pt idx="3">
                  <c:v>0.9935804706753073</c:v>
                </c:pt>
                <c:pt idx="4">
                  <c:v>0.98842894233865908</c:v>
                </c:pt>
                <c:pt idx="5">
                  <c:v>0.98327741400201074</c:v>
                </c:pt>
                <c:pt idx="6">
                  <c:v>0.97812588566536229</c:v>
                </c:pt>
                <c:pt idx="7">
                  <c:v>0.97297435732871385</c:v>
                </c:pt>
              </c:numCache>
            </c:numRef>
          </c:yVal>
          <c:smooth val="1"/>
          <c:extLst>
            <c:ext xmlns:c16="http://schemas.microsoft.com/office/drawing/2014/chart" uri="{C3380CC4-5D6E-409C-BE32-E72D297353CC}">
              <c16:uniqueId val="{00000002-5500-4DC4-8946-4F05C21D521F}"/>
            </c:ext>
          </c:extLst>
        </c:ser>
        <c:ser>
          <c:idx val="3"/>
          <c:order val="3"/>
          <c:tx>
            <c:strRef>
              <c:f>IGCE!$B$144</c:f>
              <c:strCache>
                <c:ptCount val="1"/>
                <c:pt idx="0">
                  <c:v>Diffus AME</c:v>
                </c:pt>
              </c:strCache>
            </c:strRef>
          </c:tx>
          <c:spPr>
            <a:ln w="19080">
              <a:solidFill>
                <a:srgbClr val="ED7D31"/>
              </a:solidFill>
              <a:round/>
            </a:ln>
          </c:spPr>
          <c:marker>
            <c:symbol val="circle"/>
            <c:size val="5"/>
            <c:spPr>
              <a:solidFill>
                <a:srgbClr val="ED7D3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Diffus!$C$83:$J$83</c:f>
              <c:numCache>
                <c:formatCode>General</c:formatCode>
                <c:ptCount val="8"/>
                <c:pt idx="0">
                  <c:v>2019</c:v>
                </c:pt>
                <c:pt idx="1">
                  <c:v>2020</c:v>
                </c:pt>
                <c:pt idx="2">
                  <c:v>2025</c:v>
                </c:pt>
                <c:pt idx="3">
                  <c:v>2030</c:v>
                </c:pt>
                <c:pt idx="4">
                  <c:v>2035</c:v>
                </c:pt>
                <c:pt idx="5">
                  <c:v>2040</c:v>
                </c:pt>
                <c:pt idx="6">
                  <c:v>2045</c:v>
                </c:pt>
                <c:pt idx="7">
                  <c:v>2050</c:v>
                </c:pt>
              </c:numCache>
            </c:numRef>
          </c:xVal>
          <c:yVal>
            <c:numRef>
              <c:f>Diffus!$C$94:$J$94</c:f>
              <c:numCache>
                <c:formatCode>0.00</c:formatCode>
                <c:ptCount val="8"/>
                <c:pt idx="0" formatCode="General">
                  <c:v>1</c:v>
                </c:pt>
                <c:pt idx="1">
                  <c:v>0.88950091832057854</c:v>
                </c:pt>
                <c:pt idx="2">
                  <c:v>0.89433653934738555</c:v>
                </c:pt>
                <c:pt idx="3">
                  <c:v>0.88411477953152118</c:v>
                </c:pt>
                <c:pt idx="4">
                  <c:v>0.88392417723520411</c:v>
                </c:pt>
                <c:pt idx="5">
                  <c:v>0.90082679463990589</c:v>
                </c:pt>
                <c:pt idx="6">
                  <c:v>0.92192960297610504</c:v>
                </c:pt>
                <c:pt idx="7">
                  <c:v>0.93638422362328222</c:v>
                </c:pt>
              </c:numCache>
            </c:numRef>
          </c:yVal>
          <c:smooth val="1"/>
          <c:extLst>
            <c:ext xmlns:c16="http://schemas.microsoft.com/office/drawing/2014/chart" uri="{C3380CC4-5D6E-409C-BE32-E72D297353CC}">
              <c16:uniqueId val="{00000003-5500-4DC4-8946-4F05C21D521F}"/>
            </c:ext>
          </c:extLst>
        </c:ser>
        <c:dLbls>
          <c:showLegendKey val="0"/>
          <c:showVal val="0"/>
          <c:showCatName val="0"/>
          <c:showSerName val="0"/>
          <c:showPercent val="0"/>
          <c:showBubbleSize val="0"/>
        </c:dLbls>
        <c:axId val="27900982"/>
        <c:axId val="90933234"/>
      </c:scatterChart>
      <c:valAx>
        <c:axId val="27900982"/>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latin typeface="Calibri"/>
              </a:defRPr>
            </a:pPr>
            <a:endParaRPr lang="fr-FR"/>
          </a:p>
        </c:txPr>
        <c:crossAx val="90933234"/>
        <c:crosses val="autoZero"/>
        <c:crossBetween val="midCat"/>
      </c:valAx>
      <c:valAx>
        <c:axId val="90933234"/>
        <c:scaling>
          <c:orientation val="minMax"/>
          <c:min val="0.5"/>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latin typeface="Calibri"/>
              </a:defRPr>
            </a:pPr>
            <a:endParaRPr lang="fr-FR"/>
          </a:p>
        </c:txPr>
        <c:crossAx val="27900982"/>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ALUMINIUM</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46393984"/>
        <c:axId val="86935663"/>
      </c:barChart>
      <c:catAx>
        <c:axId val="46393984"/>
        <c:scaling>
          <c:orientation val="minMax"/>
        </c:scaling>
        <c:delete val="1"/>
        <c:axPos val="b"/>
        <c:numFmt formatCode="dd/mm/yyyy" sourceLinked="1"/>
        <c:majorTickMark val="out"/>
        <c:minorTickMark val="none"/>
        <c:tickLblPos val="none"/>
        <c:crossAx val="86935663"/>
        <c:crossesAt val="0"/>
        <c:auto val="1"/>
        <c:lblAlgn val="ctr"/>
        <c:lblOffset val="100"/>
        <c:noMultiLvlLbl val="1"/>
      </c:catAx>
      <c:valAx>
        <c:axId val="86935663"/>
        <c:scaling>
          <c:orientation val="minMax"/>
        </c:scaling>
        <c:delete val="1"/>
        <c:axPos val="l"/>
        <c:numFmt formatCode="General" sourceLinked="1"/>
        <c:majorTickMark val="out"/>
        <c:minorTickMark val="none"/>
        <c:tickLblPos val="none"/>
        <c:crossAx val="46393984"/>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VERRE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80831363"/>
        <c:axId val="65470092"/>
      </c:barChart>
      <c:catAx>
        <c:axId val="80831363"/>
        <c:scaling>
          <c:orientation val="minMax"/>
        </c:scaling>
        <c:delete val="1"/>
        <c:axPos val="b"/>
        <c:numFmt formatCode="dd/mm/yyyy" sourceLinked="1"/>
        <c:majorTickMark val="out"/>
        <c:minorTickMark val="none"/>
        <c:tickLblPos val="none"/>
        <c:crossAx val="65470092"/>
        <c:crossesAt val="0"/>
        <c:auto val="1"/>
        <c:lblAlgn val="ctr"/>
        <c:lblOffset val="100"/>
        <c:noMultiLvlLbl val="1"/>
      </c:catAx>
      <c:valAx>
        <c:axId val="65470092"/>
        <c:scaling>
          <c:orientation val="minMax"/>
        </c:scaling>
        <c:delete val="1"/>
        <c:axPos val="l"/>
        <c:numFmt formatCode="General" sourceLinked="1"/>
        <c:majorTickMark val="out"/>
        <c:minorTickMark val="none"/>
        <c:tickLblPos val="none"/>
        <c:crossAx val="80831363"/>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CLINKER</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41799463"/>
        <c:axId val="12030852"/>
      </c:barChart>
      <c:catAx>
        <c:axId val="41799463"/>
        <c:scaling>
          <c:orientation val="minMax"/>
        </c:scaling>
        <c:delete val="1"/>
        <c:axPos val="b"/>
        <c:numFmt formatCode="dd/mm/yyyy" sourceLinked="1"/>
        <c:majorTickMark val="out"/>
        <c:minorTickMark val="none"/>
        <c:tickLblPos val="none"/>
        <c:crossAx val="12030852"/>
        <c:crossesAt val="0"/>
        <c:auto val="1"/>
        <c:lblAlgn val="ctr"/>
        <c:lblOffset val="100"/>
        <c:noMultiLvlLbl val="1"/>
      </c:catAx>
      <c:valAx>
        <c:axId val="12030852"/>
        <c:scaling>
          <c:orientation val="minMax"/>
        </c:scaling>
        <c:delete val="1"/>
        <c:axPos val="l"/>
        <c:numFmt formatCode="General" sourceLinked="1"/>
        <c:majorTickMark val="out"/>
        <c:minorTickMark val="none"/>
        <c:tickLblPos val="none"/>
        <c:crossAx val="41799463"/>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AMMONIAC</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6027946"/>
        <c:axId val="23191826"/>
      </c:barChart>
      <c:catAx>
        <c:axId val="6027946"/>
        <c:scaling>
          <c:orientation val="minMax"/>
        </c:scaling>
        <c:delete val="1"/>
        <c:axPos val="b"/>
        <c:numFmt formatCode="dd/mm/yyyy" sourceLinked="1"/>
        <c:majorTickMark val="out"/>
        <c:minorTickMark val="none"/>
        <c:tickLblPos val="none"/>
        <c:crossAx val="23191826"/>
        <c:crossesAt val="0"/>
        <c:auto val="1"/>
        <c:lblAlgn val="ctr"/>
        <c:lblOffset val="100"/>
        <c:noMultiLvlLbl val="1"/>
      </c:catAx>
      <c:valAx>
        <c:axId val="23191826"/>
        <c:scaling>
          <c:orientation val="minMax"/>
        </c:scaling>
        <c:delete val="1"/>
        <c:axPos val="l"/>
        <c:numFmt formatCode="General" sourceLinked="1"/>
        <c:majorTickMark val="out"/>
        <c:minorTickMark val="none"/>
        <c:tickLblPos val="none"/>
        <c:crossAx val="6027946"/>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DICHLORE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94490202"/>
        <c:axId val="45438529"/>
      </c:barChart>
      <c:catAx>
        <c:axId val="94490202"/>
        <c:scaling>
          <c:orientation val="minMax"/>
        </c:scaling>
        <c:delete val="1"/>
        <c:axPos val="b"/>
        <c:numFmt formatCode="dd/mm/yyyy" sourceLinked="1"/>
        <c:majorTickMark val="out"/>
        <c:minorTickMark val="none"/>
        <c:tickLblPos val="none"/>
        <c:crossAx val="45438529"/>
        <c:crossesAt val="0"/>
        <c:auto val="1"/>
        <c:lblAlgn val="ctr"/>
        <c:lblOffset val="100"/>
        <c:noMultiLvlLbl val="1"/>
      </c:catAx>
      <c:valAx>
        <c:axId val="45438529"/>
        <c:scaling>
          <c:orientation val="minMax"/>
        </c:scaling>
        <c:delete val="1"/>
        <c:axPos val="l"/>
        <c:numFmt formatCode="General" sourceLinked="1"/>
        <c:majorTickMark val="out"/>
        <c:minorTickMark val="none"/>
        <c:tickLblPos val="none"/>
        <c:crossAx val="94490202"/>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Ethylène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51078803"/>
        <c:axId val="70693614"/>
      </c:barChart>
      <c:catAx>
        <c:axId val="51078803"/>
        <c:scaling>
          <c:orientation val="minMax"/>
        </c:scaling>
        <c:delete val="1"/>
        <c:axPos val="b"/>
        <c:numFmt formatCode="dd/mm/yyyy" sourceLinked="1"/>
        <c:majorTickMark val="out"/>
        <c:minorTickMark val="none"/>
        <c:tickLblPos val="none"/>
        <c:crossAx val="70693614"/>
        <c:crossesAt val="0"/>
        <c:auto val="1"/>
        <c:lblAlgn val="ctr"/>
        <c:lblOffset val="100"/>
        <c:noMultiLvlLbl val="1"/>
      </c:catAx>
      <c:valAx>
        <c:axId val="70693614"/>
        <c:scaling>
          <c:orientation val="minMax"/>
        </c:scaling>
        <c:delete val="1"/>
        <c:axPos val="l"/>
        <c:numFmt formatCode="General" sourceLinked="1"/>
        <c:majorTickMark val="out"/>
        <c:minorTickMark val="none"/>
        <c:tickLblPos val="none"/>
        <c:crossAx val="51078803"/>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Papier</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7602886"/>
        <c:axId val="98313271"/>
      </c:barChart>
      <c:catAx>
        <c:axId val="7602886"/>
        <c:scaling>
          <c:orientation val="minMax"/>
        </c:scaling>
        <c:delete val="1"/>
        <c:axPos val="b"/>
        <c:numFmt formatCode="dd/mm/yyyy" sourceLinked="1"/>
        <c:majorTickMark val="out"/>
        <c:minorTickMark val="none"/>
        <c:tickLblPos val="none"/>
        <c:crossAx val="98313271"/>
        <c:crossesAt val="0"/>
        <c:auto val="1"/>
        <c:lblAlgn val="ctr"/>
        <c:lblOffset val="100"/>
        <c:noMultiLvlLbl val="1"/>
      </c:catAx>
      <c:valAx>
        <c:axId val="98313271"/>
        <c:scaling>
          <c:orientation val="minMax"/>
        </c:scaling>
        <c:delete val="1"/>
        <c:axPos val="l"/>
        <c:numFmt formatCode="General" sourceLinked="1"/>
        <c:majorTickMark val="out"/>
        <c:minorTickMark val="none"/>
        <c:tickLblPos val="none"/>
        <c:crossAx val="7602886"/>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Sucre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10699675"/>
        <c:axId val="5338974"/>
      </c:barChart>
      <c:catAx>
        <c:axId val="10699675"/>
        <c:scaling>
          <c:orientation val="minMax"/>
        </c:scaling>
        <c:delete val="1"/>
        <c:axPos val="b"/>
        <c:numFmt formatCode="dd/mm/yyyy" sourceLinked="1"/>
        <c:majorTickMark val="out"/>
        <c:minorTickMark val="none"/>
        <c:tickLblPos val="none"/>
        <c:crossAx val="5338974"/>
        <c:crossesAt val="0"/>
        <c:auto val="1"/>
        <c:lblAlgn val="ctr"/>
        <c:lblOffset val="100"/>
        <c:noMultiLvlLbl val="1"/>
      </c:catAx>
      <c:valAx>
        <c:axId val="5338974"/>
        <c:scaling>
          <c:orientation val="minMax"/>
        </c:scaling>
        <c:delete val="1"/>
        <c:axPos val="l"/>
        <c:numFmt formatCode="General" sourceLinked="1"/>
        <c:majorTickMark val="out"/>
        <c:minorTickMark val="none"/>
        <c:tickLblPos val="none"/>
        <c:crossAx val="10699675"/>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Sorties Pepit0 non corrigées</a:t>
            </a:r>
          </a:p>
        </c:rich>
      </c:tx>
      <c:overlay val="0"/>
      <c:spPr>
        <a:noFill/>
        <a:ln>
          <a:noFill/>
        </a:ln>
      </c:spPr>
    </c:title>
    <c:autoTitleDeleted val="0"/>
    <c:plotArea>
      <c:layout/>
      <c:scatterChart>
        <c:scatterStyle val="lineMarker"/>
        <c:varyColors val="0"/>
        <c:ser>
          <c:idx val="0"/>
          <c:order val="0"/>
          <c:spPr>
            <a:ln w="28440">
              <a:solidFill>
                <a:srgbClr val="5B9BD5"/>
              </a:solidFill>
              <a:round/>
            </a:ln>
          </c:spPr>
          <c:marker>
            <c:symbol val="circle"/>
            <c:size val="5"/>
            <c:spPr>
              <a:solidFill>
                <a:srgbClr val="5B9BD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c:f>
              <c:numCache>
                <c:formatCode>General</c:formatCode>
                <c:ptCount val="5"/>
                <c:pt idx="0">
                  <c:v>2014</c:v>
                </c:pt>
                <c:pt idx="1">
                  <c:v>2019</c:v>
                </c:pt>
                <c:pt idx="2">
                  <c:v>2030</c:v>
                </c:pt>
                <c:pt idx="3">
                  <c:v>2049</c:v>
                </c:pt>
                <c:pt idx="4">
                  <c:v>2050</c:v>
                </c:pt>
              </c:numCache>
            </c:numRef>
          </c:xVal>
          <c:yVal>
            <c:numRef>
              <c:f>0</c:f>
              <c:numCache>
                <c:formatCode>General</c:formatCode>
                <c:ptCount val="5"/>
                <c:pt idx="0">
                  <c:v>12.4527173934811</c:v>
                </c:pt>
                <c:pt idx="1">
                  <c:v>12.364224140895001</c:v>
                </c:pt>
                <c:pt idx="2">
                  <c:v>11.522328188409</c:v>
                </c:pt>
                <c:pt idx="3">
                  <c:v>11.2108239819425</c:v>
                </c:pt>
                <c:pt idx="4">
                  <c:v>11.2024213802317</c:v>
                </c:pt>
              </c:numCache>
            </c:numRef>
          </c:yVal>
          <c:smooth val="1"/>
          <c:extLst>
            <c:ext xmlns:c15="http://schemas.microsoft.com/office/drawing/2012/chart" uri="{02D57815-91ED-43cb-92C2-25804820EDAC}">
              <c15:filteredSeriesTitle>
                <c15:tx>
                  <c:strRef>
                    <c:extLst>
                      <c:ext uri="{02D57815-91ED-43cb-92C2-25804820EDAC}">
                        <c15:formulaRef>
                          <c15:sqref>label 0</c15:sqref>
                        </c15:formulaRef>
                      </c:ext>
                    </c:extLst>
                    <c:strCache>
                      <c:ptCount val="1"/>
                      <c:pt idx="0">
                        <c:v>Acier</c:v>
                      </c:pt>
                    </c:strCache>
                  </c:strRef>
                </c15:tx>
              </c15:filteredSeriesTitle>
            </c:ext>
            <c:ext xmlns:c16="http://schemas.microsoft.com/office/drawing/2014/chart" uri="{C3380CC4-5D6E-409C-BE32-E72D297353CC}">
              <c16:uniqueId val="{00000000-9EA1-43FE-8FE6-7AAEB7008BC6}"/>
            </c:ext>
          </c:extLst>
        </c:ser>
        <c:ser>
          <c:idx val="1"/>
          <c:order val="1"/>
          <c:spPr>
            <a:ln w="28440">
              <a:solidFill>
                <a:srgbClr val="ED7D31"/>
              </a:solidFill>
              <a:round/>
            </a:ln>
          </c:spPr>
          <c:marker>
            <c:symbol val="circle"/>
            <c:size val="5"/>
            <c:spPr>
              <a:solidFill>
                <a:srgbClr val="ED7D3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3</c:f>
              <c:numCache>
                <c:formatCode>General</c:formatCode>
                <c:ptCount val="5"/>
                <c:pt idx="0">
                  <c:v>2014</c:v>
                </c:pt>
                <c:pt idx="1">
                  <c:v>2019</c:v>
                </c:pt>
                <c:pt idx="2">
                  <c:v>2030</c:v>
                </c:pt>
                <c:pt idx="3">
                  <c:v>2049</c:v>
                </c:pt>
                <c:pt idx="4">
                  <c:v>2050</c:v>
                </c:pt>
              </c:numCache>
            </c:numRef>
          </c:xVal>
          <c:yVal>
            <c:numRef>
              <c:f>2</c:f>
              <c:numCache>
                <c:formatCode>General</c:formatCode>
                <c:ptCount val="5"/>
                <c:pt idx="0">
                  <c:v>1.3666520990067801</c:v>
                </c:pt>
                <c:pt idx="1">
                  <c:v>1.44780839179386</c:v>
                </c:pt>
                <c:pt idx="2">
                  <c:v>1.64484567606376</c:v>
                </c:pt>
                <c:pt idx="3">
                  <c:v>2.1928645770194102</c:v>
                </c:pt>
                <c:pt idx="4">
                  <c:v>2.2535712621305199</c:v>
                </c:pt>
              </c:numCache>
            </c:numRef>
          </c:yVal>
          <c:smooth val="1"/>
          <c:extLst>
            <c:ext xmlns:c15="http://schemas.microsoft.com/office/drawing/2012/chart" uri="{02D57815-91ED-43cb-92C2-25804820EDAC}">
              <c15:filteredSeriesTitle>
                <c15:tx>
                  <c:strRef>
                    <c:extLst>
                      <c:ext uri="{02D57815-91ED-43cb-92C2-25804820EDAC}">
                        <c15:formulaRef>
                          <c15:sqref>label 2</c15:sqref>
                        </c15:formulaRef>
                      </c:ext>
                    </c:extLst>
                    <c:strCache>
                      <c:ptCount val="1"/>
                      <c:pt idx="0">
                        <c:v>Aluminium</c:v>
                      </c:pt>
                    </c:strCache>
                  </c:strRef>
                </c15:tx>
              </c15:filteredSeriesTitle>
            </c:ext>
            <c:ext xmlns:c16="http://schemas.microsoft.com/office/drawing/2014/chart" uri="{C3380CC4-5D6E-409C-BE32-E72D297353CC}">
              <c16:uniqueId val="{00000001-9EA1-43FE-8FE6-7AAEB7008BC6}"/>
            </c:ext>
          </c:extLst>
        </c:ser>
        <c:ser>
          <c:idx val="2"/>
          <c:order val="2"/>
          <c:spPr>
            <a:ln w="28440">
              <a:solidFill>
                <a:srgbClr val="A5A5A5"/>
              </a:solidFill>
              <a:round/>
            </a:ln>
          </c:spPr>
          <c:marker>
            <c:symbol val="circle"/>
            <c:size val="5"/>
            <c:spPr>
              <a:solidFill>
                <a:srgbClr val="A5A5A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5</c:f>
              <c:numCache>
                <c:formatCode>General</c:formatCode>
                <c:ptCount val="5"/>
                <c:pt idx="0">
                  <c:v>2014</c:v>
                </c:pt>
                <c:pt idx="1">
                  <c:v>2019</c:v>
                </c:pt>
                <c:pt idx="2">
                  <c:v>2030</c:v>
                </c:pt>
                <c:pt idx="3">
                  <c:v>2049</c:v>
                </c:pt>
                <c:pt idx="4">
                  <c:v>2050</c:v>
                </c:pt>
              </c:numCache>
            </c:numRef>
          </c:xVal>
          <c:yVal>
            <c:numRef>
              <c:f>4</c:f>
              <c:numCache>
                <c:formatCode>General</c:formatCode>
                <c:ptCount val="5"/>
                <c:pt idx="0">
                  <c:v>4.9308939854920002</c:v>
                </c:pt>
                <c:pt idx="1">
                  <c:v>4.9143932954168603</c:v>
                </c:pt>
                <c:pt idx="2">
                  <c:v>4.61675521394758</c:v>
                </c:pt>
                <c:pt idx="3">
                  <c:v>3.2791772071073901</c:v>
                </c:pt>
                <c:pt idx="4">
                  <c:v>3.4196003247561801</c:v>
                </c:pt>
              </c:numCache>
            </c:numRef>
          </c:yVal>
          <c:smooth val="1"/>
          <c:extLst>
            <c:ext xmlns:c15="http://schemas.microsoft.com/office/drawing/2012/chart" uri="{02D57815-91ED-43cb-92C2-25804820EDAC}">
              <c15:filteredSeriesTitle>
                <c15:tx>
                  <c:strRef>
                    <c:extLst>
                      <c:ext uri="{02D57815-91ED-43cb-92C2-25804820EDAC}">
                        <c15:formulaRef>
                          <c15:sqref>label 4</c15:sqref>
                        </c15:formulaRef>
                      </c:ext>
                    </c:extLst>
                    <c:strCache>
                      <c:ptCount val="1"/>
                      <c:pt idx="0">
                        <c:v>Verre</c:v>
                      </c:pt>
                    </c:strCache>
                  </c:strRef>
                </c15:tx>
              </c15:filteredSeriesTitle>
            </c:ext>
            <c:ext xmlns:c16="http://schemas.microsoft.com/office/drawing/2014/chart" uri="{C3380CC4-5D6E-409C-BE32-E72D297353CC}">
              <c16:uniqueId val="{00000002-9EA1-43FE-8FE6-7AAEB7008BC6}"/>
            </c:ext>
          </c:extLst>
        </c:ser>
        <c:ser>
          <c:idx val="3"/>
          <c:order val="3"/>
          <c:spPr>
            <a:ln w="28440">
              <a:solidFill>
                <a:srgbClr val="FFC000"/>
              </a:solidFill>
              <a:round/>
            </a:ln>
          </c:spPr>
          <c:marker>
            <c:symbol val="circle"/>
            <c:size val="5"/>
            <c:spPr>
              <a:solidFill>
                <a:srgbClr val="FFC000"/>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7</c:f>
              <c:numCache>
                <c:formatCode>General</c:formatCode>
                <c:ptCount val="5"/>
                <c:pt idx="0">
                  <c:v>2014</c:v>
                </c:pt>
                <c:pt idx="1">
                  <c:v>2019</c:v>
                </c:pt>
                <c:pt idx="2">
                  <c:v>2030</c:v>
                </c:pt>
                <c:pt idx="3">
                  <c:v>2049</c:v>
                </c:pt>
                <c:pt idx="4">
                  <c:v>2050</c:v>
                </c:pt>
              </c:numCache>
            </c:numRef>
          </c:xVal>
          <c:yVal>
            <c:numRef>
              <c:f>6</c:f>
              <c:numCache>
                <c:formatCode>General</c:formatCode>
                <c:ptCount val="5"/>
                <c:pt idx="0">
                  <c:v>13.307546795161601</c:v>
                </c:pt>
                <c:pt idx="1">
                  <c:v>12.7800389170497</c:v>
                </c:pt>
                <c:pt idx="2">
                  <c:v>9.6707238614836903</c:v>
                </c:pt>
                <c:pt idx="3">
                  <c:v>6.3772983978803301</c:v>
                </c:pt>
                <c:pt idx="4">
                  <c:v>5.5291974020373802</c:v>
                </c:pt>
              </c:numCache>
            </c:numRef>
          </c:yVal>
          <c:smooth val="1"/>
          <c:extLst>
            <c:ext xmlns:c15="http://schemas.microsoft.com/office/drawing/2012/chart" uri="{02D57815-91ED-43cb-92C2-25804820EDAC}">
              <c15:filteredSeriesTitle>
                <c15:tx>
                  <c:strRef>
                    <c:extLst>
                      <c:ext uri="{02D57815-91ED-43cb-92C2-25804820EDAC}">
                        <c15:formulaRef>
                          <c15:sqref>label 6</c15:sqref>
                        </c15:formulaRef>
                      </c:ext>
                    </c:extLst>
                    <c:strCache>
                      <c:ptCount val="1"/>
                      <c:pt idx="0">
                        <c:v>Clinker</c:v>
                      </c:pt>
                    </c:strCache>
                  </c:strRef>
                </c15:tx>
              </c15:filteredSeriesTitle>
            </c:ext>
            <c:ext xmlns:c16="http://schemas.microsoft.com/office/drawing/2014/chart" uri="{C3380CC4-5D6E-409C-BE32-E72D297353CC}">
              <c16:uniqueId val="{00000003-9EA1-43FE-8FE6-7AAEB7008BC6}"/>
            </c:ext>
          </c:extLst>
        </c:ser>
        <c:ser>
          <c:idx val="4"/>
          <c:order val="4"/>
          <c:spPr>
            <a:ln w="28440">
              <a:solidFill>
                <a:srgbClr val="4472C4"/>
              </a:solidFill>
              <a:round/>
            </a:ln>
          </c:spPr>
          <c:marker>
            <c:symbol val="circle"/>
            <c:size val="5"/>
            <c:spPr>
              <a:solidFill>
                <a:srgbClr val="4472C4"/>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9</c:f>
              <c:numCache>
                <c:formatCode>General</c:formatCode>
                <c:ptCount val="5"/>
                <c:pt idx="0">
                  <c:v>2014</c:v>
                </c:pt>
                <c:pt idx="1">
                  <c:v>2019</c:v>
                </c:pt>
                <c:pt idx="2">
                  <c:v>2030</c:v>
                </c:pt>
                <c:pt idx="3">
                  <c:v>2049</c:v>
                </c:pt>
                <c:pt idx="4">
                  <c:v>2050</c:v>
                </c:pt>
              </c:numCache>
            </c:numRef>
          </c:xVal>
          <c:yVal>
            <c:numRef>
              <c:f>8</c:f>
              <c:numCache>
                <c:formatCode>General</c:formatCode>
                <c:ptCount val="5"/>
                <c:pt idx="0">
                  <c:v>2.1547622741316501</c:v>
                </c:pt>
                <c:pt idx="1">
                  <c:v>2.1408104023311298</c:v>
                </c:pt>
                <c:pt idx="2">
                  <c:v>1.88400540376148</c:v>
                </c:pt>
                <c:pt idx="3">
                  <c:v>1.27476297298898</c:v>
                </c:pt>
                <c:pt idx="4">
                  <c:v>1.24097278854042</c:v>
                </c:pt>
              </c:numCache>
            </c:numRef>
          </c:yVal>
          <c:smooth val="1"/>
          <c:extLst>
            <c:ext xmlns:c15="http://schemas.microsoft.com/office/drawing/2012/chart" uri="{02D57815-91ED-43cb-92C2-25804820EDAC}">
              <c15:filteredSeriesTitle>
                <c15:tx>
                  <c:strRef>
                    <c:extLst>
                      <c:ext uri="{02D57815-91ED-43cb-92C2-25804820EDAC}">
                        <c15:formulaRef>
                          <c15:sqref>label 8</c15:sqref>
                        </c15:formulaRef>
                      </c:ext>
                    </c:extLst>
                    <c:strCache>
                      <c:ptCount val="1"/>
                      <c:pt idx="0">
                        <c:v>Ammoniac</c:v>
                      </c:pt>
                    </c:strCache>
                  </c:strRef>
                </c15:tx>
              </c15:filteredSeriesTitle>
            </c:ext>
            <c:ext xmlns:c16="http://schemas.microsoft.com/office/drawing/2014/chart" uri="{C3380CC4-5D6E-409C-BE32-E72D297353CC}">
              <c16:uniqueId val="{00000004-9EA1-43FE-8FE6-7AAEB7008BC6}"/>
            </c:ext>
          </c:extLst>
        </c:ser>
        <c:ser>
          <c:idx val="5"/>
          <c:order val="5"/>
          <c:spPr>
            <a:ln w="28440">
              <a:solidFill>
                <a:srgbClr val="70AD47"/>
              </a:solidFill>
              <a:round/>
            </a:ln>
          </c:spPr>
          <c:marker>
            <c:symbol val="circle"/>
            <c:size val="5"/>
            <c:spPr>
              <a:solidFill>
                <a:srgbClr val="70AD47"/>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11</c:f>
              <c:numCache>
                <c:formatCode>General</c:formatCode>
                <c:ptCount val="5"/>
                <c:pt idx="0">
                  <c:v>2014</c:v>
                </c:pt>
                <c:pt idx="1">
                  <c:v>2019</c:v>
                </c:pt>
                <c:pt idx="2">
                  <c:v>2030</c:v>
                </c:pt>
                <c:pt idx="3">
                  <c:v>2049</c:v>
                </c:pt>
                <c:pt idx="4">
                  <c:v>2050</c:v>
                </c:pt>
              </c:numCache>
            </c:numRef>
          </c:xVal>
          <c:yVal>
            <c:numRef>
              <c:f>10</c:f>
              <c:numCache>
                <c:formatCode>General</c:formatCode>
                <c:ptCount val="5"/>
                <c:pt idx="0">
                  <c:v>1.1275837860370601</c:v>
                </c:pt>
                <c:pt idx="1">
                  <c:v>1.12630043737087</c:v>
                </c:pt>
                <c:pt idx="2">
                  <c:v>0.99013587607703302</c:v>
                </c:pt>
                <c:pt idx="3">
                  <c:v>0.77042100405091196</c:v>
                </c:pt>
                <c:pt idx="4">
                  <c:v>0.76547959132830001</c:v>
                </c:pt>
              </c:numCache>
            </c:numRef>
          </c:yVal>
          <c:smooth val="1"/>
          <c:extLst>
            <c:ext xmlns:c15="http://schemas.microsoft.com/office/drawing/2012/chart" uri="{02D57815-91ED-43cb-92C2-25804820EDAC}">
              <c15:filteredSeriesTitle>
                <c15:tx>
                  <c:strRef>
                    <c:extLst>
                      <c:ext uri="{02D57815-91ED-43cb-92C2-25804820EDAC}">
                        <c15:formulaRef>
                          <c15:sqref>label 10</c15:sqref>
                        </c15:formulaRef>
                      </c:ext>
                    </c:extLst>
                    <c:strCache>
                      <c:ptCount val="1"/>
                      <c:pt idx="0">
                        <c:v>Dichlore</c:v>
                      </c:pt>
                    </c:strCache>
                  </c:strRef>
                </c15:tx>
              </c15:filteredSeriesTitle>
            </c:ext>
            <c:ext xmlns:c16="http://schemas.microsoft.com/office/drawing/2014/chart" uri="{C3380CC4-5D6E-409C-BE32-E72D297353CC}">
              <c16:uniqueId val="{00000005-9EA1-43FE-8FE6-7AAEB7008BC6}"/>
            </c:ext>
          </c:extLst>
        </c:ser>
        <c:ser>
          <c:idx val="6"/>
          <c:order val="6"/>
          <c:spPr>
            <a:ln w="28440">
              <a:solidFill>
                <a:srgbClr val="255E91"/>
              </a:solidFill>
              <a:round/>
            </a:ln>
          </c:spPr>
          <c:marker>
            <c:symbol val="circle"/>
            <c:size val="5"/>
            <c:spPr>
              <a:solidFill>
                <a:srgbClr val="255E9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13</c:f>
              <c:numCache>
                <c:formatCode>General</c:formatCode>
                <c:ptCount val="5"/>
                <c:pt idx="0">
                  <c:v>2014</c:v>
                </c:pt>
                <c:pt idx="1">
                  <c:v>2019</c:v>
                </c:pt>
                <c:pt idx="2">
                  <c:v>2030</c:v>
                </c:pt>
                <c:pt idx="3">
                  <c:v>2049</c:v>
                </c:pt>
                <c:pt idx="4">
                  <c:v>2050</c:v>
                </c:pt>
              </c:numCache>
            </c:numRef>
          </c:xVal>
          <c:yVal>
            <c:numRef>
              <c:f>12</c:f>
              <c:numCache>
                <c:formatCode>General</c:formatCode>
                <c:ptCount val="5"/>
                <c:pt idx="0">
                  <c:v>3.20181831480176</c:v>
                </c:pt>
                <c:pt idx="1">
                  <c:v>3.3011193757259001</c:v>
                </c:pt>
                <c:pt idx="2">
                  <c:v>2.06519215839992</c:v>
                </c:pt>
                <c:pt idx="3">
                  <c:v>1.1371054515788901</c:v>
                </c:pt>
                <c:pt idx="4">
                  <c:v>1.1061578532066501</c:v>
                </c:pt>
              </c:numCache>
            </c:numRef>
          </c:yVal>
          <c:smooth val="1"/>
          <c:extLst>
            <c:ext xmlns:c15="http://schemas.microsoft.com/office/drawing/2012/chart" uri="{02D57815-91ED-43cb-92C2-25804820EDAC}">
              <c15:filteredSeriesTitle>
                <c15:tx>
                  <c:strRef>
                    <c:extLst>
                      <c:ext uri="{02D57815-91ED-43cb-92C2-25804820EDAC}">
                        <c15:formulaRef>
                          <c15:sqref>label 12</c15:sqref>
                        </c15:formulaRef>
                      </c:ext>
                    </c:extLst>
                    <c:strCache>
                      <c:ptCount val="1"/>
                      <c:pt idx="0">
                        <c:v>Ethylène</c:v>
                      </c:pt>
                    </c:strCache>
                  </c:strRef>
                </c15:tx>
              </c15:filteredSeriesTitle>
            </c:ext>
            <c:ext xmlns:c16="http://schemas.microsoft.com/office/drawing/2014/chart" uri="{C3380CC4-5D6E-409C-BE32-E72D297353CC}">
              <c16:uniqueId val="{00000006-9EA1-43FE-8FE6-7AAEB7008BC6}"/>
            </c:ext>
          </c:extLst>
        </c:ser>
        <c:ser>
          <c:idx val="7"/>
          <c:order val="7"/>
          <c:spPr>
            <a:ln w="28440">
              <a:solidFill>
                <a:srgbClr val="9E480E"/>
              </a:solidFill>
              <a:round/>
            </a:ln>
          </c:spPr>
          <c:marker>
            <c:symbol val="circle"/>
            <c:size val="5"/>
            <c:spPr>
              <a:solidFill>
                <a:srgbClr val="9E480E"/>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15</c:f>
              <c:numCache>
                <c:formatCode>General</c:formatCode>
                <c:ptCount val="5"/>
                <c:pt idx="0">
                  <c:v>2014</c:v>
                </c:pt>
                <c:pt idx="1">
                  <c:v>2019</c:v>
                </c:pt>
                <c:pt idx="2">
                  <c:v>2030</c:v>
                </c:pt>
                <c:pt idx="3">
                  <c:v>2049</c:v>
                </c:pt>
                <c:pt idx="4">
                  <c:v>2050</c:v>
                </c:pt>
              </c:numCache>
            </c:numRef>
          </c:xVal>
          <c:yVal>
            <c:numRef>
              <c:f>14</c:f>
              <c:numCache>
                <c:formatCode>General</c:formatCode>
                <c:ptCount val="5"/>
                <c:pt idx="0">
                  <c:v>8.3467850000000006</c:v>
                </c:pt>
                <c:pt idx="1">
                  <c:v>8.7532724749066393</c:v>
                </c:pt>
                <c:pt idx="2">
                  <c:v>9.3315394438301098</c:v>
                </c:pt>
                <c:pt idx="3">
                  <c:v>10.5028185335908</c:v>
                </c:pt>
                <c:pt idx="4">
                  <c:v>9.0739291062920309</c:v>
                </c:pt>
              </c:numCache>
            </c:numRef>
          </c:yVal>
          <c:smooth val="1"/>
          <c:extLst>
            <c:ext xmlns:c15="http://schemas.microsoft.com/office/drawing/2012/chart" uri="{02D57815-91ED-43cb-92C2-25804820EDAC}">
              <c15:filteredSeriesTitle>
                <c15:tx>
                  <c:strRef>
                    <c:extLst>
                      <c:ext uri="{02D57815-91ED-43cb-92C2-25804820EDAC}">
                        <c15:formulaRef>
                          <c15:sqref>label 14</c15:sqref>
                        </c15:formulaRef>
                      </c:ext>
                    </c:extLst>
                    <c:strCache>
                      <c:ptCount val="1"/>
                      <c:pt idx="0">
                        <c:v>Papier</c:v>
                      </c:pt>
                    </c:strCache>
                  </c:strRef>
                </c15:tx>
              </c15:filteredSeriesTitle>
            </c:ext>
            <c:ext xmlns:c16="http://schemas.microsoft.com/office/drawing/2014/chart" uri="{C3380CC4-5D6E-409C-BE32-E72D297353CC}">
              <c16:uniqueId val="{00000007-9EA1-43FE-8FE6-7AAEB7008BC6}"/>
            </c:ext>
          </c:extLst>
        </c:ser>
        <c:ser>
          <c:idx val="8"/>
          <c:order val="8"/>
          <c:spPr>
            <a:ln w="28440">
              <a:solidFill>
                <a:srgbClr val="636363"/>
              </a:solidFill>
              <a:round/>
            </a:ln>
          </c:spPr>
          <c:marker>
            <c:symbol val="circle"/>
            <c:size val="5"/>
            <c:spPr>
              <a:solidFill>
                <a:srgbClr val="636363"/>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17</c:f>
              <c:numCache>
                <c:formatCode>General</c:formatCode>
                <c:ptCount val="5"/>
                <c:pt idx="0">
                  <c:v>2014</c:v>
                </c:pt>
                <c:pt idx="1">
                  <c:v>2019</c:v>
                </c:pt>
                <c:pt idx="2">
                  <c:v>2030</c:v>
                </c:pt>
                <c:pt idx="3">
                  <c:v>2049</c:v>
                </c:pt>
                <c:pt idx="4">
                  <c:v>2050</c:v>
                </c:pt>
              </c:numCache>
            </c:numRef>
          </c:xVal>
          <c:yVal>
            <c:numRef>
              <c:f>16</c:f>
              <c:numCache>
                <c:formatCode>General</c:formatCode>
                <c:ptCount val="5"/>
                <c:pt idx="0">
                  <c:v>3.7597692307692299</c:v>
                </c:pt>
                <c:pt idx="1">
                  <c:v>3.7980256048424001</c:v>
                </c:pt>
                <c:pt idx="2">
                  <c:v>3.70807614921201</c:v>
                </c:pt>
                <c:pt idx="3">
                  <c:v>3.31292250703018</c:v>
                </c:pt>
                <c:pt idx="4">
                  <c:v>3.2910233476989301</c:v>
                </c:pt>
              </c:numCache>
            </c:numRef>
          </c:yVal>
          <c:smooth val="1"/>
          <c:extLst>
            <c:ext xmlns:c15="http://schemas.microsoft.com/office/drawing/2012/chart" uri="{02D57815-91ED-43cb-92C2-25804820EDAC}">
              <c15:filteredSeriesTitle>
                <c15:tx>
                  <c:strRef>
                    <c:extLst>
                      <c:ext uri="{02D57815-91ED-43cb-92C2-25804820EDAC}">
                        <c15:formulaRef>
                          <c15:sqref>label 16</c15:sqref>
                        </c15:formulaRef>
                      </c:ext>
                    </c:extLst>
                    <c:strCache>
                      <c:ptCount val="1"/>
                      <c:pt idx="0">
                        <c:v>Sucre</c:v>
                      </c:pt>
                    </c:strCache>
                  </c:strRef>
                </c15:tx>
              </c15:filteredSeriesTitle>
            </c:ext>
            <c:ext xmlns:c16="http://schemas.microsoft.com/office/drawing/2014/chart" uri="{C3380CC4-5D6E-409C-BE32-E72D297353CC}">
              <c16:uniqueId val="{00000008-9EA1-43FE-8FE6-7AAEB7008BC6}"/>
            </c:ext>
          </c:extLst>
        </c:ser>
        <c:dLbls>
          <c:showLegendKey val="0"/>
          <c:showVal val="0"/>
          <c:showCatName val="0"/>
          <c:showSerName val="0"/>
          <c:showPercent val="0"/>
          <c:showBubbleSize val="0"/>
        </c:dLbls>
        <c:axId val="32746698"/>
        <c:axId val="80815900"/>
      </c:scatterChart>
      <c:valAx>
        <c:axId val="32746698"/>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fr-FR"/>
          </a:p>
        </c:txPr>
        <c:crossAx val="80815900"/>
        <c:crosses val="autoZero"/>
        <c:crossBetween val="midCat"/>
      </c:valAx>
      <c:valAx>
        <c:axId val="80815900"/>
        <c:scaling>
          <c:orientation val="minMax"/>
        </c:scaling>
        <c:delete val="0"/>
        <c:axPos val="l"/>
        <c:majorGridlines>
          <c:spPr>
            <a:ln w="9360">
              <a:solidFill>
                <a:srgbClr val="D9D9D9"/>
              </a:solidFill>
              <a:round/>
            </a:ln>
          </c:spPr>
        </c:majorGridlines>
        <c:title>
          <c:tx>
            <c:rich>
              <a:bodyPr rot="-5400000"/>
              <a:lstStyle/>
              <a:p>
                <a:pPr>
                  <a:defRPr sz="1000" b="0" strike="noStrike" spc="-1">
                    <a:solidFill>
                      <a:srgbClr val="595959"/>
                    </a:solidFill>
                    <a:latin typeface="Calibri"/>
                  </a:defRPr>
                </a:pPr>
                <a:r>
                  <a:rPr lang="fr-FR" sz="1000" b="0" strike="noStrike" spc="-1">
                    <a:solidFill>
                      <a:srgbClr val="595959"/>
                    </a:solidFill>
                    <a:latin typeface="Calibri"/>
                  </a:rPr>
                  <a:t>Mt</a:t>
                </a:r>
              </a:p>
            </c:rich>
          </c:tx>
          <c:overlay val="0"/>
          <c:spPr>
            <a:noFill/>
            <a:ln>
              <a:noFill/>
            </a:ln>
          </c:spPr>
        </c:title>
        <c:numFmt formatCode="0.00" sourceLinked="0"/>
        <c:majorTickMark val="none"/>
        <c:minorTickMark val="none"/>
        <c:tickLblPos val="nextTo"/>
        <c:spPr>
          <a:ln w="6480">
            <a:noFill/>
          </a:ln>
        </c:spPr>
        <c:txPr>
          <a:bodyPr/>
          <a:lstStyle/>
          <a:p>
            <a:pPr>
              <a:defRPr sz="900" b="0" strike="noStrike" spc="-1">
                <a:solidFill>
                  <a:srgbClr val="595959"/>
                </a:solidFill>
                <a:latin typeface="Calibri"/>
              </a:defRPr>
            </a:pPr>
            <a:endParaRPr lang="fr-FR"/>
          </a:p>
        </c:txPr>
        <c:crossAx val="32746698"/>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Sorties Pepit0 non corrigées</a:t>
            </a:r>
          </a:p>
        </c:rich>
      </c:tx>
      <c:overlay val="0"/>
      <c:spPr>
        <a:noFill/>
        <a:ln>
          <a:noFill/>
        </a:ln>
      </c:spPr>
    </c:title>
    <c:autoTitleDeleted val="0"/>
    <c:plotArea>
      <c:layout/>
      <c:scatterChart>
        <c:scatterStyle val="lineMarker"/>
        <c:varyColors val="0"/>
        <c:ser>
          <c:idx val="0"/>
          <c:order val="0"/>
          <c:spPr>
            <a:ln w="28440">
              <a:solidFill>
                <a:srgbClr val="5B9BD5"/>
              </a:solidFill>
              <a:round/>
            </a:ln>
          </c:spPr>
          <c:marker>
            <c:symbol val="circle"/>
            <c:size val="5"/>
            <c:spPr>
              <a:solidFill>
                <a:srgbClr val="5B9BD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c:f>
              <c:numCache>
                <c:formatCode>General</c:formatCode>
                <c:ptCount val="5"/>
                <c:pt idx="0">
                  <c:v>2014</c:v>
                </c:pt>
                <c:pt idx="1">
                  <c:v>2019</c:v>
                </c:pt>
                <c:pt idx="2">
                  <c:v>2030</c:v>
                </c:pt>
                <c:pt idx="3">
                  <c:v>2049</c:v>
                </c:pt>
                <c:pt idx="4">
                  <c:v>2050</c:v>
                </c:pt>
              </c:numCache>
            </c:numRef>
          </c:xVal>
          <c:yVal>
            <c:numRef>
              <c:f>0</c:f>
              <c:numCache>
                <c:formatCode>General</c:formatCode>
                <c:ptCount val="5"/>
                <c:pt idx="0">
                  <c:v>12.4527173934811</c:v>
                </c:pt>
                <c:pt idx="1">
                  <c:v>12.364224140895001</c:v>
                </c:pt>
                <c:pt idx="2">
                  <c:v>11.522328188409</c:v>
                </c:pt>
                <c:pt idx="3">
                  <c:v>11.2108239819425</c:v>
                </c:pt>
                <c:pt idx="4">
                  <c:v>11.2024213802317</c:v>
                </c:pt>
              </c:numCache>
            </c:numRef>
          </c:yVal>
          <c:smooth val="1"/>
          <c:extLst>
            <c:ext xmlns:c15="http://schemas.microsoft.com/office/drawing/2012/chart" uri="{02D57815-91ED-43cb-92C2-25804820EDAC}">
              <c15:filteredSeriesTitle>
                <c15:tx>
                  <c:strRef>
                    <c:extLst>
                      <c:ext uri="{02D57815-91ED-43cb-92C2-25804820EDAC}">
                        <c15:formulaRef>
                          <c15:sqref>label 0</c15:sqref>
                        </c15:formulaRef>
                      </c:ext>
                    </c:extLst>
                    <c:strCache>
                      <c:ptCount val="1"/>
                      <c:pt idx="0">
                        <c:v>Acier</c:v>
                      </c:pt>
                    </c:strCache>
                  </c:strRef>
                </c15:tx>
              </c15:filteredSeriesTitle>
            </c:ext>
            <c:ext xmlns:c16="http://schemas.microsoft.com/office/drawing/2014/chart" uri="{C3380CC4-5D6E-409C-BE32-E72D297353CC}">
              <c16:uniqueId val="{00000000-48C4-437A-A69A-5B29D47055F5}"/>
            </c:ext>
          </c:extLst>
        </c:ser>
        <c:ser>
          <c:idx val="1"/>
          <c:order val="1"/>
          <c:spPr>
            <a:ln w="28440">
              <a:solidFill>
                <a:srgbClr val="ED7D31"/>
              </a:solidFill>
              <a:round/>
            </a:ln>
          </c:spPr>
          <c:marker>
            <c:symbol val="circle"/>
            <c:size val="5"/>
            <c:spPr>
              <a:solidFill>
                <a:srgbClr val="ED7D3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3</c:f>
              <c:numCache>
                <c:formatCode>General</c:formatCode>
                <c:ptCount val="5"/>
                <c:pt idx="0">
                  <c:v>2014</c:v>
                </c:pt>
                <c:pt idx="1">
                  <c:v>2019</c:v>
                </c:pt>
                <c:pt idx="2">
                  <c:v>2030</c:v>
                </c:pt>
                <c:pt idx="3">
                  <c:v>2049</c:v>
                </c:pt>
                <c:pt idx="4">
                  <c:v>2050</c:v>
                </c:pt>
              </c:numCache>
            </c:numRef>
          </c:xVal>
          <c:yVal>
            <c:numRef>
              <c:f>2</c:f>
              <c:numCache>
                <c:formatCode>General</c:formatCode>
                <c:ptCount val="5"/>
                <c:pt idx="0">
                  <c:v>1.3666520990067801</c:v>
                </c:pt>
                <c:pt idx="1">
                  <c:v>1.44780839179386</c:v>
                </c:pt>
                <c:pt idx="2">
                  <c:v>1.64484567606376</c:v>
                </c:pt>
                <c:pt idx="3">
                  <c:v>2.1928645770194102</c:v>
                </c:pt>
                <c:pt idx="4">
                  <c:v>2.2210575996403001</c:v>
                </c:pt>
              </c:numCache>
            </c:numRef>
          </c:yVal>
          <c:smooth val="1"/>
          <c:extLst>
            <c:ext xmlns:c15="http://schemas.microsoft.com/office/drawing/2012/chart" uri="{02D57815-91ED-43cb-92C2-25804820EDAC}">
              <c15:filteredSeriesTitle>
                <c15:tx>
                  <c:strRef>
                    <c:extLst>
                      <c:ext uri="{02D57815-91ED-43cb-92C2-25804820EDAC}">
                        <c15:formulaRef>
                          <c15:sqref>label 2</c15:sqref>
                        </c15:formulaRef>
                      </c:ext>
                    </c:extLst>
                    <c:strCache>
                      <c:ptCount val="1"/>
                      <c:pt idx="0">
                        <c:v>Aluminium</c:v>
                      </c:pt>
                    </c:strCache>
                  </c:strRef>
                </c15:tx>
              </c15:filteredSeriesTitle>
            </c:ext>
            <c:ext xmlns:c16="http://schemas.microsoft.com/office/drawing/2014/chart" uri="{C3380CC4-5D6E-409C-BE32-E72D297353CC}">
              <c16:uniqueId val="{00000001-48C4-437A-A69A-5B29D47055F5}"/>
            </c:ext>
          </c:extLst>
        </c:ser>
        <c:ser>
          <c:idx val="2"/>
          <c:order val="2"/>
          <c:spPr>
            <a:ln w="28440">
              <a:solidFill>
                <a:srgbClr val="A5A5A5"/>
              </a:solidFill>
              <a:round/>
            </a:ln>
          </c:spPr>
          <c:marker>
            <c:symbol val="circle"/>
            <c:size val="5"/>
            <c:spPr>
              <a:solidFill>
                <a:srgbClr val="A5A5A5"/>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5</c:f>
              <c:numCache>
                <c:formatCode>General</c:formatCode>
                <c:ptCount val="5"/>
                <c:pt idx="0">
                  <c:v>2014</c:v>
                </c:pt>
                <c:pt idx="1">
                  <c:v>2019</c:v>
                </c:pt>
                <c:pt idx="2">
                  <c:v>2030</c:v>
                </c:pt>
                <c:pt idx="3">
                  <c:v>2049</c:v>
                </c:pt>
                <c:pt idx="4">
                  <c:v>2050</c:v>
                </c:pt>
              </c:numCache>
            </c:numRef>
          </c:xVal>
          <c:yVal>
            <c:numRef>
              <c:f>4</c:f>
              <c:numCache>
                <c:formatCode>General</c:formatCode>
                <c:ptCount val="5"/>
                <c:pt idx="0">
                  <c:v>4.9308939854920002</c:v>
                </c:pt>
                <c:pt idx="1">
                  <c:v>4.9143932954168603</c:v>
                </c:pt>
                <c:pt idx="2">
                  <c:v>4.61675521394758</c:v>
                </c:pt>
                <c:pt idx="3">
                  <c:v>3.2791772071073901</c:v>
                </c:pt>
                <c:pt idx="4">
                  <c:v>3.26097614417362</c:v>
                </c:pt>
              </c:numCache>
            </c:numRef>
          </c:yVal>
          <c:smooth val="1"/>
          <c:extLst>
            <c:ext xmlns:c15="http://schemas.microsoft.com/office/drawing/2012/chart" uri="{02D57815-91ED-43cb-92C2-25804820EDAC}">
              <c15:filteredSeriesTitle>
                <c15:tx>
                  <c:strRef>
                    <c:extLst>
                      <c:ext uri="{02D57815-91ED-43cb-92C2-25804820EDAC}">
                        <c15:formulaRef>
                          <c15:sqref>label 4</c15:sqref>
                        </c15:formulaRef>
                      </c:ext>
                    </c:extLst>
                    <c:strCache>
                      <c:ptCount val="1"/>
                      <c:pt idx="0">
                        <c:v>Verre</c:v>
                      </c:pt>
                    </c:strCache>
                  </c:strRef>
                </c15:tx>
              </c15:filteredSeriesTitle>
            </c:ext>
            <c:ext xmlns:c16="http://schemas.microsoft.com/office/drawing/2014/chart" uri="{C3380CC4-5D6E-409C-BE32-E72D297353CC}">
              <c16:uniqueId val="{00000002-48C4-437A-A69A-5B29D47055F5}"/>
            </c:ext>
          </c:extLst>
        </c:ser>
        <c:ser>
          <c:idx val="3"/>
          <c:order val="3"/>
          <c:spPr>
            <a:ln w="28440">
              <a:solidFill>
                <a:srgbClr val="FFC000"/>
              </a:solidFill>
              <a:round/>
            </a:ln>
          </c:spPr>
          <c:marker>
            <c:symbol val="circle"/>
            <c:size val="5"/>
            <c:spPr>
              <a:solidFill>
                <a:srgbClr val="FFC000"/>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7</c:f>
              <c:numCache>
                <c:formatCode>General</c:formatCode>
                <c:ptCount val="5"/>
                <c:pt idx="0">
                  <c:v>2014</c:v>
                </c:pt>
                <c:pt idx="1">
                  <c:v>2019</c:v>
                </c:pt>
                <c:pt idx="2">
                  <c:v>2030</c:v>
                </c:pt>
                <c:pt idx="3">
                  <c:v>2049</c:v>
                </c:pt>
                <c:pt idx="4">
                  <c:v>2050</c:v>
                </c:pt>
              </c:numCache>
            </c:numRef>
          </c:xVal>
          <c:yVal>
            <c:numRef>
              <c:f>6</c:f>
              <c:numCache>
                <c:formatCode>General</c:formatCode>
                <c:ptCount val="5"/>
                <c:pt idx="0">
                  <c:v>13.307546795161601</c:v>
                </c:pt>
                <c:pt idx="1">
                  <c:v>12.7800389170497</c:v>
                </c:pt>
                <c:pt idx="2">
                  <c:v>9.6707238614836903</c:v>
                </c:pt>
                <c:pt idx="3">
                  <c:v>6.3772983978803301</c:v>
                </c:pt>
                <c:pt idx="4">
                  <c:v>6.20832860947014</c:v>
                </c:pt>
              </c:numCache>
            </c:numRef>
          </c:yVal>
          <c:smooth val="1"/>
          <c:extLst>
            <c:ext xmlns:c15="http://schemas.microsoft.com/office/drawing/2012/chart" uri="{02D57815-91ED-43cb-92C2-25804820EDAC}">
              <c15:filteredSeriesTitle>
                <c15:tx>
                  <c:strRef>
                    <c:extLst>
                      <c:ext uri="{02D57815-91ED-43cb-92C2-25804820EDAC}">
                        <c15:formulaRef>
                          <c15:sqref>label 6</c15:sqref>
                        </c15:formulaRef>
                      </c:ext>
                    </c:extLst>
                    <c:strCache>
                      <c:ptCount val="1"/>
                      <c:pt idx="0">
                        <c:v>Clinker</c:v>
                      </c:pt>
                    </c:strCache>
                  </c:strRef>
                </c15:tx>
              </c15:filteredSeriesTitle>
            </c:ext>
            <c:ext xmlns:c16="http://schemas.microsoft.com/office/drawing/2014/chart" uri="{C3380CC4-5D6E-409C-BE32-E72D297353CC}">
              <c16:uniqueId val="{00000003-48C4-437A-A69A-5B29D47055F5}"/>
            </c:ext>
          </c:extLst>
        </c:ser>
        <c:ser>
          <c:idx val="4"/>
          <c:order val="4"/>
          <c:spPr>
            <a:ln w="28440">
              <a:solidFill>
                <a:srgbClr val="4472C4"/>
              </a:solidFill>
              <a:round/>
            </a:ln>
          </c:spPr>
          <c:marker>
            <c:symbol val="circle"/>
            <c:size val="5"/>
            <c:spPr>
              <a:solidFill>
                <a:srgbClr val="4472C4"/>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9</c:f>
              <c:numCache>
                <c:formatCode>General</c:formatCode>
                <c:ptCount val="5"/>
                <c:pt idx="0">
                  <c:v>2014</c:v>
                </c:pt>
                <c:pt idx="1">
                  <c:v>2019</c:v>
                </c:pt>
                <c:pt idx="2">
                  <c:v>2030</c:v>
                </c:pt>
                <c:pt idx="3">
                  <c:v>2049</c:v>
                </c:pt>
                <c:pt idx="4">
                  <c:v>2050</c:v>
                </c:pt>
              </c:numCache>
            </c:numRef>
          </c:xVal>
          <c:yVal>
            <c:numRef>
              <c:f>8</c:f>
              <c:numCache>
                <c:formatCode>General</c:formatCode>
                <c:ptCount val="5"/>
                <c:pt idx="0">
                  <c:v>2.1547622741316501</c:v>
                </c:pt>
                <c:pt idx="1">
                  <c:v>2.1408104023311298</c:v>
                </c:pt>
                <c:pt idx="2">
                  <c:v>1.88400540376148</c:v>
                </c:pt>
                <c:pt idx="3">
                  <c:v>1.27476297298898</c:v>
                </c:pt>
                <c:pt idx="4">
                  <c:v>1.24097278854042</c:v>
                </c:pt>
              </c:numCache>
            </c:numRef>
          </c:yVal>
          <c:smooth val="1"/>
          <c:extLst>
            <c:ext xmlns:c15="http://schemas.microsoft.com/office/drawing/2012/chart" uri="{02D57815-91ED-43cb-92C2-25804820EDAC}">
              <c15:filteredSeriesTitle>
                <c15:tx>
                  <c:strRef>
                    <c:extLst>
                      <c:ext uri="{02D57815-91ED-43cb-92C2-25804820EDAC}">
                        <c15:formulaRef>
                          <c15:sqref>label 8</c15:sqref>
                        </c15:formulaRef>
                      </c:ext>
                    </c:extLst>
                    <c:strCache>
                      <c:ptCount val="1"/>
                      <c:pt idx="0">
                        <c:v>Ammoniac</c:v>
                      </c:pt>
                    </c:strCache>
                  </c:strRef>
                </c15:tx>
              </c15:filteredSeriesTitle>
            </c:ext>
            <c:ext xmlns:c16="http://schemas.microsoft.com/office/drawing/2014/chart" uri="{C3380CC4-5D6E-409C-BE32-E72D297353CC}">
              <c16:uniqueId val="{00000004-48C4-437A-A69A-5B29D47055F5}"/>
            </c:ext>
          </c:extLst>
        </c:ser>
        <c:ser>
          <c:idx val="5"/>
          <c:order val="5"/>
          <c:spPr>
            <a:ln w="28440">
              <a:solidFill>
                <a:srgbClr val="70AD47"/>
              </a:solidFill>
              <a:round/>
            </a:ln>
          </c:spPr>
          <c:marker>
            <c:symbol val="circle"/>
            <c:size val="5"/>
            <c:spPr>
              <a:solidFill>
                <a:srgbClr val="70AD47"/>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11</c:f>
              <c:numCache>
                <c:formatCode>General</c:formatCode>
                <c:ptCount val="5"/>
                <c:pt idx="0">
                  <c:v>2014</c:v>
                </c:pt>
                <c:pt idx="1">
                  <c:v>2019</c:v>
                </c:pt>
                <c:pt idx="2">
                  <c:v>2030</c:v>
                </c:pt>
                <c:pt idx="3">
                  <c:v>2049</c:v>
                </c:pt>
                <c:pt idx="4">
                  <c:v>2050</c:v>
                </c:pt>
              </c:numCache>
            </c:numRef>
          </c:xVal>
          <c:yVal>
            <c:numRef>
              <c:f>10</c:f>
              <c:numCache>
                <c:formatCode>General</c:formatCode>
                <c:ptCount val="5"/>
                <c:pt idx="0">
                  <c:v>1.1275837860370601</c:v>
                </c:pt>
                <c:pt idx="1">
                  <c:v>1.12630043737087</c:v>
                </c:pt>
                <c:pt idx="2">
                  <c:v>0.99013587607703302</c:v>
                </c:pt>
                <c:pt idx="3">
                  <c:v>0.77042100405091196</c:v>
                </c:pt>
                <c:pt idx="4">
                  <c:v>0.76547959132830001</c:v>
                </c:pt>
              </c:numCache>
            </c:numRef>
          </c:yVal>
          <c:smooth val="1"/>
          <c:extLst>
            <c:ext xmlns:c15="http://schemas.microsoft.com/office/drawing/2012/chart" uri="{02D57815-91ED-43cb-92C2-25804820EDAC}">
              <c15:filteredSeriesTitle>
                <c15:tx>
                  <c:strRef>
                    <c:extLst>
                      <c:ext uri="{02D57815-91ED-43cb-92C2-25804820EDAC}">
                        <c15:formulaRef>
                          <c15:sqref>label 10</c15:sqref>
                        </c15:formulaRef>
                      </c:ext>
                    </c:extLst>
                    <c:strCache>
                      <c:ptCount val="1"/>
                      <c:pt idx="0">
                        <c:v>Dichlore</c:v>
                      </c:pt>
                    </c:strCache>
                  </c:strRef>
                </c15:tx>
              </c15:filteredSeriesTitle>
            </c:ext>
            <c:ext xmlns:c16="http://schemas.microsoft.com/office/drawing/2014/chart" uri="{C3380CC4-5D6E-409C-BE32-E72D297353CC}">
              <c16:uniqueId val="{00000005-48C4-437A-A69A-5B29D47055F5}"/>
            </c:ext>
          </c:extLst>
        </c:ser>
        <c:ser>
          <c:idx val="6"/>
          <c:order val="6"/>
          <c:spPr>
            <a:ln w="28440">
              <a:solidFill>
                <a:srgbClr val="255E91"/>
              </a:solidFill>
              <a:round/>
            </a:ln>
          </c:spPr>
          <c:marker>
            <c:symbol val="circle"/>
            <c:size val="5"/>
            <c:spPr>
              <a:solidFill>
                <a:srgbClr val="255E91"/>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13</c:f>
              <c:numCache>
                <c:formatCode>General</c:formatCode>
                <c:ptCount val="5"/>
                <c:pt idx="0">
                  <c:v>2014</c:v>
                </c:pt>
                <c:pt idx="1">
                  <c:v>2019</c:v>
                </c:pt>
                <c:pt idx="2">
                  <c:v>2030</c:v>
                </c:pt>
                <c:pt idx="3">
                  <c:v>2049</c:v>
                </c:pt>
                <c:pt idx="4">
                  <c:v>2050</c:v>
                </c:pt>
              </c:numCache>
            </c:numRef>
          </c:xVal>
          <c:yVal>
            <c:numRef>
              <c:f>12</c:f>
              <c:numCache>
                <c:formatCode>General</c:formatCode>
                <c:ptCount val="5"/>
                <c:pt idx="0">
                  <c:v>3.20181831480176</c:v>
                </c:pt>
                <c:pt idx="1">
                  <c:v>3.3011193757259001</c:v>
                </c:pt>
                <c:pt idx="2">
                  <c:v>2.06519215839992</c:v>
                </c:pt>
                <c:pt idx="3">
                  <c:v>1.1371054515788901</c:v>
                </c:pt>
                <c:pt idx="4">
                  <c:v>1.1061578532066501</c:v>
                </c:pt>
              </c:numCache>
            </c:numRef>
          </c:yVal>
          <c:smooth val="1"/>
          <c:extLst>
            <c:ext xmlns:c15="http://schemas.microsoft.com/office/drawing/2012/chart" uri="{02D57815-91ED-43cb-92C2-25804820EDAC}">
              <c15:filteredSeriesTitle>
                <c15:tx>
                  <c:strRef>
                    <c:extLst>
                      <c:ext uri="{02D57815-91ED-43cb-92C2-25804820EDAC}">
                        <c15:formulaRef>
                          <c15:sqref>label 12</c15:sqref>
                        </c15:formulaRef>
                      </c:ext>
                    </c:extLst>
                    <c:strCache>
                      <c:ptCount val="1"/>
                      <c:pt idx="0">
                        <c:v>Ethylène</c:v>
                      </c:pt>
                    </c:strCache>
                  </c:strRef>
                </c15:tx>
              </c15:filteredSeriesTitle>
            </c:ext>
            <c:ext xmlns:c16="http://schemas.microsoft.com/office/drawing/2014/chart" uri="{C3380CC4-5D6E-409C-BE32-E72D297353CC}">
              <c16:uniqueId val="{00000006-48C4-437A-A69A-5B29D47055F5}"/>
            </c:ext>
          </c:extLst>
        </c:ser>
        <c:ser>
          <c:idx val="7"/>
          <c:order val="7"/>
          <c:spPr>
            <a:ln w="28440">
              <a:solidFill>
                <a:srgbClr val="9E480E"/>
              </a:solidFill>
              <a:round/>
            </a:ln>
          </c:spPr>
          <c:marker>
            <c:symbol val="circle"/>
            <c:size val="5"/>
            <c:spPr>
              <a:solidFill>
                <a:srgbClr val="9E480E"/>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15</c:f>
              <c:numCache>
                <c:formatCode>General</c:formatCode>
                <c:ptCount val="5"/>
                <c:pt idx="0">
                  <c:v>2014</c:v>
                </c:pt>
                <c:pt idx="1">
                  <c:v>2019</c:v>
                </c:pt>
                <c:pt idx="2">
                  <c:v>2030</c:v>
                </c:pt>
                <c:pt idx="3">
                  <c:v>2049</c:v>
                </c:pt>
                <c:pt idx="4">
                  <c:v>2050</c:v>
                </c:pt>
              </c:numCache>
            </c:numRef>
          </c:xVal>
          <c:yVal>
            <c:numRef>
              <c:f>14</c:f>
              <c:numCache>
                <c:formatCode>General</c:formatCode>
                <c:ptCount val="5"/>
                <c:pt idx="0">
                  <c:v>8.3467850000000006</c:v>
                </c:pt>
                <c:pt idx="1">
                  <c:v>8.7532724749066393</c:v>
                </c:pt>
                <c:pt idx="2">
                  <c:v>9.3315394438301098</c:v>
                </c:pt>
                <c:pt idx="3">
                  <c:v>10.5028185335908</c:v>
                </c:pt>
                <c:pt idx="4">
                  <c:v>10.565503499921901</c:v>
                </c:pt>
              </c:numCache>
            </c:numRef>
          </c:yVal>
          <c:smooth val="1"/>
          <c:extLst>
            <c:ext xmlns:c15="http://schemas.microsoft.com/office/drawing/2012/chart" uri="{02D57815-91ED-43cb-92C2-25804820EDAC}">
              <c15:filteredSeriesTitle>
                <c15:tx>
                  <c:strRef>
                    <c:extLst>
                      <c:ext uri="{02D57815-91ED-43cb-92C2-25804820EDAC}">
                        <c15:formulaRef>
                          <c15:sqref>label 14</c15:sqref>
                        </c15:formulaRef>
                      </c:ext>
                    </c:extLst>
                    <c:strCache>
                      <c:ptCount val="1"/>
                      <c:pt idx="0">
                        <c:v>Papier</c:v>
                      </c:pt>
                    </c:strCache>
                  </c:strRef>
                </c15:tx>
              </c15:filteredSeriesTitle>
            </c:ext>
            <c:ext xmlns:c16="http://schemas.microsoft.com/office/drawing/2014/chart" uri="{C3380CC4-5D6E-409C-BE32-E72D297353CC}">
              <c16:uniqueId val="{00000007-48C4-437A-A69A-5B29D47055F5}"/>
            </c:ext>
          </c:extLst>
        </c:ser>
        <c:ser>
          <c:idx val="8"/>
          <c:order val="8"/>
          <c:spPr>
            <a:ln w="28440">
              <a:solidFill>
                <a:srgbClr val="636363"/>
              </a:solidFill>
              <a:round/>
            </a:ln>
          </c:spPr>
          <c:marker>
            <c:symbol val="circle"/>
            <c:size val="5"/>
            <c:spPr>
              <a:solidFill>
                <a:srgbClr val="636363"/>
              </a:solidFill>
            </c:spPr>
          </c:marker>
          <c:dLbls>
            <c:spPr>
              <a:noFill/>
              <a:ln>
                <a:noFill/>
              </a:ln>
              <a:effectLst/>
            </c:spPr>
            <c:txPr>
              <a:bodyPr/>
              <a:lstStyle/>
              <a:p>
                <a:pPr>
                  <a:defRPr sz="1000" b="0" strike="noStrike" spc="-1">
                    <a:solidFill>
                      <a:srgbClr val="000000"/>
                    </a:solidFill>
                    <a:latin typeface="Calibri"/>
                  </a:defRPr>
                </a:pPr>
                <a:endParaRPr lang="fr-FR"/>
              </a:p>
            </c:tx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17</c:f>
              <c:numCache>
                <c:formatCode>General</c:formatCode>
                <c:ptCount val="5"/>
                <c:pt idx="0">
                  <c:v>2014</c:v>
                </c:pt>
                <c:pt idx="1">
                  <c:v>2019</c:v>
                </c:pt>
                <c:pt idx="2">
                  <c:v>2030</c:v>
                </c:pt>
                <c:pt idx="3">
                  <c:v>2049</c:v>
                </c:pt>
                <c:pt idx="4">
                  <c:v>2050</c:v>
                </c:pt>
              </c:numCache>
            </c:numRef>
          </c:xVal>
          <c:yVal>
            <c:numRef>
              <c:f>16</c:f>
              <c:numCache>
                <c:formatCode>General</c:formatCode>
                <c:ptCount val="5"/>
                <c:pt idx="0">
                  <c:v>3.7597692307692299</c:v>
                </c:pt>
                <c:pt idx="1">
                  <c:v>3.7980256048424001</c:v>
                </c:pt>
                <c:pt idx="2">
                  <c:v>3.70807614921201</c:v>
                </c:pt>
                <c:pt idx="3">
                  <c:v>3.31292250703018</c:v>
                </c:pt>
                <c:pt idx="4">
                  <c:v>3.2910233476989301</c:v>
                </c:pt>
              </c:numCache>
            </c:numRef>
          </c:yVal>
          <c:smooth val="1"/>
          <c:extLst>
            <c:ext xmlns:c15="http://schemas.microsoft.com/office/drawing/2012/chart" uri="{02D57815-91ED-43cb-92C2-25804820EDAC}">
              <c15:filteredSeriesTitle>
                <c15:tx>
                  <c:strRef>
                    <c:extLst>
                      <c:ext uri="{02D57815-91ED-43cb-92C2-25804820EDAC}">
                        <c15:formulaRef>
                          <c15:sqref>label 16</c15:sqref>
                        </c15:formulaRef>
                      </c:ext>
                    </c:extLst>
                    <c:strCache>
                      <c:ptCount val="1"/>
                      <c:pt idx="0">
                        <c:v>Sucre</c:v>
                      </c:pt>
                    </c:strCache>
                  </c:strRef>
                </c15:tx>
              </c15:filteredSeriesTitle>
            </c:ext>
            <c:ext xmlns:c16="http://schemas.microsoft.com/office/drawing/2014/chart" uri="{C3380CC4-5D6E-409C-BE32-E72D297353CC}">
              <c16:uniqueId val="{00000008-48C4-437A-A69A-5B29D47055F5}"/>
            </c:ext>
          </c:extLst>
        </c:ser>
        <c:dLbls>
          <c:showLegendKey val="0"/>
          <c:showVal val="0"/>
          <c:showCatName val="0"/>
          <c:showSerName val="0"/>
          <c:showPercent val="0"/>
          <c:showBubbleSize val="0"/>
        </c:dLbls>
        <c:axId val="6268799"/>
        <c:axId val="40302067"/>
      </c:scatterChart>
      <c:valAx>
        <c:axId val="626879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fr-FR"/>
          </a:p>
        </c:txPr>
        <c:crossAx val="40302067"/>
        <c:crosses val="autoZero"/>
        <c:crossBetween val="midCat"/>
      </c:valAx>
      <c:valAx>
        <c:axId val="40302067"/>
        <c:scaling>
          <c:orientation val="minMax"/>
        </c:scaling>
        <c:delete val="0"/>
        <c:axPos val="l"/>
        <c:majorGridlines>
          <c:spPr>
            <a:ln w="9360">
              <a:solidFill>
                <a:srgbClr val="D9D9D9"/>
              </a:solidFill>
              <a:round/>
            </a:ln>
          </c:spPr>
        </c:majorGridlines>
        <c:title>
          <c:tx>
            <c:rich>
              <a:bodyPr rot="-5400000"/>
              <a:lstStyle/>
              <a:p>
                <a:pPr>
                  <a:defRPr sz="1000" b="0" strike="noStrike" spc="-1">
                    <a:solidFill>
                      <a:srgbClr val="595959"/>
                    </a:solidFill>
                    <a:latin typeface="Calibri"/>
                  </a:defRPr>
                </a:pPr>
                <a:r>
                  <a:rPr lang="fr-FR" sz="1000" b="0" strike="noStrike" spc="-1">
                    <a:solidFill>
                      <a:srgbClr val="595959"/>
                    </a:solidFill>
                    <a:latin typeface="Calibri"/>
                  </a:rPr>
                  <a:t>Mt</a:t>
                </a:r>
              </a:p>
            </c:rich>
          </c:tx>
          <c:overlay val="0"/>
          <c:spPr>
            <a:noFill/>
            <a:ln>
              <a:noFill/>
            </a:ln>
          </c:spPr>
        </c:title>
        <c:numFmt formatCode="0.00" sourceLinked="0"/>
        <c:majorTickMark val="none"/>
        <c:minorTickMark val="none"/>
        <c:tickLblPos val="nextTo"/>
        <c:spPr>
          <a:ln w="6480">
            <a:noFill/>
          </a:ln>
        </c:spPr>
        <c:txPr>
          <a:bodyPr/>
          <a:lstStyle/>
          <a:p>
            <a:pPr>
              <a:defRPr sz="900" b="0" strike="noStrike" spc="-1">
                <a:solidFill>
                  <a:srgbClr val="595959"/>
                </a:solidFill>
                <a:latin typeface="Calibri"/>
              </a:defRPr>
            </a:pPr>
            <a:endParaRPr lang="fr-FR"/>
          </a:p>
        </c:txPr>
        <c:crossAx val="6268799"/>
        <c:crosses val="autoZero"/>
        <c:crossBetween val="midCat"/>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ACIER</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26385490"/>
        <c:axId val="46471167"/>
      </c:barChart>
      <c:catAx>
        <c:axId val="26385490"/>
        <c:scaling>
          <c:orientation val="minMax"/>
        </c:scaling>
        <c:delete val="1"/>
        <c:axPos val="b"/>
        <c:numFmt formatCode="dd/mm/yyyy" sourceLinked="1"/>
        <c:majorTickMark val="out"/>
        <c:minorTickMark val="none"/>
        <c:tickLblPos val="none"/>
        <c:crossAx val="46471167"/>
        <c:crossesAt val="0"/>
        <c:auto val="1"/>
        <c:lblAlgn val="ctr"/>
        <c:lblOffset val="100"/>
        <c:noMultiLvlLbl val="1"/>
      </c:catAx>
      <c:valAx>
        <c:axId val="46471167"/>
        <c:scaling>
          <c:orientation val="minMax"/>
        </c:scaling>
        <c:delete val="1"/>
        <c:axPos val="l"/>
        <c:numFmt formatCode="General" sourceLinked="1"/>
        <c:majorTickMark val="out"/>
        <c:minorTickMark val="none"/>
        <c:tickLblPos val="none"/>
        <c:crossAx val="26385490"/>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ALUMINIUM</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71546718"/>
        <c:axId val="9972313"/>
      </c:barChart>
      <c:catAx>
        <c:axId val="71546718"/>
        <c:scaling>
          <c:orientation val="minMax"/>
        </c:scaling>
        <c:delete val="1"/>
        <c:axPos val="b"/>
        <c:numFmt formatCode="dd/mm/yyyy" sourceLinked="1"/>
        <c:majorTickMark val="out"/>
        <c:minorTickMark val="none"/>
        <c:tickLblPos val="none"/>
        <c:crossAx val="9972313"/>
        <c:crossesAt val="0"/>
        <c:auto val="1"/>
        <c:lblAlgn val="ctr"/>
        <c:lblOffset val="100"/>
        <c:noMultiLvlLbl val="1"/>
      </c:catAx>
      <c:valAx>
        <c:axId val="9972313"/>
        <c:scaling>
          <c:orientation val="minMax"/>
        </c:scaling>
        <c:delete val="1"/>
        <c:axPos val="l"/>
        <c:numFmt formatCode="General" sourceLinked="1"/>
        <c:majorTickMark val="out"/>
        <c:minorTickMark val="none"/>
        <c:tickLblPos val="none"/>
        <c:crossAx val="71546718"/>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VERRE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79265956"/>
        <c:axId val="2685807"/>
      </c:barChart>
      <c:catAx>
        <c:axId val="79265956"/>
        <c:scaling>
          <c:orientation val="minMax"/>
        </c:scaling>
        <c:delete val="1"/>
        <c:axPos val="b"/>
        <c:numFmt formatCode="dd/mm/yyyy" sourceLinked="1"/>
        <c:majorTickMark val="out"/>
        <c:minorTickMark val="none"/>
        <c:tickLblPos val="none"/>
        <c:crossAx val="2685807"/>
        <c:crossesAt val="0"/>
        <c:auto val="1"/>
        <c:lblAlgn val="ctr"/>
        <c:lblOffset val="100"/>
        <c:noMultiLvlLbl val="1"/>
      </c:catAx>
      <c:valAx>
        <c:axId val="2685807"/>
        <c:scaling>
          <c:orientation val="minMax"/>
        </c:scaling>
        <c:delete val="1"/>
        <c:axPos val="l"/>
        <c:numFmt formatCode="General" sourceLinked="1"/>
        <c:majorTickMark val="out"/>
        <c:minorTickMark val="none"/>
        <c:tickLblPos val="none"/>
        <c:crossAx val="79265956"/>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CLINKER</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25945278"/>
        <c:axId val="30341592"/>
      </c:barChart>
      <c:catAx>
        <c:axId val="25945278"/>
        <c:scaling>
          <c:orientation val="minMax"/>
        </c:scaling>
        <c:delete val="1"/>
        <c:axPos val="b"/>
        <c:numFmt formatCode="dd/mm/yyyy" sourceLinked="1"/>
        <c:majorTickMark val="out"/>
        <c:minorTickMark val="none"/>
        <c:tickLblPos val="none"/>
        <c:crossAx val="30341592"/>
        <c:crossesAt val="0"/>
        <c:auto val="1"/>
        <c:lblAlgn val="ctr"/>
        <c:lblOffset val="100"/>
        <c:noMultiLvlLbl val="1"/>
      </c:catAx>
      <c:valAx>
        <c:axId val="30341592"/>
        <c:scaling>
          <c:orientation val="minMax"/>
        </c:scaling>
        <c:delete val="1"/>
        <c:axPos val="l"/>
        <c:numFmt formatCode="General" sourceLinked="1"/>
        <c:majorTickMark val="out"/>
        <c:minorTickMark val="none"/>
        <c:tickLblPos val="none"/>
        <c:crossAx val="25945278"/>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AMMONIAC</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27829519"/>
        <c:axId val="7814256"/>
      </c:barChart>
      <c:catAx>
        <c:axId val="27829519"/>
        <c:scaling>
          <c:orientation val="minMax"/>
        </c:scaling>
        <c:delete val="1"/>
        <c:axPos val="b"/>
        <c:numFmt formatCode="dd/mm/yyyy" sourceLinked="1"/>
        <c:majorTickMark val="out"/>
        <c:minorTickMark val="none"/>
        <c:tickLblPos val="none"/>
        <c:crossAx val="7814256"/>
        <c:crossesAt val="0"/>
        <c:auto val="1"/>
        <c:lblAlgn val="ctr"/>
        <c:lblOffset val="100"/>
        <c:noMultiLvlLbl val="1"/>
      </c:catAx>
      <c:valAx>
        <c:axId val="7814256"/>
        <c:scaling>
          <c:orientation val="minMax"/>
        </c:scaling>
        <c:delete val="1"/>
        <c:axPos val="l"/>
        <c:numFmt formatCode="General" sourceLinked="1"/>
        <c:majorTickMark val="out"/>
        <c:minorTickMark val="none"/>
        <c:tickLblPos val="none"/>
        <c:crossAx val="27829519"/>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DICHLORE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83043130"/>
        <c:axId val="23647100"/>
      </c:barChart>
      <c:catAx>
        <c:axId val="83043130"/>
        <c:scaling>
          <c:orientation val="minMax"/>
        </c:scaling>
        <c:delete val="1"/>
        <c:axPos val="b"/>
        <c:numFmt formatCode="dd/mm/yyyy" sourceLinked="1"/>
        <c:majorTickMark val="out"/>
        <c:minorTickMark val="none"/>
        <c:tickLblPos val="none"/>
        <c:crossAx val="23647100"/>
        <c:crossesAt val="0"/>
        <c:auto val="1"/>
        <c:lblAlgn val="ctr"/>
        <c:lblOffset val="100"/>
        <c:noMultiLvlLbl val="1"/>
      </c:catAx>
      <c:valAx>
        <c:axId val="23647100"/>
        <c:scaling>
          <c:orientation val="minMax"/>
        </c:scaling>
        <c:delete val="1"/>
        <c:axPos val="l"/>
        <c:numFmt formatCode="General" sourceLinked="1"/>
        <c:majorTickMark val="out"/>
        <c:minorTickMark val="none"/>
        <c:tickLblPos val="none"/>
        <c:crossAx val="83043130"/>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lang="fr-FR" sz="1400" b="0" strike="noStrike" spc="-1">
                <a:solidFill>
                  <a:srgbClr val="595959"/>
                </a:solidFill>
                <a:latin typeface="Calibri"/>
              </a:rPr>
              <a:t>Ethylène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78472902"/>
        <c:axId val="89244922"/>
      </c:barChart>
      <c:catAx>
        <c:axId val="78472902"/>
        <c:scaling>
          <c:orientation val="minMax"/>
        </c:scaling>
        <c:delete val="1"/>
        <c:axPos val="b"/>
        <c:numFmt formatCode="dd/mm/yyyy" sourceLinked="1"/>
        <c:majorTickMark val="out"/>
        <c:minorTickMark val="none"/>
        <c:tickLblPos val="none"/>
        <c:crossAx val="89244922"/>
        <c:crossesAt val="0"/>
        <c:auto val="1"/>
        <c:lblAlgn val="ctr"/>
        <c:lblOffset val="100"/>
        <c:noMultiLvlLbl val="1"/>
      </c:catAx>
      <c:valAx>
        <c:axId val="89244922"/>
        <c:scaling>
          <c:orientation val="minMax"/>
        </c:scaling>
        <c:delete val="1"/>
        <c:axPos val="l"/>
        <c:numFmt formatCode="General" sourceLinked="1"/>
        <c:majorTickMark val="out"/>
        <c:minorTickMark val="none"/>
        <c:tickLblPos val="none"/>
        <c:crossAx val="78472902"/>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Papier</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52870717"/>
        <c:axId val="97247323"/>
      </c:barChart>
      <c:catAx>
        <c:axId val="52870717"/>
        <c:scaling>
          <c:orientation val="minMax"/>
        </c:scaling>
        <c:delete val="1"/>
        <c:axPos val="b"/>
        <c:numFmt formatCode="dd/mm/yyyy" sourceLinked="1"/>
        <c:majorTickMark val="out"/>
        <c:minorTickMark val="none"/>
        <c:tickLblPos val="none"/>
        <c:crossAx val="97247323"/>
        <c:crossesAt val="0"/>
        <c:auto val="1"/>
        <c:lblAlgn val="ctr"/>
        <c:lblOffset val="100"/>
        <c:noMultiLvlLbl val="1"/>
      </c:catAx>
      <c:valAx>
        <c:axId val="97247323"/>
        <c:scaling>
          <c:orientation val="minMax"/>
        </c:scaling>
        <c:delete val="1"/>
        <c:axPos val="l"/>
        <c:numFmt formatCode="General" sourceLinked="1"/>
        <c:majorTickMark val="out"/>
        <c:minorTickMark val="none"/>
        <c:tickLblPos val="none"/>
        <c:crossAx val="52870717"/>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fr-FR"/>
  <c:roundedCorners val="0"/>
  <c:style val="2"/>
  <c:chart>
    <c:title>
      <c:tx>
        <c:rich>
          <a:bodyPr rot="0"/>
          <a:lstStyle/>
          <a:p>
            <a:pPr>
              <a:defRPr sz="1400" b="0" strike="noStrike" spc="-1">
                <a:solidFill>
                  <a:srgbClr val="595959"/>
                </a:solidFill>
                <a:latin typeface="Calibri"/>
              </a:defRPr>
            </a:pPr>
            <a:r>
              <a:rPr sz="1400" b="0" strike="noStrike" spc="-1">
                <a:solidFill>
                  <a:srgbClr val="595959"/>
                </a:solidFill>
                <a:latin typeface="Calibri"/>
              </a:rPr>
              <a:t>Sucre</a:t>
            </a:r>
          </a:p>
        </c:rich>
      </c:tx>
      <c:overlay val="0"/>
      <c:spPr>
        <a:noFill/>
        <a:ln>
          <a:noFill/>
        </a:ln>
      </c:spPr>
    </c:title>
    <c:autoTitleDeleted val="0"/>
    <c:plotArea>
      <c:layout/>
      <c:barChart>
        <c:barDir val="col"/>
        <c:grouping val="clustered"/>
        <c:varyColors val="0"/>
        <c:dLbls>
          <c:showLegendKey val="0"/>
          <c:showVal val="0"/>
          <c:showCatName val="0"/>
          <c:showSerName val="0"/>
          <c:showPercent val="0"/>
          <c:showBubbleSize val="0"/>
        </c:dLbls>
        <c:gapWidth val="100"/>
        <c:axId val="77859548"/>
        <c:axId val="71494358"/>
      </c:barChart>
      <c:catAx>
        <c:axId val="77859548"/>
        <c:scaling>
          <c:orientation val="minMax"/>
        </c:scaling>
        <c:delete val="1"/>
        <c:axPos val="b"/>
        <c:numFmt formatCode="dd/mm/yyyy" sourceLinked="1"/>
        <c:majorTickMark val="out"/>
        <c:minorTickMark val="none"/>
        <c:tickLblPos val="none"/>
        <c:crossAx val="71494358"/>
        <c:crossesAt val="0"/>
        <c:auto val="1"/>
        <c:lblAlgn val="ctr"/>
        <c:lblOffset val="100"/>
        <c:noMultiLvlLbl val="1"/>
      </c:catAx>
      <c:valAx>
        <c:axId val="71494358"/>
        <c:scaling>
          <c:orientation val="minMax"/>
        </c:scaling>
        <c:delete val="1"/>
        <c:axPos val="l"/>
        <c:numFmt formatCode="General" sourceLinked="1"/>
        <c:majorTickMark val="out"/>
        <c:minorTickMark val="none"/>
        <c:tickLblPos val="none"/>
        <c:crossAx val="77859548"/>
        <c:crosses val="min"/>
        <c:crossBetween val="between"/>
      </c:valAx>
      <c:spPr>
        <a:noFill/>
        <a:ln>
          <a:noFill/>
        </a:ln>
      </c:spPr>
    </c:plotArea>
    <c:legend>
      <c:legendPos val="b"/>
      <c:overlay val="0"/>
      <c:spPr>
        <a:noFill/>
        <a:ln>
          <a:noFill/>
        </a:ln>
      </c:spPr>
      <c:txPr>
        <a:bodyPr/>
        <a:lstStyle/>
        <a:p>
          <a:pPr>
            <a:defRPr sz="900" b="0" strike="noStrike" spc="-1">
              <a:solidFill>
                <a:srgbClr val="595959"/>
              </a:solidFill>
              <a:latin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chart" Target="../charts/chart20.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669600</xdr:colOff>
      <xdr:row>137</xdr:row>
      <xdr:rowOff>165960</xdr:rowOff>
    </xdr:from>
    <xdr:to>
      <xdr:col>8</xdr:col>
      <xdr:colOff>443520</xdr:colOff>
      <xdr:row>152</xdr:row>
      <xdr:rowOff>168480</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23</xdr:col>
      <xdr:colOff>527040</xdr:colOff>
      <xdr:row>53</xdr:row>
      <xdr:rowOff>150120</xdr:rowOff>
    </xdr:to>
    <xdr:sp macro="" textlink="">
      <xdr:nvSpPr>
        <xdr:cNvPr id="2" name="CustomShape 1" hidden="1">
          <a:extLst>
            <a:ext uri="{FF2B5EF4-FFF2-40B4-BE49-F238E27FC236}">
              <a16:creationId xmlns:a16="http://schemas.microsoft.com/office/drawing/2014/main" id="{00000000-0008-0000-0700-000002000000}"/>
            </a:ext>
          </a:extLst>
        </xdr:cNvPr>
        <xdr:cNvSpPr/>
      </xdr:nvSpPr>
      <xdr:spPr>
        <a:xfrm>
          <a:off x="0" y="0"/>
          <a:ext cx="16851960" cy="9902160"/>
        </a:xfrm>
        <a:prstGeom prst="rect">
          <a:avLst/>
        </a:prstGeom>
        <a:solidFill>
          <a:srgbClr val="FFFFFF"/>
        </a:solidFill>
        <a:ln>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23</xdr:col>
      <xdr:colOff>527040</xdr:colOff>
      <xdr:row>53</xdr:row>
      <xdr:rowOff>150120</xdr:rowOff>
    </xdr:to>
    <xdr:sp macro="" textlink="">
      <xdr:nvSpPr>
        <xdr:cNvPr id="3" name="CustomShape 1" hidden="1">
          <a:extLst>
            <a:ext uri="{FF2B5EF4-FFF2-40B4-BE49-F238E27FC236}">
              <a16:creationId xmlns:a16="http://schemas.microsoft.com/office/drawing/2014/main" id="{00000000-0008-0000-0700-000003000000}"/>
            </a:ext>
          </a:extLst>
        </xdr:cNvPr>
        <xdr:cNvSpPr/>
      </xdr:nvSpPr>
      <xdr:spPr>
        <a:xfrm>
          <a:off x="0" y="0"/>
          <a:ext cx="16851960" cy="9902160"/>
        </a:xfrm>
        <a:prstGeom prst="rect">
          <a:avLst/>
        </a:prstGeom>
        <a:solidFill>
          <a:srgbClr val="FFFFFF"/>
        </a:solidFill>
        <a:ln>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23</xdr:col>
      <xdr:colOff>527040</xdr:colOff>
      <xdr:row>53</xdr:row>
      <xdr:rowOff>150120</xdr:rowOff>
    </xdr:to>
    <xdr:sp macro="" textlink="">
      <xdr:nvSpPr>
        <xdr:cNvPr id="4" name="CustomShape 1" hidden="1">
          <a:extLst>
            <a:ext uri="{FF2B5EF4-FFF2-40B4-BE49-F238E27FC236}">
              <a16:creationId xmlns:a16="http://schemas.microsoft.com/office/drawing/2014/main" id="{00000000-0008-0000-0700-000004000000}"/>
            </a:ext>
          </a:extLst>
        </xdr:cNvPr>
        <xdr:cNvSpPr/>
      </xdr:nvSpPr>
      <xdr:spPr>
        <a:xfrm>
          <a:off x="0" y="0"/>
          <a:ext cx="16851960" cy="9902160"/>
        </a:xfrm>
        <a:prstGeom prst="rect">
          <a:avLst/>
        </a:prstGeom>
        <a:solidFill>
          <a:srgbClr val="FFFFFF"/>
        </a:solidFill>
        <a:ln>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23</xdr:col>
      <xdr:colOff>527040</xdr:colOff>
      <xdr:row>53</xdr:row>
      <xdr:rowOff>150120</xdr:rowOff>
    </xdr:to>
    <xdr:sp macro="" textlink="">
      <xdr:nvSpPr>
        <xdr:cNvPr id="5" name="CustomShape 1" hidden="1">
          <a:extLst>
            <a:ext uri="{FF2B5EF4-FFF2-40B4-BE49-F238E27FC236}">
              <a16:creationId xmlns:a16="http://schemas.microsoft.com/office/drawing/2014/main" id="{00000000-0008-0000-0700-000005000000}"/>
            </a:ext>
          </a:extLst>
        </xdr:cNvPr>
        <xdr:cNvSpPr/>
      </xdr:nvSpPr>
      <xdr:spPr>
        <a:xfrm>
          <a:off x="0" y="0"/>
          <a:ext cx="16851960" cy="9902160"/>
        </a:xfrm>
        <a:prstGeom prst="rect">
          <a:avLst/>
        </a:prstGeom>
        <a:solidFill>
          <a:srgbClr val="FFFFFF"/>
        </a:solidFill>
        <a:ln>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22</xdr:col>
      <xdr:colOff>689040</xdr:colOff>
      <xdr:row>53</xdr:row>
      <xdr:rowOff>150120</xdr:rowOff>
    </xdr:to>
    <xdr:sp macro="" textlink="">
      <xdr:nvSpPr>
        <xdr:cNvPr id="6" name="CustomShape 1" hidden="1">
          <a:extLst>
            <a:ext uri="{FF2B5EF4-FFF2-40B4-BE49-F238E27FC236}">
              <a16:creationId xmlns:a16="http://schemas.microsoft.com/office/drawing/2014/main" id="{00000000-0008-0000-0700-000006000000}"/>
            </a:ext>
          </a:extLst>
        </xdr:cNvPr>
        <xdr:cNvSpPr/>
      </xdr:nvSpPr>
      <xdr:spPr>
        <a:xfrm>
          <a:off x="0" y="0"/>
          <a:ext cx="15814440" cy="9902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22</xdr:col>
      <xdr:colOff>689040</xdr:colOff>
      <xdr:row>53</xdr:row>
      <xdr:rowOff>150120</xdr:rowOff>
    </xdr:to>
    <xdr:sp macro="" textlink="">
      <xdr:nvSpPr>
        <xdr:cNvPr id="7" name="CustomShape 1" hidden="1">
          <a:extLst>
            <a:ext uri="{FF2B5EF4-FFF2-40B4-BE49-F238E27FC236}">
              <a16:creationId xmlns:a16="http://schemas.microsoft.com/office/drawing/2014/main" id="{00000000-0008-0000-0700-000007000000}"/>
            </a:ext>
          </a:extLst>
        </xdr:cNvPr>
        <xdr:cNvSpPr/>
      </xdr:nvSpPr>
      <xdr:spPr>
        <a:xfrm>
          <a:off x="0" y="0"/>
          <a:ext cx="15814440" cy="9902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22</xdr:col>
      <xdr:colOff>689040</xdr:colOff>
      <xdr:row>53</xdr:row>
      <xdr:rowOff>150120</xdr:rowOff>
    </xdr:to>
    <xdr:sp macro="" textlink="">
      <xdr:nvSpPr>
        <xdr:cNvPr id="8" name="CustomShape 1" hidden="1">
          <a:extLst>
            <a:ext uri="{FF2B5EF4-FFF2-40B4-BE49-F238E27FC236}">
              <a16:creationId xmlns:a16="http://schemas.microsoft.com/office/drawing/2014/main" id="{00000000-0008-0000-0700-000008000000}"/>
            </a:ext>
          </a:extLst>
        </xdr:cNvPr>
        <xdr:cNvSpPr/>
      </xdr:nvSpPr>
      <xdr:spPr>
        <a:xfrm>
          <a:off x="0" y="0"/>
          <a:ext cx="15814440" cy="9902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22</xdr:col>
      <xdr:colOff>689040</xdr:colOff>
      <xdr:row>53</xdr:row>
      <xdr:rowOff>150120</xdr:rowOff>
    </xdr:to>
    <xdr:sp macro="" textlink="">
      <xdr:nvSpPr>
        <xdr:cNvPr id="9" name="CustomShape 1" hidden="1">
          <a:extLst>
            <a:ext uri="{FF2B5EF4-FFF2-40B4-BE49-F238E27FC236}">
              <a16:creationId xmlns:a16="http://schemas.microsoft.com/office/drawing/2014/main" id="{00000000-0008-0000-0700-000009000000}"/>
            </a:ext>
          </a:extLst>
        </xdr:cNvPr>
        <xdr:cNvSpPr/>
      </xdr:nvSpPr>
      <xdr:spPr>
        <a:xfrm>
          <a:off x="0" y="0"/>
          <a:ext cx="15814440" cy="9902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22</xdr:col>
      <xdr:colOff>689040</xdr:colOff>
      <xdr:row>53</xdr:row>
      <xdr:rowOff>150120</xdr:rowOff>
    </xdr:to>
    <xdr:sp macro="" textlink="">
      <xdr:nvSpPr>
        <xdr:cNvPr id="10" name="CustomShape 1" hidden="1">
          <a:extLst>
            <a:ext uri="{FF2B5EF4-FFF2-40B4-BE49-F238E27FC236}">
              <a16:creationId xmlns:a16="http://schemas.microsoft.com/office/drawing/2014/main" id="{00000000-0008-0000-0700-00000A000000}"/>
            </a:ext>
          </a:extLst>
        </xdr:cNvPr>
        <xdr:cNvSpPr/>
      </xdr:nvSpPr>
      <xdr:spPr>
        <a:xfrm>
          <a:off x="0" y="0"/>
          <a:ext cx="15814440" cy="9902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21</xdr:col>
      <xdr:colOff>804600</xdr:colOff>
      <xdr:row>52</xdr:row>
      <xdr:rowOff>99000</xdr:rowOff>
    </xdr:to>
    <xdr:sp macro="" textlink="">
      <xdr:nvSpPr>
        <xdr:cNvPr id="11" name="CustomShape 1" hidden="1">
          <a:extLst>
            <a:ext uri="{FF2B5EF4-FFF2-40B4-BE49-F238E27FC236}">
              <a16:creationId xmlns:a16="http://schemas.microsoft.com/office/drawing/2014/main" id="{00000000-0008-0000-0700-00000B000000}"/>
            </a:ext>
          </a:extLst>
        </xdr:cNvPr>
        <xdr:cNvSpPr/>
      </xdr:nvSpPr>
      <xdr:spPr>
        <a:xfrm>
          <a:off x="0" y="0"/>
          <a:ext cx="14814360" cy="96670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21</xdr:col>
      <xdr:colOff>806040</xdr:colOff>
      <xdr:row>52</xdr:row>
      <xdr:rowOff>100800</xdr:rowOff>
    </xdr:to>
    <xdr:sp macro="" textlink="">
      <xdr:nvSpPr>
        <xdr:cNvPr id="12" name="CustomShape 1" hidden="1">
          <a:extLst>
            <a:ext uri="{FF2B5EF4-FFF2-40B4-BE49-F238E27FC236}">
              <a16:creationId xmlns:a16="http://schemas.microsoft.com/office/drawing/2014/main" id="{00000000-0008-0000-0700-00000C000000}"/>
            </a:ext>
          </a:extLst>
        </xdr:cNvPr>
        <xdr:cNvSpPr/>
      </xdr:nvSpPr>
      <xdr:spPr>
        <a:xfrm>
          <a:off x="0" y="0"/>
          <a:ext cx="14815800" cy="9668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21</xdr:col>
      <xdr:colOff>806760</xdr:colOff>
      <xdr:row>52</xdr:row>
      <xdr:rowOff>101520</xdr:rowOff>
    </xdr:to>
    <xdr:sp macro="" textlink="">
      <xdr:nvSpPr>
        <xdr:cNvPr id="13" name="CustomShape 1" hidden="1">
          <a:extLst>
            <a:ext uri="{FF2B5EF4-FFF2-40B4-BE49-F238E27FC236}">
              <a16:creationId xmlns:a16="http://schemas.microsoft.com/office/drawing/2014/main" id="{00000000-0008-0000-0700-00000D000000}"/>
            </a:ext>
          </a:extLst>
        </xdr:cNvPr>
        <xdr:cNvSpPr/>
      </xdr:nvSpPr>
      <xdr:spPr>
        <a:xfrm>
          <a:off x="0" y="0"/>
          <a:ext cx="14816520" cy="9669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21</xdr:col>
      <xdr:colOff>807120</xdr:colOff>
      <xdr:row>52</xdr:row>
      <xdr:rowOff>101880</xdr:rowOff>
    </xdr:to>
    <xdr:sp macro="" textlink="">
      <xdr:nvSpPr>
        <xdr:cNvPr id="14" name="CustomShape 1" hidden="1">
          <a:extLst>
            <a:ext uri="{FF2B5EF4-FFF2-40B4-BE49-F238E27FC236}">
              <a16:creationId xmlns:a16="http://schemas.microsoft.com/office/drawing/2014/main" id="{00000000-0008-0000-0700-00000E000000}"/>
            </a:ext>
          </a:extLst>
        </xdr:cNvPr>
        <xdr:cNvSpPr/>
      </xdr:nvSpPr>
      <xdr:spPr>
        <a:xfrm>
          <a:off x="0" y="0"/>
          <a:ext cx="14816880" cy="9669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23</xdr:col>
      <xdr:colOff>527040</xdr:colOff>
      <xdr:row>53</xdr:row>
      <xdr:rowOff>150120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16851960" cy="9902160"/>
        </a:xfrm>
        <a:prstGeom prst="rect">
          <a:avLst/>
        </a:prstGeom>
        <a:solidFill>
          <a:srgbClr val="FFFFFF"/>
        </a:solidFill>
        <a:ln>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9</xdr:col>
      <xdr:colOff>594360</xdr:colOff>
      <xdr:row>34</xdr:row>
      <xdr:rowOff>99360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7006320" cy="6352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166320</xdr:colOff>
      <xdr:row>56</xdr:row>
      <xdr:rowOff>15120</xdr:rowOff>
    </xdr:from>
    <xdr:to>
      <xdr:col>25</xdr:col>
      <xdr:colOff>129240</xdr:colOff>
      <xdr:row>90</xdr:row>
      <xdr:rowOff>91800</xdr:rowOff>
    </xdr:to>
    <xdr:graphicFrame macro="">
      <xdr:nvGraphicFramePr>
        <xdr:cNvPr id="16" name="Graphique 4">
          <a:extLst>
            <a:ext uri="{FF2B5EF4-FFF2-40B4-BE49-F238E27FC236}">
              <a16:creationId xmlns:a16="http://schemas.microsoft.com/office/drawing/2014/main" id="{00000000-0008-0000-0A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347760</xdr:colOff>
      <xdr:row>56</xdr:row>
      <xdr:rowOff>15120</xdr:rowOff>
    </xdr:from>
    <xdr:to>
      <xdr:col>37</xdr:col>
      <xdr:colOff>310680</xdr:colOff>
      <xdr:row>90</xdr:row>
      <xdr:rowOff>91800</xdr:rowOff>
    </xdr:to>
    <xdr:graphicFrame macro="">
      <xdr:nvGraphicFramePr>
        <xdr:cNvPr id="17" name="Graphique 5">
          <a:extLst>
            <a:ext uri="{FF2B5EF4-FFF2-40B4-BE49-F238E27FC236}">
              <a16:creationId xmlns:a16="http://schemas.microsoft.com/office/drawing/2014/main" id="{00000000-0008-0000-0A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37</xdr:col>
      <xdr:colOff>544320</xdr:colOff>
      <xdr:row>56</xdr:row>
      <xdr:rowOff>45360</xdr:rowOff>
    </xdr:from>
    <xdr:to>
      <xdr:col>49</xdr:col>
      <xdr:colOff>507240</xdr:colOff>
      <xdr:row>90</xdr:row>
      <xdr:rowOff>122040</xdr:rowOff>
    </xdr:to>
    <xdr:graphicFrame macro="">
      <xdr:nvGraphicFramePr>
        <xdr:cNvPr id="18" name="Graphique 6">
          <a:extLst>
            <a:ext uri="{FF2B5EF4-FFF2-40B4-BE49-F238E27FC236}">
              <a16:creationId xmlns:a16="http://schemas.microsoft.com/office/drawing/2014/main" id="{00000000-0008-0000-0A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49</xdr:col>
      <xdr:colOff>665280</xdr:colOff>
      <xdr:row>56</xdr:row>
      <xdr:rowOff>30240</xdr:rowOff>
    </xdr:from>
    <xdr:to>
      <xdr:col>61</xdr:col>
      <xdr:colOff>628200</xdr:colOff>
      <xdr:row>90</xdr:row>
      <xdr:rowOff>106920</xdr:rowOff>
    </xdr:to>
    <xdr:graphicFrame macro="">
      <xdr:nvGraphicFramePr>
        <xdr:cNvPr id="19" name="Graphique 7">
          <a:extLst>
            <a:ext uri="{FF2B5EF4-FFF2-40B4-BE49-F238E27FC236}">
              <a16:creationId xmlns:a16="http://schemas.microsoft.com/office/drawing/2014/main" id="{00000000-0008-0000-0A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105840</xdr:colOff>
      <xdr:row>91</xdr:row>
      <xdr:rowOff>0</xdr:rowOff>
    </xdr:from>
    <xdr:to>
      <xdr:col>13</xdr:col>
      <xdr:colOff>68760</xdr:colOff>
      <xdr:row>125</xdr:row>
      <xdr:rowOff>76680</xdr:rowOff>
    </xdr:to>
    <xdr:graphicFrame macro="">
      <xdr:nvGraphicFramePr>
        <xdr:cNvPr id="20" name="Graphique 8">
          <a:extLst>
            <a:ext uri="{FF2B5EF4-FFF2-40B4-BE49-F238E27FC236}">
              <a16:creationId xmlns:a16="http://schemas.microsoft.com/office/drawing/2014/main" id="{00000000-0008-0000-0A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105840</xdr:colOff>
      <xdr:row>91</xdr:row>
      <xdr:rowOff>0</xdr:rowOff>
    </xdr:from>
    <xdr:to>
      <xdr:col>25</xdr:col>
      <xdr:colOff>68760</xdr:colOff>
      <xdr:row>125</xdr:row>
      <xdr:rowOff>76680</xdr:rowOff>
    </xdr:to>
    <xdr:graphicFrame macro="">
      <xdr:nvGraphicFramePr>
        <xdr:cNvPr id="21" name="Graphique 9">
          <a:extLst>
            <a:ext uri="{FF2B5EF4-FFF2-40B4-BE49-F238E27FC236}">
              <a16:creationId xmlns:a16="http://schemas.microsoft.com/office/drawing/2014/main" id="{00000000-0008-0000-0A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332640</xdr:colOff>
      <xdr:row>90</xdr:row>
      <xdr:rowOff>136080</xdr:rowOff>
    </xdr:from>
    <xdr:to>
      <xdr:col>37</xdr:col>
      <xdr:colOff>295560</xdr:colOff>
      <xdr:row>125</xdr:row>
      <xdr:rowOff>31320</xdr:rowOff>
    </xdr:to>
    <xdr:graphicFrame macro="">
      <xdr:nvGraphicFramePr>
        <xdr:cNvPr id="22" name="Graphique 10">
          <a:extLst>
            <a:ext uri="{FF2B5EF4-FFF2-40B4-BE49-F238E27FC236}">
              <a16:creationId xmlns:a16="http://schemas.microsoft.com/office/drawing/2014/main" id="{00000000-0008-0000-0A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37</xdr:col>
      <xdr:colOff>529200</xdr:colOff>
      <xdr:row>91</xdr:row>
      <xdr:rowOff>60480</xdr:rowOff>
    </xdr:from>
    <xdr:to>
      <xdr:col>49</xdr:col>
      <xdr:colOff>492120</xdr:colOff>
      <xdr:row>125</xdr:row>
      <xdr:rowOff>137160</xdr:rowOff>
    </xdr:to>
    <xdr:graphicFrame macro="">
      <xdr:nvGraphicFramePr>
        <xdr:cNvPr id="23" name="Graphique 11">
          <a:extLst>
            <a:ext uri="{FF2B5EF4-FFF2-40B4-BE49-F238E27FC236}">
              <a16:creationId xmlns:a16="http://schemas.microsoft.com/office/drawing/2014/main" id="{00000000-0008-0000-0A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79</xdr:col>
      <xdr:colOff>15120</xdr:colOff>
      <xdr:row>4</xdr:row>
      <xdr:rowOff>29520</xdr:rowOff>
    </xdr:from>
    <xdr:to>
      <xdr:col>94</xdr:col>
      <xdr:colOff>411905</xdr:colOff>
      <xdr:row>32</xdr:row>
      <xdr:rowOff>58320</xdr:rowOff>
    </xdr:to>
    <xdr:graphicFrame macro="">
      <xdr:nvGraphicFramePr>
        <xdr:cNvPr id="24" name="Graphique 1">
          <a:extLst>
            <a:ext uri="{FF2B5EF4-FFF2-40B4-BE49-F238E27FC236}">
              <a16:creationId xmlns:a16="http://schemas.microsoft.com/office/drawing/2014/main" id="{00000000-0008-0000-0B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79</xdr:col>
      <xdr:colOff>75600</xdr:colOff>
      <xdr:row>33</xdr:row>
      <xdr:rowOff>60480</xdr:rowOff>
    </xdr:from>
    <xdr:to>
      <xdr:col>94</xdr:col>
      <xdr:colOff>475560</xdr:colOff>
      <xdr:row>62</xdr:row>
      <xdr:rowOff>86105</xdr:rowOff>
    </xdr:to>
    <xdr:graphicFrame macro="">
      <xdr:nvGraphicFramePr>
        <xdr:cNvPr id="25" name="Graphique 2">
          <a:extLst>
            <a:ext uri="{FF2B5EF4-FFF2-40B4-BE49-F238E27FC236}">
              <a16:creationId xmlns:a16="http://schemas.microsoft.com/office/drawing/2014/main" id="{00000000-0008-0000-0B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110520</xdr:colOff>
      <xdr:row>56</xdr:row>
      <xdr:rowOff>27000</xdr:rowOff>
    </xdr:from>
    <xdr:to>
      <xdr:col>13</xdr:col>
      <xdr:colOff>73440</xdr:colOff>
      <xdr:row>90</xdr:row>
      <xdr:rowOff>106855</xdr:rowOff>
    </xdr:to>
    <xdr:graphicFrame macro="">
      <xdr:nvGraphicFramePr>
        <xdr:cNvPr id="26" name="Graphique 3">
          <a:extLst>
            <a:ext uri="{FF2B5EF4-FFF2-40B4-BE49-F238E27FC236}">
              <a16:creationId xmlns:a16="http://schemas.microsoft.com/office/drawing/2014/main" id="{00000000-0008-0000-0B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236880</xdr:colOff>
      <xdr:row>56</xdr:row>
      <xdr:rowOff>15120</xdr:rowOff>
    </xdr:from>
    <xdr:to>
      <xdr:col>27</xdr:col>
      <xdr:colOff>303480</xdr:colOff>
      <xdr:row>90</xdr:row>
      <xdr:rowOff>88625</xdr:rowOff>
    </xdr:to>
    <xdr:graphicFrame macro="">
      <xdr:nvGraphicFramePr>
        <xdr:cNvPr id="27" name="Graphique 4">
          <a:extLst>
            <a:ext uri="{FF2B5EF4-FFF2-40B4-BE49-F238E27FC236}">
              <a16:creationId xmlns:a16="http://schemas.microsoft.com/office/drawing/2014/main" id="{00000000-0008-0000-0B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27</xdr:col>
      <xdr:colOff>488880</xdr:colOff>
      <xdr:row>56</xdr:row>
      <xdr:rowOff>15120</xdr:rowOff>
    </xdr:from>
    <xdr:to>
      <xdr:col>39</xdr:col>
      <xdr:colOff>448625</xdr:colOff>
      <xdr:row>90</xdr:row>
      <xdr:rowOff>88625</xdr:rowOff>
    </xdr:to>
    <xdr:graphicFrame macro="">
      <xdr:nvGraphicFramePr>
        <xdr:cNvPr id="28" name="Graphique 5">
          <a:extLst>
            <a:ext uri="{FF2B5EF4-FFF2-40B4-BE49-F238E27FC236}">
              <a16:creationId xmlns:a16="http://schemas.microsoft.com/office/drawing/2014/main" id="{00000000-0008-0000-0B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39</xdr:col>
      <xdr:colOff>591480</xdr:colOff>
      <xdr:row>56</xdr:row>
      <xdr:rowOff>2160</xdr:rowOff>
    </xdr:from>
    <xdr:to>
      <xdr:col>51</xdr:col>
      <xdr:colOff>554400</xdr:colOff>
      <xdr:row>90</xdr:row>
      <xdr:rowOff>75240</xdr:rowOff>
    </xdr:to>
    <xdr:graphicFrame macro="">
      <xdr:nvGraphicFramePr>
        <xdr:cNvPr id="29" name="Graphique 6">
          <a:extLst>
            <a:ext uri="{FF2B5EF4-FFF2-40B4-BE49-F238E27FC236}">
              <a16:creationId xmlns:a16="http://schemas.microsoft.com/office/drawing/2014/main" id="{00000000-0008-0000-0B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51</xdr:col>
      <xdr:colOff>688680</xdr:colOff>
      <xdr:row>55</xdr:row>
      <xdr:rowOff>171360</xdr:rowOff>
    </xdr:from>
    <xdr:to>
      <xdr:col>63</xdr:col>
      <xdr:colOff>654775</xdr:colOff>
      <xdr:row>90</xdr:row>
      <xdr:rowOff>60120</xdr:rowOff>
    </xdr:to>
    <xdr:graphicFrame macro="">
      <xdr:nvGraphicFramePr>
        <xdr:cNvPr id="30" name="Graphique 7">
          <a:extLst>
            <a:ext uri="{FF2B5EF4-FFF2-40B4-BE49-F238E27FC236}">
              <a16:creationId xmlns:a16="http://schemas.microsoft.com/office/drawing/2014/main" id="{00000000-0008-0000-0B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105840</xdr:colOff>
      <xdr:row>91</xdr:row>
      <xdr:rowOff>0</xdr:rowOff>
    </xdr:from>
    <xdr:to>
      <xdr:col>13</xdr:col>
      <xdr:colOff>65585</xdr:colOff>
      <xdr:row>125</xdr:row>
      <xdr:rowOff>76680</xdr:rowOff>
    </xdr:to>
    <xdr:graphicFrame macro="">
      <xdr:nvGraphicFramePr>
        <xdr:cNvPr id="31" name="Graphique 8">
          <a:extLst>
            <a:ext uri="{FF2B5EF4-FFF2-40B4-BE49-F238E27FC236}">
              <a16:creationId xmlns:a16="http://schemas.microsoft.com/office/drawing/2014/main" id="{00000000-0008-0000-0B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13</xdr:col>
      <xdr:colOff>199800</xdr:colOff>
      <xdr:row>91</xdr:row>
      <xdr:rowOff>47160</xdr:rowOff>
    </xdr:from>
    <xdr:to>
      <xdr:col>27</xdr:col>
      <xdr:colOff>326880</xdr:colOff>
      <xdr:row>125</xdr:row>
      <xdr:rowOff>120665</xdr:rowOff>
    </xdr:to>
    <xdr:graphicFrame macro="">
      <xdr:nvGraphicFramePr>
        <xdr:cNvPr id="32" name="Graphique 9">
          <a:extLst>
            <a:ext uri="{FF2B5EF4-FFF2-40B4-BE49-F238E27FC236}">
              <a16:creationId xmlns:a16="http://schemas.microsoft.com/office/drawing/2014/main" id="{00000000-0008-0000-0B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27</xdr:col>
      <xdr:colOff>473760</xdr:colOff>
      <xdr:row>91</xdr:row>
      <xdr:rowOff>42120</xdr:rowOff>
    </xdr:from>
    <xdr:to>
      <xdr:col>39</xdr:col>
      <xdr:colOff>436680</xdr:colOff>
      <xdr:row>125</xdr:row>
      <xdr:rowOff>122465</xdr:rowOff>
    </xdr:to>
    <xdr:graphicFrame macro="">
      <xdr:nvGraphicFramePr>
        <xdr:cNvPr id="33" name="Graphique 10">
          <a:extLst>
            <a:ext uri="{FF2B5EF4-FFF2-40B4-BE49-F238E27FC236}">
              <a16:creationId xmlns:a16="http://schemas.microsoft.com/office/drawing/2014/main" id="{00000000-0008-0000-0B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39</xdr:col>
      <xdr:colOff>552600</xdr:colOff>
      <xdr:row>91</xdr:row>
      <xdr:rowOff>13320</xdr:rowOff>
    </xdr:from>
    <xdr:to>
      <xdr:col>51</xdr:col>
      <xdr:colOff>515520</xdr:colOff>
      <xdr:row>125</xdr:row>
      <xdr:rowOff>86825</xdr:rowOff>
    </xdr:to>
    <xdr:graphicFrame macro="">
      <xdr:nvGraphicFramePr>
        <xdr:cNvPr id="34" name="Graphique 11">
          <a:extLst>
            <a:ext uri="{FF2B5EF4-FFF2-40B4-BE49-F238E27FC236}">
              <a16:creationId xmlns:a16="http://schemas.microsoft.com/office/drawing/2014/main" id="{00000000-0008-0000-0B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file:///L:\4_Inventaires%20d'&#233;missions,%20prospective%20et%20&#233;valuation\42_Prospective\421_Sc&#233;narios%20prospectifs%20DGEC\4215_Sc&#233;narios%202023\00%20-%20Docs%20essentiels%20RUN1%20bis\003_Industrie\423_Mod&#233;lisations\4237_PEPIT0%20Ademe\Outil%20PEPIT0_production%20industrielle_ADEME_AME_postenvoiGT.xlsm?888A022A" TargetMode="External"/><Relationship Id="rId1" Type="http://schemas.openxmlformats.org/officeDocument/2006/relationships/externalLinkPath" Target="file:///\\888A022A\Outil%20PEPIT0_production%20industrielle_ADEME_AME_postenvoiG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wenael.podesta/Downloads/Donnees_historiques_industries_v2.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file:///L:\4_Inventaires%20d'&#233;missions,%20prospective%20et%20&#233;valuation\42_Prospective\421_Sc&#233;narios%20prospectifs%20DGEC\4215_Sc&#233;narios%202023\00%20-%20Docs%20essentiels%20RUN1%20bis\003_Industrie\423_Mod&#233;lisations\4237_PEPIT0%20Ademe\Outil%20PEPIT0_production%20industrielle_ADEME_AMS.xlsm?888A022A" TargetMode="External"/><Relationship Id="rId1" Type="http://schemas.openxmlformats.org/officeDocument/2006/relationships/externalLinkPath" Target="file:///\\888A022A\Outil%20PEPIT0_production%20industrielle_ADEME_A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sp_Evolution Imp ExpNEW"/>
      <sheetName val="Trsp_ParamètresNEW"/>
      <sheetName val="MENU"/>
      <sheetName val="Biblio"/>
      <sheetName val="TDB"/>
      <sheetName val="Liste scenarios"/>
      <sheetName val="Hypo"/>
      <sheetName val="Scenarios"/>
      <sheetName val="TCD résultats"/>
      <sheetName val="Res_bdd"/>
      <sheetName val="Tables_Res_bdd"/>
      <sheetName val="Calcul_hypotheses"/>
      <sheetName val="Carto_2014 "/>
      <sheetName val="Carto 2014 (%)"/>
      <sheetName val="DIF"/>
      <sheetName val="Simul"/>
      <sheetName val="Graphiques_globaux"/>
      <sheetName val="Graphique_par_materiau"/>
      <sheetName val="Graphique_par_usage"/>
      <sheetName val="RES_annuels"/>
      <sheetName val="MatBat"/>
      <sheetName val="MatTP"/>
      <sheetName val="PAP"/>
      <sheetName val="Emballage_Resultats"/>
      <sheetName val="NRJ_Resultats"/>
      <sheetName val="Trsp_Resultats"/>
      <sheetName val="BTP_Resultats"/>
      <sheetName val="NH3"/>
      <sheetName val="Cl2"/>
      <sheetName val="SUC"/>
      <sheetName val="Etat carto"/>
      <sheetName val="Matrice cartographie 2014 (MR)"/>
      <sheetName val="NRJ_RAW ecoinvent"/>
      <sheetName val="NRJ_Bilan matiere"/>
      <sheetName val="Trsp_Evolution Imp Exp"/>
      <sheetName val="Trsp_Bilan matiere"/>
      <sheetName val="Trsp_Bilan Imp Exp"/>
      <sheetName val="Trsp_EUROSTAT 2014"/>
      <sheetName val="Trsp_RAW ecoinvent"/>
      <sheetName val="Listes"/>
      <sheetName val="SnW"/>
      <sheetName val="SourcesAutre"/>
      <sheetName val="Clinker"/>
      <sheetName val="Vérif Clinker"/>
      <sheetName val="SourcesBat"/>
      <sheetName val="SourcesT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ypothèses de calcul"/>
      <sheetName val="Dataset"/>
      <sheetName val="Dataset yearly"/>
      <sheetName val="Sheet3"/>
      <sheetName val="Calculs_intermediaires"/>
      <sheetName val="Segmentation retenue"/>
      <sheetName val="DGEC Conso"/>
      <sheetName val="Odyssee"/>
      <sheetName val="Odyssee data"/>
      <sheetName val="Intro"/>
      <sheetName val="Bilan ENG"/>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sp_Evolution Imp ExpNEW"/>
      <sheetName val="Trsp_ParamètresNEW"/>
      <sheetName val="MENU"/>
      <sheetName val="Biblio"/>
      <sheetName val="TDB"/>
      <sheetName val="Liste scenarios"/>
      <sheetName val="Hypo"/>
      <sheetName val="Scenarios"/>
      <sheetName val="TCD résultats"/>
      <sheetName val="Res_bdd"/>
      <sheetName val="Tables_Res_bdd"/>
      <sheetName val="Calcul_hypotheses"/>
      <sheetName val="Carto_2014 "/>
      <sheetName val="Carto 2014 (%)"/>
      <sheetName val="DIF"/>
      <sheetName val="Simul"/>
      <sheetName val="Graphiques_globaux"/>
      <sheetName val="Graphique_par_materiau"/>
      <sheetName val="Graphique_par_usage"/>
      <sheetName val="RES_annuels"/>
      <sheetName val="MatBat"/>
      <sheetName val="MatTP"/>
      <sheetName val="PAP"/>
      <sheetName val="Emballage_Resultats"/>
      <sheetName val="NRJ_Resultats"/>
      <sheetName val="Trsp_Resultats"/>
      <sheetName val="BTP_Resultats"/>
      <sheetName val="NH3"/>
      <sheetName val="Cl2"/>
      <sheetName val="SUC"/>
      <sheetName val="Etat carto"/>
      <sheetName val="Matrice cartographie 2014 (MR)"/>
      <sheetName val="NRJ_RAW ecoinvent"/>
      <sheetName val="NRJ_Bilan matiere"/>
      <sheetName val="Trsp_Evolution Imp Exp"/>
      <sheetName val="Trsp_Bilan matiere"/>
      <sheetName val="Trsp_Bilan Imp Exp"/>
      <sheetName val="Trsp_EUROSTAT 2014"/>
      <sheetName val="Trsp_RAW ecoinvent"/>
      <sheetName val="Listes"/>
      <sheetName val="SnW"/>
      <sheetName val="SourcesAutre"/>
      <sheetName val="Clinker"/>
      <sheetName val="Vérif Clinker"/>
      <sheetName val="SourcesBat"/>
      <sheetName val="SourcesT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mdpi.com/1996-1073/14/16/515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dpi.com/1996-1073/14/16/5152"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egifrance.gouv.fr/jorf/id/JORFTEXT000044319595"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A6099"/>
  </sheetPr>
  <dimension ref="A2:AMK58"/>
  <sheetViews>
    <sheetView topLeftCell="A36" zoomScale="95" zoomScaleNormal="95" workbookViewId="0">
      <selection activeCell="C39" sqref="C39"/>
    </sheetView>
  </sheetViews>
  <sheetFormatPr baseColWidth="10" defaultColWidth="8.7265625" defaultRowHeight="14.5" x14ac:dyDescent="0.35"/>
  <cols>
    <col min="1" max="1" width="8.453125" style="1" customWidth="1"/>
    <col min="2" max="2" width="19.453125" style="1" customWidth="1"/>
    <col min="3" max="1025" width="8.453125" style="1" customWidth="1"/>
  </cols>
  <sheetData>
    <row r="2" spans="2:23" x14ac:dyDescent="0.35">
      <c r="B2" s="417" t="s">
        <v>0</v>
      </c>
      <c r="C2" s="417"/>
      <c r="D2" s="417"/>
      <c r="E2" s="417"/>
      <c r="F2" s="417"/>
      <c r="G2" s="417"/>
    </row>
    <row r="4" spans="2:23" x14ac:dyDescent="0.35">
      <c r="B4" s="415" t="s">
        <v>1</v>
      </c>
      <c r="C4" s="415"/>
    </row>
    <row r="5" spans="2:23" x14ac:dyDescent="0.35">
      <c r="E5" s="3"/>
      <c r="F5" s="3"/>
      <c r="G5" s="3"/>
      <c r="H5" s="3"/>
      <c r="I5" s="3"/>
    </row>
    <row r="6" spans="2:23" x14ac:dyDescent="0.35">
      <c r="C6" s="416" t="s">
        <v>2</v>
      </c>
      <c r="D6" s="416"/>
      <c r="E6" s="416"/>
      <c r="F6" s="416"/>
      <c r="G6" s="416"/>
      <c r="H6" s="416"/>
      <c r="I6" s="416" t="s">
        <v>3</v>
      </c>
      <c r="J6" s="416"/>
      <c r="K6" s="416"/>
      <c r="L6" s="416"/>
      <c r="M6" s="416"/>
      <c r="N6" s="416"/>
      <c r="O6" s="416"/>
      <c r="P6" s="416" t="s">
        <v>4</v>
      </c>
      <c r="Q6" s="416"/>
      <c r="R6" s="416"/>
      <c r="S6" s="416"/>
      <c r="T6" s="416"/>
      <c r="U6" s="416"/>
      <c r="V6" s="416"/>
    </row>
    <row r="7" spans="2:23" x14ac:dyDescent="0.35">
      <c r="B7" s="1" t="s">
        <v>5</v>
      </c>
      <c r="C7" s="4">
        <v>2015</v>
      </c>
      <c r="D7" s="5">
        <v>2016</v>
      </c>
      <c r="E7" s="5">
        <v>2017</v>
      </c>
      <c r="F7" s="5">
        <v>2018</v>
      </c>
      <c r="G7" s="5">
        <v>2019</v>
      </c>
      <c r="H7" s="6">
        <v>2020</v>
      </c>
      <c r="I7" s="4">
        <v>2023</v>
      </c>
      <c r="J7" s="5">
        <v>2025</v>
      </c>
      <c r="K7" s="5">
        <v>2030</v>
      </c>
      <c r="L7" s="5">
        <v>2035</v>
      </c>
      <c r="M7" s="5">
        <v>2040</v>
      </c>
      <c r="N7" s="5">
        <v>2045</v>
      </c>
      <c r="O7" s="6">
        <v>2050</v>
      </c>
      <c r="P7" s="4">
        <v>2023</v>
      </c>
      <c r="Q7" s="5">
        <v>2025</v>
      </c>
      <c r="R7" s="5">
        <v>2030</v>
      </c>
      <c r="S7" s="5">
        <v>2035</v>
      </c>
      <c r="T7" s="5">
        <v>2040</v>
      </c>
      <c r="U7" s="5">
        <v>2045</v>
      </c>
      <c r="V7" s="6">
        <v>2050</v>
      </c>
    </row>
    <row r="8" spans="2:23" x14ac:dyDescent="0.35">
      <c r="B8" s="7" t="s">
        <v>6</v>
      </c>
      <c r="C8" s="4">
        <f>IGCE!C7</f>
        <v>15.09</v>
      </c>
      <c r="D8" s="5">
        <f>IGCE!D7</f>
        <v>14.45</v>
      </c>
      <c r="E8" s="5">
        <f>IGCE!E7</f>
        <v>15.6</v>
      </c>
      <c r="F8" s="5">
        <f>IGCE!F7</f>
        <v>15.45</v>
      </c>
      <c r="G8" s="5">
        <f>IGCE!G7</f>
        <v>14.59</v>
      </c>
      <c r="H8" s="8">
        <f>IGCE!H7</f>
        <v>11.59</v>
      </c>
      <c r="I8" s="4">
        <v>14.2</v>
      </c>
      <c r="J8" s="9">
        <f>IGCE!E101</f>
        <v>14.5663125767295</v>
      </c>
      <c r="K8" s="9">
        <f>IGCE!F101</f>
        <v>14.546573057337417</v>
      </c>
      <c r="L8" s="9">
        <f>IGCE!G101</f>
        <v>14.745979760310806</v>
      </c>
      <c r="M8" s="9">
        <f>IGCE!H101</f>
        <v>14.945386463284192</v>
      </c>
      <c r="N8" s="9">
        <f>IGCE!I101</f>
        <v>15.144793166257578</v>
      </c>
      <c r="O8" s="10">
        <f>IGCE!J101</f>
        <v>15.344199869230966</v>
      </c>
      <c r="P8" s="4">
        <v>14.2</v>
      </c>
      <c r="Q8" s="9">
        <f>IGCE!E120</f>
        <v>14.12284439450282</v>
      </c>
      <c r="R8" s="9">
        <f>IGCE!F120</f>
        <v>13.733548056588505</v>
      </c>
      <c r="S8" s="9">
        <f>IGCE!G120</f>
        <v>13.638223234818717</v>
      </c>
      <c r="T8" s="9">
        <f>IGCE!H120</f>
        <v>13.542898413048928</v>
      </c>
      <c r="U8" s="9">
        <f>IGCE!I120</f>
        <v>13.44757359127914</v>
      </c>
      <c r="V8" s="10">
        <f>IGCE!J120</f>
        <v>13.35224876950935</v>
      </c>
      <c r="W8" s="175">
        <f>(V8/Q8)^(1/25)-1</f>
        <v>-2.2418368550488621E-3</v>
      </c>
    </row>
    <row r="9" spans="2:23" x14ac:dyDescent="0.35">
      <c r="B9" s="7" t="s">
        <v>7</v>
      </c>
      <c r="C9" s="4">
        <f>IGCE!C8</f>
        <v>9.99</v>
      </c>
      <c r="D9" s="5">
        <f>IGCE!D8</f>
        <v>9.59</v>
      </c>
      <c r="E9" s="5">
        <f>IGCE!E8</f>
        <v>10.73</v>
      </c>
      <c r="F9" s="5">
        <f>IGCE!F8</f>
        <v>10.6</v>
      </c>
      <c r="G9" s="5">
        <f>IGCE!G8</f>
        <v>10.129999999999999</v>
      </c>
      <c r="H9" s="8">
        <f>IGCE!H8</f>
        <v>7.8699999999999992</v>
      </c>
      <c r="I9" s="4">
        <v>9.6</v>
      </c>
      <c r="J9" s="9">
        <f>IGCE!E102</f>
        <v>9.652101579685322</v>
      </c>
      <c r="K9" s="9">
        <f>IGCE!F102</f>
        <v>9.1781949052247978</v>
      </c>
      <c r="L9" s="9">
        <f>IGCE!G102</f>
        <v>9.2162373501942554</v>
      </c>
      <c r="M9" s="9">
        <f>IGCE!H102</f>
        <v>9.2519059058425963</v>
      </c>
      <c r="N9" s="9">
        <f>IGCE!I102</f>
        <v>9.2852005721698241</v>
      </c>
      <c r="O9" s="10">
        <f>IGCE!J102</f>
        <v>9.316121349175944</v>
      </c>
      <c r="P9" s="4">
        <v>9.6</v>
      </c>
      <c r="Q9" s="9">
        <f>IGCE!E121</f>
        <v>7.4132126708014283</v>
      </c>
      <c r="R9" s="9">
        <f>IGCE!F121</f>
        <v>4.4493009296877943</v>
      </c>
      <c r="S9" s="9">
        <f>IGCE!G121</f>
        <v>3.7731829646114265</v>
      </c>
      <c r="T9" s="9">
        <f>IGCE!H121</f>
        <v>3.1010368671087987</v>
      </c>
      <c r="U9" s="9">
        <f>IGCE!I121</f>
        <v>2.4328626371799138</v>
      </c>
      <c r="V9" s="10">
        <f>IGCE!J121</f>
        <v>1.7686602748247688</v>
      </c>
      <c r="W9" s="175"/>
    </row>
    <row r="10" spans="2:23" x14ac:dyDescent="0.35">
      <c r="B10" s="7" t="s">
        <v>8</v>
      </c>
      <c r="C10" s="4">
        <f>IGCE!C9</f>
        <v>5.0999999999999996</v>
      </c>
      <c r="D10" s="5">
        <f>IGCE!D9</f>
        <v>4.8600000000000003</v>
      </c>
      <c r="E10" s="5">
        <f>IGCE!E9</f>
        <v>4.87</v>
      </c>
      <c r="F10" s="5">
        <f>IGCE!F9</f>
        <v>4.8499999999999996</v>
      </c>
      <c r="G10" s="5">
        <f>IGCE!G9</f>
        <v>4.46</v>
      </c>
      <c r="H10" s="8">
        <f>IGCE!H9</f>
        <v>3.72</v>
      </c>
      <c r="I10" s="4">
        <v>4.5999999999999996</v>
      </c>
      <c r="J10" s="9">
        <f>IGCE!E103</f>
        <v>4.9142109970441776</v>
      </c>
      <c r="K10" s="9">
        <f>IGCE!F103</f>
        <v>5.3683781521126193</v>
      </c>
      <c r="L10" s="9">
        <f>IGCE!G103</f>
        <v>5.5297424101165511</v>
      </c>
      <c r="M10" s="9">
        <f>IGCE!H103</f>
        <v>5.6934805574415961</v>
      </c>
      <c r="N10" s="9">
        <f>IGCE!I103</f>
        <v>5.8595925940877542</v>
      </c>
      <c r="O10" s="10">
        <f>IGCE!J103</f>
        <v>6.028078520055022</v>
      </c>
      <c r="P10" s="4">
        <v>4.5999999999999996</v>
      </c>
      <c r="Q10" s="9">
        <f>IGCE!E122</f>
        <v>6.1096317237013924</v>
      </c>
      <c r="R10" s="9">
        <f>IGCE!F122</f>
        <v>7.6842471269007113</v>
      </c>
      <c r="S10" s="9">
        <f>IGCE!G122</f>
        <v>7.9150402702072915</v>
      </c>
      <c r="T10" s="9">
        <f>IGCE!H122</f>
        <v>8.1418615459401273</v>
      </c>
      <c r="U10" s="9">
        <f>IGCE!I122</f>
        <v>8.364710954099225</v>
      </c>
      <c r="V10" s="10">
        <f>IGCE!J122</f>
        <v>8.5835884946845802</v>
      </c>
      <c r="W10" s="175"/>
    </row>
    <row r="11" spans="2:23" x14ac:dyDescent="0.35">
      <c r="B11" s="7" t="s">
        <v>9</v>
      </c>
      <c r="C11" s="4">
        <v>0</v>
      </c>
      <c r="D11" s="5">
        <v>0</v>
      </c>
      <c r="E11" s="5">
        <v>0</v>
      </c>
      <c r="F11" s="5">
        <v>0</v>
      </c>
      <c r="G11" s="5">
        <v>0</v>
      </c>
      <c r="H11" s="6">
        <v>0</v>
      </c>
      <c r="I11" s="4">
        <v>0</v>
      </c>
      <c r="J11" s="9">
        <f>IGCE!E104</f>
        <v>0</v>
      </c>
      <c r="K11" s="9">
        <f>IGCE!F104</f>
        <v>0</v>
      </c>
      <c r="L11" s="9">
        <f>IGCE!G104</f>
        <v>0</v>
      </c>
      <c r="M11" s="9">
        <f>IGCE!H104</f>
        <v>0</v>
      </c>
      <c r="N11" s="9">
        <f>IGCE!I104</f>
        <v>0</v>
      </c>
      <c r="O11" s="10">
        <f>IGCE!J104</f>
        <v>0</v>
      </c>
      <c r="P11" s="4">
        <v>0</v>
      </c>
      <c r="Q11" s="9">
        <f>IGCE!E123</f>
        <v>0.6</v>
      </c>
      <c r="R11" s="9">
        <f>IGCE!F123</f>
        <v>1.6</v>
      </c>
      <c r="S11" s="9">
        <f>IGCE!G123</f>
        <v>1.95</v>
      </c>
      <c r="T11" s="9">
        <f>IGCE!H123</f>
        <v>2.2999999999999998</v>
      </c>
      <c r="U11" s="9">
        <f>IGCE!I123</f>
        <v>2.65</v>
      </c>
      <c r="V11" s="10">
        <f>IGCE!J123</f>
        <v>3</v>
      </c>
      <c r="W11" s="175"/>
    </row>
    <row r="12" spans="2:23" x14ac:dyDescent="0.35">
      <c r="B12" s="7" t="s">
        <v>10</v>
      </c>
      <c r="C12" s="4">
        <v>0.89300000000000002</v>
      </c>
      <c r="D12" s="5">
        <v>0.91800000000000004</v>
      </c>
      <c r="E12" s="5">
        <v>0.94199999999999995</v>
      </c>
      <c r="F12" s="5">
        <v>0.878</v>
      </c>
      <c r="G12" s="5">
        <v>0.89400000000000002</v>
      </c>
      <c r="H12" s="11">
        <f>G12*0.897402216594645</f>
        <v>0.80227758163561269</v>
      </c>
      <c r="I12" s="4">
        <v>0.9</v>
      </c>
      <c r="J12" s="9">
        <f>IGCE!E105</f>
        <v>0.97003599155980225</v>
      </c>
      <c r="K12" s="9">
        <f>IGCE!F105</f>
        <v>1.0333993178596366</v>
      </c>
      <c r="L12" s="9">
        <f>IGCE!G105</f>
        <v>1.1157722139220803</v>
      </c>
      <c r="M12" s="9">
        <f>IGCE!H105</f>
        <v>1.1981451099845239</v>
      </c>
      <c r="N12" s="9">
        <f>IGCE!I105</f>
        <v>1.2805180060469674</v>
      </c>
      <c r="O12" s="10">
        <f>IGCE!J105</f>
        <v>1.3628909021094111</v>
      </c>
      <c r="P12" s="4">
        <v>0.9</v>
      </c>
      <c r="Q12" s="9">
        <f>IGCE!E124</f>
        <v>0.9936882635597627</v>
      </c>
      <c r="R12" s="9">
        <f>IGCE!F124</f>
        <v>1.1184950597233541</v>
      </c>
      <c r="S12" s="9">
        <f>IGCE!G124</f>
        <v>1.2924792796520781</v>
      </c>
      <c r="T12" s="9">
        <f>IGCE!H124</f>
        <v>1.4787080029568036</v>
      </c>
      <c r="U12" s="9">
        <f>IGCE!I124</f>
        <v>1.677181229637531</v>
      </c>
      <c r="V12" s="10">
        <f>IGCE!J124</f>
        <v>1.8878989596942599</v>
      </c>
      <c r="W12" s="175">
        <f>(V12/Q12)^(1/25)-1</f>
        <v>2.6004211538731115E-2</v>
      </c>
    </row>
    <row r="13" spans="2:23" x14ac:dyDescent="0.35">
      <c r="B13" s="12" t="s">
        <v>11</v>
      </c>
      <c r="C13" s="13">
        <v>0.47199999999999998</v>
      </c>
      <c r="D13" s="14">
        <v>0.48799999999999999</v>
      </c>
      <c r="E13" s="14">
        <v>0.50800000000000001</v>
      </c>
      <c r="F13" s="14">
        <v>0.496</v>
      </c>
      <c r="G13" s="14">
        <v>0.47599999999999998</v>
      </c>
      <c r="H13" s="8">
        <v>0.40100000000000002</v>
      </c>
      <c r="I13" s="4">
        <v>0.42</v>
      </c>
      <c r="J13" s="15">
        <f>IGCE!E106</f>
        <v>0.52133466763393566</v>
      </c>
      <c r="K13" s="15">
        <f>IGCE!F106</f>
        <v>0.56055555391817957</v>
      </c>
      <c r="L13" s="15">
        <f>IGCE!G106</f>
        <v>0.61360607395270861</v>
      </c>
      <c r="M13" s="15">
        <f>IGCE!H106</f>
        <v>0.66789218742817447</v>
      </c>
      <c r="N13" s="15">
        <f>IGCE!I106</f>
        <v>0.72341389434457681</v>
      </c>
      <c r="O13" s="16">
        <f>IGCE!J106</f>
        <v>0.78017119470191576</v>
      </c>
      <c r="P13" s="4">
        <f>P12-P14</f>
        <v>-1.33</v>
      </c>
      <c r="Q13" s="15">
        <f>IGCE!E125</f>
        <v>0.56264541276728419</v>
      </c>
      <c r="R13" s="15">
        <f>IGCE!F125</f>
        <v>0.67109703583401237</v>
      </c>
      <c r="S13" s="15">
        <f>IGCE!G125</f>
        <v>0.84011153177385067</v>
      </c>
      <c r="T13" s="15">
        <f>IGCE!H125</f>
        <v>1.0350956020697624</v>
      </c>
      <c r="U13" s="15">
        <f>IGCE!I125</f>
        <v>1.2578859222281482</v>
      </c>
      <c r="V13" s="16">
        <f>IGCE!J125</f>
        <v>1.510319167755408</v>
      </c>
      <c r="W13" s="175"/>
    </row>
    <row r="14" spans="2:23" x14ac:dyDescent="0.35">
      <c r="B14" s="7" t="s">
        <v>12</v>
      </c>
      <c r="C14" s="4">
        <v>2.5099999999999998</v>
      </c>
      <c r="D14" s="5">
        <v>2.2400000000000002</v>
      </c>
      <c r="E14" s="5">
        <v>2.59</v>
      </c>
      <c r="F14" s="5">
        <v>2.16</v>
      </c>
      <c r="G14" s="5">
        <v>2.34</v>
      </c>
      <c r="H14" s="6">
        <v>2.27</v>
      </c>
      <c r="I14" s="4">
        <v>2.25</v>
      </c>
      <c r="J14" s="15">
        <f>IGCE!E107</f>
        <v>2.1309733942250184</v>
      </c>
      <c r="K14" s="15">
        <f>IGCE!F107</f>
        <v>1.9567845560792039</v>
      </c>
      <c r="L14" s="15">
        <f>IGCE!G107</f>
        <v>1.7956983450554393</v>
      </c>
      <c r="M14" s="15">
        <f>IGCE!H107</f>
        <v>1.6346121340316748</v>
      </c>
      <c r="N14" s="15">
        <f>IGCE!I107</f>
        <v>1.4735259230079101</v>
      </c>
      <c r="O14" s="16">
        <f>IGCE!J107</f>
        <v>1.3124397119841458</v>
      </c>
      <c r="P14" s="4">
        <v>2.23</v>
      </c>
      <c r="Q14" s="15">
        <f>IGCE!E126</f>
        <v>1.9803492289210738</v>
      </c>
      <c r="R14" s="15">
        <f>IGCE!F126</f>
        <v>1.6521537267199378</v>
      </c>
      <c r="S14" s="15">
        <f>IGCE!G126</f>
        <v>1.5059827052338237</v>
      </c>
      <c r="T14" s="15">
        <f>IGCE!H126</f>
        <v>1.3478237549327936</v>
      </c>
      <c r="U14" s="15">
        <f>IGCE!I126</f>
        <v>1.1776768758168477</v>
      </c>
      <c r="V14" s="16">
        <f>IGCE!J126</f>
        <v>0.99554206788598587</v>
      </c>
      <c r="W14" s="175">
        <f>(V14/Q14)^(1/25)-1</f>
        <v>-2.713470002733942E-2</v>
      </c>
    </row>
    <row r="15" spans="2:23" x14ac:dyDescent="0.35">
      <c r="B15" s="7" t="s">
        <v>13</v>
      </c>
      <c r="C15" s="4">
        <v>0.92</v>
      </c>
      <c r="D15" s="5">
        <v>0.92</v>
      </c>
      <c r="E15" s="5">
        <v>0.97</v>
      </c>
      <c r="F15" s="5">
        <v>0.89</v>
      </c>
      <c r="G15" s="5">
        <v>0.96</v>
      </c>
      <c r="H15" s="6">
        <v>0.89</v>
      </c>
      <c r="I15" s="4">
        <v>0.95</v>
      </c>
      <c r="J15" s="9">
        <f>IGCE!E108</f>
        <v>0.95478003590606741</v>
      </c>
      <c r="K15" s="9">
        <f>IGCE!F108</f>
        <v>0.95043006582779044</v>
      </c>
      <c r="L15" s="9">
        <f>IGCE!G108</f>
        <v>0.93768662335152986</v>
      </c>
      <c r="M15" s="9">
        <f>IGCE!H108</f>
        <v>0.92494318087526928</v>
      </c>
      <c r="N15" s="9">
        <f>IGCE!I108</f>
        <v>0.9121997383990087</v>
      </c>
      <c r="O15" s="10">
        <f>IGCE!J108</f>
        <v>0.89945629592274823</v>
      </c>
      <c r="P15" s="4">
        <v>0.93</v>
      </c>
      <c r="Q15" s="9">
        <f>IGCE!E127</f>
        <v>0.93895151251958675</v>
      </c>
      <c r="R15" s="9">
        <f>IGCE!F127</f>
        <v>0.92082636475164081</v>
      </c>
      <c r="S15" s="9">
        <f>IGCE!G127</f>
        <v>0.8966129326942559</v>
      </c>
      <c r="T15" s="9">
        <f>IGCE!H127</f>
        <v>0.86902965636564022</v>
      </c>
      <c r="U15" s="9">
        <f>IGCE!I127</f>
        <v>0.8216436625154836</v>
      </c>
      <c r="V15" s="10">
        <f>IGCE!J127</f>
        <v>0.76547959132830046</v>
      </c>
      <c r="W15" s="175">
        <f t="shared" ref="W15:W20" si="0">(V15/Q15)^(1/25)-1</f>
        <v>-8.1371640349723329E-3</v>
      </c>
    </row>
    <row r="16" spans="2:23" x14ac:dyDescent="0.35">
      <c r="B16" s="7" t="s">
        <v>14</v>
      </c>
      <c r="C16" s="4">
        <v>1.07</v>
      </c>
      <c r="D16" s="5">
        <v>1.1000000000000001</v>
      </c>
      <c r="E16" s="5">
        <v>0.91</v>
      </c>
      <c r="F16" s="5">
        <v>1.1100000000000001</v>
      </c>
      <c r="G16" s="5">
        <v>1.07</v>
      </c>
      <c r="H16" s="6">
        <v>1</v>
      </c>
      <c r="I16" s="4">
        <v>1.05</v>
      </c>
      <c r="J16" s="9">
        <f>IGCE!E109</f>
        <v>1.06741762793201</v>
      </c>
      <c r="K16" s="9">
        <f>IGCE!F109</f>
        <v>1.0689848301965783</v>
      </c>
      <c r="L16" s="9">
        <f>IGCE!G109</f>
        <v>1.0550477752696683</v>
      </c>
      <c r="M16" s="9">
        <f>IGCE!H109</f>
        <v>1.0411107203427583</v>
      </c>
      <c r="N16" s="9">
        <f>IGCE!I109</f>
        <v>1.0271736654158483</v>
      </c>
      <c r="O16" s="10">
        <f>IGCE!J109</f>
        <v>1.0132366104889385</v>
      </c>
      <c r="P16" s="4">
        <v>1.05</v>
      </c>
      <c r="Q16" s="9">
        <f>IGCE!E128</f>
        <v>1.3498223480284839</v>
      </c>
      <c r="R16" s="9">
        <f>IGCE!F128</f>
        <v>1.3188037826330354</v>
      </c>
      <c r="S16" s="9">
        <f>IGCE!G128</f>
        <v>1.2493542562182551</v>
      </c>
      <c r="T16" s="9">
        <f>IGCE!H128</f>
        <v>1.1718668221132114</v>
      </c>
      <c r="U16" s="9">
        <f>IGCE!I128</f>
        <v>1.0863414803179046</v>
      </c>
      <c r="V16" s="10">
        <f>IGCE!J128</f>
        <v>0.9927782308323343</v>
      </c>
      <c r="W16" s="175">
        <f t="shared" si="0"/>
        <v>-1.2213639061901982E-2</v>
      </c>
    </row>
    <row r="17" spans="2:24" x14ac:dyDescent="0.35">
      <c r="B17" s="7" t="s">
        <v>15</v>
      </c>
      <c r="C17" s="4">
        <v>12.54</v>
      </c>
      <c r="D17" s="5">
        <v>12.67</v>
      </c>
      <c r="E17" s="5">
        <v>12.36</v>
      </c>
      <c r="F17" s="5">
        <v>12.84</v>
      </c>
      <c r="G17" s="5">
        <v>12.94</v>
      </c>
      <c r="H17" s="6">
        <v>11.77</v>
      </c>
      <c r="I17" s="4">
        <v>12.4</v>
      </c>
      <c r="J17" s="9">
        <f>IGCE!E110</f>
        <v>12.369610904297486</v>
      </c>
      <c r="K17" s="9">
        <f>IGCE!F110</f>
        <v>11.972347828728516</v>
      </c>
      <c r="L17" s="9">
        <f>IGCE!G110</f>
        <v>11.289564897418671</v>
      </c>
      <c r="M17" s="9">
        <f>IGCE!H110</f>
        <v>10.606781966108828</v>
      </c>
      <c r="N17" s="9">
        <f>IGCE!I110</f>
        <v>9.9239990347989835</v>
      </c>
      <c r="O17" s="10">
        <f>IGCE!J110</f>
        <v>9.2412161034891405</v>
      </c>
      <c r="P17" s="4">
        <v>12.4</v>
      </c>
      <c r="Q17" s="9">
        <f>IGCE!E129</f>
        <v>11.35620273180592</v>
      </c>
      <c r="R17" s="9">
        <f>IGCE!F129</f>
        <v>10.03637167497752</v>
      </c>
      <c r="S17" s="9">
        <f>IGCE!G129</f>
        <v>9.1380447727565208</v>
      </c>
      <c r="T17" s="9">
        <f>IGCE!H129</f>
        <v>8.2397178705355216</v>
      </c>
      <c r="U17" s="9">
        <f>IGCE!I129</f>
        <v>7.3413909683145198</v>
      </c>
      <c r="V17" s="10">
        <f>IGCE!J129</f>
        <v>6.4430640660935197</v>
      </c>
      <c r="W17" s="175">
        <f t="shared" si="0"/>
        <v>-2.2415352622140006E-2</v>
      </c>
    </row>
    <row r="18" spans="2:24" x14ac:dyDescent="0.35">
      <c r="B18" s="7" t="s">
        <v>16</v>
      </c>
      <c r="C18" s="17">
        <v>5.4624895107140601</v>
      </c>
      <c r="D18" s="18">
        <v>5.1683689900000003</v>
      </c>
      <c r="E18" s="18">
        <v>5.5996366200000001</v>
      </c>
      <c r="F18" s="18">
        <v>5.66565545</v>
      </c>
      <c r="G18" s="18">
        <v>5.6971323500000004</v>
      </c>
      <c r="H18" s="19">
        <v>5.0235558500000002</v>
      </c>
      <c r="I18" s="4">
        <v>5.3</v>
      </c>
      <c r="J18" s="9">
        <f>IGCE!E111</f>
        <v>5.6767464059368375</v>
      </c>
      <c r="K18" s="9">
        <f>IGCE!F111</f>
        <v>5.6597581192175364</v>
      </c>
      <c r="L18" s="9">
        <f>IGCE!G111</f>
        <v>5.4629232119267659</v>
      </c>
      <c r="M18" s="9">
        <f>IGCE!H111</f>
        <v>5.2660883046359963</v>
      </c>
      <c r="N18" s="9">
        <f>IGCE!I111</f>
        <v>5.0692533973452267</v>
      </c>
      <c r="O18" s="10">
        <f>IGCE!J111</f>
        <v>4.8724184900544554</v>
      </c>
      <c r="P18" s="4">
        <v>5.3</v>
      </c>
      <c r="Q18" s="9">
        <f>IGCE!E130</f>
        <v>5.5312635058355406</v>
      </c>
      <c r="R18" s="9">
        <f>IGCE!F130</f>
        <v>5.3930394690318231</v>
      </c>
      <c r="S18" s="9">
        <f>IGCE!G130</f>
        <v>4.9971028373641539</v>
      </c>
      <c r="T18" s="9">
        <f>IGCE!H130</f>
        <v>4.6011662056964857</v>
      </c>
      <c r="U18" s="9">
        <f>IGCE!I130</f>
        <v>4.2052295740288166</v>
      </c>
      <c r="V18" s="10">
        <f>IGCE!J130</f>
        <v>3.8092929423611483</v>
      </c>
      <c r="W18" s="175">
        <f t="shared" si="0"/>
        <v>-1.4808171633675538E-2</v>
      </c>
    </row>
    <row r="19" spans="2:24" x14ac:dyDescent="0.35">
      <c r="B19" s="7" t="s">
        <v>17</v>
      </c>
      <c r="C19" s="4">
        <v>7.99</v>
      </c>
      <c r="D19" s="5">
        <v>9.98</v>
      </c>
      <c r="E19" s="5">
        <v>8.02</v>
      </c>
      <c r="F19" s="5">
        <v>7.87</v>
      </c>
      <c r="G19" s="5">
        <v>7.32</v>
      </c>
      <c r="H19" s="19">
        <f>G19*0.930316272251903</f>
        <v>6.8099151128839308</v>
      </c>
      <c r="I19" s="4">
        <v>7.9</v>
      </c>
      <c r="J19" s="9">
        <f>IGCE!E112</f>
        <v>7.7735794156205493</v>
      </c>
      <c r="K19" s="9">
        <f>IGCE!F112</f>
        <v>8.1515622619710157</v>
      </c>
      <c r="L19" s="9">
        <f>IGCE!G112</f>
        <v>8.6317465423904842</v>
      </c>
      <c r="M19" s="9">
        <f>IGCE!H112</f>
        <v>9.1119308228099527</v>
      </c>
      <c r="N19" s="9">
        <f>IGCE!I112</f>
        <v>9.5921151032294194</v>
      </c>
      <c r="O19" s="10">
        <f>IGCE!J112</f>
        <v>10.072299383648888</v>
      </c>
      <c r="P19" s="4">
        <v>7.9</v>
      </c>
      <c r="Q19" s="9">
        <f>IGCE!E131</f>
        <v>7.8694907919721002</v>
      </c>
      <c r="R19" s="9">
        <f>IGCE!F131</f>
        <v>8.3983854994470999</v>
      </c>
      <c r="S19" s="9">
        <f>IGCE!G131</f>
        <v>8.9170281735140762</v>
      </c>
      <c r="T19" s="9">
        <f>IGCE!H131</f>
        <v>9.4510953982821988</v>
      </c>
      <c r="U19" s="9">
        <f>IGCE!I131</f>
        <v>10.000587173751471</v>
      </c>
      <c r="V19" s="10">
        <f>IGCE!J131</f>
        <v>10.56550349992189</v>
      </c>
      <c r="W19" s="175">
        <f t="shared" si="0"/>
        <v>1.1853743284386598E-2</v>
      </c>
    </row>
    <row r="20" spans="2:24" x14ac:dyDescent="0.35">
      <c r="B20" s="7" t="s">
        <v>18</v>
      </c>
      <c r="C20" s="20">
        <v>4.5199999999999996</v>
      </c>
      <c r="D20" s="21">
        <v>4.68</v>
      </c>
      <c r="E20" s="21">
        <v>6.24</v>
      </c>
      <c r="F20" s="21">
        <v>5.09</v>
      </c>
      <c r="G20" s="21">
        <v>4.96</v>
      </c>
      <c r="H20" s="22">
        <v>3.38</v>
      </c>
      <c r="I20" s="20">
        <v>4.9000000000000004</v>
      </c>
      <c r="J20" s="23">
        <f>IGCE!E113</f>
        <v>5.0392902944438003</v>
      </c>
      <c r="K20" s="23">
        <f>IGCE!F113</f>
        <v>5.1053655398136346</v>
      </c>
      <c r="L20" s="23">
        <f>IGCE!G113</f>
        <v>5.1492372804011337</v>
      </c>
      <c r="M20" s="23">
        <f>IGCE!H113</f>
        <v>5.1931090209886337</v>
      </c>
      <c r="N20" s="23">
        <f>IGCE!I113</f>
        <v>5.2369807615761346</v>
      </c>
      <c r="O20" s="24">
        <f>IGCE!J113</f>
        <v>5.2808525021636337</v>
      </c>
      <c r="P20" s="20">
        <v>4.9000000000000004</v>
      </c>
      <c r="Q20" s="23">
        <f>IGCE!E132</f>
        <v>4.9144877603133459</v>
      </c>
      <c r="R20" s="23">
        <f>IGCE!F132</f>
        <v>4.8765608939078025</v>
      </c>
      <c r="S20" s="23">
        <f>IGCE!G132</f>
        <v>4.7394423922431601</v>
      </c>
      <c r="T20" s="23">
        <f>IGCE!H132</f>
        <v>4.6023238905785187</v>
      </c>
      <c r="U20" s="23">
        <f>IGCE!I132</f>
        <v>4.4652053889138772</v>
      </c>
      <c r="V20" s="24">
        <f>IGCE!J132</f>
        <v>4.3280868872492357</v>
      </c>
      <c r="W20" s="175">
        <f t="shared" si="0"/>
        <v>-5.06958253177614E-3</v>
      </c>
    </row>
    <row r="21" spans="2:24" x14ac:dyDescent="0.35">
      <c r="P21" s="25"/>
      <c r="Q21" s="25"/>
      <c r="R21" s="25"/>
      <c r="S21" s="25"/>
      <c r="T21" s="25"/>
      <c r="U21" s="25"/>
      <c r="V21" s="25"/>
    </row>
    <row r="22" spans="2:24" x14ac:dyDescent="0.35">
      <c r="B22" s="415" t="s">
        <v>19</v>
      </c>
      <c r="C22" s="415"/>
      <c r="D22" s="415"/>
      <c r="E22" s="415"/>
      <c r="Q22" s="26"/>
      <c r="R22" s="26"/>
      <c r="S22" s="26"/>
      <c r="T22" s="26"/>
      <c r="U22" s="26"/>
      <c r="V22" s="26"/>
      <c r="W22" s="26"/>
    </row>
    <row r="23" spans="2:24" x14ac:dyDescent="0.35">
      <c r="N23" s="27"/>
      <c r="O23" s="27"/>
      <c r="P23" s="27"/>
      <c r="R23" s="26"/>
      <c r="S23" s="26"/>
      <c r="T23" s="26"/>
      <c r="U23" s="26"/>
      <c r="V23" s="26"/>
      <c r="W23" s="26"/>
      <c r="X23" s="26"/>
    </row>
    <row r="24" spans="2:24" x14ac:dyDescent="0.35">
      <c r="B24" s="1" t="s">
        <v>20</v>
      </c>
      <c r="C24" s="416" t="s">
        <v>2</v>
      </c>
      <c r="D24" s="416"/>
      <c r="E24" s="416"/>
      <c r="F24" s="416"/>
      <c r="G24" s="416"/>
      <c r="H24" s="416"/>
      <c r="I24" s="416" t="s">
        <v>21</v>
      </c>
      <c r="J24" s="416"/>
      <c r="K24" s="416"/>
      <c r="L24" s="416"/>
      <c r="M24" s="416"/>
      <c r="N24" s="416"/>
      <c r="O24" s="416"/>
      <c r="P24" s="416" t="s">
        <v>22</v>
      </c>
      <c r="Q24" s="416"/>
      <c r="R24" s="416"/>
      <c r="S24" s="416"/>
      <c r="T24" s="416"/>
      <c r="U24" s="416"/>
      <c r="V24" s="416"/>
    </row>
    <row r="25" spans="2:24" x14ac:dyDescent="0.35">
      <c r="B25" s="1" t="s">
        <v>23</v>
      </c>
      <c r="C25" s="4">
        <v>2015</v>
      </c>
      <c r="D25" s="5">
        <v>2016</v>
      </c>
      <c r="E25" s="5">
        <v>2017</v>
      </c>
      <c r="F25" s="5">
        <v>2018</v>
      </c>
      <c r="G25" s="5">
        <v>2019</v>
      </c>
      <c r="H25" s="6">
        <v>2020</v>
      </c>
      <c r="I25" s="5">
        <v>2023</v>
      </c>
      <c r="J25" s="5">
        <v>2025</v>
      </c>
      <c r="K25" s="5">
        <v>2030</v>
      </c>
      <c r="L25" s="5">
        <v>2035</v>
      </c>
      <c r="M25" s="5">
        <v>2040</v>
      </c>
      <c r="N25" s="5">
        <v>2045</v>
      </c>
      <c r="O25" s="6">
        <v>2050</v>
      </c>
      <c r="P25" s="5">
        <v>2023</v>
      </c>
      <c r="Q25" s="5">
        <v>2025</v>
      </c>
      <c r="R25" s="5">
        <v>2030</v>
      </c>
      <c r="S25" s="5">
        <v>2035</v>
      </c>
      <c r="T25" s="5">
        <v>2040</v>
      </c>
      <c r="U25" s="5">
        <v>2045</v>
      </c>
      <c r="V25" s="6">
        <v>2050</v>
      </c>
    </row>
    <row r="26" spans="2:24" x14ac:dyDescent="0.35">
      <c r="B26" s="28" t="s">
        <v>24</v>
      </c>
      <c r="C26" s="29">
        <f>'VA historique'!R5</f>
        <v>25.624379000000001</v>
      </c>
      <c r="D26" s="30">
        <f>'VA historique'!S5</f>
        <v>26.013804</v>
      </c>
      <c r="E26" s="30">
        <f>'VA historique'!T5</f>
        <v>26.657764</v>
      </c>
      <c r="F26" s="30">
        <f>'VA historique'!U5</f>
        <v>25.460822</v>
      </c>
      <c r="G26" s="30">
        <f>'VA historique'!V5</f>
        <v>25.805907999999999</v>
      </c>
      <c r="H26" s="31">
        <f>G26*0.905</f>
        <v>23.35434674</v>
      </c>
      <c r="I26" s="9">
        <v>24</v>
      </c>
      <c r="J26" s="9">
        <f>Diffus!E30</f>
        <v>21.983015573875107</v>
      </c>
      <c r="K26" s="9">
        <f>Diffus!F30</f>
        <v>21.706668682417142</v>
      </c>
      <c r="L26" s="9">
        <f>Diffus!G30</f>
        <v>21.570030368452567</v>
      </c>
      <c r="M26" s="9">
        <f>Diffus!H30</f>
        <v>21.745946641973742</v>
      </c>
      <c r="N26" s="9">
        <f>Diffus!I30</f>
        <v>22.018608662784001</v>
      </c>
      <c r="O26" s="10">
        <f>Diffus!J30</f>
        <v>22.244140890665129</v>
      </c>
      <c r="P26" s="9">
        <v>24</v>
      </c>
      <c r="Q26" s="9">
        <f>Diffus!E54</f>
        <v>23.296851489956268</v>
      </c>
      <c r="R26" s="9">
        <f>Diffus!F54</f>
        <v>23.364059801802643</v>
      </c>
      <c r="S26" s="9">
        <f>Diffus!G54</f>
        <v>23.483385171148214</v>
      </c>
      <c r="T26" s="9">
        <f>Diffus!H54</f>
        <v>23.954617568178058</v>
      </c>
      <c r="U26" s="9">
        <f>Diffus!I54</f>
        <v>24.448596899106111</v>
      </c>
      <c r="V26" s="10">
        <f>Diffus!J54</f>
        <v>24.806127672858462</v>
      </c>
    </row>
    <row r="27" spans="2:24" x14ac:dyDescent="0.35">
      <c r="B27" s="28" t="s">
        <v>25</v>
      </c>
      <c r="C27" s="29">
        <f>'VA historique'!R6</f>
        <v>41.415126000000001</v>
      </c>
      <c r="D27" s="30">
        <f>'VA historique'!S6</f>
        <v>42.558777999999997</v>
      </c>
      <c r="E27" s="30">
        <f>'VA historique'!T6</f>
        <v>43.825743000000003</v>
      </c>
      <c r="F27" s="30">
        <f>'VA historique'!U6</f>
        <v>45.192982999999998</v>
      </c>
      <c r="G27" s="30">
        <f>'VA historique'!V6</f>
        <v>47.173411999999999</v>
      </c>
      <c r="H27" s="31">
        <f>'VA historique'!W6</f>
        <v>44.246974000000002</v>
      </c>
      <c r="I27" s="9">
        <v>40</v>
      </c>
      <c r="J27" s="9">
        <f>Diffus!E31</f>
        <v>43.009724756985065</v>
      </c>
      <c r="K27" s="9">
        <f>Diffus!F31</f>
        <v>43.806781550162981</v>
      </c>
      <c r="L27" s="9">
        <f>Diffus!G31</f>
        <v>45.155725620702931</v>
      </c>
      <c r="M27" s="9">
        <f>Diffus!H31</f>
        <v>47.322172334062202</v>
      </c>
      <c r="N27" s="9">
        <f>Diffus!I31</f>
        <v>49.760229635126599</v>
      </c>
      <c r="O27" s="10">
        <f>Diffus!J31</f>
        <v>52.193186254063669</v>
      </c>
      <c r="P27" s="9">
        <v>40</v>
      </c>
      <c r="Q27" s="9">
        <f>Diffus!E55</f>
        <v>45.578793264729491</v>
      </c>
      <c r="R27" s="9">
        <f>Diffus!F55</f>
        <v>47.154759083981915</v>
      </c>
      <c r="S27" s="9">
        <f>Diffus!G55</f>
        <v>49.180658400904846</v>
      </c>
      <c r="T27" s="9">
        <f>Diffus!H55</f>
        <v>52.187771786561186</v>
      </c>
      <c r="U27" s="9">
        <f>Diffus!I55</f>
        <v>55.385848009912117</v>
      </c>
      <c r="V27" s="10">
        <f>Diffus!J55</f>
        <v>58.446458179672661</v>
      </c>
    </row>
    <row r="28" spans="2:24" x14ac:dyDescent="0.35">
      <c r="B28" s="28" t="s">
        <v>26</v>
      </c>
      <c r="C28" s="29">
        <f>'VA historique'!R7</f>
        <v>8.0230730000000001</v>
      </c>
      <c r="D28" s="30">
        <f>'VA historique'!S7</f>
        <v>8.0998359999999998</v>
      </c>
      <c r="E28" s="30">
        <f>'VA historique'!T7</f>
        <v>8.2923500000000008</v>
      </c>
      <c r="F28" s="30">
        <f>'VA historique'!U7</f>
        <v>8.2701740000000008</v>
      </c>
      <c r="G28" s="30">
        <f>'VA historique'!V7</f>
        <v>8.3584969999999998</v>
      </c>
      <c r="H28" s="31">
        <f>G28*0.905</f>
        <v>7.5644397850000002</v>
      </c>
      <c r="I28" s="9">
        <v>8</v>
      </c>
      <c r="J28" s="9">
        <f>Diffus!E32</f>
        <v>7.2508670849321009</v>
      </c>
      <c r="K28" s="9">
        <f>Diffus!F32</f>
        <v>7.3449066196317387</v>
      </c>
      <c r="L28" s="9">
        <f>Diffus!G32</f>
        <v>7.423292081189742</v>
      </c>
      <c r="M28" s="9">
        <f>Diffus!H32</f>
        <v>7.5671075580375051</v>
      </c>
      <c r="N28" s="9">
        <f>Diffus!I32</f>
        <v>7.7059148519264173</v>
      </c>
      <c r="O28" s="10">
        <f>Diffus!J32</f>
        <v>7.8080813992454079</v>
      </c>
      <c r="P28" s="9">
        <v>8</v>
      </c>
      <c r="Q28" s="9">
        <f>Diffus!E56</f>
        <v>7.6840830450533595</v>
      </c>
      <c r="R28" s="9">
        <f>Diffus!F56</f>
        <v>7.9060892009245514</v>
      </c>
      <c r="S28" s="9">
        <f>Diffus!G56</f>
        <v>8.083748224931135</v>
      </c>
      <c r="T28" s="9">
        <f>Diffus!H56</f>
        <v>8.3407415638690097</v>
      </c>
      <c r="U28" s="9">
        <f>Diffus!I56</f>
        <v>8.5659120004894866</v>
      </c>
      <c r="V28" s="10">
        <f>Diffus!J56</f>
        <v>8.7219024808916394</v>
      </c>
    </row>
    <row r="29" spans="2:24" x14ac:dyDescent="0.35">
      <c r="B29" s="28" t="s">
        <v>27</v>
      </c>
      <c r="C29" s="29">
        <f>'VA historique'!R8</f>
        <v>43.507950999999998</v>
      </c>
      <c r="D29" s="30">
        <f>'VA historique'!S8</f>
        <v>44.673572</v>
      </c>
      <c r="E29" s="30">
        <f>'VA historique'!T8</f>
        <v>45.485210000000002</v>
      </c>
      <c r="F29" s="30">
        <f>'VA historique'!U8</f>
        <v>45.279347999999999</v>
      </c>
      <c r="G29" s="30">
        <f>'VA historique'!V8</f>
        <v>45.598266000000002</v>
      </c>
      <c r="H29" s="31">
        <f>'VA historique'!W8</f>
        <v>44.167665</v>
      </c>
      <c r="I29" s="9">
        <v>45.5</v>
      </c>
      <c r="J29" s="9">
        <f>Diffus!E33</f>
        <v>46.858629517096446</v>
      </c>
      <c r="K29" s="9">
        <f>Diffus!F33</f>
        <v>48.334846968549769</v>
      </c>
      <c r="L29" s="9">
        <f>Diffus!G33</f>
        <v>50.633280036746569</v>
      </c>
      <c r="M29" s="9">
        <f>Diffus!H33</f>
        <v>54.557599470280891</v>
      </c>
      <c r="N29" s="9">
        <f>Diffus!I33</f>
        <v>59.67999604594911</v>
      </c>
      <c r="O29" s="10">
        <f>Diffus!J33</f>
        <v>64.877148097845094</v>
      </c>
      <c r="P29" s="9">
        <v>45.5</v>
      </c>
      <c r="Q29" s="9">
        <f>Diffus!E57</f>
        <v>49.653554522537235</v>
      </c>
      <c r="R29" s="9">
        <f>Diffus!F57</f>
        <v>52.033973550228886</v>
      </c>
      <c r="S29" s="9">
        <f>Diffus!G57</f>
        <v>55.169233498396892</v>
      </c>
      <c r="T29" s="9">
        <f>Diffus!H57</f>
        <v>60.228788267941049</v>
      </c>
      <c r="U29" s="9">
        <f>Diffus!I57</f>
        <v>66.566918320026986</v>
      </c>
      <c r="V29" s="10">
        <f>Diffus!J57</f>
        <v>72.898408826899242</v>
      </c>
    </row>
    <row r="30" spans="2:24" x14ac:dyDescent="0.35">
      <c r="B30" s="28" t="s">
        <v>28</v>
      </c>
      <c r="C30" s="29">
        <f>'VA historique'!R9</f>
        <v>60.173127999999998</v>
      </c>
      <c r="D30" s="30">
        <f>'VA historique'!S9</f>
        <v>59.026021</v>
      </c>
      <c r="E30" s="30">
        <f>'VA historique'!T9</f>
        <v>60.473290999999996</v>
      </c>
      <c r="F30" s="30">
        <f>'VA historique'!U9</f>
        <v>63.185553999999996</v>
      </c>
      <c r="G30" s="30">
        <f>'VA historique'!V9</f>
        <v>63.615233999999994</v>
      </c>
      <c r="H30" s="31">
        <f>G30*0.905</f>
        <v>57.571786769999996</v>
      </c>
      <c r="I30" s="9">
        <v>62</v>
      </c>
      <c r="J30" s="9">
        <f>Diffus!E34</f>
        <v>61.513769586119651</v>
      </c>
      <c r="K30" s="9">
        <f>Diffus!F34</f>
        <v>63.955895426857346</v>
      </c>
      <c r="L30" s="9">
        <f>Diffus!G34</f>
        <v>67.439236684968236</v>
      </c>
      <c r="M30" s="9">
        <f>Diffus!H34</f>
        <v>73.380180168112176</v>
      </c>
      <c r="N30" s="9">
        <f>Diffus!I34</f>
        <v>80.109357891840958</v>
      </c>
      <c r="O30" s="10">
        <f>Diffus!J34</f>
        <v>86.597973522433165</v>
      </c>
      <c r="P30" s="9">
        <v>62</v>
      </c>
      <c r="Q30" s="9">
        <f>Diffus!E58</f>
        <v>65.182403308104952</v>
      </c>
      <c r="R30" s="9">
        <f>Diffus!F58</f>
        <v>68.851471840534245</v>
      </c>
      <c r="S30" s="9">
        <f>Diffus!G58</f>
        <v>73.485994805634263</v>
      </c>
      <c r="T30" s="9">
        <f>Diffus!H58</f>
        <v>81.024469756842691</v>
      </c>
      <c r="U30" s="9">
        <f>Diffus!I58</f>
        <v>89.380724237943454</v>
      </c>
      <c r="V30" s="10">
        <f>Diffus!J58</f>
        <v>97.336455622114457</v>
      </c>
    </row>
    <row r="31" spans="2:24" x14ac:dyDescent="0.35">
      <c r="B31" s="28" t="s">
        <v>29</v>
      </c>
      <c r="C31" s="29">
        <f>'VA historique'!R11</f>
        <v>23.294342999999998</v>
      </c>
      <c r="D31" s="30">
        <f>'VA historique'!S11</f>
        <v>23.04682</v>
      </c>
      <c r="E31" s="30">
        <f>'VA historique'!T11</f>
        <v>23.307596</v>
      </c>
      <c r="F31" s="30">
        <f>'VA historique'!U11</f>
        <v>23.241424000000002</v>
      </c>
      <c r="G31" s="30">
        <f>'VA historique'!V11</f>
        <v>23.721858999999998</v>
      </c>
      <c r="H31" s="31">
        <f>G31*0.905</f>
        <v>21.468282394999999</v>
      </c>
      <c r="I31" s="9">
        <v>23.5</v>
      </c>
      <c r="J31" s="9">
        <f>Diffus!E35</f>
        <v>22.938231566992567</v>
      </c>
      <c r="K31" s="9">
        <f>Diffus!F35</f>
        <v>23.848890244350198</v>
      </c>
      <c r="L31" s="9">
        <f>Diffus!G35</f>
        <v>25.147813866540901</v>
      </c>
      <c r="M31" s="9">
        <f>Diffus!H35</f>
        <v>27.363167246112045</v>
      </c>
      <c r="N31" s="9">
        <f>Diffus!I35</f>
        <v>29.872449930637501</v>
      </c>
      <c r="O31" s="10">
        <f>Diffus!J35</f>
        <v>32.292028000476947</v>
      </c>
      <c r="P31" s="9">
        <v>23.5</v>
      </c>
      <c r="Q31" s="9">
        <f>Diffus!E59</f>
        <v>24.306249986536233</v>
      </c>
      <c r="R31" s="9">
        <f>Diffus!F59</f>
        <v>25.674430545105341</v>
      </c>
      <c r="S31" s="9">
        <f>Diffus!G59</f>
        <v>27.402625089046889</v>
      </c>
      <c r="T31" s="9">
        <f>Diffus!H59</f>
        <v>30.213691379671523</v>
      </c>
      <c r="U31" s="9">
        <f>Diffus!I59</f>
        <v>33.329704292062765</v>
      </c>
      <c r="V31" s="10">
        <f>Diffus!J59</f>
        <v>36.296363789647565</v>
      </c>
    </row>
    <row r="32" spans="2:24" x14ac:dyDescent="0.35">
      <c r="B32" s="32" t="s">
        <v>30</v>
      </c>
      <c r="C32" s="33">
        <f t="shared" ref="C32:I32" si="1">SUM(C26:C31)</f>
        <v>202.03799999999998</v>
      </c>
      <c r="D32" s="9">
        <f t="shared" si="1"/>
        <v>203.41883099999998</v>
      </c>
      <c r="E32" s="9">
        <f t="shared" si="1"/>
        <v>208.04195399999998</v>
      </c>
      <c r="F32" s="9">
        <f t="shared" si="1"/>
        <v>210.63030499999999</v>
      </c>
      <c r="G32" s="9">
        <f t="shared" si="1"/>
        <v>214.27317599999998</v>
      </c>
      <c r="H32" s="10">
        <f t="shared" si="1"/>
        <v>198.37349469</v>
      </c>
      <c r="I32" s="9">
        <f t="shared" si="1"/>
        <v>203</v>
      </c>
      <c r="J32" s="9">
        <f>Diffus!E36</f>
        <v>203.55423808600091</v>
      </c>
      <c r="K32" s="9">
        <f>Diffus!F36</f>
        <v>208.99798949196918</v>
      </c>
      <c r="L32" s="9">
        <f>Diffus!G36</f>
        <v>217.36937865860097</v>
      </c>
      <c r="M32" s="9">
        <f>Diffus!H36</f>
        <v>231.93617341857859</v>
      </c>
      <c r="N32" s="9">
        <f>Diffus!I36</f>
        <v>249.14655701826462</v>
      </c>
      <c r="O32" s="10">
        <f>Diffus!J36</f>
        <v>266.0125581647294</v>
      </c>
      <c r="P32" s="9">
        <f>SUM(P26:P31)</f>
        <v>203</v>
      </c>
      <c r="Q32" s="9">
        <f>Diffus!E60</f>
        <v>215.70193561691755</v>
      </c>
      <c r="R32" s="9">
        <f>Diffus!F60</f>
        <v>224.98478402257757</v>
      </c>
      <c r="S32" s="9">
        <f>Diffus!G60</f>
        <v>236.80564519006222</v>
      </c>
      <c r="T32" s="9">
        <f>Diffus!H60</f>
        <v>255.95008032306353</v>
      </c>
      <c r="U32" s="9">
        <f>Diffus!I60</f>
        <v>277.67770375954098</v>
      </c>
      <c r="V32" s="10">
        <f>Diffus!J60</f>
        <v>298.505716572084</v>
      </c>
    </row>
    <row r="33" spans="2:22" x14ac:dyDescent="0.35">
      <c r="B33" s="34" t="s">
        <v>31</v>
      </c>
      <c r="C33" s="35">
        <f>'VA historique'!R10</f>
        <v>109.505257</v>
      </c>
      <c r="D33" s="36">
        <f>'VA historique'!S10</f>
        <v>108.449133</v>
      </c>
      <c r="E33" s="36">
        <f>'VA historique'!T10</f>
        <v>110.800995</v>
      </c>
      <c r="F33" s="36">
        <f>'VA historique'!U10</f>
        <v>111.94245100000001</v>
      </c>
      <c r="G33" s="36">
        <f>'VA historique'!V10</f>
        <v>114.881552</v>
      </c>
      <c r="H33" s="37">
        <f>'VA historique'!W10</f>
        <v>96.546553000000003</v>
      </c>
      <c r="I33" s="23">
        <v>108</v>
      </c>
      <c r="J33" s="23">
        <f>Diffus!E37</f>
        <v>104.25989581340812</v>
      </c>
      <c r="K33" s="23">
        <f>Diffus!F37</f>
        <v>106.60708616149519</v>
      </c>
      <c r="L33" s="23">
        <f>Diffus!G37</f>
        <v>110.2067375328923</v>
      </c>
      <c r="M33" s="23">
        <f>Diffus!H37</f>
        <v>115.63670922176382</v>
      </c>
      <c r="N33" s="23">
        <f>Diffus!I37</f>
        <v>122.24834664484293</v>
      </c>
      <c r="O33" s="24">
        <f>Diffus!J37</f>
        <v>128.76647766106458</v>
      </c>
      <c r="P33" s="23">
        <v>108</v>
      </c>
      <c r="Q33" s="23">
        <f>Diffus!E61</f>
        <v>104.25989581340812</v>
      </c>
      <c r="R33" s="23">
        <f>Diffus!F61</f>
        <v>106.60708616149519</v>
      </c>
      <c r="S33" s="23">
        <f>Diffus!G61</f>
        <v>110.2067375328923</v>
      </c>
      <c r="T33" s="23">
        <f>Diffus!H61</f>
        <v>115.63670922176382</v>
      </c>
      <c r="U33" s="23">
        <f>Diffus!I61</f>
        <v>122.24834664484293</v>
      </c>
      <c r="V33" s="24">
        <f>Diffus!J61</f>
        <v>128.76647766106458</v>
      </c>
    </row>
    <row r="34" spans="2:22" x14ac:dyDescent="0.35">
      <c r="B34" s="38"/>
      <c r="D34" s="39"/>
      <c r="E34" s="39"/>
      <c r="F34" s="39"/>
      <c r="G34" s="39"/>
      <c r="H34" s="39"/>
      <c r="I34" s="39"/>
    </row>
    <row r="35" spans="2:22" x14ac:dyDescent="0.35">
      <c r="I35" s="40"/>
    </row>
    <row r="36" spans="2:22" x14ac:dyDescent="0.35">
      <c r="B36" s="1" t="s">
        <v>32</v>
      </c>
      <c r="C36" s="41" t="s">
        <v>21</v>
      </c>
      <c r="D36" s="42"/>
      <c r="E36" s="42"/>
      <c r="F36" s="42"/>
      <c r="G36" s="42"/>
      <c r="H36" s="42"/>
    </row>
    <row r="37" spans="2:22" x14ac:dyDescent="0.35">
      <c r="B37" s="5"/>
      <c r="C37" s="1">
        <v>2019</v>
      </c>
      <c r="D37" s="5">
        <v>2020</v>
      </c>
      <c r="E37" s="5">
        <v>2025</v>
      </c>
      <c r="F37" s="5">
        <v>2030</v>
      </c>
      <c r="G37" s="5">
        <v>2035</v>
      </c>
      <c r="H37" s="5">
        <v>2040</v>
      </c>
      <c r="I37" s="5">
        <v>2045</v>
      </c>
      <c r="J37" s="5">
        <v>2050</v>
      </c>
    </row>
    <row r="38" spans="2:22" x14ac:dyDescent="0.35">
      <c r="B38" s="43" t="s">
        <v>24</v>
      </c>
      <c r="C38" s="30">
        <f>Diffus!C84</f>
        <v>25.805907999999999</v>
      </c>
      <c r="D38" s="30">
        <f>Diffus!D84</f>
        <v>22.882878626160409</v>
      </c>
      <c r="E38" s="30">
        <f>Diffus!E84</f>
        <v>19.320310167167275</v>
      </c>
      <c r="F38" s="30">
        <f>Diffus!F84</f>
        <v>16.886408676470115</v>
      </c>
      <c r="G38" s="30">
        <f>Diffus!G84</f>
        <v>15.731355705185473</v>
      </c>
      <c r="H38" s="30">
        <f>Diffus!H84</f>
        <v>14.802343878621684</v>
      </c>
      <c r="I38" s="30">
        <f>Diffus!I84</f>
        <v>13.917376001731848</v>
      </c>
      <c r="J38" s="30">
        <f>Diffus!J84</f>
        <v>12.978395921745507</v>
      </c>
    </row>
    <row r="39" spans="2:22" x14ac:dyDescent="0.35">
      <c r="B39" s="43" t="s">
        <v>25</v>
      </c>
      <c r="C39" s="30">
        <f>Diffus!C85</f>
        <v>47.173411999999999</v>
      </c>
      <c r="D39" s="30">
        <f>Diffus!D85</f>
        <v>44.015405750596919</v>
      </c>
      <c r="E39" s="30">
        <f>Diffus!E85</f>
        <v>41.65916641110362</v>
      </c>
      <c r="F39" s="30">
        <f>Diffus!F85</f>
        <v>41.284872213016065</v>
      </c>
      <c r="G39" s="30">
        <f>Diffus!G85</f>
        <v>42.11286569989295</v>
      </c>
      <c r="H39" s="30">
        <f>Diffus!H85</f>
        <v>43.668763107961574</v>
      </c>
      <c r="I39" s="30">
        <f>Diffus!I85</f>
        <v>45.430099605516808</v>
      </c>
      <c r="J39" s="30">
        <f>Diffus!J85</f>
        <v>47.138960585074848</v>
      </c>
    </row>
    <row r="40" spans="2:22" x14ac:dyDescent="0.35">
      <c r="B40" s="43" t="s">
        <v>26</v>
      </c>
      <c r="C40" s="30">
        <f>Diffus!C86</f>
        <v>8.3584969999999998</v>
      </c>
      <c r="D40" s="30">
        <f>Diffus!D86</f>
        <v>7.4390038636700204</v>
      </c>
      <c r="E40" s="30">
        <f>Diffus!E86</f>
        <v>6.5294501241864626</v>
      </c>
      <c r="F40" s="30">
        <f>Diffus!F86</f>
        <v>6.0051555334806963</v>
      </c>
      <c r="G40" s="30">
        <f>Diffus!G86</f>
        <v>5.4117417273408828</v>
      </c>
      <c r="H40" s="30">
        <f>Diffus!H86</f>
        <v>4.8463468821766362</v>
      </c>
      <c r="I40" s="30">
        <f>Diffus!I86</f>
        <v>4.2527118773268473</v>
      </c>
      <c r="J40" s="30">
        <f>Diffus!J86</f>
        <v>3.6175119985811888</v>
      </c>
    </row>
    <row r="41" spans="2:22" x14ac:dyDescent="0.35">
      <c r="B41" s="43" t="s">
        <v>27</v>
      </c>
      <c r="C41" s="30">
        <f>Diffus!C87</f>
        <v>45.598266000000002</v>
      </c>
      <c r="D41" s="30">
        <f>Diffus!D87</f>
        <v>43.663179888856938</v>
      </c>
      <c r="E41" s="30">
        <f>Diffus!E87</f>
        <v>43.6473009236636</v>
      </c>
      <c r="F41" s="30">
        <f>Diffus!F87</f>
        <v>42.261935550318171</v>
      </c>
      <c r="G41" s="30">
        <f>Diffus!G87</f>
        <v>40.24689792940309</v>
      </c>
      <c r="H41" s="30">
        <f>Diffus!H87</f>
        <v>39.029601124084444</v>
      </c>
      <c r="I41" s="30">
        <f>Diffus!I87</f>
        <v>37.950292101089481</v>
      </c>
      <c r="J41" s="30">
        <f>Diffus!J87</f>
        <v>36.098249390219841</v>
      </c>
    </row>
    <row r="42" spans="2:22" x14ac:dyDescent="0.35">
      <c r="B42" s="43" t="s">
        <v>28</v>
      </c>
      <c r="C42" s="30">
        <f>Diffus!C88</f>
        <v>63.615233999999994</v>
      </c>
      <c r="D42" s="30">
        <f>Diffus!D88</f>
        <v>57.01102261314935</v>
      </c>
      <c r="E42" s="30">
        <f>Diffus!E88</f>
        <v>57.918809025891882</v>
      </c>
      <c r="F42" s="30">
        <f>Diffus!F88</f>
        <v>57.103478059694062</v>
      </c>
      <c r="G42" s="30">
        <f>Diffus!G88</f>
        <v>56.400075918083559</v>
      </c>
      <c r="H42" s="30">
        <f>Diffus!H88</f>
        <v>57.219069059658899</v>
      </c>
      <c r="I42" s="30">
        <f>Diffus!I88</f>
        <v>57.936232046777846</v>
      </c>
      <c r="J42" s="30">
        <f>Diffus!J88</f>
        <v>57.731982348288781</v>
      </c>
    </row>
    <row r="43" spans="2:22" x14ac:dyDescent="0.35">
      <c r="B43" s="43" t="s">
        <v>29</v>
      </c>
      <c r="C43" s="30">
        <f>Diffus!C89</f>
        <v>23.721858999999998</v>
      </c>
      <c r="D43" s="30">
        <f>Diffus!D89</f>
        <v>21.273116191409088</v>
      </c>
      <c r="E43" s="30">
        <f>Diffus!E89</f>
        <v>21.687055299702063</v>
      </c>
      <c r="F43" s="30">
        <f>Diffus!F89</f>
        <v>21.464001219915176</v>
      </c>
      <c r="G43" s="30">
        <f>Diffus!G89</f>
        <v>20.982707194895063</v>
      </c>
      <c r="H43" s="30">
        <f>Diffus!H89</f>
        <v>21.035434820448632</v>
      </c>
      <c r="I43" s="30">
        <f>Diffus!I89</f>
        <v>21.004066357479491</v>
      </c>
      <c r="J43" s="30">
        <f>Diffus!J89</f>
        <v>20.586167850304051</v>
      </c>
    </row>
    <row r="44" spans="2:22" x14ac:dyDescent="0.35">
      <c r="B44" s="43" t="s">
        <v>30</v>
      </c>
      <c r="C44" s="30">
        <f>Diffus!C90</f>
        <v>214.27317599999998</v>
      </c>
      <c r="D44" s="30">
        <f>Diffus!D90</f>
        <v>196.23687982556021</v>
      </c>
      <c r="E44" s="30">
        <f>Diffus!E90</f>
        <v>190.11520453594187</v>
      </c>
      <c r="F44" s="30">
        <f>Diffus!F90</f>
        <v>184.40347361598259</v>
      </c>
      <c r="G44" s="30">
        <f>Diffus!G90</f>
        <v>180.74108459758509</v>
      </c>
      <c r="H44" s="30">
        <f>Diffus!H90</f>
        <v>180.87468934304627</v>
      </c>
      <c r="I44" s="30">
        <f>Diffus!I90</f>
        <v>181.2091410579049</v>
      </c>
      <c r="J44" s="30">
        <f>Diffus!J90</f>
        <v>179.44881676914804</v>
      </c>
    </row>
    <row r="45" spans="2:22" x14ac:dyDescent="0.35">
      <c r="B45" s="44" t="s">
        <v>31</v>
      </c>
      <c r="C45" s="30">
        <f>Diffus!C91</f>
        <v>114.881552</v>
      </c>
      <c r="D45" s="30">
        <f>Diffus!D91</f>
        <v>96.546553000000003</v>
      </c>
      <c r="E45" s="30">
        <f>Diffus!E91</f>
        <v>104.25989581340812</v>
      </c>
      <c r="F45" s="30">
        <f>Diffus!F91</f>
        <v>106.60708616149519</v>
      </c>
      <c r="G45" s="30">
        <f>Diffus!G91</f>
        <v>110.2067375328923</v>
      </c>
      <c r="H45" s="30">
        <f>Diffus!H91</f>
        <v>115.63670922176382</v>
      </c>
      <c r="I45" s="30">
        <f>Diffus!I91</f>
        <v>122.24834664484293</v>
      </c>
      <c r="J45" s="30">
        <f>Diffus!J91</f>
        <v>128.76647766106458</v>
      </c>
    </row>
    <row r="46" spans="2:22" x14ac:dyDescent="0.35">
      <c r="B46" s="38" t="s">
        <v>33</v>
      </c>
      <c r="C46" s="38"/>
      <c r="D46" s="39"/>
      <c r="E46" s="39"/>
      <c r="F46" s="39"/>
      <c r="G46" s="39"/>
      <c r="H46" s="39"/>
    </row>
    <row r="47" spans="2:22" x14ac:dyDescent="0.35">
      <c r="B47" s="38"/>
      <c r="C47" s="38"/>
      <c r="I47" s="40"/>
    </row>
    <row r="48" spans="2:22" x14ac:dyDescent="0.35">
      <c r="B48" s="1" t="s">
        <v>32</v>
      </c>
      <c r="C48" s="41" t="s">
        <v>22</v>
      </c>
      <c r="D48" s="42"/>
      <c r="E48" s="42"/>
      <c r="F48" s="42"/>
      <c r="G48" s="42"/>
      <c r="H48" s="42"/>
    </row>
    <row r="49" spans="2:10" x14ac:dyDescent="0.35">
      <c r="B49" s="5"/>
      <c r="C49" s="1">
        <v>2019</v>
      </c>
      <c r="D49" s="5">
        <v>2020</v>
      </c>
      <c r="E49" s="5">
        <v>2025</v>
      </c>
      <c r="F49" s="5">
        <v>2030</v>
      </c>
      <c r="G49" s="5">
        <v>2035</v>
      </c>
      <c r="H49" s="5">
        <v>2040</v>
      </c>
      <c r="I49" s="5">
        <v>2045</v>
      </c>
      <c r="J49" s="5">
        <v>2050</v>
      </c>
    </row>
    <row r="50" spans="2:10" x14ac:dyDescent="0.35">
      <c r="B50" s="43" t="s">
        <v>24</v>
      </c>
      <c r="C50" s="30">
        <f>Diffus!C97</f>
        <v>25.805907999999999</v>
      </c>
      <c r="D50" s="30">
        <f>Diffus!D97</f>
        <v>22.882878626160409</v>
      </c>
      <c r="E50" s="30">
        <f>Diffus!E97</f>
        <v>20.47500695215335</v>
      </c>
      <c r="F50" s="30">
        <f>Diffus!F97</f>
        <v>18.17575363253729</v>
      </c>
      <c r="G50" s="30">
        <f>Diffus!G97</f>
        <v>17.126794862074782</v>
      </c>
      <c r="H50" s="30">
        <f>Diffus!H97</f>
        <v>16.305773786855045</v>
      </c>
      <c r="I50" s="30">
        <f>Diffus!I97</f>
        <v>15.45330683562878</v>
      </c>
      <c r="J50" s="30">
        <f>Diffus!J97</f>
        <v>14.47319308963872</v>
      </c>
    </row>
    <row r="51" spans="2:10" x14ac:dyDescent="0.35">
      <c r="B51" s="43" t="s">
        <v>25</v>
      </c>
      <c r="C51" s="30">
        <f>Diffus!C98</f>
        <v>47.173411999999999</v>
      </c>
      <c r="D51" s="30">
        <f>Diffus!D98</f>
        <v>44.015405750596919</v>
      </c>
      <c r="E51" s="30">
        <f>Diffus!E98</f>
        <v>44.147563002580739</v>
      </c>
      <c r="F51" s="30">
        <f>Diffus!F98</f>
        <v>44.440110278097094</v>
      </c>
      <c r="G51" s="30">
        <f>Diffus!G98</f>
        <v>45.866574699002179</v>
      </c>
      <c r="H51" s="30">
        <f>Diffus!H98</f>
        <v>48.158724142917436</v>
      </c>
      <c r="I51" s="30">
        <f>Diffus!I98</f>
        <v>50.566177251925389</v>
      </c>
      <c r="J51" s="30">
        <f>Diffus!J98</f>
        <v>52.786685125097293</v>
      </c>
    </row>
    <row r="52" spans="2:10" x14ac:dyDescent="0.35">
      <c r="B52" s="43" t="s">
        <v>26</v>
      </c>
      <c r="C52" s="30">
        <f>Diffus!C99</f>
        <v>8.3584969999999998</v>
      </c>
      <c r="D52" s="30">
        <f>Diffus!D99</f>
        <v>7.4390038636700204</v>
      </c>
      <c r="E52" s="30">
        <f>Diffus!E99</f>
        <v>6.9195637439067168</v>
      </c>
      <c r="F52" s="30">
        <f>Diffus!F99</f>
        <v>6.4639753467014769</v>
      </c>
      <c r="G52" s="30">
        <f>Diffus!G99</f>
        <v>5.8932286516154688</v>
      </c>
      <c r="H52" s="30">
        <f>Diffus!H99</f>
        <v>5.3418200498766195</v>
      </c>
      <c r="I52" s="30">
        <f>Diffus!I99</f>
        <v>4.7273239329281473</v>
      </c>
      <c r="J52" s="30">
        <f>Diffus!J99</f>
        <v>4.0408885693903969</v>
      </c>
    </row>
    <row r="53" spans="2:10" x14ac:dyDescent="0.35">
      <c r="B53" s="43" t="s">
        <v>27</v>
      </c>
      <c r="C53" s="30">
        <f>Diffus!C100</f>
        <v>45.598266000000002</v>
      </c>
      <c r="D53" s="30">
        <f>Diffus!D100</f>
        <v>43.663179888856938</v>
      </c>
      <c r="E53" s="30">
        <f>Diffus!E100</f>
        <v>46.250683353511185</v>
      </c>
      <c r="F53" s="30">
        <f>Diffus!F100</f>
        <v>45.496294589235021</v>
      </c>
      <c r="G53" s="30">
        <f>Diffus!G100</f>
        <v>43.852393284455609</v>
      </c>
      <c r="H53" s="30">
        <f>Diffus!H100</f>
        <v>43.086675460586811</v>
      </c>
      <c r="I53" s="30">
        <f>Diffus!I100</f>
        <v>42.329660889544606</v>
      </c>
      <c r="J53" s="30">
        <f>Diffus!J100</f>
        <v>40.561353560345822</v>
      </c>
    </row>
    <row r="54" spans="2:10" x14ac:dyDescent="0.35">
      <c r="B54" s="43" t="s">
        <v>28</v>
      </c>
      <c r="C54" s="30">
        <f>Diffus!C101</f>
        <v>63.615233999999994</v>
      </c>
      <c r="D54" s="30">
        <f>Diffus!D101</f>
        <v>57.01102261314935</v>
      </c>
      <c r="E54" s="30">
        <f>Diffus!E101</f>
        <v>61.373042075813103</v>
      </c>
      <c r="F54" s="30">
        <f>Diffus!F101</f>
        <v>61.474528429048434</v>
      </c>
      <c r="G54" s="30">
        <f>Diffus!G101</f>
        <v>61.457037322569136</v>
      </c>
      <c r="H54" s="30">
        <f>Diffus!H101</f>
        <v>63.179794869919007</v>
      </c>
      <c r="I54" s="30">
        <f>Diffus!I101</f>
        <v>64.641416636369826</v>
      </c>
      <c r="J54" s="30">
        <f>Diffus!J101</f>
        <v>64.890970414742981</v>
      </c>
    </row>
    <row r="55" spans="2:10" x14ac:dyDescent="0.35">
      <c r="B55" s="43" t="s">
        <v>29</v>
      </c>
      <c r="C55" s="30">
        <f>Diffus!C102</f>
        <v>23.721858999999998</v>
      </c>
      <c r="D55" s="30">
        <f>Diffus!D102</f>
        <v>21.273116191409088</v>
      </c>
      <c r="E55" s="30">
        <f>Diffus!E102</f>
        <v>22.980454532725165</v>
      </c>
      <c r="F55" s="30">
        <f>Diffus!F102</f>
        <v>23.106987490594804</v>
      </c>
      <c r="G55" s="30">
        <f>Diffus!G102</f>
        <v>22.864065308673499</v>
      </c>
      <c r="H55" s="30">
        <f>Diffus!H102</f>
        <v>23.226775248122483</v>
      </c>
      <c r="I55" s="30">
        <f>Diffus!I102</f>
        <v>23.434948330356633</v>
      </c>
      <c r="J55" s="30">
        <f>Diffus!J102</f>
        <v>23.138931915900322</v>
      </c>
    </row>
    <row r="56" spans="2:10" x14ac:dyDescent="0.35">
      <c r="B56" s="43" t="s">
        <v>30</v>
      </c>
      <c r="C56" s="30">
        <f>Diffus!C103</f>
        <v>214.27317599999998</v>
      </c>
      <c r="D56" s="30">
        <f>Diffus!D103</f>
        <v>196.23687982556021</v>
      </c>
      <c r="E56" s="30">
        <f>Diffus!E103</f>
        <v>201.46088823403926</v>
      </c>
      <c r="F56" s="30">
        <f>Diffus!F103</f>
        <v>198.5089702793486</v>
      </c>
      <c r="G56" s="30">
        <f>Diffus!G103</f>
        <v>196.90220128799731</v>
      </c>
      <c r="H56" s="30">
        <f>Diffus!H103</f>
        <v>199.60185849152901</v>
      </c>
      <c r="I56" s="30">
        <f>Diffus!I103</f>
        <v>201.96039949895459</v>
      </c>
      <c r="J56" s="30">
        <f>Diffus!J103</f>
        <v>201.3683038396851</v>
      </c>
    </row>
    <row r="57" spans="2:10" x14ac:dyDescent="0.35">
      <c r="B57" s="44" t="s">
        <v>31</v>
      </c>
      <c r="C57" s="30">
        <f>Diffus!C104</f>
        <v>114.881552</v>
      </c>
      <c r="D57" s="30">
        <f>Diffus!D104</f>
        <v>96.546553000000003</v>
      </c>
      <c r="E57" s="30">
        <f>Diffus!E104</f>
        <v>104.25989581340812</v>
      </c>
      <c r="F57" s="30">
        <f>Diffus!F104</f>
        <v>106.60708616149519</v>
      </c>
      <c r="G57" s="30">
        <f>Diffus!G104</f>
        <v>110.2067375328923</v>
      </c>
      <c r="H57" s="30">
        <f>Diffus!H104</f>
        <v>115.63670922176382</v>
      </c>
      <c r="I57" s="30">
        <f>Diffus!I104</f>
        <v>122.24834664484293</v>
      </c>
      <c r="J57" s="30">
        <f>Diffus!J104</f>
        <v>128.76647766106458</v>
      </c>
    </row>
    <row r="58" spans="2:10" x14ac:dyDescent="0.35">
      <c r="B58" s="38" t="s">
        <v>33</v>
      </c>
      <c r="D58" s="39"/>
      <c r="E58" s="39"/>
      <c r="F58" s="39"/>
      <c r="G58" s="39"/>
      <c r="H58" s="39"/>
    </row>
  </sheetData>
  <mergeCells count="9">
    <mergeCell ref="B22:E22"/>
    <mergeCell ref="C24:H24"/>
    <mergeCell ref="I24:O24"/>
    <mergeCell ref="P24:V24"/>
    <mergeCell ref="B2:G2"/>
    <mergeCell ref="B4:C4"/>
    <mergeCell ref="C6:H6"/>
    <mergeCell ref="I6:O6"/>
    <mergeCell ref="P6:V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DC3E6"/>
  </sheetPr>
  <dimension ref="A1:AMK145"/>
  <sheetViews>
    <sheetView zoomScale="81" zoomScaleNormal="81" workbookViewId="0">
      <selection activeCell="M127" sqref="M127"/>
    </sheetView>
  </sheetViews>
  <sheetFormatPr baseColWidth="10" defaultColWidth="8.7265625" defaultRowHeight="14.5" x14ac:dyDescent="0.35"/>
  <cols>
    <col min="1" max="1025" width="10.453125" style="45" customWidth="1"/>
  </cols>
  <sheetData>
    <row r="1" spans="1:9" x14ac:dyDescent="0.35">
      <c r="A1" s="45" t="s">
        <v>34</v>
      </c>
    </row>
    <row r="2" spans="1:9" x14ac:dyDescent="0.35">
      <c r="B2" s="415" t="s">
        <v>35</v>
      </c>
      <c r="C2" s="415"/>
      <c r="D2" s="415"/>
      <c r="E2" s="415"/>
    </row>
    <row r="3" spans="1:9" ht="14.65" hidden="1" customHeight="1" x14ac:dyDescent="0.35">
      <c r="B3" s="2"/>
      <c r="C3" s="45">
        <f t="shared" ref="C3:H3" si="0">(C9+0.16*C8)/C7</f>
        <v>0.44389662027832999</v>
      </c>
      <c r="D3" s="45">
        <f t="shared" si="0"/>
        <v>0.44251903114186852</v>
      </c>
      <c r="E3" s="45">
        <f t="shared" si="0"/>
        <v>0.42223076923076924</v>
      </c>
      <c r="F3" s="45">
        <f t="shared" si="0"/>
        <v>0.4236893203883495</v>
      </c>
      <c r="G3" s="45">
        <f t="shared" si="0"/>
        <v>0.41677861549006168</v>
      </c>
      <c r="H3" s="45">
        <f t="shared" si="0"/>
        <v>0.429611734253667</v>
      </c>
    </row>
    <row r="5" spans="1:9" x14ac:dyDescent="0.35">
      <c r="B5" s="1"/>
      <c r="C5" s="418" t="s">
        <v>2</v>
      </c>
      <c r="D5" s="418"/>
      <c r="E5" s="418"/>
      <c r="F5" s="418"/>
      <c r="G5" s="418"/>
      <c r="H5" s="418"/>
      <c r="I5" s="1"/>
    </row>
    <row r="6" spans="1:9" x14ac:dyDescent="0.35">
      <c r="B6" s="1" t="s">
        <v>5</v>
      </c>
      <c r="C6" s="5">
        <v>2015</v>
      </c>
      <c r="D6" s="5">
        <v>2016</v>
      </c>
      <c r="E6" s="5">
        <v>2017</v>
      </c>
      <c r="F6" s="5">
        <v>2018</v>
      </c>
      <c r="G6" s="5">
        <v>2019</v>
      </c>
      <c r="H6" s="5">
        <v>2020</v>
      </c>
      <c r="I6" s="1" t="s">
        <v>36</v>
      </c>
    </row>
    <row r="7" spans="1:9" x14ac:dyDescent="0.35">
      <c r="B7" s="46" t="s">
        <v>6</v>
      </c>
      <c r="C7" s="5">
        <v>15.09</v>
      </c>
      <c r="D7" s="47">
        <v>14.45</v>
      </c>
      <c r="E7" s="5">
        <v>15.6</v>
      </c>
      <c r="F7" s="5">
        <v>15.45</v>
      </c>
      <c r="G7" s="5">
        <v>14.59</v>
      </c>
      <c r="H7" s="5">
        <v>11.59</v>
      </c>
      <c r="I7" s="1" t="s">
        <v>37</v>
      </c>
    </row>
    <row r="8" spans="1:9" x14ac:dyDescent="0.35">
      <c r="B8" s="46" t="s">
        <v>7</v>
      </c>
      <c r="C8" s="5">
        <f t="shared" ref="C8:H8" si="1">C7-C9</f>
        <v>9.99</v>
      </c>
      <c r="D8" s="5">
        <f t="shared" si="1"/>
        <v>9.59</v>
      </c>
      <c r="E8" s="5">
        <f t="shared" si="1"/>
        <v>10.73</v>
      </c>
      <c r="F8" s="5">
        <f t="shared" si="1"/>
        <v>10.6</v>
      </c>
      <c r="G8" s="5">
        <f t="shared" si="1"/>
        <v>10.129999999999999</v>
      </c>
      <c r="H8" s="5">
        <f t="shared" si="1"/>
        <v>7.8699999999999992</v>
      </c>
      <c r="I8" s="1" t="s">
        <v>37</v>
      </c>
    </row>
    <row r="9" spans="1:9" x14ac:dyDescent="0.35">
      <c r="B9" s="46" t="s">
        <v>8</v>
      </c>
      <c r="C9" s="5">
        <v>5.0999999999999996</v>
      </c>
      <c r="D9" s="5">
        <v>4.8600000000000003</v>
      </c>
      <c r="E9" s="5">
        <v>4.87</v>
      </c>
      <c r="F9" s="5">
        <v>4.8499999999999996</v>
      </c>
      <c r="G9" s="5">
        <v>4.46</v>
      </c>
      <c r="H9" s="5">
        <v>3.72</v>
      </c>
      <c r="I9" s="1" t="s">
        <v>37</v>
      </c>
    </row>
    <row r="10" spans="1:9" x14ac:dyDescent="0.35">
      <c r="B10" s="46" t="s">
        <v>38</v>
      </c>
      <c r="C10" s="48">
        <v>0</v>
      </c>
      <c r="D10" s="48">
        <v>0</v>
      </c>
      <c r="E10" s="48">
        <v>0</v>
      </c>
      <c r="F10" s="48">
        <v>0</v>
      </c>
      <c r="G10" s="48">
        <v>0</v>
      </c>
      <c r="H10" s="48">
        <v>0</v>
      </c>
    </row>
    <row r="11" spans="1:9" x14ac:dyDescent="0.35">
      <c r="B11" s="46" t="s">
        <v>10</v>
      </c>
      <c r="C11" s="5">
        <v>0.89300000000000002</v>
      </c>
      <c r="D11" s="5">
        <v>0.91800000000000004</v>
      </c>
      <c r="E11" s="5">
        <v>0.94199999999999995</v>
      </c>
      <c r="F11" s="5">
        <v>0.878</v>
      </c>
      <c r="G11" s="5">
        <v>0.89400000000000002</v>
      </c>
      <c r="H11" s="49">
        <f>G11*0.897402216594645</f>
        <v>0.80227758163561269</v>
      </c>
      <c r="I11" s="50" t="s">
        <v>39</v>
      </c>
    </row>
    <row r="12" spans="1:9" x14ac:dyDescent="0.35">
      <c r="B12" s="51" t="s">
        <v>40</v>
      </c>
      <c r="C12" s="14">
        <v>0.47199999999999998</v>
      </c>
      <c r="D12" s="14">
        <v>0.48799999999999999</v>
      </c>
      <c r="E12" s="14">
        <v>0.50800000000000001</v>
      </c>
      <c r="F12" s="14">
        <v>0.496</v>
      </c>
      <c r="G12" s="14">
        <v>0.47599999999999998</v>
      </c>
      <c r="H12" s="14">
        <v>0.40100000000000002</v>
      </c>
      <c r="I12" s="50" t="s">
        <v>39</v>
      </c>
    </row>
    <row r="13" spans="1:9" x14ac:dyDescent="0.35">
      <c r="B13" s="52" t="s">
        <v>10</v>
      </c>
      <c r="C13" s="53">
        <v>0.59606630876712297</v>
      </c>
      <c r="D13" s="53">
        <v>0.62261217300000005</v>
      </c>
      <c r="E13" s="53">
        <v>0.63699879999999998</v>
      </c>
      <c r="F13" s="53">
        <v>0.58305099999999999</v>
      </c>
      <c r="G13" s="53">
        <v>0.60604567600000003</v>
      </c>
      <c r="H13" s="53">
        <v>0.54386673299999999</v>
      </c>
      <c r="I13" s="54" t="s">
        <v>37</v>
      </c>
    </row>
    <row r="14" spans="1:9" x14ac:dyDescent="0.35">
      <c r="B14" s="52" t="s">
        <v>41</v>
      </c>
      <c r="C14" s="55">
        <v>0.17699999999999999</v>
      </c>
      <c r="D14" s="55">
        <v>0.19400000000000001</v>
      </c>
      <c r="E14" s="55">
        <v>0.20499999999999999</v>
      </c>
      <c r="F14" s="55">
        <v>0.2</v>
      </c>
      <c r="G14" s="55">
        <v>0.184</v>
      </c>
      <c r="H14" s="55">
        <v>0.125</v>
      </c>
      <c r="I14" s="54" t="s">
        <v>37</v>
      </c>
    </row>
    <row r="15" spans="1:9" x14ac:dyDescent="0.35">
      <c r="B15" s="46" t="s">
        <v>12</v>
      </c>
      <c r="C15" s="5">
        <v>2.5099999999999998</v>
      </c>
      <c r="D15" s="5">
        <v>2.2400000000000002</v>
      </c>
      <c r="E15" s="5">
        <v>2.59</v>
      </c>
      <c r="F15" s="5">
        <v>2.16</v>
      </c>
      <c r="G15" s="5">
        <v>2.34</v>
      </c>
      <c r="H15" s="5">
        <v>2.27</v>
      </c>
      <c r="I15" s="1" t="s">
        <v>37</v>
      </c>
    </row>
    <row r="16" spans="1:9" x14ac:dyDescent="0.35">
      <c r="B16" s="46" t="s">
        <v>13</v>
      </c>
      <c r="C16" s="5">
        <v>0.92</v>
      </c>
      <c r="D16" s="5">
        <v>0.92</v>
      </c>
      <c r="E16" s="5">
        <v>0.97</v>
      </c>
      <c r="F16" s="5">
        <v>0.89</v>
      </c>
      <c r="G16" s="5">
        <v>0.96</v>
      </c>
      <c r="H16" s="5">
        <v>0.89</v>
      </c>
      <c r="I16" s="1" t="s">
        <v>37</v>
      </c>
    </row>
    <row r="17" spans="2:23" x14ac:dyDescent="0.35">
      <c r="B17" s="46" t="s">
        <v>14</v>
      </c>
      <c r="C17" s="5">
        <v>1.07</v>
      </c>
      <c r="D17" s="5">
        <v>1.1000000000000001</v>
      </c>
      <c r="E17" s="5">
        <v>0.91</v>
      </c>
      <c r="F17" s="5">
        <v>1.1100000000000001</v>
      </c>
      <c r="G17" s="5">
        <v>1.07</v>
      </c>
      <c r="H17" s="5">
        <v>1</v>
      </c>
      <c r="I17" s="1" t="s">
        <v>37</v>
      </c>
    </row>
    <row r="18" spans="2:23" x14ac:dyDescent="0.35">
      <c r="B18" s="46" t="s">
        <v>15</v>
      </c>
      <c r="C18" s="5">
        <v>12.54</v>
      </c>
      <c r="D18" s="5">
        <v>12.67</v>
      </c>
      <c r="E18" s="5">
        <v>12.36</v>
      </c>
      <c r="F18" s="5">
        <v>12.84</v>
      </c>
      <c r="G18" s="5">
        <v>12.94</v>
      </c>
      <c r="H18" s="5">
        <v>11.77</v>
      </c>
      <c r="I18" s="1" t="s">
        <v>37</v>
      </c>
    </row>
    <row r="19" spans="2:23" x14ac:dyDescent="0.35">
      <c r="B19" s="46" t="s">
        <v>16</v>
      </c>
      <c r="C19" s="18">
        <v>5.4624895107140601</v>
      </c>
      <c r="D19" s="18">
        <v>5.1683689900000003</v>
      </c>
      <c r="E19" s="18">
        <v>5.5996366200000001</v>
      </c>
      <c r="F19" s="18">
        <v>5.66565545</v>
      </c>
      <c r="G19" s="18">
        <v>5.6971323500000004</v>
      </c>
      <c r="H19" s="18">
        <v>5.0235558500000002</v>
      </c>
      <c r="I19" s="56" t="s">
        <v>37</v>
      </c>
    </row>
    <row r="20" spans="2:23" x14ac:dyDescent="0.35">
      <c r="B20" s="46" t="s">
        <v>17</v>
      </c>
      <c r="C20" s="5">
        <v>7.99</v>
      </c>
      <c r="D20" s="5">
        <v>7.98</v>
      </c>
      <c r="E20" s="5">
        <v>8.02</v>
      </c>
      <c r="F20" s="5">
        <v>7.87</v>
      </c>
      <c r="G20" s="5">
        <v>7.32</v>
      </c>
      <c r="H20" s="18">
        <f>G20*0.930316272251903</f>
        <v>6.8099151128839308</v>
      </c>
      <c r="I20" s="50" t="s">
        <v>39</v>
      </c>
    </row>
    <row r="21" spans="2:23" x14ac:dyDescent="0.35">
      <c r="B21" s="57" t="s">
        <v>17</v>
      </c>
      <c r="C21" s="58">
        <v>1.4770000000000001</v>
      </c>
      <c r="D21" s="58">
        <v>1.423</v>
      </c>
      <c r="E21" s="58">
        <v>1.4059999999999999</v>
      </c>
      <c r="F21" s="58">
        <v>1.3029999999999999</v>
      </c>
      <c r="G21" s="58">
        <v>1.351</v>
      </c>
      <c r="H21" s="58">
        <v>1.385</v>
      </c>
      <c r="I21" s="54" t="s">
        <v>42</v>
      </c>
    </row>
    <row r="22" spans="2:23" x14ac:dyDescent="0.35">
      <c r="B22" s="46" t="s">
        <v>18</v>
      </c>
      <c r="C22" s="5">
        <v>4.5199999999999996</v>
      </c>
      <c r="D22" s="5">
        <v>4.68</v>
      </c>
      <c r="E22" s="5">
        <v>6.24</v>
      </c>
      <c r="F22" s="5">
        <v>5.09</v>
      </c>
      <c r="G22" s="5">
        <v>4.96</v>
      </c>
      <c r="H22" s="5">
        <v>3.38</v>
      </c>
      <c r="I22" s="1" t="s">
        <v>37</v>
      </c>
    </row>
    <row r="25" spans="2:23" x14ac:dyDescent="0.35">
      <c r="B25" s="415" t="s">
        <v>43</v>
      </c>
      <c r="C25" s="415"/>
      <c r="D25" s="415"/>
      <c r="E25" s="415"/>
      <c r="G25" s="59"/>
    </row>
    <row r="26" spans="2:23" x14ac:dyDescent="0.35">
      <c r="B26" s="60"/>
      <c r="C26" s="60"/>
      <c r="D26" s="60"/>
      <c r="E26" s="60"/>
      <c r="G26" s="59"/>
      <c r="M26" s="61"/>
    </row>
    <row r="27" spans="2:23" x14ac:dyDescent="0.35">
      <c r="B27" s="45" t="s">
        <v>3</v>
      </c>
      <c r="D27" s="62" t="s">
        <v>44</v>
      </c>
      <c r="E27" s="62"/>
      <c r="F27" s="62"/>
      <c r="G27" s="62"/>
      <c r="H27" s="62"/>
      <c r="I27" s="62"/>
      <c r="J27" s="62"/>
      <c r="K27" s="62"/>
      <c r="L27" s="62"/>
      <c r="M27" s="62" t="s">
        <v>45</v>
      </c>
      <c r="N27" s="62"/>
      <c r="O27" s="62"/>
      <c r="P27" s="62"/>
      <c r="Q27" s="62"/>
      <c r="R27" s="62"/>
      <c r="S27" s="62"/>
      <c r="T27" s="62"/>
      <c r="U27" s="62"/>
    </row>
    <row r="28" spans="2:23" x14ac:dyDescent="0.35">
      <c r="B28" s="63" t="s">
        <v>46</v>
      </c>
      <c r="C28" s="64"/>
      <c r="D28" s="65">
        <v>2015</v>
      </c>
      <c r="E28" s="65">
        <v>2019</v>
      </c>
      <c r="F28" s="66">
        <v>2020</v>
      </c>
      <c r="G28" s="66">
        <v>2025</v>
      </c>
      <c r="H28" s="66">
        <v>2030</v>
      </c>
      <c r="I28" s="66">
        <v>2035</v>
      </c>
      <c r="J28" s="66">
        <v>2040</v>
      </c>
      <c r="K28" s="66">
        <v>2045</v>
      </c>
      <c r="L28" s="67">
        <v>2050</v>
      </c>
      <c r="M28" s="65">
        <v>2015</v>
      </c>
      <c r="N28" s="68">
        <v>2019</v>
      </c>
      <c r="O28" s="66">
        <v>2020</v>
      </c>
      <c r="P28" s="66">
        <v>2025</v>
      </c>
      <c r="Q28" s="66">
        <v>2030</v>
      </c>
      <c r="R28" s="66">
        <v>2035</v>
      </c>
      <c r="S28" s="66">
        <v>2040</v>
      </c>
      <c r="T28" s="66">
        <v>2045</v>
      </c>
      <c r="U28" s="67">
        <v>2050</v>
      </c>
    </row>
    <row r="29" spans="2:23" x14ac:dyDescent="0.35">
      <c r="B29" s="69" t="s">
        <v>6</v>
      </c>
      <c r="C29" s="70"/>
      <c r="D29" s="71">
        <f>'Pepit0 AME'!D52</f>
        <v>12.452717393481137</v>
      </c>
      <c r="E29" s="71">
        <f>'Pepit0 AME'!M52</f>
        <v>12.240883970856911</v>
      </c>
      <c r="F29" s="72">
        <f t="shared" ref="F29:F37" si="2">$E29+($H29-$E29)*1/11</f>
        <v>12.23757171360511</v>
      </c>
      <c r="G29" s="72">
        <f t="shared" ref="G29:G37" si="3">$E29+($H29-$E29)*6/11</f>
        <v>12.2210104273461</v>
      </c>
      <c r="H29" s="72">
        <f>'Pepit0 AME'!V52</f>
        <v>12.204449141087089</v>
      </c>
      <c r="I29" s="72">
        <f t="shared" ref="I29:I37" si="4">$H29+($L29-$H29)*5/20</f>
        <v>12.371749642396779</v>
      </c>
      <c r="J29" s="72">
        <f t="shared" ref="J29:J37" si="5">$H29+($L29-$H29)*10/20</f>
        <v>12.539050143706467</v>
      </c>
      <c r="K29" s="72">
        <f t="shared" ref="K29:K37" si="6">$H29+($L29-$H29)*15/20</f>
        <v>12.706350645016155</v>
      </c>
      <c r="L29" s="73">
        <f>'Pepit0 AME'!AW52</f>
        <v>12.873651146325845</v>
      </c>
      <c r="M29" s="71">
        <f t="shared" ref="M29:M38" si="7">D29/$D29</f>
        <v>1</v>
      </c>
      <c r="N29" s="71">
        <f t="shared" ref="N29:N38" si="8">E29/$D29</f>
        <v>0.98298898016146108</v>
      </c>
      <c r="O29" s="71">
        <f t="shared" ref="O29:O38" si="9">F29/$D29</f>
        <v>0.98272299345774494</v>
      </c>
      <c r="P29" s="71">
        <f t="shared" ref="P29:P38" si="10">G29/$D29</f>
        <v>0.9813930599391637</v>
      </c>
      <c r="Q29" s="71">
        <f t="shared" ref="Q29:Q38" si="11">H29/$D29</f>
        <v>0.98006312642058235</v>
      </c>
      <c r="R29" s="71">
        <f t="shared" ref="R29:R38" si="12">I29/$D29</f>
        <v>0.99349798533718081</v>
      </c>
      <c r="S29" s="71">
        <f t="shared" ref="S29:S38" si="13">J29/$D29</f>
        <v>1.006932844253779</v>
      </c>
      <c r="T29" s="71">
        <f t="shared" ref="T29:T38" si="14">K29/$D29</f>
        <v>1.0203677031703773</v>
      </c>
      <c r="U29" s="71">
        <f t="shared" ref="U29:U38" si="15">L29/$D29</f>
        <v>1.0338025620869755</v>
      </c>
    </row>
    <row r="30" spans="2:23" x14ac:dyDescent="0.35">
      <c r="B30" s="69" t="s">
        <v>47</v>
      </c>
      <c r="C30" s="70"/>
      <c r="D30" s="71">
        <f>'Pepit0 AME'!E52</f>
        <v>1.3666520990067765</v>
      </c>
      <c r="E30" s="71">
        <f>'Pepit0 AME'!N52</f>
        <v>1.4419885947101787</v>
      </c>
      <c r="F30" s="72">
        <f t="shared" si="2"/>
        <v>1.4624291302464787</v>
      </c>
      <c r="G30" s="72">
        <f t="shared" si="3"/>
        <v>1.5646318079279782</v>
      </c>
      <c r="H30" s="72">
        <f>'Pepit0 AME'!W52</f>
        <v>1.6668344856094777</v>
      </c>
      <c r="I30" s="72">
        <f t="shared" si="4"/>
        <v>1.7996988890046572</v>
      </c>
      <c r="J30" s="72">
        <f t="shared" si="5"/>
        <v>1.9325632923998368</v>
      </c>
      <c r="K30" s="72">
        <f t="shared" si="6"/>
        <v>2.0654276957950164</v>
      </c>
      <c r="L30" s="73">
        <f>'Pepit0 AME'!AX52</f>
        <v>2.198292099190196</v>
      </c>
      <c r="M30" s="71">
        <f t="shared" si="7"/>
        <v>1</v>
      </c>
      <c r="N30" s="71">
        <f t="shared" si="8"/>
        <v>1.0551248527391526</v>
      </c>
      <c r="O30" s="71">
        <f t="shared" si="9"/>
        <v>1.070081501582816</v>
      </c>
      <c r="P30" s="71">
        <f t="shared" si="10"/>
        <v>1.1448647458011332</v>
      </c>
      <c r="Q30" s="71">
        <f t="shared" si="11"/>
        <v>1.2196479900194501</v>
      </c>
      <c r="R30" s="71">
        <f t="shared" si="12"/>
        <v>1.3168668824440399</v>
      </c>
      <c r="S30" s="71">
        <f t="shared" si="13"/>
        <v>1.4140857748686297</v>
      </c>
      <c r="T30" s="71">
        <f t="shared" si="14"/>
        <v>1.5113046672932193</v>
      </c>
      <c r="U30" s="71">
        <f t="shared" si="15"/>
        <v>1.6085235597178091</v>
      </c>
    </row>
    <row r="31" spans="2:23" x14ac:dyDescent="0.35">
      <c r="B31" s="69" t="s">
        <v>16</v>
      </c>
      <c r="C31" s="70"/>
      <c r="D31" s="71">
        <f>'Pepit0 AME'!F52</f>
        <v>4.9308939854919993</v>
      </c>
      <c r="E31" s="71">
        <f>'Pepit0 AME'!O52</f>
        <v>4.8770763930889203</v>
      </c>
      <c r="F31" s="72">
        <f t="shared" si="2"/>
        <v>4.8741678009401799</v>
      </c>
      <c r="G31" s="72">
        <f t="shared" si="3"/>
        <v>4.859624840196477</v>
      </c>
      <c r="H31" s="72">
        <f>'Pepit0 AME'!X52</f>
        <v>4.8450818794527741</v>
      </c>
      <c r="I31" s="72">
        <f t="shared" si="4"/>
        <v>4.6765797593144445</v>
      </c>
      <c r="J31" s="72">
        <f t="shared" si="5"/>
        <v>4.5080776391761157</v>
      </c>
      <c r="K31" s="72">
        <f t="shared" si="6"/>
        <v>4.3395755190377869</v>
      </c>
      <c r="L31" s="73">
        <f>'Pepit0 AME'!AY52</f>
        <v>4.1710733988994573</v>
      </c>
      <c r="M31" s="71">
        <f t="shared" si="7"/>
        <v>1</v>
      </c>
      <c r="N31" s="71">
        <f t="shared" si="8"/>
        <v>0.98908563182225684</v>
      </c>
      <c r="O31" s="71">
        <f t="shared" si="9"/>
        <v>0.98849576066353828</v>
      </c>
      <c r="P31" s="71">
        <f t="shared" si="10"/>
        <v>0.98554640486994549</v>
      </c>
      <c r="Q31" s="71">
        <f t="shared" si="11"/>
        <v>0.98259704907635259</v>
      </c>
      <c r="R31" s="71">
        <f t="shared" si="12"/>
        <v>0.94842431678194361</v>
      </c>
      <c r="S31" s="71">
        <f t="shared" si="13"/>
        <v>0.91425158448753474</v>
      </c>
      <c r="T31" s="71">
        <f t="shared" si="14"/>
        <v>0.88007885219312598</v>
      </c>
      <c r="U31" s="71">
        <f t="shared" si="15"/>
        <v>0.84590611989871689</v>
      </c>
    </row>
    <row r="32" spans="2:23" x14ac:dyDescent="0.35">
      <c r="B32" s="69" t="s">
        <v>15</v>
      </c>
      <c r="C32" s="70"/>
      <c r="D32" s="71">
        <f>'Pepit0 AME'!G52</f>
        <v>13.307546795161608</v>
      </c>
      <c r="E32" s="71">
        <f>'Pepit0 AME'!P52</f>
        <v>12.378305742126296</v>
      </c>
      <c r="F32" s="72">
        <f t="shared" si="2"/>
        <v>12.301747766224116</v>
      </c>
      <c r="G32" s="72">
        <f t="shared" si="3"/>
        <v>11.918957886713219</v>
      </c>
      <c r="H32" s="72">
        <f>'Pepit0 AME'!Y52</f>
        <v>11.53616800720232</v>
      </c>
      <c r="I32" s="72">
        <f t="shared" si="4"/>
        <v>10.87826040873281</v>
      </c>
      <c r="J32" s="72">
        <f t="shared" si="5"/>
        <v>10.2203528102633</v>
      </c>
      <c r="K32" s="72">
        <f t="shared" si="6"/>
        <v>9.5624452117937881</v>
      </c>
      <c r="L32" s="73">
        <f>'Pepit0 AME'!AZ52</f>
        <v>8.904537613324278</v>
      </c>
      <c r="M32" s="71">
        <f t="shared" si="7"/>
        <v>1</v>
      </c>
      <c r="N32" s="71">
        <f t="shared" si="8"/>
        <v>0.93017187409980262</v>
      </c>
      <c r="O32" s="71">
        <f t="shared" si="9"/>
        <v>0.9244188997101116</v>
      </c>
      <c r="P32" s="71">
        <f t="shared" si="10"/>
        <v>0.89565402776165659</v>
      </c>
      <c r="Q32" s="71">
        <f t="shared" si="11"/>
        <v>0.86688915581320147</v>
      </c>
      <c r="R32" s="71">
        <f t="shared" si="12"/>
        <v>0.81745047198992049</v>
      </c>
      <c r="S32" s="71">
        <f t="shared" si="13"/>
        <v>0.76801178816663962</v>
      </c>
      <c r="T32" s="71">
        <f t="shared" si="14"/>
        <v>0.71857310434335853</v>
      </c>
      <c r="U32" s="71">
        <f t="shared" si="15"/>
        <v>0.66913442052007754</v>
      </c>
      <c r="W32" s="45" t="s">
        <v>48</v>
      </c>
    </row>
    <row r="33" spans="2:23" x14ac:dyDescent="0.35">
      <c r="B33" s="69" t="s">
        <v>49</v>
      </c>
      <c r="C33" s="70"/>
      <c r="D33" s="71">
        <f>'Pepit0 AME'!H52</f>
        <v>2.1547622741316497</v>
      </c>
      <c r="E33" s="71">
        <f>'Pepit0 AME'!Q52</f>
        <v>2.0974804950457488</v>
      </c>
      <c r="F33" s="72">
        <f t="shared" si="2"/>
        <v>2.0980974940288601</v>
      </c>
      <c r="G33" s="72">
        <f t="shared" si="3"/>
        <v>2.1011824889444153</v>
      </c>
      <c r="H33" s="72">
        <f>'Pepit0 AME'!Z52</f>
        <v>2.1042674838599709</v>
      </c>
      <c r="I33" s="72">
        <f t="shared" si="4"/>
        <v>2.0768327713411097</v>
      </c>
      <c r="J33" s="72">
        <f t="shared" si="5"/>
        <v>2.049398058822248</v>
      </c>
      <c r="K33" s="72">
        <f t="shared" si="6"/>
        <v>2.0219633463033864</v>
      </c>
      <c r="L33" s="73">
        <f>'Pepit0 AME'!BA52</f>
        <v>1.9945286337845252</v>
      </c>
      <c r="M33" s="71">
        <f t="shared" si="7"/>
        <v>1</v>
      </c>
      <c r="N33" s="71">
        <f t="shared" si="8"/>
        <v>0.97341619547846181</v>
      </c>
      <c r="O33" s="71">
        <f t="shared" si="9"/>
        <v>0.97370253749888724</v>
      </c>
      <c r="P33" s="71">
        <f t="shared" si="10"/>
        <v>0.97513424760101364</v>
      </c>
      <c r="Q33" s="71">
        <f t="shared" si="11"/>
        <v>0.97656595770314025</v>
      </c>
      <c r="R33" s="71">
        <f t="shared" si="12"/>
        <v>0.96383382810897555</v>
      </c>
      <c r="S33" s="71">
        <f t="shared" si="13"/>
        <v>0.95110169851481063</v>
      </c>
      <c r="T33" s="71">
        <f t="shared" si="14"/>
        <v>0.93836956892064571</v>
      </c>
      <c r="U33" s="71">
        <f t="shared" si="15"/>
        <v>0.92563743932648102</v>
      </c>
    </row>
    <row r="34" spans="2:23" x14ac:dyDescent="0.35">
      <c r="B34" s="69" t="s">
        <v>50</v>
      </c>
      <c r="C34" s="70"/>
      <c r="D34" s="71">
        <f>'Pepit0 AME'!I52</f>
        <v>1.1275837860370581</v>
      </c>
      <c r="E34" s="71">
        <f>'Pepit0 AME'!R52</f>
        <v>1.1070517570887719</v>
      </c>
      <c r="F34" s="72">
        <f t="shared" si="2"/>
        <v>1.1060484983349301</v>
      </c>
      <c r="G34" s="72">
        <f t="shared" si="3"/>
        <v>1.1010322045657217</v>
      </c>
      <c r="H34" s="72">
        <f>'Pepit0 AME'!AA52</f>
        <v>1.0960159107965133</v>
      </c>
      <c r="I34" s="72">
        <f t="shared" si="4"/>
        <v>1.08132044164578</v>
      </c>
      <c r="J34" s="72">
        <f t="shared" si="5"/>
        <v>1.0666249724950467</v>
      </c>
      <c r="K34" s="72">
        <f t="shared" si="6"/>
        <v>1.0519295033443135</v>
      </c>
      <c r="L34" s="73">
        <f>'Pepit0 AME'!BB52</f>
        <v>1.0372340341935802</v>
      </c>
      <c r="M34" s="71">
        <f t="shared" si="7"/>
        <v>1</v>
      </c>
      <c r="N34" s="71">
        <f t="shared" si="8"/>
        <v>0.98179112789440959</v>
      </c>
      <c r="O34" s="71">
        <f t="shared" si="9"/>
        <v>0.98090138580493902</v>
      </c>
      <c r="P34" s="71">
        <f t="shared" si="10"/>
        <v>0.9764526753575864</v>
      </c>
      <c r="Q34" s="71">
        <f t="shared" si="11"/>
        <v>0.97200396491023389</v>
      </c>
      <c r="R34" s="71">
        <f t="shared" si="12"/>
        <v>0.95897125786645743</v>
      </c>
      <c r="S34" s="71">
        <f t="shared" si="13"/>
        <v>0.94593855082268097</v>
      </c>
      <c r="T34" s="71">
        <f t="shared" si="14"/>
        <v>0.93290584377890451</v>
      </c>
      <c r="U34" s="71">
        <f t="shared" si="15"/>
        <v>0.91987313673512805</v>
      </c>
    </row>
    <row r="35" spans="2:23" x14ac:dyDescent="0.35">
      <c r="B35" s="69" t="s">
        <v>12</v>
      </c>
      <c r="C35" s="70"/>
      <c r="D35" s="71">
        <f>'Pepit0 AME'!J52</f>
        <v>3.2018183148017663</v>
      </c>
      <c r="E35" s="71">
        <f>'Pepit0 AME'!S52</f>
        <v>3.1799100639802989</v>
      </c>
      <c r="F35" s="72">
        <f t="shared" si="2"/>
        <v>3.1325677700099646</v>
      </c>
      <c r="G35" s="72">
        <f t="shared" si="3"/>
        <v>2.8958563001582922</v>
      </c>
      <c r="H35" s="72">
        <f>'Pepit0 AME'!AB52</f>
        <v>2.6591448303066203</v>
      </c>
      <c r="I35" s="72">
        <f t="shared" si="4"/>
        <v>2.4402389911600717</v>
      </c>
      <c r="J35" s="72">
        <f t="shared" si="5"/>
        <v>2.2213331520135231</v>
      </c>
      <c r="K35" s="72">
        <f t="shared" si="6"/>
        <v>2.0024273128669741</v>
      </c>
      <c r="L35" s="73">
        <f>'Pepit0 AME'!BC52</f>
        <v>1.7835214737204257</v>
      </c>
      <c r="M35" s="71">
        <f t="shared" si="7"/>
        <v>1</v>
      </c>
      <c r="N35" s="71">
        <f t="shared" si="8"/>
        <v>0.99315755965284247</v>
      </c>
      <c r="O35" s="71">
        <f t="shared" si="9"/>
        <v>0.97837149457492278</v>
      </c>
      <c r="P35" s="71">
        <f t="shared" si="10"/>
        <v>0.90444116918532369</v>
      </c>
      <c r="Q35" s="71">
        <f t="shared" si="11"/>
        <v>0.83051084379572471</v>
      </c>
      <c r="R35" s="71">
        <f t="shared" si="12"/>
        <v>0.76214161805466274</v>
      </c>
      <c r="S35" s="71">
        <f t="shared" si="13"/>
        <v>0.69377239231360077</v>
      </c>
      <c r="T35" s="71">
        <f t="shared" si="14"/>
        <v>0.62540316657253869</v>
      </c>
      <c r="U35" s="71">
        <f t="shared" si="15"/>
        <v>0.55703394083147673</v>
      </c>
    </row>
    <row r="36" spans="2:23" x14ac:dyDescent="0.35">
      <c r="B36" s="69" t="s">
        <v>51</v>
      </c>
      <c r="C36" s="70"/>
      <c r="D36" s="71">
        <f>'Pepit0 AME'!K52</f>
        <v>8.3467850000000006</v>
      </c>
      <c r="E36" s="71">
        <f>'Pepit0 AME'!T52</f>
        <v>8.7020144402068702</v>
      </c>
      <c r="F36" s="72">
        <f t="shared" si="2"/>
        <v>8.79188362564655</v>
      </c>
      <c r="G36" s="72">
        <f t="shared" si="3"/>
        <v>9.2412295528449437</v>
      </c>
      <c r="H36" s="72">
        <f>'Pepit0 AME'!AC52</f>
        <v>9.6905754800433392</v>
      </c>
      <c r="I36" s="72">
        <f t="shared" si="4"/>
        <v>10.26141845028522</v>
      </c>
      <c r="J36" s="72">
        <f t="shared" si="5"/>
        <v>10.8322614205271</v>
      </c>
      <c r="K36" s="72">
        <f t="shared" si="6"/>
        <v>11.403104390768979</v>
      </c>
      <c r="L36" s="73">
        <f>'Pepit0 AME'!BD52</f>
        <v>11.973947361010859</v>
      </c>
      <c r="M36" s="71">
        <f t="shared" si="7"/>
        <v>1</v>
      </c>
      <c r="N36" s="71">
        <f t="shared" si="8"/>
        <v>1.0425588343544094</v>
      </c>
      <c r="O36" s="71">
        <f t="shared" si="9"/>
        <v>1.0533257566412157</v>
      </c>
      <c r="P36" s="71">
        <f t="shared" si="10"/>
        <v>1.1071603680752462</v>
      </c>
      <c r="Q36" s="71">
        <f t="shared" si="11"/>
        <v>1.1609949795092767</v>
      </c>
      <c r="R36" s="71">
        <f t="shared" si="12"/>
        <v>1.2293857395734069</v>
      </c>
      <c r="S36" s="71">
        <f t="shared" si="13"/>
        <v>1.2977764996375369</v>
      </c>
      <c r="T36" s="71">
        <f t="shared" si="14"/>
        <v>1.366167259701667</v>
      </c>
      <c r="U36" s="71">
        <f t="shared" si="15"/>
        <v>1.434558019765797</v>
      </c>
    </row>
    <row r="37" spans="2:23" x14ac:dyDescent="0.35">
      <c r="B37" s="69" t="s">
        <v>18</v>
      </c>
      <c r="C37" s="70"/>
      <c r="D37" s="71">
        <f>'Pepit0 AME'!L52</f>
        <v>3.7597692307692299</v>
      </c>
      <c r="E37" s="71">
        <f>'Pepit0 AME'!U52</f>
        <v>3.7715222059604399</v>
      </c>
      <c r="F37" s="72">
        <f t="shared" si="2"/>
        <v>3.7815707646369163</v>
      </c>
      <c r="G37" s="72">
        <f t="shared" si="3"/>
        <v>3.8318135580192978</v>
      </c>
      <c r="H37" s="72">
        <f>'Pepit0 AME'!AD52</f>
        <v>3.8820563514016797</v>
      </c>
      <c r="I37" s="72">
        <f t="shared" si="4"/>
        <v>3.9154158763693996</v>
      </c>
      <c r="J37" s="72">
        <f t="shared" si="5"/>
        <v>3.9487754013371199</v>
      </c>
      <c r="K37" s="72">
        <f t="shared" si="6"/>
        <v>3.9821349263048402</v>
      </c>
      <c r="L37" s="73">
        <f>'Pepit0 AME'!BE52</f>
        <v>4.0154944512725601</v>
      </c>
      <c r="M37" s="71">
        <f t="shared" si="7"/>
        <v>1</v>
      </c>
      <c r="N37" s="71">
        <f t="shared" si="8"/>
        <v>1.003125983130833</v>
      </c>
      <c r="O37" s="71">
        <f t="shared" si="9"/>
        <v>1.0057986361740681</v>
      </c>
      <c r="P37" s="71">
        <f t="shared" si="10"/>
        <v>1.0191619013902424</v>
      </c>
      <c r="Q37" s="71">
        <f t="shared" si="11"/>
        <v>1.032525166606417</v>
      </c>
      <c r="R37" s="71">
        <f t="shared" si="12"/>
        <v>1.0413979252573236</v>
      </c>
      <c r="S37" s="71">
        <f t="shared" si="13"/>
        <v>1.0502706839082303</v>
      </c>
      <c r="T37" s="71">
        <f t="shared" si="14"/>
        <v>1.0591434425591368</v>
      </c>
      <c r="U37" s="71">
        <f t="shared" si="15"/>
        <v>1.0680162012100434</v>
      </c>
    </row>
    <row r="38" spans="2:23" x14ac:dyDescent="0.35">
      <c r="B38" s="74" t="s">
        <v>52</v>
      </c>
      <c r="C38" s="75"/>
      <c r="D38" s="76">
        <f t="shared" ref="D38:L38" si="16">SUM(D29:D37)</f>
        <v>50.648528878881216</v>
      </c>
      <c r="E38" s="76">
        <f t="shared" si="16"/>
        <v>49.796233663064427</v>
      </c>
      <c r="F38" s="76">
        <f t="shared" si="16"/>
        <v>49.786084563673107</v>
      </c>
      <c r="G38" s="76">
        <f t="shared" si="16"/>
        <v>49.735339066716442</v>
      </c>
      <c r="H38" s="76">
        <f t="shared" si="16"/>
        <v>49.684593569759791</v>
      </c>
      <c r="I38" s="76">
        <f t="shared" si="16"/>
        <v>49.501515230250277</v>
      </c>
      <c r="J38" s="76">
        <f t="shared" si="16"/>
        <v>49.318436890740763</v>
      </c>
      <c r="K38" s="76">
        <f t="shared" si="16"/>
        <v>49.135358551231242</v>
      </c>
      <c r="L38" s="76">
        <f t="shared" si="16"/>
        <v>48.952280211721728</v>
      </c>
      <c r="M38" s="71">
        <f t="shared" si="7"/>
        <v>1</v>
      </c>
      <c r="N38" s="71">
        <f t="shared" si="8"/>
        <v>0.98317235989509322</v>
      </c>
      <c r="O38" s="71">
        <f t="shared" si="9"/>
        <v>0.98297197698929184</v>
      </c>
      <c r="P38" s="71">
        <f t="shared" si="10"/>
        <v>0.98197006246028318</v>
      </c>
      <c r="Q38" s="71">
        <f t="shared" si="11"/>
        <v>0.98096814793127474</v>
      </c>
      <c r="R38" s="71">
        <f t="shared" si="12"/>
        <v>0.97735346565792935</v>
      </c>
      <c r="S38" s="71">
        <f t="shared" si="13"/>
        <v>0.97373878338458397</v>
      </c>
      <c r="T38" s="71">
        <f t="shared" si="14"/>
        <v>0.97012410111123848</v>
      </c>
      <c r="U38" s="71">
        <f t="shared" si="15"/>
        <v>0.9665094188378931</v>
      </c>
    </row>
    <row r="39" spans="2:23" x14ac:dyDescent="0.35">
      <c r="B39" s="60"/>
      <c r="C39" s="60"/>
      <c r="D39" s="60"/>
      <c r="E39" s="60"/>
      <c r="G39" s="59"/>
    </row>
    <row r="40" spans="2:23" x14ac:dyDescent="0.35">
      <c r="B40" s="45" t="s">
        <v>4</v>
      </c>
      <c r="D40" s="62" t="s">
        <v>44</v>
      </c>
      <c r="E40" s="62"/>
      <c r="F40" s="62"/>
      <c r="G40" s="62"/>
      <c r="H40" s="62"/>
      <c r="I40" s="62"/>
      <c r="J40" s="62"/>
      <c r="K40" s="62"/>
      <c r="L40" s="62"/>
      <c r="M40" s="62" t="s">
        <v>45</v>
      </c>
      <c r="N40" s="62"/>
      <c r="O40" s="62"/>
      <c r="P40" s="62"/>
      <c r="Q40" s="62"/>
      <c r="R40" s="62"/>
      <c r="S40" s="62"/>
      <c r="T40" s="62"/>
      <c r="U40" s="62"/>
    </row>
    <row r="41" spans="2:23" x14ac:dyDescent="0.35">
      <c r="B41" s="63" t="s">
        <v>46</v>
      </c>
      <c r="C41" s="64"/>
      <c r="D41" s="65">
        <v>2015</v>
      </c>
      <c r="E41" s="65">
        <v>2019</v>
      </c>
      <c r="F41" s="66">
        <v>2020</v>
      </c>
      <c r="G41" s="66">
        <v>2025</v>
      </c>
      <c r="H41" s="66">
        <v>2030</v>
      </c>
      <c r="I41" s="66">
        <v>2035</v>
      </c>
      <c r="J41" s="66">
        <v>2040</v>
      </c>
      <c r="K41" s="66">
        <v>2045</v>
      </c>
      <c r="L41" s="67">
        <v>2050</v>
      </c>
      <c r="M41" s="65">
        <v>2015</v>
      </c>
      <c r="N41" s="68">
        <v>2019</v>
      </c>
      <c r="O41" s="66">
        <v>2020</v>
      </c>
      <c r="P41" s="66">
        <v>2025</v>
      </c>
      <c r="Q41" s="66">
        <v>2030</v>
      </c>
      <c r="R41" s="66">
        <v>2035</v>
      </c>
      <c r="S41" s="66">
        <v>2040</v>
      </c>
      <c r="T41" s="66">
        <v>2045</v>
      </c>
      <c r="U41" s="67">
        <v>2050</v>
      </c>
    </row>
    <row r="42" spans="2:23" x14ac:dyDescent="0.35">
      <c r="B42" s="69" t="s">
        <v>6</v>
      </c>
      <c r="C42" s="70"/>
      <c r="D42" s="71">
        <f>'Pepit0 AMS'!D52</f>
        <v>12.452717393481137</v>
      </c>
      <c r="E42" s="71">
        <f>'Pepit0 AMS'!AE52</f>
        <v>12.240883970856911</v>
      </c>
      <c r="F42" s="72">
        <f t="shared" ref="F42:F50" si="17">$E42+($H42-$E42)*1/11</f>
        <v>12.175560717907102</v>
      </c>
      <c r="G42" s="72">
        <f t="shared" ref="G42:G50" si="18">$E42+($H42-$E42)*6/11</f>
        <v>11.848944453158051</v>
      </c>
      <c r="H42" s="72">
        <f>'Pepit0 AMS'!AN52</f>
        <v>11.522328188409002</v>
      </c>
      <c r="I42" s="72">
        <f t="shared" ref="I42:I50" si="19">$H42+($L42-$H42)*5/20</f>
        <v>11.442351486364684</v>
      </c>
      <c r="J42" s="72">
        <f t="shared" ref="J42:J50" si="20">$H42+($L42-$H42)*10/20</f>
        <v>11.362374784320366</v>
      </c>
      <c r="K42" s="72">
        <f t="shared" ref="K42:K50" si="21">$H42+($L42-$H42)*15/20</f>
        <v>11.282398082276048</v>
      </c>
      <c r="L42" s="73">
        <f>'Pepit0 AMS'!BO52</f>
        <v>11.20242138023173</v>
      </c>
      <c r="M42" s="71">
        <f t="shared" ref="M42:M51" si="22">D42/$D42</f>
        <v>1</v>
      </c>
      <c r="N42" s="71">
        <f t="shared" ref="N42:N51" si="23">E42/$D42</f>
        <v>0.98298898016146108</v>
      </c>
      <c r="O42" s="71">
        <f t="shared" ref="O42:O51" si="24">F42/$D42</f>
        <v>0.97774327748583423</v>
      </c>
      <c r="P42" s="71">
        <f t="shared" ref="P42:P51" si="25">G42/$D42</f>
        <v>0.95151476410769953</v>
      </c>
      <c r="Q42" s="71">
        <f t="shared" ref="Q42:Q51" si="26">H42/$D42</f>
        <v>0.92528625072956494</v>
      </c>
      <c r="R42" s="71">
        <f t="shared" ref="R42:R51" si="27">I42/$D42</f>
        <v>0.91886382102870423</v>
      </c>
      <c r="S42" s="71">
        <f t="shared" ref="S42:S51" si="28">J42/$D42</f>
        <v>0.91244139132784352</v>
      </c>
      <c r="T42" s="71">
        <f t="shared" ref="T42:T51" si="29">K42/$D42</f>
        <v>0.90601896162698281</v>
      </c>
      <c r="U42" s="71">
        <f t="shared" ref="U42:U51" si="30">L42/$D42</f>
        <v>0.8995965319261221</v>
      </c>
    </row>
    <row r="43" spans="2:23" x14ac:dyDescent="0.35">
      <c r="B43" s="69" t="s">
        <v>47</v>
      </c>
      <c r="C43" s="70"/>
      <c r="D43" s="71">
        <f>'Pepit0 AMS'!E52</f>
        <v>1.3666520990067765</v>
      </c>
      <c r="E43" s="71">
        <f>'Pepit0 AMS'!AF52</f>
        <v>1.4419885947101772</v>
      </c>
      <c r="F43" s="72">
        <f t="shared" si="17"/>
        <v>1.4604301475605026</v>
      </c>
      <c r="G43" s="72">
        <f t="shared" si="18"/>
        <v>1.5526379118121292</v>
      </c>
      <c r="H43" s="72">
        <f>'Pepit0 AMS'!AO52</f>
        <v>1.644845676063756</v>
      </c>
      <c r="I43" s="72">
        <f t="shared" si="19"/>
        <v>1.7888986569578935</v>
      </c>
      <c r="J43" s="72">
        <f t="shared" si="20"/>
        <v>1.9329516378520308</v>
      </c>
      <c r="K43" s="72">
        <f t="shared" si="21"/>
        <v>2.0770046187461686</v>
      </c>
      <c r="L43" s="73">
        <f>'Pepit0 AMS'!BP52</f>
        <v>2.2210575996403059</v>
      </c>
      <c r="M43" s="71">
        <f t="shared" si="22"/>
        <v>1</v>
      </c>
      <c r="N43" s="71">
        <f t="shared" si="23"/>
        <v>1.0551248527391512</v>
      </c>
      <c r="O43" s="71">
        <f t="shared" si="24"/>
        <v>1.0686188157336309</v>
      </c>
      <c r="P43" s="71">
        <f t="shared" si="25"/>
        <v>1.1360886307060289</v>
      </c>
      <c r="Q43" s="71">
        <f t="shared" si="26"/>
        <v>1.2035584456784272</v>
      </c>
      <c r="R43" s="71">
        <f t="shared" si="27"/>
        <v>1.3089641893924484</v>
      </c>
      <c r="S43" s="71">
        <f t="shared" si="28"/>
        <v>1.4143699331064696</v>
      </c>
      <c r="T43" s="71">
        <f t="shared" si="29"/>
        <v>1.5197756768204911</v>
      </c>
      <c r="U43" s="71">
        <f t="shared" si="30"/>
        <v>1.6251814205345123</v>
      </c>
    </row>
    <row r="44" spans="2:23" x14ac:dyDescent="0.35">
      <c r="B44" s="69" t="s">
        <v>16</v>
      </c>
      <c r="C44" s="70"/>
      <c r="D44" s="71">
        <f>'Pepit0 AMS'!F52</f>
        <v>4.9308939854919993</v>
      </c>
      <c r="E44" s="71">
        <f>'Pepit0 AMS'!AG52</f>
        <v>4.8770763930889212</v>
      </c>
      <c r="F44" s="72">
        <f t="shared" si="17"/>
        <v>4.8534108313487989</v>
      </c>
      <c r="G44" s="72">
        <f t="shared" si="18"/>
        <v>4.7350830226481886</v>
      </c>
      <c r="H44" s="72">
        <f>'Pepit0 AMS'!AP52</f>
        <v>4.6167552139475774</v>
      </c>
      <c r="I44" s="72">
        <f t="shared" si="19"/>
        <v>4.2778104465040876</v>
      </c>
      <c r="J44" s="72">
        <f t="shared" si="20"/>
        <v>3.9388656790605987</v>
      </c>
      <c r="K44" s="72">
        <f t="shared" si="21"/>
        <v>3.5999209116171089</v>
      </c>
      <c r="L44" s="73">
        <f>'Pepit0 AMS'!BQ52</f>
        <v>3.2609761441736196</v>
      </c>
      <c r="M44" s="71">
        <f t="shared" si="22"/>
        <v>1</v>
      </c>
      <c r="N44" s="71">
        <f t="shared" si="23"/>
        <v>0.98908563182225706</v>
      </c>
      <c r="O44" s="71">
        <f t="shared" si="24"/>
        <v>0.98428618535073431</v>
      </c>
      <c r="P44" s="71">
        <f t="shared" si="25"/>
        <v>0.96028895299312078</v>
      </c>
      <c r="Q44" s="71">
        <f t="shared" si="26"/>
        <v>0.93629172063550714</v>
      </c>
      <c r="R44" s="71">
        <f t="shared" si="27"/>
        <v>0.86755271135225032</v>
      </c>
      <c r="S44" s="71">
        <f t="shared" si="28"/>
        <v>0.79881370206899371</v>
      </c>
      <c r="T44" s="71">
        <f t="shared" si="29"/>
        <v>0.73007469278573689</v>
      </c>
      <c r="U44" s="71">
        <f t="shared" si="30"/>
        <v>0.66133568350248007</v>
      </c>
    </row>
    <row r="45" spans="2:23" x14ac:dyDescent="0.35">
      <c r="B45" s="69" t="s">
        <v>15</v>
      </c>
      <c r="C45" s="70"/>
      <c r="D45" s="71">
        <f>'Pepit0 AMS'!G52</f>
        <v>13.307546795161608</v>
      </c>
      <c r="E45" s="71">
        <f>'Pepit0 AMS'!AH52</f>
        <v>12.468566412261648</v>
      </c>
      <c r="F45" s="72">
        <f t="shared" si="17"/>
        <v>12.214217089463652</v>
      </c>
      <c r="G45" s="72">
        <f t="shared" si="18"/>
        <v>10.942470475473668</v>
      </c>
      <c r="H45" s="72">
        <f>'Pepit0 AMS'!AQ52</f>
        <v>9.670723861483685</v>
      </c>
      <c r="I45" s="72">
        <f t="shared" si="19"/>
        <v>8.8051250484802992</v>
      </c>
      <c r="J45" s="72">
        <f t="shared" si="20"/>
        <v>7.9395262354769134</v>
      </c>
      <c r="K45" s="72">
        <f t="shared" si="21"/>
        <v>7.0739274224735267</v>
      </c>
      <c r="L45" s="73">
        <f>'Pepit0 AMS'!BR52</f>
        <v>6.2083286094701409</v>
      </c>
      <c r="M45" s="71">
        <f t="shared" si="22"/>
        <v>1</v>
      </c>
      <c r="N45" s="71">
        <f t="shared" si="23"/>
        <v>0.93695454197425787</v>
      </c>
      <c r="O45" s="71">
        <f t="shared" si="24"/>
        <v>0.91784137808965127</v>
      </c>
      <c r="P45" s="71">
        <f t="shared" si="25"/>
        <v>0.82227555866661761</v>
      </c>
      <c r="Q45" s="71">
        <f t="shared" si="26"/>
        <v>0.72670973924358406</v>
      </c>
      <c r="R45" s="71">
        <f t="shared" si="27"/>
        <v>0.66166403049446265</v>
      </c>
      <c r="S45" s="71">
        <f t="shared" si="28"/>
        <v>0.59661832174534124</v>
      </c>
      <c r="T45" s="71">
        <f t="shared" si="29"/>
        <v>0.53157261299621983</v>
      </c>
      <c r="U45" s="71">
        <f t="shared" si="30"/>
        <v>0.46652690424709842</v>
      </c>
      <c r="W45" s="45" t="s">
        <v>53</v>
      </c>
    </row>
    <row r="46" spans="2:23" x14ac:dyDescent="0.35">
      <c r="B46" s="69" t="s">
        <v>49</v>
      </c>
      <c r="C46" s="70"/>
      <c r="D46" s="71">
        <f>'Pepit0 AMS'!H52</f>
        <v>2.1547622741316497</v>
      </c>
      <c r="E46" s="71">
        <f>'Pepit0 AMS'!AI52</f>
        <v>2.1062658179313196</v>
      </c>
      <c r="F46" s="72">
        <f t="shared" si="17"/>
        <v>2.0860603257340613</v>
      </c>
      <c r="G46" s="72">
        <f t="shared" si="18"/>
        <v>1.9850328647477704</v>
      </c>
      <c r="H46" s="72">
        <f>'Pepit0 AMS'!AR52</f>
        <v>1.8840054037614793</v>
      </c>
      <c r="I46" s="72">
        <f t="shared" si="19"/>
        <v>1.7232472499562139</v>
      </c>
      <c r="J46" s="72">
        <f t="shared" si="20"/>
        <v>1.5624890961509486</v>
      </c>
      <c r="K46" s="72">
        <f t="shared" si="21"/>
        <v>1.4017309423456832</v>
      </c>
      <c r="L46" s="73">
        <f>'Pepit0 AMS'!BS52</f>
        <v>1.2409727885404178</v>
      </c>
      <c r="M46" s="71">
        <f t="shared" si="22"/>
        <v>1</v>
      </c>
      <c r="N46" s="71">
        <f t="shared" si="23"/>
        <v>0.97749336120158603</v>
      </c>
      <c r="O46" s="71">
        <f t="shared" si="24"/>
        <v>0.96811622830863109</v>
      </c>
      <c r="P46" s="71">
        <f t="shared" si="25"/>
        <v>0.9212305638438566</v>
      </c>
      <c r="Q46" s="71">
        <f t="shared" si="26"/>
        <v>0.87434489937908211</v>
      </c>
      <c r="R46" s="71">
        <f t="shared" si="27"/>
        <v>0.79973891813688236</v>
      </c>
      <c r="S46" s="71">
        <f t="shared" si="28"/>
        <v>0.72513293689468272</v>
      </c>
      <c r="T46" s="71">
        <f t="shared" si="29"/>
        <v>0.65052695565248309</v>
      </c>
      <c r="U46" s="71">
        <f t="shared" si="30"/>
        <v>0.57592097441028334</v>
      </c>
    </row>
    <row r="47" spans="2:23" x14ac:dyDescent="0.35">
      <c r="B47" s="69" t="s">
        <v>50</v>
      </c>
      <c r="C47" s="70"/>
      <c r="D47" s="71">
        <f>'Pepit0 AMS'!I52</f>
        <v>1.1275837860370581</v>
      </c>
      <c r="E47" s="71">
        <f>'Pepit0 AMS'!AJ52</f>
        <v>1.1070517570887721</v>
      </c>
      <c r="F47" s="72">
        <f t="shared" si="17"/>
        <v>1.0964230406331594</v>
      </c>
      <c r="G47" s="72">
        <f t="shared" si="18"/>
        <v>1.0432794583550964</v>
      </c>
      <c r="H47" s="72">
        <f>'Pepit0 AMS'!AS52</f>
        <v>0.99013587607703313</v>
      </c>
      <c r="I47" s="72">
        <f t="shared" si="19"/>
        <v>0.93397180488984999</v>
      </c>
      <c r="J47" s="72">
        <f t="shared" si="20"/>
        <v>0.87780773370266685</v>
      </c>
      <c r="K47" s="72">
        <f t="shared" si="21"/>
        <v>0.8216436625154836</v>
      </c>
      <c r="L47" s="73">
        <f>'Pepit0 AMS'!BT52</f>
        <v>0.76547959132830046</v>
      </c>
      <c r="M47" s="71">
        <f t="shared" si="22"/>
        <v>1</v>
      </c>
      <c r="N47" s="71">
        <f t="shared" si="23"/>
        <v>0.98179112789440981</v>
      </c>
      <c r="O47" s="71">
        <f t="shared" si="24"/>
        <v>0.97236502884329823</v>
      </c>
      <c r="P47" s="71">
        <f t="shared" si="25"/>
        <v>0.92523453358774077</v>
      </c>
      <c r="Q47" s="71">
        <f t="shared" si="26"/>
        <v>0.8781040383321832</v>
      </c>
      <c r="R47" s="71">
        <f t="shared" si="27"/>
        <v>0.82829481627465951</v>
      </c>
      <c r="S47" s="71">
        <f t="shared" si="28"/>
        <v>0.7784855942171357</v>
      </c>
      <c r="T47" s="71">
        <f t="shared" si="29"/>
        <v>0.7286763721596119</v>
      </c>
      <c r="U47" s="71">
        <f t="shared" si="30"/>
        <v>0.6788671501020882</v>
      </c>
    </row>
    <row r="48" spans="2:23" x14ac:dyDescent="0.35">
      <c r="B48" s="69" t="s">
        <v>12</v>
      </c>
      <c r="C48" s="70"/>
      <c r="D48" s="71">
        <f>'Pepit0 AMS'!J52</f>
        <v>3.2018183148017663</v>
      </c>
      <c r="E48" s="71">
        <f>'Pepit0 AMS'!AK52</f>
        <v>3.1799100639803037</v>
      </c>
      <c r="F48" s="72">
        <f t="shared" si="17"/>
        <v>3.0785720725639054</v>
      </c>
      <c r="G48" s="72">
        <f t="shared" si="18"/>
        <v>2.5718821154819138</v>
      </c>
      <c r="H48" s="72">
        <f>'Pepit0 AMS'!AT52</f>
        <v>2.0651921583999222</v>
      </c>
      <c r="I48" s="72">
        <f t="shared" si="19"/>
        <v>1.8254335821016043</v>
      </c>
      <c r="J48" s="72">
        <f t="shared" si="20"/>
        <v>1.5856750058032865</v>
      </c>
      <c r="K48" s="72">
        <f t="shared" si="21"/>
        <v>1.3459164295049688</v>
      </c>
      <c r="L48" s="73">
        <f>'Pepit0 AMS'!BU52</f>
        <v>1.1061578532066509</v>
      </c>
      <c r="M48" s="71">
        <f t="shared" si="22"/>
        <v>1</v>
      </c>
      <c r="N48" s="71">
        <f t="shared" si="23"/>
        <v>0.99315755965284402</v>
      </c>
      <c r="O48" s="71">
        <f t="shared" si="24"/>
        <v>0.96150742168345316</v>
      </c>
      <c r="P48" s="71">
        <f t="shared" si="25"/>
        <v>0.80325673183649915</v>
      </c>
      <c r="Q48" s="71">
        <f t="shared" si="26"/>
        <v>0.64500604198954503</v>
      </c>
      <c r="R48" s="71">
        <f t="shared" si="27"/>
        <v>0.57012403660218991</v>
      </c>
      <c r="S48" s="71">
        <f t="shared" si="28"/>
        <v>0.4952420312148349</v>
      </c>
      <c r="T48" s="71">
        <f t="shared" si="29"/>
        <v>0.42036002582747994</v>
      </c>
      <c r="U48" s="71">
        <f t="shared" si="30"/>
        <v>0.34547802044012493</v>
      </c>
    </row>
    <row r="49" spans="2:33" x14ac:dyDescent="0.35">
      <c r="B49" s="69" t="s">
        <v>51</v>
      </c>
      <c r="C49" s="70"/>
      <c r="D49" s="71">
        <f>'Pepit0 AMS'!K52</f>
        <v>8.3467850000000006</v>
      </c>
      <c r="E49" s="71">
        <f>'Pepit0 AMS'!AL52</f>
        <v>8.7020144402068809</v>
      </c>
      <c r="F49" s="72">
        <f t="shared" si="17"/>
        <v>8.7592439859908104</v>
      </c>
      <c r="G49" s="72">
        <f t="shared" si="18"/>
        <v>9.0453917149104601</v>
      </c>
      <c r="H49" s="72">
        <f>'Pepit0 AMS'!AU52</f>
        <v>9.3315394438301098</v>
      </c>
      <c r="I49" s="72">
        <f t="shared" si="19"/>
        <v>9.6400304578530545</v>
      </c>
      <c r="J49" s="72">
        <f t="shared" si="20"/>
        <v>9.9485214718759991</v>
      </c>
      <c r="K49" s="72">
        <f t="shared" si="21"/>
        <v>10.257012485898946</v>
      </c>
      <c r="L49" s="73">
        <f>'Pepit0 AMS'!BV52</f>
        <v>10.56550349992189</v>
      </c>
      <c r="M49" s="71">
        <f t="shared" si="22"/>
        <v>1</v>
      </c>
      <c r="N49" s="71">
        <f t="shared" si="23"/>
        <v>1.0425588343544108</v>
      </c>
      <c r="O49" s="71">
        <f t="shared" si="24"/>
        <v>1.0494153121220697</v>
      </c>
      <c r="P49" s="71">
        <f t="shared" si="25"/>
        <v>1.083697700960365</v>
      </c>
      <c r="Q49" s="71">
        <f t="shared" si="26"/>
        <v>1.11798008979866</v>
      </c>
      <c r="R49" s="71">
        <f t="shared" si="27"/>
        <v>1.1549393518406252</v>
      </c>
      <c r="S49" s="71">
        <f t="shared" si="28"/>
        <v>1.1918986138825904</v>
      </c>
      <c r="T49" s="71">
        <f t="shared" si="29"/>
        <v>1.2288578759245559</v>
      </c>
      <c r="U49" s="71">
        <f t="shared" si="30"/>
        <v>1.2658171379665213</v>
      </c>
    </row>
    <row r="50" spans="2:33" x14ac:dyDescent="0.35">
      <c r="B50" s="69" t="s">
        <v>18</v>
      </c>
      <c r="C50" s="70"/>
      <c r="D50" s="71">
        <f>'Pepit0 AMS'!L52</f>
        <v>3.7597692307692299</v>
      </c>
      <c r="E50" s="71">
        <f>'Pepit0 AMS'!AM52</f>
        <v>3.7715222059604399</v>
      </c>
      <c r="F50" s="72">
        <f t="shared" si="17"/>
        <v>3.7657543826196735</v>
      </c>
      <c r="G50" s="72">
        <f t="shared" si="18"/>
        <v>3.7369152659158416</v>
      </c>
      <c r="H50" s="72">
        <f>'Pepit0 AMS'!AV52</f>
        <v>3.70807614921201</v>
      </c>
      <c r="I50" s="72">
        <f t="shared" si="19"/>
        <v>3.60381294883374</v>
      </c>
      <c r="J50" s="72">
        <f t="shared" si="20"/>
        <v>3.4995497484554701</v>
      </c>
      <c r="K50" s="72">
        <f t="shared" si="21"/>
        <v>3.3952865480772001</v>
      </c>
      <c r="L50" s="73">
        <f>'Pepit0 AMS'!BW52</f>
        <v>3.2910233476989301</v>
      </c>
      <c r="M50" s="71">
        <f t="shared" si="22"/>
        <v>1</v>
      </c>
      <c r="N50" s="71">
        <f t="shared" si="23"/>
        <v>1.003125983130833</v>
      </c>
      <c r="O50" s="71">
        <f t="shared" si="24"/>
        <v>1.0015918934070374</v>
      </c>
      <c r="P50" s="71">
        <f t="shared" si="25"/>
        <v>0.99392144478805888</v>
      </c>
      <c r="Q50" s="71">
        <f t="shared" si="26"/>
        <v>0.98625099616908041</v>
      </c>
      <c r="R50" s="71">
        <f t="shared" si="27"/>
        <v>0.95851971959896543</v>
      </c>
      <c r="S50" s="71">
        <f t="shared" si="28"/>
        <v>0.93078844302885044</v>
      </c>
      <c r="T50" s="71">
        <f t="shared" si="29"/>
        <v>0.90305716645873546</v>
      </c>
      <c r="U50" s="71">
        <f t="shared" si="30"/>
        <v>0.87532588988862048</v>
      </c>
    </row>
    <row r="51" spans="2:33" x14ac:dyDescent="0.35">
      <c r="B51" s="74" t="s">
        <v>52</v>
      </c>
      <c r="C51" s="75"/>
      <c r="D51" s="76">
        <f t="shared" ref="D51:L51" si="31">SUM(D42:D50)</f>
        <v>50.648528878881216</v>
      </c>
      <c r="E51" s="76">
        <f t="shared" si="31"/>
        <v>49.895279656085364</v>
      </c>
      <c r="F51" s="76">
        <f t="shared" si="31"/>
        <v>49.48967259382168</v>
      </c>
      <c r="G51" s="76">
        <f t="shared" si="31"/>
        <v>47.461637282503112</v>
      </c>
      <c r="H51" s="76">
        <f t="shared" si="31"/>
        <v>45.433601971184579</v>
      </c>
      <c r="I51" s="76">
        <f t="shared" si="31"/>
        <v>44.040681681941429</v>
      </c>
      <c r="J51" s="76">
        <f t="shared" si="31"/>
        <v>42.647761392698278</v>
      </c>
      <c r="K51" s="76">
        <f t="shared" si="31"/>
        <v>41.254841103455135</v>
      </c>
      <c r="L51" s="76">
        <f t="shared" si="31"/>
        <v>39.861920814211985</v>
      </c>
      <c r="M51" s="71">
        <f t="shared" si="22"/>
        <v>1</v>
      </c>
      <c r="N51" s="71">
        <f t="shared" si="23"/>
        <v>0.98512791507533926</v>
      </c>
      <c r="O51" s="71">
        <f t="shared" si="24"/>
        <v>0.97711964570914245</v>
      </c>
      <c r="P51" s="71">
        <f t="shared" si="25"/>
        <v>0.93707829887815486</v>
      </c>
      <c r="Q51" s="71">
        <f t="shared" si="26"/>
        <v>0.89703695204716816</v>
      </c>
      <c r="R51" s="71">
        <f t="shared" si="27"/>
        <v>0.86953525910413865</v>
      </c>
      <c r="S51" s="71">
        <f t="shared" si="28"/>
        <v>0.84203356616110925</v>
      </c>
      <c r="T51" s="71">
        <f t="shared" si="29"/>
        <v>0.81453187321807996</v>
      </c>
      <c r="U51" s="71">
        <f t="shared" si="30"/>
        <v>0.78703018027505045</v>
      </c>
    </row>
    <row r="53" spans="2:33" x14ac:dyDescent="0.35">
      <c r="G53" s="77"/>
    </row>
    <row r="54" spans="2:33" x14ac:dyDescent="0.35">
      <c r="F54" s="77"/>
      <c r="G54" s="77"/>
    </row>
    <row r="55" spans="2:33" x14ac:dyDescent="0.35">
      <c r="F55" s="77"/>
    </row>
    <row r="56" spans="2:33" x14ac:dyDescent="0.35">
      <c r="B56" s="415" t="s">
        <v>54</v>
      </c>
      <c r="C56" s="415"/>
      <c r="D56" s="415"/>
      <c r="E56" s="415"/>
      <c r="G56" s="78"/>
    </row>
    <row r="57" spans="2:33" x14ac:dyDescent="0.35">
      <c r="Y57" s="79"/>
      <c r="Z57" s="80"/>
      <c r="AA57" s="80"/>
      <c r="AB57" s="80"/>
      <c r="AC57" s="80"/>
      <c r="AD57" s="80"/>
      <c r="AE57" s="80"/>
      <c r="AF57" s="80"/>
      <c r="AG57" s="81"/>
    </row>
    <row r="58" spans="2:33" x14ac:dyDescent="0.35">
      <c r="Y58" s="82"/>
      <c r="Z58" s="83" t="s">
        <v>55</v>
      </c>
      <c r="AA58" s="83"/>
      <c r="AB58" s="83"/>
      <c r="AC58" s="83"/>
      <c r="AD58" s="83"/>
      <c r="AE58" s="83"/>
      <c r="AF58" s="83"/>
      <c r="AG58" s="84"/>
    </row>
    <row r="59" spans="2:33" x14ac:dyDescent="0.35">
      <c r="C59" s="419" t="s">
        <v>56</v>
      </c>
      <c r="D59" s="419"/>
      <c r="E59" s="419"/>
      <c r="F59" s="419"/>
      <c r="G59" s="419"/>
      <c r="Y59" s="82"/>
      <c r="Z59" s="83"/>
      <c r="AA59" s="83"/>
      <c r="AB59" s="83"/>
      <c r="AC59" s="83"/>
      <c r="AD59" s="83"/>
      <c r="AE59" s="83"/>
      <c r="AF59" s="83"/>
      <c r="AG59" s="84"/>
    </row>
    <row r="60" spans="2:33" x14ac:dyDescent="0.35">
      <c r="C60" s="420" t="s">
        <v>57</v>
      </c>
      <c r="D60" s="420"/>
      <c r="E60" s="421" t="s">
        <v>58</v>
      </c>
      <c r="F60" s="421"/>
      <c r="G60" s="421"/>
      <c r="Y60" s="82"/>
      <c r="Z60" s="85" t="s">
        <v>6</v>
      </c>
      <c r="AA60" s="85"/>
      <c r="AB60" s="85">
        <v>2015</v>
      </c>
      <c r="AC60" s="85">
        <v>2016</v>
      </c>
      <c r="AD60" s="85">
        <v>2017</v>
      </c>
      <c r="AE60" s="85">
        <v>2018</v>
      </c>
      <c r="AF60" s="85">
        <v>2019</v>
      </c>
      <c r="AG60" s="84"/>
    </row>
    <row r="61" spans="2:33" x14ac:dyDescent="0.35">
      <c r="B61" s="86" t="s">
        <v>59</v>
      </c>
      <c r="C61" s="87">
        <v>2014</v>
      </c>
      <c r="D61" s="88">
        <v>2019</v>
      </c>
      <c r="E61" s="89">
        <v>2015</v>
      </c>
      <c r="F61" s="62">
        <v>2019</v>
      </c>
      <c r="G61" s="90">
        <v>2020</v>
      </c>
      <c r="Y61" s="82"/>
      <c r="Z61" s="85" t="s">
        <v>60</v>
      </c>
      <c r="AA61" s="85" t="s">
        <v>61</v>
      </c>
      <c r="AB61" s="85">
        <v>16327.6561146285</v>
      </c>
      <c r="AC61" s="85">
        <v>15675.6610228298</v>
      </c>
      <c r="AD61" s="85">
        <v>16835.687822497399</v>
      </c>
      <c r="AE61" s="85">
        <v>15387.355</v>
      </c>
      <c r="AF61" s="85">
        <v>14449.651</v>
      </c>
      <c r="AG61" s="84"/>
    </row>
    <row r="62" spans="2:33" ht="14.65" customHeight="1" x14ac:dyDescent="0.35">
      <c r="B62" s="86" t="s">
        <v>6</v>
      </c>
      <c r="C62" s="87">
        <v>1.21</v>
      </c>
      <c r="D62" s="88">
        <v>1.18</v>
      </c>
      <c r="E62" s="91">
        <f>C7/D42</f>
        <v>1.2117837033625649</v>
      </c>
      <c r="F62" s="92">
        <f>G7/E42</f>
        <v>1.1919073846901793</v>
      </c>
      <c r="G62" s="93">
        <f>H7/F42</f>
        <v>0.95190687874884539</v>
      </c>
      <c r="W62" s="94"/>
      <c r="Y62" s="82"/>
      <c r="Z62" s="85" t="s">
        <v>60</v>
      </c>
      <c r="AA62" s="85" t="s">
        <v>62</v>
      </c>
      <c r="AB62" s="85">
        <v>12130</v>
      </c>
      <c r="AC62" s="85">
        <v>12656</v>
      </c>
      <c r="AD62" s="85">
        <v>12818</v>
      </c>
      <c r="AE62" s="85">
        <v>12656</v>
      </c>
      <c r="AF62" s="85">
        <v>12222</v>
      </c>
      <c r="AG62" s="84"/>
    </row>
    <row r="63" spans="2:33" x14ac:dyDescent="0.35">
      <c r="B63" s="86" t="s">
        <v>63</v>
      </c>
      <c r="C63" s="87">
        <v>0.73</v>
      </c>
      <c r="D63" s="88">
        <v>0.67</v>
      </c>
      <c r="E63" s="91">
        <f>C11/D43</f>
        <v>0.65342159913923503</v>
      </c>
      <c r="F63" s="92">
        <f>G11/E43</f>
        <v>0.61997716436840722</v>
      </c>
      <c r="G63" s="93">
        <f>H11/F43</f>
        <v>0.54934334447678612</v>
      </c>
      <c r="W63" s="94"/>
      <c r="Y63" s="82"/>
      <c r="Z63" s="85" t="s">
        <v>60</v>
      </c>
      <c r="AA63" s="85" t="s">
        <v>64</v>
      </c>
      <c r="AB63" s="85">
        <v>12816</v>
      </c>
      <c r="AC63" s="85">
        <v>12671</v>
      </c>
      <c r="AD63" s="85">
        <v>13758</v>
      </c>
      <c r="AE63" s="85">
        <v>13328</v>
      </c>
      <c r="AF63" s="85">
        <v>12543</v>
      </c>
      <c r="AG63" s="84"/>
    </row>
    <row r="64" spans="2:33" x14ac:dyDescent="0.35">
      <c r="B64" s="86" t="s">
        <v>65</v>
      </c>
      <c r="C64" s="87">
        <v>0.99</v>
      </c>
      <c r="D64" s="88">
        <v>0.99</v>
      </c>
      <c r="E64" s="91">
        <f>C18/D45</f>
        <v>0.94232244252256359</v>
      </c>
      <c r="F64" s="92">
        <f>G18/E45</f>
        <v>1.0378097667487052</v>
      </c>
      <c r="G64" s="93">
        <f>H18/F45</f>
        <v>0.96363114506562619</v>
      </c>
      <c r="W64" s="94"/>
      <c r="Y64" s="82"/>
      <c r="Z64" s="85" t="s">
        <v>60</v>
      </c>
      <c r="AA64" s="85" t="s">
        <v>66</v>
      </c>
      <c r="AB64" s="85">
        <v>686</v>
      </c>
      <c r="AC64" s="85">
        <v>15</v>
      </c>
      <c r="AD64" s="85">
        <v>940</v>
      </c>
      <c r="AE64" s="85">
        <v>672</v>
      </c>
      <c r="AF64" s="85">
        <v>321</v>
      </c>
      <c r="AG64" s="84"/>
    </row>
    <row r="65" spans="2:33" x14ac:dyDescent="0.35">
      <c r="B65" s="86" t="s">
        <v>67</v>
      </c>
      <c r="C65" s="87">
        <v>0.92</v>
      </c>
      <c r="D65" s="88">
        <v>0.93</v>
      </c>
      <c r="E65" s="91">
        <f>C19/D44</f>
        <v>1.1078091572818551</v>
      </c>
      <c r="F65" s="92">
        <f>G19/E44</f>
        <v>1.1681449890908295</v>
      </c>
      <c r="G65" s="93">
        <f>H19/F44</f>
        <v>1.0350567929572771</v>
      </c>
      <c r="W65" s="94"/>
      <c r="Y65" s="82"/>
      <c r="Z65" s="85" t="s">
        <v>60</v>
      </c>
      <c r="AA65" s="85" t="s">
        <v>68</v>
      </c>
      <c r="AB65" s="95">
        <f>AB64/AB61</f>
        <v>4.2014603638386855E-2</v>
      </c>
      <c r="AC65" s="95">
        <f>AC64/AC61</f>
        <v>9.5689744618451648E-4</v>
      </c>
      <c r="AD65" s="95">
        <f>AD64/AD61</f>
        <v>5.5833774652431209E-2</v>
      </c>
      <c r="AE65" s="95">
        <f>AE64/AE61</f>
        <v>4.3672223068877011E-2</v>
      </c>
      <c r="AF65" s="95">
        <f>AF64/AF61</f>
        <v>2.22150694158634E-2</v>
      </c>
      <c r="AG65" s="84"/>
    </row>
    <row r="66" spans="2:33" x14ac:dyDescent="0.35">
      <c r="B66" s="86" t="s">
        <v>69</v>
      </c>
      <c r="C66" s="87">
        <v>0.56999999999999995</v>
      </c>
      <c r="D66" s="88">
        <v>0.62</v>
      </c>
      <c r="E66" s="91">
        <f>C17/D46</f>
        <v>0.49657450051245244</v>
      </c>
      <c r="F66" s="92">
        <f>G17/E46</f>
        <v>0.50800805429720464</v>
      </c>
      <c r="G66" s="93">
        <f>H17/F46</f>
        <v>0.47937252229180438</v>
      </c>
      <c r="W66" s="94"/>
      <c r="Y66" s="82"/>
      <c r="Z66" s="85" t="s">
        <v>57</v>
      </c>
      <c r="AA66" s="85" t="s">
        <v>70</v>
      </c>
      <c r="AB66" s="96">
        <f>K7-D42</f>
        <v>-12.452717393481137</v>
      </c>
      <c r="AC66" s="85"/>
      <c r="AD66" s="85"/>
      <c r="AE66" s="85"/>
      <c r="AF66" s="96">
        <f>L7-E42</f>
        <v>-12.240883970856911</v>
      </c>
      <c r="AG66" s="84"/>
    </row>
    <row r="67" spans="2:33" x14ac:dyDescent="0.35">
      <c r="B67" s="86" t="s">
        <v>13</v>
      </c>
      <c r="C67" s="87">
        <v>1.06</v>
      </c>
      <c r="D67" s="88">
        <v>1.06</v>
      </c>
      <c r="E67" s="91">
        <f>C16/D47</f>
        <v>0.81590389236916905</v>
      </c>
      <c r="F67" s="92">
        <f>G16/E47</f>
        <v>0.86716812818627742</v>
      </c>
      <c r="G67" s="93">
        <f>H16/F47</f>
        <v>0.81173047903667295</v>
      </c>
      <c r="W67" s="94"/>
      <c r="Y67" s="82"/>
      <c r="Z67" s="85" t="s">
        <v>57</v>
      </c>
      <c r="AA67" s="85" t="s">
        <v>68</v>
      </c>
      <c r="AB67" s="97" t="e">
        <f>AB66/K7</f>
        <v>#DIV/0!</v>
      </c>
      <c r="AC67" s="97"/>
      <c r="AD67" s="97"/>
      <c r="AE67" s="97"/>
      <c r="AF67" s="97" t="e">
        <f>AF66/L7</f>
        <v>#DIV/0!</v>
      </c>
      <c r="AG67" s="84"/>
    </row>
    <row r="68" spans="2:33" x14ac:dyDescent="0.35">
      <c r="B68" s="86" t="s">
        <v>12</v>
      </c>
      <c r="C68" s="87">
        <v>1.05</v>
      </c>
      <c r="D68" s="88">
        <v>1.04</v>
      </c>
      <c r="E68" s="91">
        <f>C15/D48</f>
        <v>0.78392955290325428</v>
      </c>
      <c r="F68" s="92">
        <f>G15/E48</f>
        <v>0.73586986830407852</v>
      </c>
      <c r="G68" s="93">
        <f>H15/F48</f>
        <v>0.73735483415513869</v>
      </c>
      <c r="W68" s="94"/>
      <c r="Y68" s="82"/>
      <c r="Z68" s="83"/>
      <c r="AA68" s="83"/>
      <c r="AB68" s="83"/>
      <c r="AC68" s="83"/>
      <c r="AD68" s="83"/>
      <c r="AE68" s="83"/>
      <c r="AF68" s="83"/>
      <c r="AG68" s="84"/>
    </row>
    <row r="69" spans="2:33" x14ac:dyDescent="0.35">
      <c r="B69" s="86" t="s">
        <v>71</v>
      </c>
      <c r="C69" s="87">
        <v>1.52</v>
      </c>
      <c r="D69" s="88">
        <v>1.52</v>
      </c>
      <c r="E69" s="91">
        <f>C22/D50</f>
        <v>1.2022014444421714</v>
      </c>
      <c r="F69" s="92">
        <f>G22/E50</f>
        <v>1.3151188642509681</v>
      </c>
      <c r="G69" s="93">
        <f>H22/F50</f>
        <v>0.89756252176188911</v>
      </c>
      <c r="W69" s="94"/>
      <c r="Y69" s="82"/>
      <c r="Z69" s="85" t="s">
        <v>10</v>
      </c>
      <c r="AA69" s="85"/>
      <c r="AB69" s="85">
        <v>2015</v>
      </c>
      <c r="AC69" s="85">
        <v>2016</v>
      </c>
      <c r="AD69" s="85">
        <v>2017</v>
      </c>
      <c r="AE69" s="85">
        <v>2018</v>
      </c>
      <c r="AF69" s="85">
        <v>2019</v>
      </c>
      <c r="AG69" s="84"/>
    </row>
    <row r="70" spans="2:33" x14ac:dyDescent="0.35">
      <c r="B70" s="86" t="s">
        <v>72</v>
      </c>
      <c r="C70" s="98">
        <v>0.56000000000000005</v>
      </c>
      <c r="D70" s="99">
        <v>0.59</v>
      </c>
      <c r="E70" s="100">
        <f>C20/D49</f>
        <v>0.95725479930296509</v>
      </c>
      <c r="F70" s="101">
        <f>G20/E49</f>
        <v>0.84118453839591367</v>
      </c>
      <c r="G70" s="102">
        <f>H20/F49</f>
        <v>0.77745466660997686</v>
      </c>
      <c r="W70" s="94"/>
      <c r="Y70" s="82"/>
      <c r="Z70" s="85" t="s">
        <v>60</v>
      </c>
      <c r="AA70" s="85" t="s">
        <v>61</v>
      </c>
      <c r="AB70" s="85">
        <v>892.63400000000001</v>
      </c>
      <c r="AC70" s="85">
        <v>917.87199999999996</v>
      </c>
      <c r="AD70" s="85">
        <v>941.53700000000003</v>
      </c>
      <c r="AE70" s="85">
        <v>878</v>
      </c>
      <c r="AF70" s="85">
        <v>894</v>
      </c>
      <c r="AG70" s="84"/>
    </row>
    <row r="71" spans="2:33" x14ac:dyDescent="0.35">
      <c r="Y71" s="82"/>
      <c r="Z71" s="85" t="s">
        <v>60</v>
      </c>
      <c r="AA71" s="85" t="s">
        <v>62</v>
      </c>
      <c r="AB71" s="85">
        <v>539.45899999999995</v>
      </c>
      <c r="AC71" s="85">
        <v>587.94200000000001</v>
      </c>
      <c r="AD71" s="85">
        <v>558.46299999999997</v>
      </c>
      <c r="AE71" s="85">
        <v>558</v>
      </c>
      <c r="AF71" s="85">
        <v>544</v>
      </c>
      <c r="AG71" s="84"/>
    </row>
    <row r="72" spans="2:33" x14ac:dyDescent="0.35">
      <c r="B72" s="45" t="s">
        <v>3</v>
      </c>
      <c r="C72" s="45" t="s">
        <v>56</v>
      </c>
      <c r="D72" s="103" t="s">
        <v>73</v>
      </c>
      <c r="E72" s="104" t="s">
        <v>74</v>
      </c>
      <c r="F72" s="104" t="s">
        <v>74</v>
      </c>
      <c r="G72" s="104" t="s">
        <v>74</v>
      </c>
      <c r="H72" s="104" t="s">
        <v>74</v>
      </c>
      <c r="I72" s="104" t="s">
        <v>74</v>
      </c>
      <c r="J72" s="105" t="s">
        <v>74</v>
      </c>
      <c r="Y72" s="82"/>
      <c r="Z72" s="85" t="s">
        <v>60</v>
      </c>
      <c r="AA72" s="85" t="s">
        <v>64</v>
      </c>
      <c r="AB72" s="85">
        <v>254.227</v>
      </c>
      <c r="AC72" s="85">
        <v>262.31799999999998</v>
      </c>
      <c r="AD72" s="85">
        <v>299.58600000000001</v>
      </c>
      <c r="AE72" s="85">
        <v>250</v>
      </c>
      <c r="AF72" s="85">
        <v>262</v>
      </c>
      <c r="AG72" s="84"/>
    </row>
    <row r="73" spans="2:33" x14ac:dyDescent="0.35">
      <c r="B73" s="86" t="s">
        <v>59</v>
      </c>
      <c r="C73" s="62">
        <f t="shared" ref="C73:C82" si="32">F61</f>
        <v>2019</v>
      </c>
      <c r="D73" s="89">
        <f t="shared" ref="D73:D82" si="33">G61</f>
        <v>2020</v>
      </c>
      <c r="E73" s="62">
        <v>2025</v>
      </c>
      <c r="F73" s="62">
        <v>2030</v>
      </c>
      <c r="G73" s="62">
        <v>2035</v>
      </c>
      <c r="H73" s="62">
        <v>2040</v>
      </c>
      <c r="I73" s="62">
        <v>2045</v>
      </c>
      <c r="J73" s="90">
        <v>2050</v>
      </c>
      <c r="L73" s="45" t="s">
        <v>75</v>
      </c>
      <c r="Y73" s="82"/>
      <c r="Z73" s="85" t="s">
        <v>60</v>
      </c>
      <c r="AA73" s="85" t="s">
        <v>66</v>
      </c>
      <c r="AB73" s="85">
        <f>AB72-AB71</f>
        <v>-285.23199999999997</v>
      </c>
      <c r="AC73" s="85">
        <f>AC72-AC71</f>
        <v>-325.62400000000002</v>
      </c>
      <c r="AD73" s="85">
        <f>AD72-AD71</f>
        <v>-258.87699999999995</v>
      </c>
      <c r="AE73" s="85">
        <f>AE72-AE71</f>
        <v>-308</v>
      </c>
      <c r="AF73" s="85">
        <f>AF72-AF71</f>
        <v>-282</v>
      </c>
      <c r="AG73" s="84"/>
    </row>
    <row r="74" spans="2:33" x14ac:dyDescent="0.35">
      <c r="B74" s="86" t="s">
        <v>6</v>
      </c>
      <c r="C74" s="92">
        <f t="shared" si="32"/>
        <v>1.1919073846901793</v>
      </c>
      <c r="D74" s="91">
        <f t="shared" si="33"/>
        <v>0.95190687874884539</v>
      </c>
      <c r="E74" s="92">
        <f t="shared" ref="E74:J82" si="34">$C74</f>
        <v>1.1919073846901793</v>
      </c>
      <c r="F74" s="92">
        <f t="shared" si="34"/>
        <v>1.1919073846901793</v>
      </c>
      <c r="G74" s="92">
        <f t="shared" si="34"/>
        <v>1.1919073846901793</v>
      </c>
      <c r="H74" s="92">
        <f t="shared" si="34"/>
        <v>1.1919073846901793</v>
      </c>
      <c r="I74" s="92">
        <f t="shared" si="34"/>
        <v>1.1919073846901793</v>
      </c>
      <c r="J74" s="93">
        <f t="shared" si="34"/>
        <v>1.1919073846901793</v>
      </c>
      <c r="Y74" s="82"/>
      <c r="Z74" s="85" t="s">
        <v>60</v>
      </c>
      <c r="AA74" s="85" t="s">
        <v>68</v>
      </c>
      <c r="AB74" s="95">
        <f>AB73/AB70</f>
        <v>-0.31953969936166443</v>
      </c>
      <c r="AC74" s="95">
        <f>AC73/AC70</f>
        <v>-0.35475970505691429</v>
      </c>
      <c r="AD74" s="95">
        <f>AD73/AD70</f>
        <v>-0.27495148889528498</v>
      </c>
      <c r="AE74" s="95">
        <f>AE73/AE70</f>
        <v>-0.35079726651480636</v>
      </c>
      <c r="AF74" s="95">
        <f>AF73/AF70</f>
        <v>-0.31543624161073824</v>
      </c>
      <c r="AG74" s="84"/>
    </row>
    <row r="75" spans="2:33" x14ac:dyDescent="0.35">
      <c r="B75" s="86" t="s">
        <v>63</v>
      </c>
      <c r="C75" s="92">
        <f t="shared" si="32"/>
        <v>0.61997716436840722</v>
      </c>
      <c r="D75" s="91">
        <f t="shared" si="33"/>
        <v>0.54934334447678612</v>
      </c>
      <c r="E75" s="92">
        <f t="shared" si="34"/>
        <v>0.61997716436840722</v>
      </c>
      <c r="F75" s="92">
        <f t="shared" si="34"/>
        <v>0.61997716436840722</v>
      </c>
      <c r="G75" s="92">
        <f t="shared" si="34"/>
        <v>0.61997716436840722</v>
      </c>
      <c r="H75" s="92">
        <f t="shared" si="34"/>
        <v>0.61997716436840722</v>
      </c>
      <c r="I75" s="92">
        <f t="shared" si="34"/>
        <v>0.61997716436840722</v>
      </c>
      <c r="J75" s="93">
        <f t="shared" si="34"/>
        <v>0.61997716436840722</v>
      </c>
      <c r="Y75" s="82"/>
      <c r="Z75" s="85" t="s">
        <v>57</v>
      </c>
      <c r="AA75" s="85" t="s">
        <v>70</v>
      </c>
      <c r="AB75" s="96">
        <f>K11-D43</f>
        <v>-1.3666520990067765</v>
      </c>
      <c r="AC75" s="85"/>
      <c r="AD75" s="85"/>
      <c r="AE75" s="85"/>
      <c r="AF75" s="96">
        <f>L11-E43</f>
        <v>-1.4419885947101772</v>
      </c>
      <c r="AG75" s="84"/>
    </row>
    <row r="76" spans="2:33" x14ac:dyDescent="0.35">
      <c r="B76" s="86" t="s">
        <v>65</v>
      </c>
      <c r="C76" s="92">
        <f t="shared" si="32"/>
        <v>1.0378097667487052</v>
      </c>
      <c r="D76" s="91">
        <f t="shared" si="33"/>
        <v>0.96363114506562619</v>
      </c>
      <c r="E76" s="92">
        <f t="shared" si="34"/>
        <v>1.0378097667487052</v>
      </c>
      <c r="F76" s="92">
        <f t="shared" si="34"/>
        <v>1.0378097667487052</v>
      </c>
      <c r="G76" s="92">
        <f t="shared" si="34"/>
        <v>1.0378097667487052</v>
      </c>
      <c r="H76" s="92">
        <f t="shared" si="34"/>
        <v>1.0378097667487052</v>
      </c>
      <c r="I76" s="92">
        <f t="shared" si="34"/>
        <v>1.0378097667487052</v>
      </c>
      <c r="J76" s="93">
        <f t="shared" si="34"/>
        <v>1.0378097667487052</v>
      </c>
      <c r="Y76" s="82"/>
      <c r="Z76" s="85" t="s">
        <v>57</v>
      </c>
      <c r="AA76" s="85" t="s">
        <v>68</v>
      </c>
      <c r="AB76" s="97" t="e">
        <f>AB75/K11</f>
        <v>#DIV/0!</v>
      </c>
      <c r="AC76" s="97"/>
      <c r="AD76" s="97"/>
      <c r="AE76" s="97"/>
      <c r="AF76" s="97" t="e">
        <f>AF75/L11</f>
        <v>#DIV/0!</v>
      </c>
      <c r="AG76" s="84"/>
    </row>
    <row r="77" spans="2:33" x14ac:dyDescent="0.35">
      <c r="B77" s="86" t="s">
        <v>67</v>
      </c>
      <c r="C77" s="92">
        <f t="shared" si="32"/>
        <v>1.1681449890908295</v>
      </c>
      <c r="D77" s="91">
        <f t="shared" si="33"/>
        <v>1.0350567929572771</v>
      </c>
      <c r="E77" s="92">
        <f t="shared" si="34"/>
        <v>1.1681449890908295</v>
      </c>
      <c r="F77" s="92">
        <f t="shared" si="34"/>
        <v>1.1681449890908295</v>
      </c>
      <c r="G77" s="92">
        <f t="shared" si="34"/>
        <v>1.1681449890908295</v>
      </c>
      <c r="H77" s="92">
        <f t="shared" si="34"/>
        <v>1.1681449890908295</v>
      </c>
      <c r="I77" s="92">
        <f t="shared" si="34"/>
        <v>1.1681449890908295</v>
      </c>
      <c r="J77" s="93">
        <f t="shared" si="34"/>
        <v>1.1681449890908295</v>
      </c>
      <c r="Y77" s="82"/>
      <c r="Z77" s="83"/>
      <c r="AA77" s="83"/>
      <c r="AB77" s="83"/>
      <c r="AC77" s="83"/>
      <c r="AD77" s="83"/>
      <c r="AE77" s="83"/>
      <c r="AF77" s="83"/>
      <c r="AG77" s="84"/>
    </row>
    <row r="78" spans="2:33" x14ac:dyDescent="0.35">
      <c r="B78" s="86" t="s">
        <v>69</v>
      </c>
      <c r="C78" s="92">
        <f t="shared" si="32"/>
        <v>0.50800805429720464</v>
      </c>
      <c r="D78" s="91">
        <f t="shared" si="33"/>
        <v>0.47937252229180438</v>
      </c>
      <c r="E78" s="92">
        <f t="shared" si="34"/>
        <v>0.50800805429720464</v>
      </c>
      <c r="F78" s="92">
        <f t="shared" si="34"/>
        <v>0.50800805429720464</v>
      </c>
      <c r="G78" s="92">
        <f t="shared" si="34"/>
        <v>0.50800805429720464</v>
      </c>
      <c r="H78" s="92">
        <f t="shared" si="34"/>
        <v>0.50800805429720464</v>
      </c>
      <c r="I78" s="92">
        <f t="shared" si="34"/>
        <v>0.50800805429720464</v>
      </c>
      <c r="J78" s="93">
        <f t="shared" si="34"/>
        <v>0.50800805429720464</v>
      </c>
      <c r="Y78" s="82"/>
      <c r="Z78" s="85" t="s">
        <v>16</v>
      </c>
      <c r="AA78" s="85"/>
      <c r="AB78" s="85">
        <v>2015</v>
      </c>
      <c r="AC78" s="85">
        <v>2016</v>
      </c>
      <c r="AD78" s="85">
        <v>2017</v>
      </c>
      <c r="AE78" s="85">
        <v>2018</v>
      </c>
      <c r="AF78" s="85">
        <v>2019</v>
      </c>
      <c r="AG78" s="84"/>
    </row>
    <row r="79" spans="2:33" x14ac:dyDescent="0.35">
      <c r="B79" s="86" t="s">
        <v>13</v>
      </c>
      <c r="C79" s="92">
        <f t="shared" si="32"/>
        <v>0.86716812818627742</v>
      </c>
      <c r="D79" s="91">
        <f t="shared" si="33"/>
        <v>0.81173047903667295</v>
      </c>
      <c r="E79" s="92">
        <f t="shared" si="34"/>
        <v>0.86716812818627742</v>
      </c>
      <c r="F79" s="92">
        <f t="shared" si="34"/>
        <v>0.86716812818627742</v>
      </c>
      <c r="G79" s="92">
        <f t="shared" si="34"/>
        <v>0.86716812818627742</v>
      </c>
      <c r="H79" s="92">
        <f t="shared" si="34"/>
        <v>0.86716812818627742</v>
      </c>
      <c r="I79" s="92">
        <f t="shared" si="34"/>
        <v>0.86716812818627742</v>
      </c>
      <c r="J79" s="93">
        <f t="shared" si="34"/>
        <v>0.86716812818627742</v>
      </c>
      <c r="Y79" s="82"/>
      <c r="Z79" s="85" t="s">
        <v>60</v>
      </c>
      <c r="AA79" s="85" t="s">
        <v>61</v>
      </c>
      <c r="AB79" s="85">
        <v>3825</v>
      </c>
      <c r="AC79" s="85">
        <v>3712</v>
      </c>
      <c r="AD79" s="85">
        <v>4064</v>
      </c>
      <c r="AE79" s="85">
        <v>4175</v>
      </c>
      <c r="AF79" s="85">
        <v>4185</v>
      </c>
      <c r="AG79" s="84"/>
    </row>
    <row r="80" spans="2:33" x14ac:dyDescent="0.35">
      <c r="B80" s="86" t="s">
        <v>12</v>
      </c>
      <c r="C80" s="92">
        <f t="shared" si="32"/>
        <v>0.73586986830407852</v>
      </c>
      <c r="D80" s="91">
        <f t="shared" si="33"/>
        <v>0.73735483415513869</v>
      </c>
      <c r="E80" s="92">
        <f t="shared" si="34"/>
        <v>0.73586986830407852</v>
      </c>
      <c r="F80" s="92">
        <f t="shared" si="34"/>
        <v>0.73586986830407852</v>
      </c>
      <c r="G80" s="92">
        <f t="shared" si="34"/>
        <v>0.73586986830407852</v>
      </c>
      <c r="H80" s="92">
        <f t="shared" si="34"/>
        <v>0.73586986830407852</v>
      </c>
      <c r="I80" s="92">
        <f t="shared" si="34"/>
        <v>0.73586986830407852</v>
      </c>
      <c r="J80" s="93">
        <f t="shared" si="34"/>
        <v>0.73586986830407852</v>
      </c>
      <c r="Y80" s="82"/>
      <c r="Z80" s="85" t="s">
        <v>60</v>
      </c>
      <c r="AA80" s="85" t="s">
        <v>62</v>
      </c>
      <c r="AB80" s="85">
        <v>135.441</v>
      </c>
      <c r="AC80" s="85">
        <v>169.04300000000001</v>
      </c>
      <c r="AD80" s="85">
        <v>171.09399999999999</v>
      </c>
      <c r="AE80" s="85">
        <v>164.52096900000001</v>
      </c>
      <c r="AF80" s="85">
        <v>165.29198199999999</v>
      </c>
      <c r="AG80" s="84"/>
    </row>
    <row r="81" spans="2:33" x14ac:dyDescent="0.35">
      <c r="B81" s="86" t="s">
        <v>71</v>
      </c>
      <c r="C81" s="92">
        <f t="shared" si="32"/>
        <v>1.3151188642509681</v>
      </c>
      <c r="D81" s="91">
        <f t="shared" si="33"/>
        <v>0.89756252176188911</v>
      </c>
      <c r="E81" s="92">
        <f t="shared" si="34"/>
        <v>1.3151188642509681</v>
      </c>
      <c r="F81" s="92">
        <f t="shared" si="34"/>
        <v>1.3151188642509681</v>
      </c>
      <c r="G81" s="92">
        <f t="shared" si="34"/>
        <v>1.3151188642509681</v>
      </c>
      <c r="H81" s="92">
        <f t="shared" si="34"/>
        <v>1.3151188642509681</v>
      </c>
      <c r="I81" s="92">
        <f t="shared" si="34"/>
        <v>1.3151188642509681</v>
      </c>
      <c r="J81" s="93">
        <f t="shared" si="34"/>
        <v>1.3151188642509681</v>
      </c>
      <c r="Y81" s="82"/>
      <c r="Z81" s="85" t="s">
        <v>60</v>
      </c>
      <c r="AA81" s="85" t="s">
        <v>64</v>
      </c>
      <c r="AB81" s="85">
        <v>171.441</v>
      </c>
      <c r="AC81" s="85">
        <v>171.34</v>
      </c>
      <c r="AD81" s="85">
        <v>172.67500000000001</v>
      </c>
      <c r="AE81" s="85">
        <v>179.332775</v>
      </c>
      <c r="AF81" s="85">
        <v>162.901858</v>
      </c>
      <c r="AG81" s="84"/>
    </row>
    <row r="82" spans="2:33" x14ac:dyDescent="0.35">
      <c r="B82" s="86" t="s">
        <v>72</v>
      </c>
      <c r="C82" s="92">
        <f t="shared" si="32"/>
        <v>0.84118453839591367</v>
      </c>
      <c r="D82" s="100">
        <f t="shared" si="33"/>
        <v>0.77745466660997686</v>
      </c>
      <c r="E82" s="101">
        <f t="shared" si="34"/>
        <v>0.84118453839591367</v>
      </c>
      <c r="F82" s="101">
        <f t="shared" si="34"/>
        <v>0.84118453839591367</v>
      </c>
      <c r="G82" s="101">
        <f t="shared" si="34"/>
        <v>0.84118453839591367</v>
      </c>
      <c r="H82" s="101">
        <f t="shared" si="34"/>
        <v>0.84118453839591367</v>
      </c>
      <c r="I82" s="101">
        <f t="shared" si="34"/>
        <v>0.84118453839591367</v>
      </c>
      <c r="J82" s="102">
        <f t="shared" si="34"/>
        <v>0.84118453839591367</v>
      </c>
      <c r="Y82" s="82"/>
      <c r="Z82" s="85" t="s">
        <v>60</v>
      </c>
      <c r="AA82" s="85" t="s">
        <v>66</v>
      </c>
      <c r="AB82" s="85">
        <f>AB81-AB80</f>
        <v>36</v>
      </c>
      <c r="AC82" s="85">
        <f>AC81-AC80</f>
        <v>2.296999999999997</v>
      </c>
      <c r="AD82" s="85">
        <f>AD81-AD80</f>
        <v>1.5810000000000173</v>
      </c>
      <c r="AE82" s="85">
        <f>AE81-AE80</f>
        <v>14.81180599999999</v>
      </c>
      <c r="AF82" s="85">
        <f>AF81-AF80</f>
        <v>-2.3901239999999859</v>
      </c>
      <c r="AG82" s="84"/>
    </row>
    <row r="83" spans="2:33" x14ac:dyDescent="0.35">
      <c r="Y83" s="82"/>
      <c r="Z83" s="85" t="s">
        <v>60</v>
      </c>
      <c r="AA83" s="85" t="s">
        <v>68</v>
      </c>
      <c r="AB83" s="95">
        <f>AB82/AB79</f>
        <v>9.4117647058823521E-3</v>
      </c>
      <c r="AC83" s="95">
        <f>AC82/AC79</f>
        <v>6.1880387931034406E-4</v>
      </c>
      <c r="AD83" s="95">
        <f>AD82/AD79</f>
        <v>3.8902559055118536E-4</v>
      </c>
      <c r="AE83" s="95">
        <f>AE82/AE79</f>
        <v>3.5477379640718541E-3</v>
      </c>
      <c r="AF83" s="95">
        <f>AF82/AF79</f>
        <v>-5.7111684587813282E-4</v>
      </c>
      <c r="AG83" s="84"/>
    </row>
    <row r="84" spans="2:33" x14ac:dyDescent="0.35">
      <c r="B84" s="45" t="s">
        <v>4</v>
      </c>
      <c r="C84" s="45" t="s">
        <v>56</v>
      </c>
      <c r="D84" s="103" t="s">
        <v>73</v>
      </c>
      <c r="E84" s="104" t="s">
        <v>74</v>
      </c>
      <c r="F84" s="104" t="s">
        <v>74</v>
      </c>
      <c r="G84" s="104" t="s">
        <v>74</v>
      </c>
      <c r="H84" s="104" t="s">
        <v>74</v>
      </c>
      <c r="I84" s="104" t="s">
        <v>74</v>
      </c>
      <c r="J84" s="105" t="s">
        <v>74</v>
      </c>
      <c r="Y84" s="82"/>
      <c r="Z84" s="85" t="s">
        <v>57</v>
      </c>
      <c r="AA84" s="85" t="s">
        <v>70</v>
      </c>
      <c r="AB84" s="96">
        <f>K19-D44</f>
        <v>-4.9308939854919993</v>
      </c>
      <c r="AC84" s="85"/>
      <c r="AD84" s="85"/>
      <c r="AE84" s="85"/>
      <c r="AF84" s="96">
        <f>L19-E44</f>
        <v>-4.8770763930889212</v>
      </c>
      <c r="AG84" s="84"/>
    </row>
    <row r="85" spans="2:33" x14ac:dyDescent="0.35">
      <c r="B85" s="86" t="s">
        <v>59</v>
      </c>
      <c r="C85" s="62">
        <f t="shared" ref="C85:C94" si="35">F61</f>
        <v>2019</v>
      </c>
      <c r="D85" s="89">
        <f t="shared" ref="D85:D94" si="36">G61</f>
        <v>2020</v>
      </c>
      <c r="E85" s="62">
        <v>2025</v>
      </c>
      <c r="F85" s="62">
        <v>2030</v>
      </c>
      <c r="G85" s="62">
        <v>2035</v>
      </c>
      <c r="H85" s="62">
        <v>2040</v>
      </c>
      <c r="I85" s="62">
        <v>2045</v>
      </c>
      <c r="J85" s="90">
        <v>2050</v>
      </c>
      <c r="Y85" s="82"/>
      <c r="Z85" s="85" t="s">
        <v>57</v>
      </c>
      <c r="AA85" s="85" t="s">
        <v>68</v>
      </c>
      <c r="AB85" s="97" t="e">
        <f>AB84/K19</f>
        <v>#DIV/0!</v>
      </c>
      <c r="AC85" s="97"/>
      <c r="AD85" s="97"/>
      <c r="AE85" s="97"/>
      <c r="AF85" s="97" t="e">
        <f>AF84/L19</f>
        <v>#DIV/0!</v>
      </c>
      <c r="AG85" s="84"/>
    </row>
    <row r="86" spans="2:33" x14ac:dyDescent="0.35">
      <c r="B86" s="86" t="s">
        <v>6</v>
      </c>
      <c r="C86" s="92">
        <f t="shared" si="35"/>
        <v>1.1919073846901793</v>
      </c>
      <c r="D86" s="91">
        <f t="shared" si="36"/>
        <v>0.95190687874884539</v>
      </c>
      <c r="E86" s="92">
        <f t="shared" ref="E86:J86" si="37">$C86</f>
        <v>1.1919073846901793</v>
      </c>
      <c r="F86" s="92">
        <f t="shared" si="37"/>
        <v>1.1919073846901793</v>
      </c>
      <c r="G86" s="92">
        <f t="shared" si="37"/>
        <v>1.1919073846901793</v>
      </c>
      <c r="H86" s="92">
        <f t="shared" si="37"/>
        <v>1.1919073846901793</v>
      </c>
      <c r="I86" s="92">
        <f t="shared" si="37"/>
        <v>1.1919073846901793</v>
      </c>
      <c r="J86" s="93">
        <f t="shared" si="37"/>
        <v>1.1919073846901793</v>
      </c>
      <c r="L86" s="45" t="s">
        <v>76</v>
      </c>
      <c r="Y86" s="82"/>
      <c r="Z86" s="83"/>
      <c r="AA86" s="83"/>
      <c r="AB86" s="83"/>
      <c r="AC86" s="83"/>
      <c r="AD86" s="83"/>
      <c r="AE86" s="83"/>
      <c r="AF86" s="83"/>
      <c r="AG86" s="84"/>
    </row>
    <row r="87" spans="2:33" x14ac:dyDescent="0.35">
      <c r="B87" s="86" t="s">
        <v>63</v>
      </c>
      <c r="C87" s="92">
        <f t="shared" si="35"/>
        <v>0.61997716436840722</v>
      </c>
      <c r="D87" s="91">
        <f t="shared" si="36"/>
        <v>0.54934334447678612</v>
      </c>
      <c r="E87" s="106">
        <v>0.64</v>
      </c>
      <c r="F87" s="106">
        <v>0.68</v>
      </c>
      <c r="G87" s="62">
        <f>(F87+H87)/2</f>
        <v>0.72250000000000003</v>
      </c>
      <c r="H87" s="62">
        <f>(F87+J87)/2</f>
        <v>0.76500000000000001</v>
      </c>
      <c r="I87" s="62">
        <f>(H87+J87)/2</f>
        <v>0.8075</v>
      </c>
      <c r="J87" s="107">
        <v>0.85</v>
      </c>
      <c r="Y87" s="82"/>
      <c r="Z87" s="85" t="s">
        <v>17</v>
      </c>
      <c r="AA87" s="85"/>
      <c r="AB87" s="85">
        <v>2015</v>
      </c>
      <c r="AC87" s="85">
        <v>2016</v>
      </c>
      <c r="AD87" s="85">
        <v>2017</v>
      </c>
      <c r="AE87" s="85">
        <v>2018</v>
      </c>
      <c r="AF87" s="85">
        <v>2019</v>
      </c>
      <c r="AG87" s="84"/>
    </row>
    <row r="88" spans="2:33" x14ac:dyDescent="0.35">
      <c r="B88" s="86" t="s">
        <v>65</v>
      </c>
      <c r="C88" s="92">
        <f t="shared" si="35"/>
        <v>1.0378097667487052</v>
      </c>
      <c r="D88" s="91">
        <f t="shared" si="36"/>
        <v>0.96363114506562619</v>
      </c>
      <c r="E88" s="92">
        <f t="shared" ref="E88:J89" si="38">$C88</f>
        <v>1.0378097667487052</v>
      </c>
      <c r="F88" s="92">
        <f t="shared" si="38"/>
        <v>1.0378097667487052</v>
      </c>
      <c r="G88" s="92">
        <f t="shared" si="38"/>
        <v>1.0378097667487052</v>
      </c>
      <c r="H88" s="92">
        <f t="shared" si="38"/>
        <v>1.0378097667487052</v>
      </c>
      <c r="I88" s="92">
        <f t="shared" si="38"/>
        <v>1.0378097667487052</v>
      </c>
      <c r="J88" s="93">
        <f t="shared" si="38"/>
        <v>1.0378097667487052</v>
      </c>
      <c r="Y88" s="82"/>
      <c r="Z88" s="85" t="s">
        <v>60</v>
      </c>
      <c r="AA88" s="85" t="s">
        <v>61</v>
      </c>
      <c r="AB88" s="85">
        <v>7985.5150000000003</v>
      </c>
      <c r="AC88" s="85">
        <v>7983.5149000000001</v>
      </c>
      <c r="AD88" s="85">
        <v>8021.4</v>
      </c>
      <c r="AE88" s="85">
        <v>7869.7</v>
      </c>
      <c r="AF88" s="85">
        <v>7322.7</v>
      </c>
      <c r="AG88" s="84"/>
    </row>
    <row r="89" spans="2:33" x14ac:dyDescent="0.35">
      <c r="B89" s="86" t="s">
        <v>67</v>
      </c>
      <c r="C89" s="92">
        <f t="shared" si="35"/>
        <v>1.1681449890908295</v>
      </c>
      <c r="D89" s="91">
        <f t="shared" si="36"/>
        <v>1.0350567929572771</v>
      </c>
      <c r="E89" s="92">
        <f t="shared" si="38"/>
        <v>1.1681449890908295</v>
      </c>
      <c r="F89" s="92">
        <f t="shared" si="38"/>
        <v>1.1681449890908295</v>
      </c>
      <c r="G89" s="92">
        <f t="shared" si="38"/>
        <v>1.1681449890908295</v>
      </c>
      <c r="H89" s="92">
        <f t="shared" si="38"/>
        <v>1.1681449890908295</v>
      </c>
      <c r="I89" s="92">
        <f t="shared" si="38"/>
        <v>1.1681449890908295</v>
      </c>
      <c r="J89" s="93">
        <f t="shared" si="38"/>
        <v>1.1681449890908295</v>
      </c>
      <c r="Y89" s="82"/>
      <c r="Z89" s="85" t="s">
        <v>60</v>
      </c>
      <c r="AA89" s="85" t="s">
        <v>62</v>
      </c>
      <c r="AB89" s="85">
        <v>5254.3119999999999</v>
      </c>
      <c r="AC89" s="85">
        <v>5101.3590000000004</v>
      </c>
      <c r="AD89" s="85">
        <v>5124.0519999999997</v>
      </c>
      <c r="AE89" s="85">
        <v>5042.7</v>
      </c>
      <c r="AF89" s="85">
        <v>5180.7</v>
      </c>
      <c r="AG89" s="84"/>
    </row>
    <row r="90" spans="2:33" x14ac:dyDescent="0.35">
      <c r="B90" s="86" t="s">
        <v>69</v>
      </c>
      <c r="C90" s="92">
        <f t="shared" si="35"/>
        <v>0.50800805429720464</v>
      </c>
      <c r="D90" s="91">
        <f t="shared" si="36"/>
        <v>0.47937252229180438</v>
      </c>
      <c r="E90" s="106">
        <v>0.68</v>
      </c>
      <c r="F90" s="106">
        <v>0.7</v>
      </c>
      <c r="G90" s="62">
        <f>(F90+H90)/2</f>
        <v>0.72499999999999998</v>
      </c>
      <c r="H90" s="62">
        <f>(F90+J90)/2</f>
        <v>0.75</v>
      </c>
      <c r="I90" s="62">
        <f>(H90+J90)/2</f>
        <v>0.77500000000000002</v>
      </c>
      <c r="J90" s="107">
        <v>0.8</v>
      </c>
      <c r="Y90" s="82"/>
      <c r="Z90" s="85" t="s">
        <v>60</v>
      </c>
      <c r="AA90" s="85" t="s">
        <v>64</v>
      </c>
      <c r="AB90" s="85">
        <v>4404.2</v>
      </c>
      <c r="AC90" s="85">
        <v>4268.7449999999999</v>
      </c>
      <c r="AD90" s="85">
        <v>4280.9960000000001</v>
      </c>
      <c r="AE90" s="85">
        <v>4144.8</v>
      </c>
      <c r="AF90" s="85">
        <v>3996.9</v>
      </c>
      <c r="AG90" s="84"/>
    </row>
    <row r="91" spans="2:33" x14ac:dyDescent="0.35">
      <c r="B91" s="86" t="s">
        <v>13</v>
      </c>
      <c r="C91" s="92">
        <f t="shared" si="35"/>
        <v>0.86716812818627742</v>
      </c>
      <c r="D91" s="91">
        <f t="shared" si="36"/>
        <v>0.81173047903667295</v>
      </c>
      <c r="E91" s="106">
        <v>0.9</v>
      </c>
      <c r="F91" s="106">
        <v>0.93</v>
      </c>
      <c r="G91" s="62">
        <v>0.96</v>
      </c>
      <c r="H91" s="62">
        <v>0.99</v>
      </c>
      <c r="I91" s="62">
        <v>1</v>
      </c>
      <c r="J91" s="107">
        <v>1</v>
      </c>
      <c r="M91" s="108"/>
      <c r="Y91" s="82"/>
      <c r="Z91" s="85" t="s">
        <v>60</v>
      </c>
      <c r="AA91" s="85" t="s">
        <v>66</v>
      </c>
      <c r="AB91" s="85">
        <f>AB90-AB89</f>
        <v>-850.11200000000008</v>
      </c>
      <c r="AC91" s="85">
        <f>AC90-AC89</f>
        <v>-832.61400000000049</v>
      </c>
      <c r="AD91" s="85">
        <f>AD90-AD89</f>
        <v>-843.05599999999959</v>
      </c>
      <c r="AE91" s="85">
        <f>AE90-AE89</f>
        <v>-897.89999999999964</v>
      </c>
      <c r="AF91" s="85">
        <f>AF90-AF89</f>
        <v>-1183.7999999999997</v>
      </c>
      <c r="AG91" s="84"/>
    </row>
    <row r="92" spans="2:33" x14ac:dyDescent="0.35">
      <c r="B92" s="86" t="s">
        <v>12</v>
      </c>
      <c r="C92" s="92">
        <f t="shared" si="35"/>
        <v>0.73586986830407852</v>
      </c>
      <c r="D92" s="91">
        <f t="shared" si="36"/>
        <v>0.73735483415513869</v>
      </c>
      <c r="E92" s="106">
        <v>0.77</v>
      </c>
      <c r="F92" s="106">
        <v>0.8</v>
      </c>
      <c r="G92" s="62">
        <f>(F92+H92)/2</f>
        <v>0.82500000000000007</v>
      </c>
      <c r="H92" s="62">
        <f>(F92+J92)/2</f>
        <v>0.85000000000000009</v>
      </c>
      <c r="I92" s="62">
        <f>(H92+J92)/2</f>
        <v>0.875</v>
      </c>
      <c r="J92" s="107">
        <v>0.9</v>
      </c>
      <c r="Y92" s="82"/>
      <c r="Z92" s="85" t="s">
        <v>60</v>
      </c>
      <c r="AA92" s="85" t="s">
        <v>68</v>
      </c>
      <c r="AB92" s="95">
        <f>AB91/AB88</f>
        <v>-0.10645675325886934</v>
      </c>
      <c r="AC92" s="95">
        <f>AC91/AC88</f>
        <v>-0.10429165729996953</v>
      </c>
      <c r="AD92" s="95">
        <f>AD91/AD88</f>
        <v>-0.10510085521230703</v>
      </c>
      <c r="AE92" s="95">
        <f>AE91/AE88</f>
        <v>-0.11409583592767192</v>
      </c>
      <c r="AF92" s="95">
        <f>AF91/AF88</f>
        <v>-0.16166168216641399</v>
      </c>
      <c r="AG92" s="84"/>
    </row>
    <row r="93" spans="2:33" x14ac:dyDescent="0.35">
      <c r="B93" s="86" t="s">
        <v>71</v>
      </c>
      <c r="C93" s="92">
        <f t="shared" si="35"/>
        <v>1.3151188642509681</v>
      </c>
      <c r="D93" s="91">
        <f t="shared" si="36"/>
        <v>0.89756252176188911</v>
      </c>
      <c r="E93" s="92">
        <f t="shared" ref="E93:J93" si="39">$C93</f>
        <v>1.3151188642509681</v>
      </c>
      <c r="F93" s="92">
        <f t="shared" si="39"/>
        <v>1.3151188642509681</v>
      </c>
      <c r="G93" s="92">
        <f t="shared" si="39"/>
        <v>1.3151188642509681</v>
      </c>
      <c r="H93" s="92">
        <f t="shared" si="39"/>
        <v>1.3151188642509681</v>
      </c>
      <c r="I93" s="92">
        <f t="shared" si="39"/>
        <v>1.3151188642509681</v>
      </c>
      <c r="J93" s="93">
        <f t="shared" si="39"/>
        <v>1.3151188642509681</v>
      </c>
      <c r="Y93" s="82"/>
      <c r="Z93" s="85" t="s">
        <v>57</v>
      </c>
      <c r="AA93" s="85" t="s">
        <v>70</v>
      </c>
      <c r="AB93" s="96">
        <f>K20-D49</f>
        <v>-8.3467850000000006</v>
      </c>
      <c r="AC93" s="85"/>
      <c r="AD93" s="85"/>
      <c r="AE93" s="85"/>
      <c r="AF93" s="96">
        <f>L20-E49</f>
        <v>-8.7020144402068809</v>
      </c>
      <c r="AG93" s="84"/>
    </row>
    <row r="94" spans="2:33" x14ac:dyDescent="0.35">
      <c r="B94" s="86" t="s">
        <v>72</v>
      </c>
      <c r="C94" s="92">
        <f t="shared" si="35"/>
        <v>0.84118453839591367</v>
      </c>
      <c r="D94" s="100">
        <f t="shared" si="36"/>
        <v>0.77745466660997686</v>
      </c>
      <c r="E94" s="109">
        <v>0.87</v>
      </c>
      <c r="F94" s="109">
        <v>0.9</v>
      </c>
      <c r="G94" s="110">
        <f>(F94+H94)/2</f>
        <v>0.92500000000000004</v>
      </c>
      <c r="H94" s="110">
        <f>(F94+J94)/2</f>
        <v>0.95</v>
      </c>
      <c r="I94" s="110">
        <f>(H94+J94)/2</f>
        <v>0.97499999999999998</v>
      </c>
      <c r="J94" s="111">
        <v>1</v>
      </c>
      <c r="Y94" s="82"/>
      <c r="Z94" s="85" t="s">
        <v>57</v>
      </c>
      <c r="AA94" s="85" t="s">
        <v>68</v>
      </c>
      <c r="AB94" s="97" t="e">
        <f>AB93/K20</f>
        <v>#DIV/0!</v>
      </c>
      <c r="AC94" s="97"/>
      <c r="AD94" s="97"/>
      <c r="AE94" s="97"/>
      <c r="AF94" s="97" t="e">
        <f>AF93/L20</f>
        <v>#DIV/0!</v>
      </c>
      <c r="AG94" s="84"/>
    </row>
    <row r="95" spans="2:33" x14ac:dyDescent="0.35">
      <c r="Y95" s="112"/>
      <c r="Z95" s="113"/>
      <c r="AA95" s="113"/>
      <c r="AB95" s="113"/>
      <c r="AC95" s="113"/>
      <c r="AD95" s="113"/>
      <c r="AE95" s="113"/>
      <c r="AF95" s="113"/>
      <c r="AG95" s="114"/>
    </row>
    <row r="97" spans="1:21" x14ac:dyDescent="0.35">
      <c r="B97" s="415" t="s">
        <v>77</v>
      </c>
      <c r="C97" s="415"/>
      <c r="D97" s="415"/>
      <c r="E97" s="415"/>
    </row>
    <row r="99" spans="1:21" x14ac:dyDescent="0.35">
      <c r="B99" s="45" t="s">
        <v>3</v>
      </c>
      <c r="C99" s="45" t="s">
        <v>56</v>
      </c>
      <c r="D99" s="103" t="s">
        <v>73</v>
      </c>
      <c r="E99" s="104" t="s">
        <v>74</v>
      </c>
      <c r="F99" s="104" t="s">
        <v>74</v>
      </c>
      <c r="G99" s="104" t="s">
        <v>74</v>
      </c>
      <c r="H99" s="104" t="s">
        <v>74</v>
      </c>
      <c r="I99" s="104" t="s">
        <v>74</v>
      </c>
      <c r="J99" s="104" t="s">
        <v>74</v>
      </c>
      <c r="P99" s="422" t="s">
        <v>78</v>
      </c>
      <c r="Q99" s="422"/>
      <c r="R99" s="422"/>
      <c r="S99" s="422"/>
      <c r="T99" s="422"/>
      <c r="U99" s="422"/>
    </row>
    <row r="100" spans="1:21" x14ac:dyDescent="0.35">
      <c r="B100" s="1" t="s">
        <v>5</v>
      </c>
      <c r="C100" s="62">
        <v>2019</v>
      </c>
      <c r="D100" s="89">
        <v>2020</v>
      </c>
      <c r="E100" s="62">
        <v>2025</v>
      </c>
      <c r="F100" s="62">
        <v>2030</v>
      </c>
      <c r="G100" s="62">
        <v>2035</v>
      </c>
      <c r="H100" s="62">
        <v>2040</v>
      </c>
      <c r="I100" s="62">
        <v>2045</v>
      </c>
      <c r="J100" s="90">
        <v>2050</v>
      </c>
      <c r="O100" s="115">
        <v>2023</v>
      </c>
      <c r="P100" s="115">
        <v>2025</v>
      </c>
      <c r="Q100" s="115">
        <v>2030</v>
      </c>
      <c r="R100" s="115">
        <v>2035</v>
      </c>
      <c r="S100" s="115">
        <v>2040</v>
      </c>
      <c r="T100" s="115">
        <v>2045</v>
      </c>
      <c r="U100" s="115">
        <v>2050</v>
      </c>
    </row>
    <row r="101" spans="1:21" x14ac:dyDescent="0.35">
      <c r="A101" s="77">
        <f>C101-G$7</f>
        <v>0</v>
      </c>
      <c r="B101" s="46" t="s">
        <v>6</v>
      </c>
      <c r="C101" s="77">
        <f>G7</f>
        <v>14.59</v>
      </c>
      <c r="D101" s="77">
        <f>H7</f>
        <v>11.59</v>
      </c>
      <c r="E101" s="77">
        <f t="shared" ref="E101:J101" si="40">E74*G29</f>
        <v>14.5663125767295</v>
      </c>
      <c r="F101" s="77">
        <f t="shared" si="40"/>
        <v>14.546573057337417</v>
      </c>
      <c r="G101" s="77">
        <f t="shared" si="40"/>
        <v>14.745979760310806</v>
      </c>
      <c r="H101" s="77">
        <f t="shared" si="40"/>
        <v>14.945386463284192</v>
      </c>
      <c r="I101" s="77">
        <f t="shared" si="40"/>
        <v>15.144793166257578</v>
      </c>
      <c r="J101" s="77">
        <f t="shared" si="40"/>
        <v>15.344199869230966</v>
      </c>
      <c r="N101" s="46" t="s">
        <v>6</v>
      </c>
      <c r="O101" s="115">
        <v>14.2</v>
      </c>
      <c r="P101" s="116">
        <v>13.7983406135097</v>
      </c>
      <c r="Q101" s="116">
        <v>13.4269328577767</v>
      </c>
      <c r="R101" s="116">
        <v>13.119305266443501</v>
      </c>
      <c r="S101" s="116">
        <v>12.8708014499777</v>
      </c>
      <c r="T101" s="116">
        <v>12.697577815301999</v>
      </c>
      <c r="U101" s="116">
        <v>12.5730601871403</v>
      </c>
    </row>
    <row r="102" spans="1:21" x14ac:dyDescent="0.35">
      <c r="A102" s="77">
        <f>C102-G$8</f>
        <v>0</v>
      </c>
      <c r="B102" s="46" t="s">
        <v>7</v>
      </c>
      <c r="C102" s="77">
        <f>(C101-(C101*'4. Recyclage'!H12))/(1-0.16)-C104</f>
        <v>10.130000000000001</v>
      </c>
      <c r="D102" s="77">
        <f>(D101-(D101*H3))/(1-0.16)-D104</f>
        <v>7.8699999999999992</v>
      </c>
      <c r="E102" s="77">
        <f>(E101-(E101*'4. Recyclage'!I12))/(1-0.16)-E104</f>
        <v>9.652101579685322</v>
      </c>
      <c r="F102" s="77">
        <f>(F101-(F101*'4. Recyclage'!J12))/(1-0.16)-F104</f>
        <v>9.1781949052247978</v>
      </c>
      <c r="G102" s="77">
        <f>(G101-(G101*'4. Recyclage'!K12))/(1-0.16)-G104</f>
        <v>9.2162373501942554</v>
      </c>
      <c r="H102" s="77">
        <f>(H101-(H101*'4. Recyclage'!L12))/(1-0.16)-H104</f>
        <v>9.2519059058425963</v>
      </c>
      <c r="I102" s="77">
        <f>(I101-(I101*'4. Recyclage'!M12))/(1-0.16)-I104</f>
        <v>9.2852005721698241</v>
      </c>
      <c r="J102" s="77">
        <f>(J101-(J101*'4. Recyclage'!N12))/(1-0.16)-J104</f>
        <v>9.316121349175944</v>
      </c>
      <c r="K102" s="45" t="s">
        <v>79</v>
      </c>
      <c r="N102" s="46" t="s">
        <v>80</v>
      </c>
      <c r="O102" s="115">
        <v>9.6</v>
      </c>
      <c r="P102" s="116">
        <v>8.6983406135096999</v>
      </c>
      <c r="Q102" s="116">
        <v>7.64332517169216</v>
      </c>
      <c r="R102" s="116">
        <v>7.3356975803590299</v>
      </c>
      <c r="S102" s="116">
        <v>7.0871937638932101</v>
      </c>
      <c r="T102" s="116">
        <v>6.9139701292174802</v>
      </c>
      <c r="U102" s="116">
        <v>6.7894525010557398</v>
      </c>
    </row>
    <row r="103" spans="1:21" x14ac:dyDescent="0.35">
      <c r="A103" s="77">
        <f>C103-G$9</f>
        <v>0</v>
      </c>
      <c r="B103" s="46" t="s">
        <v>8</v>
      </c>
      <c r="C103" s="77">
        <f t="shared" ref="C103:J103" si="41">C101-C102-C104</f>
        <v>4.4599999999999991</v>
      </c>
      <c r="D103" s="77">
        <f t="shared" si="41"/>
        <v>3.7200000000000006</v>
      </c>
      <c r="E103" s="77">
        <f t="shared" si="41"/>
        <v>4.9142109970441776</v>
      </c>
      <c r="F103" s="77">
        <f t="shared" si="41"/>
        <v>5.3683781521126193</v>
      </c>
      <c r="G103" s="77">
        <f t="shared" si="41"/>
        <v>5.5297424101165511</v>
      </c>
      <c r="H103" s="77">
        <f t="shared" si="41"/>
        <v>5.6934805574415961</v>
      </c>
      <c r="I103" s="77">
        <f t="shared" si="41"/>
        <v>5.8595925940877542</v>
      </c>
      <c r="J103" s="77">
        <f t="shared" si="41"/>
        <v>6.028078520055022</v>
      </c>
      <c r="K103" s="45" t="s">
        <v>81</v>
      </c>
      <c r="N103" s="46" t="s">
        <v>8</v>
      </c>
      <c r="O103" s="115">
        <v>4.5999999999999996</v>
      </c>
      <c r="P103" s="116">
        <v>5.0999999999999996</v>
      </c>
      <c r="Q103" s="116">
        <v>5.7836076860845198</v>
      </c>
      <c r="R103" s="116">
        <v>5.7836076860845198</v>
      </c>
      <c r="S103" s="116">
        <v>5.7836076860845198</v>
      </c>
      <c r="T103" s="116">
        <v>5.7836076860845198</v>
      </c>
      <c r="U103" s="116">
        <v>5.7836076860845198</v>
      </c>
    </row>
    <row r="104" spans="1:21" x14ac:dyDescent="0.35">
      <c r="B104" s="46" t="s">
        <v>38</v>
      </c>
      <c r="C104" s="77">
        <v>0</v>
      </c>
      <c r="D104" s="77">
        <v>0</v>
      </c>
      <c r="E104" s="77">
        <v>0</v>
      </c>
      <c r="F104" s="77">
        <v>0</v>
      </c>
      <c r="G104" s="77">
        <v>0</v>
      </c>
      <c r="H104" s="77">
        <v>0</v>
      </c>
      <c r="I104" s="77">
        <v>0</v>
      </c>
      <c r="J104" s="77">
        <v>0</v>
      </c>
      <c r="K104" s="45" t="s">
        <v>82</v>
      </c>
      <c r="N104" s="46" t="s">
        <v>9</v>
      </c>
      <c r="O104" s="115">
        <v>0</v>
      </c>
      <c r="P104" s="116">
        <v>0</v>
      </c>
      <c r="Q104" s="116">
        <v>0</v>
      </c>
      <c r="R104" s="116">
        <v>0</v>
      </c>
      <c r="S104" s="116">
        <v>0</v>
      </c>
      <c r="T104" s="116">
        <v>0</v>
      </c>
      <c r="U104" s="116">
        <v>0</v>
      </c>
    </row>
    <row r="105" spans="1:21" x14ac:dyDescent="0.35">
      <c r="A105" s="77">
        <f>C105-G$11</f>
        <v>0</v>
      </c>
      <c r="B105" s="46" t="s">
        <v>10</v>
      </c>
      <c r="C105" s="77">
        <f>G11</f>
        <v>0.89400000000000002</v>
      </c>
      <c r="D105" s="77">
        <f>H11</f>
        <v>0.80227758163561269</v>
      </c>
      <c r="E105" s="77">
        <f t="shared" ref="E105:J105" si="42">E75*G30</f>
        <v>0.97003599155980225</v>
      </c>
      <c r="F105" s="77">
        <f t="shared" si="42"/>
        <v>1.0333993178596366</v>
      </c>
      <c r="G105" s="77">
        <f t="shared" si="42"/>
        <v>1.1157722139220803</v>
      </c>
      <c r="H105" s="77">
        <f t="shared" si="42"/>
        <v>1.1981451099845239</v>
      </c>
      <c r="I105" s="77">
        <f t="shared" si="42"/>
        <v>1.2805180060469674</v>
      </c>
      <c r="J105" s="77">
        <f t="shared" si="42"/>
        <v>1.3628909021094111</v>
      </c>
      <c r="N105" s="46" t="s">
        <v>10</v>
      </c>
      <c r="O105" s="117">
        <v>0.9</v>
      </c>
      <c r="P105" s="117">
        <v>0.9</v>
      </c>
      <c r="Q105" s="117">
        <v>0.9</v>
      </c>
      <c r="R105" s="117">
        <v>0.9</v>
      </c>
      <c r="S105" s="117">
        <v>0.9</v>
      </c>
      <c r="T105" s="117">
        <v>0.9</v>
      </c>
      <c r="U105" s="117">
        <v>0.9</v>
      </c>
    </row>
    <row r="106" spans="1:21" x14ac:dyDescent="0.35">
      <c r="A106" s="77">
        <f>C106-G$12</f>
        <v>0</v>
      </c>
      <c r="B106" s="51" t="s">
        <v>40</v>
      </c>
      <c r="C106" s="77">
        <f>C105*'4. Recyclage'!H13</f>
        <v>0.47600000000000037</v>
      </c>
      <c r="D106" s="77">
        <f>D105*'4. Recyclage'!I13</f>
        <v>0.43117484300722941</v>
      </c>
      <c r="E106" s="77">
        <f>E105*'4. Recyclage'!I13</f>
        <v>0.52133466763393566</v>
      </c>
      <c r="F106" s="77">
        <f>F105*'4. Recyclage'!J13</f>
        <v>0.56055555391817957</v>
      </c>
      <c r="G106" s="77">
        <f>G105*'4. Recyclage'!K13</f>
        <v>0.61360607395270861</v>
      </c>
      <c r="H106" s="77">
        <f>H105*'4. Recyclage'!L13</f>
        <v>0.66789218742817447</v>
      </c>
      <c r="I106" s="77">
        <f>I105*'4. Recyclage'!M13</f>
        <v>0.72341389434457681</v>
      </c>
      <c r="J106" s="77">
        <f>J105*'4. Recyclage'!N13</f>
        <v>0.78017119470191576</v>
      </c>
      <c r="K106" s="45" t="s">
        <v>83</v>
      </c>
      <c r="N106" s="46" t="s">
        <v>84</v>
      </c>
      <c r="O106" s="117">
        <v>0.42</v>
      </c>
      <c r="P106" s="117">
        <v>0.42</v>
      </c>
      <c r="Q106" s="117">
        <v>0.42080536912751598</v>
      </c>
      <c r="R106" s="117">
        <v>0.42080536912751598</v>
      </c>
      <c r="S106" s="117">
        <v>0.42080536912751598</v>
      </c>
      <c r="T106" s="117">
        <v>0.42080536912751598</v>
      </c>
      <c r="U106" s="117">
        <v>0.42080536912751598</v>
      </c>
    </row>
    <row r="107" spans="1:21" x14ac:dyDescent="0.35">
      <c r="A107" s="77">
        <f>C107-G$15</f>
        <v>0</v>
      </c>
      <c r="B107" s="46" t="s">
        <v>12</v>
      </c>
      <c r="C107" s="77">
        <f t="shared" ref="C107:D112" si="43">G15</f>
        <v>2.34</v>
      </c>
      <c r="D107" s="77">
        <f t="shared" si="43"/>
        <v>2.27</v>
      </c>
      <c r="E107" s="77">
        <f t="shared" ref="E107:J107" si="44">E80*G35</f>
        <v>2.1309733942250184</v>
      </c>
      <c r="F107" s="77">
        <f t="shared" si="44"/>
        <v>1.9567845560792039</v>
      </c>
      <c r="G107" s="77">
        <f t="shared" si="44"/>
        <v>1.7956983450554393</v>
      </c>
      <c r="H107" s="77">
        <f t="shared" si="44"/>
        <v>1.6346121340316748</v>
      </c>
      <c r="I107" s="77">
        <f t="shared" si="44"/>
        <v>1.4735259230079101</v>
      </c>
      <c r="J107" s="77">
        <f t="shared" si="44"/>
        <v>1.3124397119841458</v>
      </c>
      <c r="N107" s="46" t="s">
        <v>40</v>
      </c>
      <c r="O107" s="117">
        <v>0.48</v>
      </c>
      <c r="P107" s="117">
        <v>0.48</v>
      </c>
      <c r="Q107" s="117">
        <v>0.47919463087248398</v>
      </c>
      <c r="R107" s="117">
        <v>0.47919463087248398</v>
      </c>
      <c r="S107" s="117">
        <v>0.47919463087248398</v>
      </c>
      <c r="T107" s="117">
        <v>0.47919463087248398</v>
      </c>
      <c r="U107" s="117">
        <v>0.47919463087248398</v>
      </c>
    </row>
    <row r="108" spans="1:21" x14ac:dyDescent="0.35">
      <c r="A108" s="77">
        <f>C108-G$16</f>
        <v>0</v>
      </c>
      <c r="B108" s="46" t="s">
        <v>13</v>
      </c>
      <c r="C108" s="77">
        <f t="shared" si="43"/>
        <v>0.96</v>
      </c>
      <c r="D108" s="77">
        <f t="shared" si="43"/>
        <v>0.89</v>
      </c>
      <c r="E108" s="77">
        <f t="shared" ref="E108:J108" si="45">E79*G34</f>
        <v>0.95478003590606741</v>
      </c>
      <c r="F108" s="77">
        <f t="shared" si="45"/>
        <v>0.95043006582779044</v>
      </c>
      <c r="G108" s="77">
        <f>G79*I34</f>
        <v>0.93768662335152986</v>
      </c>
      <c r="H108" s="77">
        <f t="shared" si="45"/>
        <v>0.92494318087526928</v>
      </c>
      <c r="I108" s="77">
        <f t="shared" si="45"/>
        <v>0.9121997383990087</v>
      </c>
      <c r="J108" s="77">
        <f t="shared" si="45"/>
        <v>0.89945629592274823</v>
      </c>
      <c r="N108" s="46" t="s">
        <v>12</v>
      </c>
      <c r="O108" s="115">
        <v>2.2999999999999998</v>
      </c>
      <c r="P108" s="116">
        <v>2.3679999999999999</v>
      </c>
      <c r="Q108" s="116">
        <v>2.3679999999999999</v>
      </c>
      <c r="R108" s="116">
        <v>2.3679999999999999</v>
      </c>
      <c r="S108" s="116">
        <v>2.3679999999999999</v>
      </c>
      <c r="T108" s="116">
        <v>2.3679999999999999</v>
      </c>
      <c r="U108" s="116">
        <v>2.3679999999999999</v>
      </c>
    </row>
    <row r="109" spans="1:21" x14ac:dyDescent="0.35">
      <c r="A109" s="77">
        <f>C109-G$17</f>
        <v>0</v>
      </c>
      <c r="B109" s="46" t="s">
        <v>14</v>
      </c>
      <c r="C109" s="77">
        <f t="shared" si="43"/>
        <v>1.07</v>
      </c>
      <c r="D109" s="77">
        <f t="shared" si="43"/>
        <v>1</v>
      </c>
      <c r="E109" s="77">
        <f t="shared" ref="E109:J109" si="46">E78*G33</f>
        <v>1.06741762793201</v>
      </c>
      <c r="F109" s="77">
        <f t="shared" si="46"/>
        <v>1.0689848301965783</v>
      </c>
      <c r="G109" s="77">
        <f t="shared" si="46"/>
        <v>1.0550477752696683</v>
      </c>
      <c r="H109" s="77">
        <f t="shared" si="46"/>
        <v>1.0411107203427583</v>
      </c>
      <c r="I109" s="77">
        <f t="shared" si="46"/>
        <v>1.0271736654158483</v>
      </c>
      <c r="J109" s="77">
        <f t="shared" si="46"/>
        <v>1.0132366104889385</v>
      </c>
      <c r="N109" s="46" t="s">
        <v>14</v>
      </c>
      <c r="O109" s="115">
        <v>1.05</v>
      </c>
      <c r="P109" s="116">
        <v>1.052</v>
      </c>
      <c r="Q109" s="116">
        <v>1.08</v>
      </c>
      <c r="R109" s="116">
        <v>1.10425</v>
      </c>
      <c r="S109" s="116">
        <v>1.1285000000000001</v>
      </c>
      <c r="T109" s="116">
        <v>1.1527499999999999</v>
      </c>
      <c r="U109" s="116">
        <v>1.177</v>
      </c>
    </row>
    <row r="110" spans="1:21" x14ac:dyDescent="0.35">
      <c r="A110" s="77">
        <f>C110-G$18</f>
        <v>0</v>
      </c>
      <c r="B110" s="46" t="s">
        <v>15</v>
      </c>
      <c r="C110" s="77">
        <f t="shared" si="43"/>
        <v>12.94</v>
      </c>
      <c r="D110" s="77">
        <f t="shared" si="43"/>
        <v>11.77</v>
      </c>
      <c r="E110" s="77">
        <f t="shared" ref="E110:J110" si="47">E76*G32</f>
        <v>12.369610904297486</v>
      </c>
      <c r="F110" s="77">
        <f t="shared" si="47"/>
        <v>11.972347828728516</v>
      </c>
      <c r="G110" s="77">
        <f t="shared" si="47"/>
        <v>11.289564897418671</v>
      </c>
      <c r="H110" s="77">
        <f t="shared" si="47"/>
        <v>10.606781966108828</v>
      </c>
      <c r="I110" s="77">
        <f t="shared" si="47"/>
        <v>9.9239990347989835</v>
      </c>
      <c r="J110" s="77">
        <f t="shared" si="47"/>
        <v>9.2412161034891405</v>
      </c>
      <c r="N110" s="46" t="s">
        <v>15</v>
      </c>
      <c r="O110" s="115">
        <v>12.4</v>
      </c>
      <c r="P110" s="116">
        <v>12.67</v>
      </c>
      <c r="Q110" s="116">
        <v>12.5</v>
      </c>
      <c r="R110" s="116">
        <v>11.5695</v>
      </c>
      <c r="S110" s="116">
        <v>10.638999999999999</v>
      </c>
      <c r="T110" s="116">
        <v>9.7085000000000008</v>
      </c>
      <c r="U110" s="116">
        <v>8.7780000000000005</v>
      </c>
    </row>
    <row r="111" spans="1:21" x14ac:dyDescent="0.35">
      <c r="A111" s="77">
        <f>C111-G$19</f>
        <v>0</v>
      </c>
      <c r="B111" s="46" t="s">
        <v>16</v>
      </c>
      <c r="C111" s="77">
        <f t="shared" si="43"/>
        <v>5.6971323500000004</v>
      </c>
      <c r="D111" s="77">
        <f t="shared" si="43"/>
        <v>5.0235558500000002</v>
      </c>
      <c r="E111" s="77">
        <f t="shared" ref="E111:J111" si="48">E77*G31</f>
        <v>5.6767464059368375</v>
      </c>
      <c r="F111" s="77">
        <f t="shared" si="48"/>
        <v>5.6597581192175364</v>
      </c>
      <c r="G111" s="77">
        <f t="shared" si="48"/>
        <v>5.4629232119267659</v>
      </c>
      <c r="H111" s="77">
        <f t="shared" si="48"/>
        <v>5.2660883046359963</v>
      </c>
      <c r="I111" s="77">
        <f t="shared" si="48"/>
        <v>5.0692533973452267</v>
      </c>
      <c r="J111" s="77">
        <f t="shared" si="48"/>
        <v>4.8724184900544554</v>
      </c>
      <c r="N111" s="46" t="s">
        <v>16</v>
      </c>
      <c r="O111" s="115">
        <v>5.3</v>
      </c>
      <c r="P111" s="116">
        <v>5.5186565841428097</v>
      </c>
      <c r="Q111" s="116">
        <v>5.5186565841428097</v>
      </c>
      <c r="R111" s="116">
        <v>5.5186565841428097</v>
      </c>
      <c r="S111" s="116">
        <v>5.5186565841428097</v>
      </c>
      <c r="T111" s="116">
        <v>5.5186565841428097</v>
      </c>
      <c r="U111" s="116">
        <v>5.5186565841428097</v>
      </c>
    </row>
    <row r="112" spans="1:21" x14ac:dyDescent="0.35">
      <c r="A112" s="77">
        <f>C112-G$20</f>
        <v>0</v>
      </c>
      <c r="B112" s="46" t="s">
        <v>17</v>
      </c>
      <c r="C112" s="77">
        <f t="shared" si="43"/>
        <v>7.32</v>
      </c>
      <c r="D112" s="77">
        <f t="shared" si="43"/>
        <v>6.8099151128839308</v>
      </c>
      <c r="E112" s="77">
        <f t="shared" ref="E112:J112" si="49">E82*G36</f>
        <v>7.7735794156205493</v>
      </c>
      <c r="F112" s="77">
        <f t="shared" si="49"/>
        <v>8.1515622619710157</v>
      </c>
      <c r="G112" s="77">
        <f t="shared" si="49"/>
        <v>8.6317465423904842</v>
      </c>
      <c r="H112" s="77">
        <f t="shared" si="49"/>
        <v>9.1119308228099527</v>
      </c>
      <c r="I112" s="77">
        <f t="shared" si="49"/>
        <v>9.5921151032294194</v>
      </c>
      <c r="J112" s="77">
        <f t="shared" si="49"/>
        <v>10.072299383648888</v>
      </c>
      <c r="N112" s="46" t="s">
        <v>17</v>
      </c>
      <c r="O112" s="115">
        <v>7.9</v>
      </c>
      <c r="P112" s="116">
        <v>8.2360000000000007</v>
      </c>
      <c r="Q112" s="116">
        <v>8.25</v>
      </c>
      <c r="R112" s="116">
        <v>8.2848749999999995</v>
      </c>
      <c r="S112" s="116">
        <v>8.3197500000000009</v>
      </c>
      <c r="T112" s="116">
        <v>8.3546250000000004</v>
      </c>
      <c r="U112" s="116">
        <v>8.3895</v>
      </c>
    </row>
    <row r="113" spans="1:21" x14ac:dyDescent="0.35">
      <c r="A113" s="77">
        <f>C113-G$22</f>
        <v>0</v>
      </c>
      <c r="B113" s="46" t="s">
        <v>18</v>
      </c>
      <c r="C113" s="77">
        <f>G22</f>
        <v>4.96</v>
      </c>
      <c r="D113" s="77">
        <f>H22</f>
        <v>3.38</v>
      </c>
      <c r="E113" s="77">
        <f t="shared" ref="E113:J113" si="50">E81*G37</f>
        <v>5.0392902944438003</v>
      </c>
      <c r="F113" s="77">
        <f t="shared" si="50"/>
        <v>5.1053655398136346</v>
      </c>
      <c r="G113" s="77">
        <f t="shared" si="50"/>
        <v>5.1492372804011337</v>
      </c>
      <c r="H113" s="77">
        <f t="shared" si="50"/>
        <v>5.1931090209886337</v>
      </c>
      <c r="I113" s="77">
        <f t="shared" si="50"/>
        <v>5.2369807615761346</v>
      </c>
      <c r="J113" s="77">
        <f t="shared" si="50"/>
        <v>5.2808525021636337</v>
      </c>
      <c r="N113" s="46" t="s">
        <v>18</v>
      </c>
      <c r="O113" s="115">
        <v>4.9000000000000004</v>
      </c>
      <c r="P113" s="116">
        <v>5.0979999999999999</v>
      </c>
      <c r="Q113" s="116">
        <v>4.8</v>
      </c>
      <c r="R113" s="116">
        <v>4.843</v>
      </c>
      <c r="S113" s="116">
        <v>4.8860000000000001</v>
      </c>
      <c r="T113" s="116">
        <v>4.9290000000000003</v>
      </c>
      <c r="U113" s="116">
        <v>4.9720000000000004</v>
      </c>
    </row>
    <row r="114" spans="1:21" x14ac:dyDescent="0.35">
      <c r="B114" s="118"/>
      <c r="C114" s="77"/>
      <c r="D114" s="77"/>
      <c r="E114" s="77"/>
      <c r="F114" s="77"/>
      <c r="G114" s="77"/>
      <c r="H114" s="77"/>
      <c r="I114" s="77"/>
      <c r="J114" s="77"/>
      <c r="N114" s="118"/>
      <c r="P114" s="119"/>
      <c r="Q114" s="119"/>
      <c r="R114" s="119"/>
      <c r="S114" s="119"/>
      <c r="T114" s="119"/>
      <c r="U114" s="119"/>
    </row>
    <row r="115" spans="1:21" x14ac:dyDescent="0.35">
      <c r="B115" s="118" t="s">
        <v>85</v>
      </c>
      <c r="C115" s="77">
        <f t="shared" ref="C115:J115" si="51">C101+C105+SUM(C107:C113)</f>
        <v>50.771132350000002</v>
      </c>
      <c r="D115" s="77">
        <f t="shared" si="51"/>
        <v>43.535748544519542</v>
      </c>
      <c r="E115" s="77">
        <f t="shared" si="51"/>
        <v>50.548746646651068</v>
      </c>
      <c r="F115" s="77">
        <f t="shared" si="51"/>
        <v>50.445205577031324</v>
      </c>
      <c r="G115" s="77">
        <f t="shared" si="51"/>
        <v>50.183656650046579</v>
      </c>
      <c r="H115" s="77">
        <f t="shared" si="51"/>
        <v>49.922107723061835</v>
      </c>
      <c r="I115" s="77">
        <f t="shared" si="51"/>
        <v>49.660558796077076</v>
      </c>
      <c r="J115" s="77">
        <f t="shared" si="51"/>
        <v>49.399009869092325</v>
      </c>
      <c r="N115" s="118"/>
      <c r="P115" s="119"/>
      <c r="Q115" s="119"/>
      <c r="R115" s="119"/>
      <c r="S115" s="119"/>
      <c r="T115" s="119"/>
      <c r="U115" s="119"/>
    </row>
    <row r="116" spans="1:21" x14ac:dyDescent="0.35">
      <c r="B116" s="118" t="s">
        <v>86</v>
      </c>
      <c r="C116" s="77">
        <f t="shared" ref="C116:J116" si="52">C115/$C115</f>
        <v>1</v>
      </c>
      <c r="D116" s="77">
        <f t="shared" si="52"/>
        <v>0.85749020219596384</v>
      </c>
      <c r="E116" s="77">
        <f t="shared" si="52"/>
        <v>0.99561983960066369</v>
      </c>
      <c r="F116" s="77">
        <f t="shared" si="52"/>
        <v>0.9935804706753073</v>
      </c>
      <c r="G116" s="77">
        <f t="shared" si="52"/>
        <v>0.98842894233865908</v>
      </c>
      <c r="H116" s="77">
        <f t="shared" si="52"/>
        <v>0.98327741400201074</v>
      </c>
      <c r="I116" s="77">
        <f t="shared" si="52"/>
        <v>0.97812588566536229</v>
      </c>
      <c r="J116" s="77">
        <f t="shared" si="52"/>
        <v>0.97297435732871385</v>
      </c>
      <c r="N116" s="118"/>
      <c r="P116" s="119"/>
      <c r="Q116" s="119"/>
      <c r="R116" s="119"/>
      <c r="S116" s="119"/>
      <c r="T116" s="119"/>
      <c r="U116" s="119"/>
    </row>
    <row r="118" spans="1:21" x14ac:dyDescent="0.35">
      <c r="B118" s="45" t="s">
        <v>4</v>
      </c>
      <c r="C118" s="45" t="s">
        <v>56</v>
      </c>
      <c r="D118" s="103" t="s">
        <v>73</v>
      </c>
      <c r="E118" s="104" t="s">
        <v>74</v>
      </c>
      <c r="F118" s="104" t="s">
        <v>74</v>
      </c>
      <c r="G118" s="104" t="s">
        <v>74</v>
      </c>
      <c r="H118" s="104" t="s">
        <v>74</v>
      </c>
      <c r="I118" s="104" t="s">
        <v>74</v>
      </c>
      <c r="J118" s="104" t="s">
        <v>74</v>
      </c>
    </row>
    <row r="119" spans="1:21" x14ac:dyDescent="0.35">
      <c r="B119" s="1" t="s">
        <v>5</v>
      </c>
      <c r="C119" s="62">
        <v>2019</v>
      </c>
      <c r="D119" s="89">
        <v>2020</v>
      </c>
      <c r="E119" s="62">
        <v>2025</v>
      </c>
      <c r="F119" s="62">
        <v>2030</v>
      </c>
      <c r="G119" s="62">
        <v>2035</v>
      </c>
      <c r="H119" s="62">
        <v>2040</v>
      </c>
      <c r="I119" s="62">
        <v>2045</v>
      </c>
      <c r="J119" s="90">
        <v>2050</v>
      </c>
      <c r="L119" s="77"/>
    </row>
    <row r="120" spans="1:21" x14ac:dyDescent="0.35">
      <c r="A120" s="77">
        <f>C120-G$7</f>
        <v>0</v>
      </c>
      <c r="B120" s="46" t="s">
        <v>6</v>
      </c>
      <c r="C120" s="77">
        <f t="shared" ref="C120:J120" si="53">E42*C86</f>
        <v>14.589999999999998</v>
      </c>
      <c r="D120" s="77">
        <f t="shared" si="53"/>
        <v>11.59</v>
      </c>
      <c r="E120" s="77">
        <f t="shared" si="53"/>
        <v>14.12284439450282</v>
      </c>
      <c r="F120" s="77">
        <f t="shared" si="53"/>
        <v>13.733548056588505</v>
      </c>
      <c r="G120" s="77">
        <f t="shared" si="53"/>
        <v>13.638223234818717</v>
      </c>
      <c r="H120" s="77">
        <f t="shared" si="53"/>
        <v>13.542898413048928</v>
      </c>
      <c r="I120" s="77">
        <f t="shared" si="53"/>
        <v>13.44757359127914</v>
      </c>
      <c r="J120" s="77">
        <f t="shared" si="53"/>
        <v>13.35224876950935</v>
      </c>
      <c r="M120" s="175">
        <f>(J120/E120)^(1/25)-1</f>
        <v>-2.2418368550488621E-3</v>
      </c>
      <c r="P120" s="422" t="s">
        <v>87</v>
      </c>
      <c r="Q120" s="422"/>
      <c r="R120" s="422"/>
      <c r="S120" s="422"/>
      <c r="T120" s="422"/>
      <c r="U120" s="422"/>
    </row>
    <row r="121" spans="1:21" x14ac:dyDescent="0.35">
      <c r="A121" s="77">
        <f>C121-G$8</f>
        <v>0</v>
      </c>
      <c r="B121" s="46" t="s">
        <v>7</v>
      </c>
      <c r="C121" s="77">
        <f>(C120-(C120*'4. Recyclage'!H12))/(1-0.16)-C123</f>
        <v>10.130000000000001</v>
      </c>
      <c r="D121" s="77">
        <f>(D120-(D120*H3))/(1-0.16)-D123</f>
        <v>7.8699999999999992</v>
      </c>
      <c r="E121" s="77">
        <f>(E120-(E120*'4. Recyclage'!O12))/(1-0.16)-E123</f>
        <v>7.4132126708014283</v>
      </c>
      <c r="F121" s="77">
        <f>(F120-(F120*'4. Recyclage'!P12))/(1-0.16)-F123</f>
        <v>4.4493009296877943</v>
      </c>
      <c r="G121" s="77">
        <f>(G120-(G120*'4. Recyclage'!Q12))/(1-0.16)-G123</f>
        <v>3.7731829646114265</v>
      </c>
      <c r="H121" s="77">
        <f>(H120-(H120*'4. Recyclage'!R12))/(1-0.16)-H123</f>
        <v>3.1010368671087987</v>
      </c>
      <c r="I121" s="77">
        <f>(I120-(I120*'4. Recyclage'!S12))/(1-0.16)-I123</f>
        <v>2.4328626371799138</v>
      </c>
      <c r="J121" s="77">
        <f>(J120-(J120*'4. Recyclage'!T12))/(1-0.16)-J123</f>
        <v>1.7686602748247688</v>
      </c>
      <c r="K121" s="45" t="s">
        <v>79</v>
      </c>
      <c r="L121" s="78" t="s">
        <v>88</v>
      </c>
      <c r="M121" s="175"/>
      <c r="O121" s="115">
        <v>2023</v>
      </c>
      <c r="P121" s="115">
        <v>2025</v>
      </c>
      <c r="Q121" s="115">
        <v>2030</v>
      </c>
      <c r="R121" s="115">
        <v>2035</v>
      </c>
      <c r="S121" s="115">
        <v>2040</v>
      </c>
      <c r="T121" s="115">
        <v>2045</v>
      </c>
      <c r="U121" s="115">
        <v>2050</v>
      </c>
    </row>
    <row r="122" spans="1:21" x14ac:dyDescent="0.35">
      <c r="A122" s="77">
        <f>C122-G$9</f>
        <v>0</v>
      </c>
      <c r="B122" s="46" t="s">
        <v>8</v>
      </c>
      <c r="C122" s="77">
        <f t="shared" ref="C122:J122" si="54">C120-C121-C123</f>
        <v>4.4599999999999973</v>
      </c>
      <c r="D122" s="77">
        <f t="shared" si="54"/>
        <v>3.7200000000000006</v>
      </c>
      <c r="E122" s="77">
        <f t="shared" si="54"/>
        <v>6.1096317237013924</v>
      </c>
      <c r="F122" s="77">
        <f t="shared" si="54"/>
        <v>7.6842471269007113</v>
      </c>
      <c r="G122" s="77">
        <f t="shared" si="54"/>
        <v>7.9150402702072915</v>
      </c>
      <c r="H122" s="77">
        <f t="shared" si="54"/>
        <v>8.1418615459401273</v>
      </c>
      <c r="I122" s="77">
        <f t="shared" si="54"/>
        <v>8.364710954099225</v>
      </c>
      <c r="J122" s="77">
        <f t="shared" si="54"/>
        <v>8.5835884946845802</v>
      </c>
      <c r="K122" s="45" t="s">
        <v>81</v>
      </c>
      <c r="M122" s="175"/>
      <c r="N122" s="46" t="s">
        <v>6</v>
      </c>
      <c r="O122" s="115">
        <v>14.2</v>
      </c>
      <c r="P122" s="116">
        <v>14.608322071756501</v>
      </c>
      <c r="Q122" s="116">
        <v>14.467927190640999</v>
      </c>
      <c r="R122" s="116">
        <v>14.342457752478699</v>
      </c>
      <c r="S122" s="116">
        <v>14.3025601612056</v>
      </c>
      <c r="T122" s="116">
        <v>14.310487038861501</v>
      </c>
      <c r="U122" s="116">
        <v>14.3237884412314</v>
      </c>
    </row>
    <row r="123" spans="1:21" x14ac:dyDescent="0.35">
      <c r="B123" s="46" t="s">
        <v>38</v>
      </c>
      <c r="C123" s="77">
        <v>0</v>
      </c>
      <c r="D123" s="45">
        <v>0</v>
      </c>
      <c r="E123" s="45">
        <v>0.6</v>
      </c>
      <c r="F123" s="45">
        <v>1.6</v>
      </c>
      <c r="G123" s="45">
        <f>(F123+H123)/2</f>
        <v>1.95</v>
      </c>
      <c r="H123" s="45">
        <f>(F123+J123)/2</f>
        <v>2.2999999999999998</v>
      </c>
      <c r="I123" s="45">
        <f>(H123+J123)/2</f>
        <v>2.65</v>
      </c>
      <c r="J123" s="45">
        <v>3</v>
      </c>
      <c r="K123" s="45" t="s">
        <v>89</v>
      </c>
      <c r="M123" s="175"/>
      <c r="N123" s="46" t="s">
        <v>80</v>
      </c>
      <c r="O123" s="115">
        <v>9.6</v>
      </c>
      <c r="P123" s="116">
        <v>7.0083220717565204</v>
      </c>
      <c r="Q123" s="116">
        <v>3.7471931423760201</v>
      </c>
      <c r="R123" s="116">
        <v>3.0432453458997899</v>
      </c>
      <c r="S123" s="116">
        <v>2.4248693963128098</v>
      </c>
      <c r="T123" s="116">
        <v>1.85431791565477</v>
      </c>
      <c r="U123" s="116">
        <v>1.2891409597108301</v>
      </c>
    </row>
    <row r="124" spans="1:21" x14ac:dyDescent="0.35">
      <c r="A124" s="77">
        <f>C124-G$11</f>
        <v>0</v>
      </c>
      <c r="B124" s="46" t="s">
        <v>10</v>
      </c>
      <c r="C124" s="77">
        <f t="shared" ref="C124:J124" si="55">E43*C87</f>
        <v>0.89400000000000002</v>
      </c>
      <c r="D124" s="77">
        <f t="shared" si="55"/>
        <v>0.8022775816356128</v>
      </c>
      <c r="E124" s="77">
        <f t="shared" si="55"/>
        <v>0.9936882635597627</v>
      </c>
      <c r="F124" s="77">
        <f t="shared" si="55"/>
        <v>1.1184950597233541</v>
      </c>
      <c r="G124" s="77">
        <f t="shared" si="55"/>
        <v>1.2924792796520781</v>
      </c>
      <c r="H124" s="77">
        <f t="shared" si="55"/>
        <v>1.4787080029568036</v>
      </c>
      <c r="I124" s="77">
        <f t="shared" si="55"/>
        <v>1.677181229637531</v>
      </c>
      <c r="J124" s="77">
        <f t="shared" si="55"/>
        <v>1.8878989596942599</v>
      </c>
      <c r="L124" s="77"/>
      <c r="M124" s="175">
        <f t="shared" ref="M124:M132" si="56">(J124/E124)^(1/25)-1</f>
        <v>2.6004211538731115E-2</v>
      </c>
      <c r="N124" s="46" t="s">
        <v>8</v>
      </c>
      <c r="O124" s="115">
        <v>4.5999999999999996</v>
      </c>
      <c r="P124" s="116">
        <v>7.3</v>
      </c>
      <c r="Q124" s="116">
        <v>9.1147941301038404</v>
      </c>
      <c r="R124" s="116">
        <v>9.3427585747933808</v>
      </c>
      <c r="S124" s="116">
        <v>9.5707230194829194</v>
      </c>
      <c r="T124" s="116">
        <v>9.7986874641724597</v>
      </c>
      <c r="U124" s="116">
        <v>10.026651908862</v>
      </c>
    </row>
    <row r="125" spans="1:21" x14ac:dyDescent="0.35">
      <c r="A125" s="77">
        <f>C125-G$12</f>
        <v>0</v>
      </c>
      <c r="B125" s="51" t="s">
        <v>40</v>
      </c>
      <c r="C125" s="77">
        <f>C124*'4. Recyclage'!H13</f>
        <v>0.47600000000000037</v>
      </c>
      <c r="D125" s="77">
        <f>D124*'4. Recyclage'!H13</f>
        <v>0.4271634550990514</v>
      </c>
      <c r="E125" s="77">
        <f>E124*'4. Recyclage'!O13</f>
        <v>0.56264541276728419</v>
      </c>
      <c r="F125" s="77">
        <f>F124*'4. Recyclage'!P13</f>
        <v>0.67109703583401237</v>
      </c>
      <c r="G125" s="77">
        <f>G124*'4. Recyclage'!Q13</f>
        <v>0.84011153177385067</v>
      </c>
      <c r="H125" s="77">
        <f>H124*'4. Recyclage'!R13</f>
        <v>1.0350956020697624</v>
      </c>
      <c r="I125" s="77">
        <f>I124*'4. Recyclage'!S13</f>
        <v>1.2578859222281482</v>
      </c>
      <c r="J125" s="77">
        <f>J124*'4. Recyclage'!T13</f>
        <v>1.510319167755408</v>
      </c>
      <c r="K125" s="45" t="s">
        <v>83</v>
      </c>
      <c r="L125" s="77"/>
      <c r="M125" s="175"/>
      <c r="N125" s="46" t="s">
        <v>9</v>
      </c>
      <c r="O125" s="115">
        <v>0</v>
      </c>
      <c r="P125" s="116">
        <v>0.3</v>
      </c>
      <c r="Q125" s="116">
        <v>1.60593991816115</v>
      </c>
      <c r="R125" s="116">
        <v>1.95645383178552</v>
      </c>
      <c r="S125" s="116">
        <v>2.3069677454098798</v>
      </c>
      <c r="T125" s="116">
        <v>2.6574816590342398</v>
      </c>
      <c r="U125" s="116">
        <v>3.0079955726585998</v>
      </c>
    </row>
    <row r="126" spans="1:21" x14ac:dyDescent="0.35">
      <c r="A126" s="77">
        <f>C126-G$15</f>
        <v>0</v>
      </c>
      <c r="B126" s="46" t="s">
        <v>12</v>
      </c>
      <c r="C126" s="77">
        <f t="shared" ref="C126:J126" si="57">E48*C92</f>
        <v>2.34</v>
      </c>
      <c r="D126" s="77">
        <f t="shared" si="57"/>
        <v>2.27</v>
      </c>
      <c r="E126" s="77">
        <f t="shared" si="57"/>
        <v>1.9803492289210738</v>
      </c>
      <c r="F126" s="77">
        <f t="shared" si="57"/>
        <v>1.6521537267199378</v>
      </c>
      <c r="G126" s="77">
        <f t="shared" si="57"/>
        <v>1.5059827052338237</v>
      </c>
      <c r="H126" s="77">
        <f t="shared" si="57"/>
        <v>1.3478237549327936</v>
      </c>
      <c r="I126" s="77">
        <f t="shared" si="57"/>
        <v>1.1776768758168477</v>
      </c>
      <c r="J126" s="77">
        <f t="shared" si="57"/>
        <v>0.99554206788598587</v>
      </c>
      <c r="M126" s="175">
        <f>(J126/E126)^(1/25)-1</f>
        <v>-2.713470002733942E-2</v>
      </c>
      <c r="N126" s="46" t="s">
        <v>10</v>
      </c>
      <c r="O126" s="115">
        <v>0.9</v>
      </c>
      <c r="P126" s="116">
        <v>0.89</v>
      </c>
      <c r="Q126" s="116">
        <v>0.91</v>
      </c>
      <c r="R126" s="116">
        <v>0.95040000000000002</v>
      </c>
      <c r="S126" s="116">
        <v>0.99080000000000001</v>
      </c>
      <c r="T126" s="116">
        <v>1.0311999999999999</v>
      </c>
      <c r="U126" s="116">
        <v>1.0716000000000001</v>
      </c>
    </row>
    <row r="127" spans="1:21" x14ac:dyDescent="0.35">
      <c r="A127" s="77">
        <f>C127-G$16</f>
        <v>0</v>
      </c>
      <c r="B127" s="46" t="s">
        <v>13</v>
      </c>
      <c r="C127" s="77">
        <f t="shared" ref="C127:J127" si="58">E47*C91</f>
        <v>0.96</v>
      </c>
      <c r="D127" s="77">
        <f t="shared" si="58"/>
        <v>0.89</v>
      </c>
      <c r="E127" s="77">
        <f t="shared" si="58"/>
        <v>0.93895151251958675</v>
      </c>
      <c r="F127" s="77">
        <f t="shared" si="58"/>
        <v>0.92082636475164081</v>
      </c>
      <c r="G127" s="77">
        <f t="shared" si="58"/>
        <v>0.8966129326942559</v>
      </c>
      <c r="H127" s="77">
        <f t="shared" si="58"/>
        <v>0.86902965636564022</v>
      </c>
      <c r="I127" s="77">
        <f t="shared" si="58"/>
        <v>0.8216436625154836</v>
      </c>
      <c r="J127" s="77">
        <f t="shared" si="58"/>
        <v>0.76547959132830046</v>
      </c>
      <c r="M127" s="175">
        <f t="shared" si="56"/>
        <v>-8.1371640349723329E-3</v>
      </c>
      <c r="N127" s="120" t="s">
        <v>84</v>
      </c>
      <c r="O127" s="121">
        <v>0.45</v>
      </c>
      <c r="P127" s="122">
        <v>0.39</v>
      </c>
      <c r="Q127" s="122">
        <v>0.36399999999999999</v>
      </c>
      <c r="R127" s="122">
        <v>0.32657999999999998</v>
      </c>
      <c r="S127" s="122">
        <v>0.28915999999999997</v>
      </c>
      <c r="T127" s="122">
        <v>0.25174000000000002</v>
      </c>
      <c r="U127" s="122">
        <v>0.21432000000000001</v>
      </c>
    </row>
    <row r="128" spans="1:21" x14ac:dyDescent="0.35">
      <c r="A128" s="77">
        <f>C128-G$17</f>
        <v>0</v>
      </c>
      <c r="B128" s="46" t="s">
        <v>14</v>
      </c>
      <c r="C128" s="77">
        <f t="shared" ref="C128:J128" si="59">E46*C90</f>
        <v>1.0699999999999998</v>
      </c>
      <c r="D128" s="77">
        <f t="shared" si="59"/>
        <v>1</v>
      </c>
      <c r="E128" s="77">
        <f t="shared" si="59"/>
        <v>1.3498223480284839</v>
      </c>
      <c r="F128" s="77">
        <f t="shared" si="59"/>
        <v>1.3188037826330354</v>
      </c>
      <c r="G128" s="77">
        <f t="shared" si="59"/>
        <v>1.2493542562182551</v>
      </c>
      <c r="H128" s="77">
        <f t="shared" si="59"/>
        <v>1.1718668221132114</v>
      </c>
      <c r="I128" s="77">
        <f t="shared" si="59"/>
        <v>1.0863414803179046</v>
      </c>
      <c r="J128" s="77">
        <f t="shared" si="59"/>
        <v>0.9927782308323343</v>
      </c>
      <c r="K128" s="78" t="s">
        <v>90</v>
      </c>
      <c r="M128" s="175">
        <f t="shared" si="56"/>
        <v>-1.2213639061901982E-2</v>
      </c>
      <c r="N128" s="120" t="s">
        <v>40</v>
      </c>
      <c r="O128" s="121">
        <v>0.45</v>
      </c>
      <c r="P128" s="122">
        <v>0.5</v>
      </c>
      <c r="Q128" s="122">
        <v>0.54600000000000004</v>
      </c>
      <c r="R128" s="122">
        <v>0.62382000000000004</v>
      </c>
      <c r="S128" s="122">
        <v>0.70164000000000004</v>
      </c>
      <c r="T128" s="122">
        <v>0.77946000000000004</v>
      </c>
      <c r="U128" s="122">
        <v>0.85728000000000004</v>
      </c>
    </row>
    <row r="129" spans="1:21" x14ac:dyDescent="0.35">
      <c r="A129" s="77">
        <f>C129-G$18</f>
        <v>0</v>
      </c>
      <c r="B129" s="46" t="s">
        <v>15</v>
      </c>
      <c r="C129" s="77">
        <f t="shared" ref="C129:J129" si="60">E45*C88</f>
        <v>12.940000000000001</v>
      </c>
      <c r="D129" s="77">
        <f t="shared" si="60"/>
        <v>11.77</v>
      </c>
      <c r="E129" s="77">
        <f t="shared" si="60"/>
        <v>11.35620273180592</v>
      </c>
      <c r="F129" s="77">
        <f t="shared" si="60"/>
        <v>10.03637167497752</v>
      </c>
      <c r="G129" s="77">
        <f t="shared" si="60"/>
        <v>9.1380447727565208</v>
      </c>
      <c r="H129" s="77">
        <f t="shared" si="60"/>
        <v>8.2397178705355216</v>
      </c>
      <c r="I129" s="77">
        <f t="shared" si="60"/>
        <v>7.3413909683145198</v>
      </c>
      <c r="J129" s="77">
        <f t="shared" si="60"/>
        <v>6.4430640660935197</v>
      </c>
      <c r="M129" s="175">
        <f t="shared" si="56"/>
        <v>-2.2415352622140006E-2</v>
      </c>
      <c r="N129" s="46" t="s">
        <v>12</v>
      </c>
      <c r="O129" s="115">
        <v>2.2999999999999998</v>
      </c>
      <c r="P129" s="116">
        <v>2.3679999999999999</v>
      </c>
      <c r="Q129" s="116">
        <v>2.1</v>
      </c>
      <c r="R129" s="116">
        <v>1.9515</v>
      </c>
      <c r="S129" s="116">
        <v>1.8029999999999999</v>
      </c>
      <c r="T129" s="116">
        <v>1.6545000000000001</v>
      </c>
      <c r="U129" s="116">
        <v>1.506</v>
      </c>
    </row>
    <row r="130" spans="1:21" x14ac:dyDescent="0.35">
      <c r="A130" s="77">
        <f>C130-G$19</f>
        <v>0</v>
      </c>
      <c r="B130" s="46" t="s">
        <v>16</v>
      </c>
      <c r="C130" s="77">
        <f t="shared" ref="C130:J130" si="61">E44*C89</f>
        <v>5.6971323500000004</v>
      </c>
      <c r="D130" s="77">
        <f t="shared" si="61"/>
        <v>5.0235558500000002</v>
      </c>
      <c r="E130" s="77">
        <f t="shared" si="61"/>
        <v>5.5312635058355406</v>
      </c>
      <c r="F130" s="77">
        <f t="shared" si="61"/>
        <v>5.3930394690318231</v>
      </c>
      <c r="G130" s="77">
        <f t="shared" si="61"/>
        <v>4.9971028373641539</v>
      </c>
      <c r="H130" s="77">
        <f t="shared" si="61"/>
        <v>4.6011662056964857</v>
      </c>
      <c r="I130" s="77">
        <f t="shared" si="61"/>
        <v>4.2052295740288166</v>
      </c>
      <c r="J130" s="77">
        <f t="shared" si="61"/>
        <v>3.8092929423611483</v>
      </c>
      <c r="M130" s="175">
        <f t="shared" si="56"/>
        <v>-1.4808171633675538E-2</v>
      </c>
      <c r="N130" s="46" t="s">
        <v>14</v>
      </c>
      <c r="O130" s="115">
        <v>1.05</v>
      </c>
      <c r="P130" s="116">
        <v>1.052</v>
      </c>
      <c r="Q130" s="116">
        <v>1.052</v>
      </c>
      <c r="R130" s="116">
        <v>1.0029999999999999</v>
      </c>
      <c r="S130" s="116">
        <v>0.95399999999999996</v>
      </c>
      <c r="T130" s="116">
        <v>0.90500000000000003</v>
      </c>
      <c r="U130" s="116">
        <v>0.85599999999999998</v>
      </c>
    </row>
    <row r="131" spans="1:21" x14ac:dyDescent="0.35">
      <c r="A131" s="77">
        <f>C131-G$20</f>
        <v>0</v>
      </c>
      <c r="B131" s="46" t="s">
        <v>17</v>
      </c>
      <c r="C131" s="77">
        <f t="shared" ref="C131:J131" si="62">E49*C94</f>
        <v>7.32</v>
      </c>
      <c r="D131" s="77">
        <f t="shared" si="62"/>
        <v>6.8099151128839308</v>
      </c>
      <c r="E131" s="77">
        <f t="shared" si="62"/>
        <v>7.8694907919721002</v>
      </c>
      <c r="F131" s="77">
        <f t="shared" si="62"/>
        <v>8.3983854994470999</v>
      </c>
      <c r="G131" s="77">
        <f t="shared" si="62"/>
        <v>8.9170281735140762</v>
      </c>
      <c r="H131" s="77">
        <f t="shared" si="62"/>
        <v>9.4510953982821988</v>
      </c>
      <c r="I131" s="77">
        <f t="shared" si="62"/>
        <v>10.000587173751471</v>
      </c>
      <c r="J131" s="77">
        <f t="shared" si="62"/>
        <v>10.56550349992189</v>
      </c>
      <c r="M131" s="175">
        <f t="shared" si="56"/>
        <v>1.1853743284386598E-2</v>
      </c>
      <c r="N131" s="46" t="s">
        <v>15</v>
      </c>
      <c r="O131" s="115">
        <v>12.4</v>
      </c>
      <c r="P131" s="116">
        <v>12.67</v>
      </c>
      <c r="Q131" s="116">
        <v>12</v>
      </c>
      <c r="R131" s="116">
        <v>10.567500000000001</v>
      </c>
      <c r="S131" s="116">
        <v>9.1349999999999998</v>
      </c>
      <c r="T131" s="116">
        <v>7.7024999999999997</v>
      </c>
      <c r="U131" s="116">
        <v>6.27</v>
      </c>
    </row>
    <row r="132" spans="1:21" x14ac:dyDescent="0.35">
      <c r="A132" s="77">
        <f>C132-G$22</f>
        <v>0</v>
      </c>
      <c r="B132" s="46" t="s">
        <v>18</v>
      </c>
      <c r="C132" s="77">
        <f t="shared" ref="C132:J132" si="63">E50*C93</f>
        <v>4.96</v>
      </c>
      <c r="D132" s="77">
        <f t="shared" si="63"/>
        <v>3.38</v>
      </c>
      <c r="E132" s="77">
        <f t="shared" si="63"/>
        <v>4.9144877603133459</v>
      </c>
      <c r="F132" s="77">
        <f t="shared" si="63"/>
        <v>4.8765608939078025</v>
      </c>
      <c r="G132" s="77">
        <f t="shared" si="63"/>
        <v>4.7394423922431601</v>
      </c>
      <c r="H132" s="77">
        <f t="shared" si="63"/>
        <v>4.6023238905785187</v>
      </c>
      <c r="I132" s="77">
        <f t="shared" si="63"/>
        <v>4.4652053889138772</v>
      </c>
      <c r="J132" s="77">
        <f t="shared" si="63"/>
        <v>4.3280868872492357</v>
      </c>
      <c r="M132" s="175">
        <f t="shared" si="56"/>
        <v>-5.06958253177614E-3</v>
      </c>
      <c r="N132" s="46" t="s">
        <v>16</v>
      </c>
      <c r="O132" s="115">
        <v>5.3</v>
      </c>
      <c r="P132" s="116">
        <v>5.5186565841428097</v>
      </c>
      <c r="Q132" s="116">
        <v>5.4</v>
      </c>
      <c r="R132" s="116">
        <v>5.1424979021428099</v>
      </c>
      <c r="S132" s="116">
        <v>4.8849958042856301</v>
      </c>
      <c r="T132" s="116">
        <v>4.6274937064284396</v>
      </c>
      <c r="U132" s="116">
        <v>4.36999160857125</v>
      </c>
    </row>
    <row r="133" spans="1:21" x14ac:dyDescent="0.35">
      <c r="N133" s="46" t="s">
        <v>17</v>
      </c>
      <c r="O133" s="115">
        <v>7.9</v>
      </c>
      <c r="P133" s="116">
        <v>8.2360000000000007</v>
      </c>
      <c r="Q133" s="116">
        <v>8.3895</v>
      </c>
      <c r="R133" s="116">
        <v>8.3895</v>
      </c>
      <c r="S133" s="116">
        <v>8.3895</v>
      </c>
      <c r="T133" s="116">
        <v>8.3895</v>
      </c>
      <c r="U133" s="116">
        <v>8.3895</v>
      </c>
    </row>
    <row r="134" spans="1:21" x14ac:dyDescent="0.35">
      <c r="B134" s="118" t="s">
        <v>85</v>
      </c>
      <c r="C134" s="77">
        <f t="shared" ref="C134:J134" si="64">SUM(C126:C132,C124,C120)</f>
        <v>50.771132349999995</v>
      </c>
      <c r="D134" s="77">
        <f t="shared" si="64"/>
        <v>43.535748544519549</v>
      </c>
      <c r="E134" s="77">
        <f t="shared" si="64"/>
        <v>49.057100537458638</v>
      </c>
      <c r="F134" s="77">
        <f t="shared" si="64"/>
        <v>47.448184527780711</v>
      </c>
      <c r="G134" s="77">
        <f t="shared" si="64"/>
        <v>46.374270584495044</v>
      </c>
      <c r="H134" s="77">
        <f t="shared" si="64"/>
        <v>45.304630014510096</v>
      </c>
      <c r="I134" s="77">
        <f t="shared" si="64"/>
        <v>44.222829944575587</v>
      </c>
      <c r="J134" s="77">
        <f t="shared" si="64"/>
        <v>43.139895014876025</v>
      </c>
      <c r="N134" s="46" t="s">
        <v>18</v>
      </c>
      <c r="O134" s="115">
        <v>4.9000000000000004</v>
      </c>
      <c r="P134" s="116">
        <v>5.0979999999999999</v>
      </c>
      <c r="Q134" s="116">
        <v>4.9000000000000004</v>
      </c>
      <c r="R134" s="116">
        <v>4.6920000000000002</v>
      </c>
      <c r="S134" s="116">
        <v>4.484</v>
      </c>
      <c r="T134" s="116">
        <v>4.2759999999999998</v>
      </c>
      <c r="U134" s="116">
        <v>4.0679999999999996</v>
      </c>
    </row>
    <row r="135" spans="1:21" x14ac:dyDescent="0.35">
      <c r="B135" s="118" t="s">
        <v>86</v>
      </c>
      <c r="C135" s="45">
        <f t="shared" ref="C135:J135" si="65">C134/$C134</f>
        <v>1</v>
      </c>
      <c r="D135" s="45">
        <f t="shared" si="65"/>
        <v>0.85749020219596406</v>
      </c>
      <c r="E135" s="45">
        <f t="shared" si="65"/>
        <v>0.96624003182112683</v>
      </c>
      <c r="F135" s="45">
        <f t="shared" si="65"/>
        <v>0.93455044887886407</v>
      </c>
      <c r="G135" s="45">
        <f t="shared" si="65"/>
        <v>0.91339839073916274</v>
      </c>
      <c r="H135" s="45">
        <f t="shared" si="65"/>
        <v>0.89233050195127472</v>
      </c>
      <c r="I135" s="45">
        <f t="shared" si="65"/>
        <v>0.87102311683177558</v>
      </c>
      <c r="J135" s="45">
        <f t="shared" si="65"/>
        <v>0.84969337925109389</v>
      </c>
    </row>
    <row r="136" spans="1:21" x14ac:dyDescent="0.35">
      <c r="B136" s="118" t="s">
        <v>91</v>
      </c>
      <c r="C136" s="77">
        <v>50.771132350000002</v>
      </c>
      <c r="D136" s="77">
        <v>43.5357485445195</v>
      </c>
      <c r="E136" s="77">
        <v>50.440978655899301</v>
      </c>
      <c r="F136" s="77">
        <v>49.219427190640999</v>
      </c>
      <c r="G136" s="77">
        <v>47.0388556546215</v>
      </c>
      <c r="H136" s="77">
        <v>44.943855965491203</v>
      </c>
      <c r="I136" s="77">
        <v>42.896680745289899</v>
      </c>
      <c r="J136" s="77">
        <v>40.854880049802702</v>
      </c>
    </row>
    <row r="137" spans="1:21" x14ac:dyDescent="0.35">
      <c r="F137" s="45">
        <f>F136/F134-1</f>
        <v>3.7330040769488981E-2</v>
      </c>
    </row>
    <row r="142" spans="1:21" x14ac:dyDescent="0.35">
      <c r="B142" s="45" t="s">
        <v>92</v>
      </c>
    </row>
    <row r="143" spans="1:21" x14ac:dyDescent="0.35">
      <c r="B143" s="45" t="s">
        <v>93</v>
      </c>
    </row>
    <row r="144" spans="1:21" x14ac:dyDescent="0.35">
      <c r="B144" s="45" t="s">
        <v>94</v>
      </c>
    </row>
    <row r="145" spans="2:2" x14ac:dyDescent="0.35">
      <c r="B145" s="45" t="s">
        <v>95</v>
      </c>
    </row>
  </sheetData>
  <mergeCells count="10">
    <mergeCell ref="C60:D60"/>
    <mergeCell ref="E60:G60"/>
    <mergeCell ref="B97:E97"/>
    <mergeCell ref="P99:U99"/>
    <mergeCell ref="P120:U120"/>
    <mergeCell ref="B2:E2"/>
    <mergeCell ref="C5:H5"/>
    <mergeCell ref="B25:E25"/>
    <mergeCell ref="B56:E56"/>
    <mergeCell ref="C59:G59"/>
  </mergeCells>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DC3E6"/>
  </sheetPr>
  <dimension ref="A1:AMK109"/>
  <sheetViews>
    <sheetView tabSelected="1" topLeftCell="A85" zoomScale="82" zoomScaleNormal="82" workbookViewId="0">
      <selection activeCell="N89" sqref="N89"/>
    </sheetView>
  </sheetViews>
  <sheetFormatPr baseColWidth="10" defaultColWidth="8.7265625" defaultRowHeight="14.5" x14ac:dyDescent="0.35"/>
  <cols>
    <col min="1" max="1025" width="10.453125" style="45" customWidth="1"/>
  </cols>
  <sheetData>
    <row r="1" spans="1:9" x14ac:dyDescent="0.35">
      <c r="A1" s="45" t="s">
        <v>96</v>
      </c>
    </row>
    <row r="2" spans="1:9" x14ac:dyDescent="0.35">
      <c r="B2" s="415" t="s">
        <v>35</v>
      </c>
      <c r="C2" s="415"/>
      <c r="D2" s="415"/>
      <c r="E2" s="415"/>
    </row>
    <row r="4" spans="1:9" x14ac:dyDescent="0.35">
      <c r="B4" s="1" t="s">
        <v>20</v>
      </c>
      <c r="C4" s="418" t="s">
        <v>2</v>
      </c>
      <c r="D4" s="418"/>
      <c r="E4" s="418"/>
      <c r="F4" s="418"/>
      <c r="G4" s="418"/>
      <c r="H4" s="418"/>
      <c r="I4" s="1" t="s">
        <v>97</v>
      </c>
    </row>
    <row r="5" spans="1:9" x14ac:dyDescent="0.35">
      <c r="B5" s="1" t="s">
        <v>23</v>
      </c>
      <c r="C5" s="5">
        <v>2015</v>
      </c>
      <c r="D5" s="5">
        <v>2016</v>
      </c>
      <c r="E5" s="5">
        <v>2017</v>
      </c>
      <c r="F5" s="5">
        <v>2018</v>
      </c>
      <c r="G5" s="5">
        <v>2019</v>
      </c>
      <c r="H5" s="5">
        <v>2020</v>
      </c>
      <c r="I5" s="1"/>
    </row>
    <row r="6" spans="1:9" x14ac:dyDescent="0.35">
      <c r="B6" s="123" t="s">
        <v>24</v>
      </c>
      <c r="C6" s="30">
        <f>'VA historique'!R5</f>
        <v>25.624379000000001</v>
      </c>
      <c r="D6" s="30">
        <f>'VA historique'!S5</f>
        <v>26.013804</v>
      </c>
      <c r="E6" s="30">
        <f>'VA historique'!T5</f>
        <v>26.657764</v>
      </c>
      <c r="F6" s="30">
        <f>'VA historique'!U5</f>
        <v>25.460822</v>
      </c>
      <c r="G6" s="30">
        <f>'VA historique'!V5</f>
        <v>25.805907999999999</v>
      </c>
      <c r="H6" s="30">
        <f>G6*0.905</f>
        <v>23.35434674</v>
      </c>
      <c r="I6" s="1"/>
    </row>
    <row r="7" spans="1:9" x14ac:dyDescent="0.35">
      <c r="B7" s="123" t="s">
        <v>25</v>
      </c>
      <c r="C7" s="30">
        <f>'VA historique'!R6</f>
        <v>41.415126000000001</v>
      </c>
      <c r="D7" s="30">
        <f>'VA historique'!S6</f>
        <v>42.558777999999997</v>
      </c>
      <c r="E7" s="30">
        <f>'VA historique'!T6</f>
        <v>43.825743000000003</v>
      </c>
      <c r="F7" s="30">
        <f>'VA historique'!U6</f>
        <v>45.192982999999998</v>
      </c>
      <c r="G7" s="30">
        <f>'VA historique'!V6</f>
        <v>47.173411999999999</v>
      </c>
      <c r="H7" s="30">
        <f>'VA historique'!W6</f>
        <v>44.246974000000002</v>
      </c>
      <c r="I7" s="1"/>
    </row>
    <row r="8" spans="1:9" x14ac:dyDescent="0.35">
      <c r="B8" s="123" t="s">
        <v>26</v>
      </c>
      <c r="C8" s="30">
        <f>'VA historique'!R7</f>
        <v>8.0230730000000001</v>
      </c>
      <c r="D8" s="30">
        <f>'VA historique'!S7</f>
        <v>8.0998359999999998</v>
      </c>
      <c r="E8" s="30">
        <f>'VA historique'!T7</f>
        <v>8.2923500000000008</v>
      </c>
      <c r="F8" s="30">
        <f>'VA historique'!U7</f>
        <v>8.2701740000000008</v>
      </c>
      <c r="G8" s="30">
        <f>'VA historique'!V7</f>
        <v>8.3584969999999998</v>
      </c>
      <c r="H8" s="30">
        <f>G8*0.905</f>
        <v>7.5644397850000002</v>
      </c>
      <c r="I8" s="1"/>
    </row>
    <row r="9" spans="1:9" x14ac:dyDescent="0.35">
      <c r="B9" s="123" t="s">
        <v>27</v>
      </c>
      <c r="C9" s="30">
        <f>'VA historique'!R8</f>
        <v>43.507950999999998</v>
      </c>
      <c r="D9" s="30">
        <f>'VA historique'!S8</f>
        <v>44.673572</v>
      </c>
      <c r="E9" s="30">
        <f>'VA historique'!T8</f>
        <v>45.485210000000002</v>
      </c>
      <c r="F9" s="30">
        <f>'VA historique'!U8</f>
        <v>45.279347999999999</v>
      </c>
      <c r="G9" s="30">
        <f>'VA historique'!V8</f>
        <v>45.598266000000002</v>
      </c>
      <c r="H9" s="30">
        <f>'VA historique'!W8</f>
        <v>44.167665</v>
      </c>
      <c r="I9" s="1"/>
    </row>
    <row r="10" spans="1:9" x14ac:dyDescent="0.35">
      <c r="B10" s="123" t="s">
        <v>28</v>
      </c>
      <c r="C10" s="30">
        <f>'VA historique'!R9</f>
        <v>60.173127999999998</v>
      </c>
      <c r="D10" s="30">
        <f>'VA historique'!S9</f>
        <v>59.026021</v>
      </c>
      <c r="E10" s="30">
        <f>'VA historique'!T9</f>
        <v>60.473290999999996</v>
      </c>
      <c r="F10" s="30">
        <f>'VA historique'!U9</f>
        <v>63.185553999999996</v>
      </c>
      <c r="G10" s="30">
        <f>'VA historique'!V9</f>
        <v>63.615233999999994</v>
      </c>
      <c r="H10" s="30">
        <f>G10*0.905</f>
        <v>57.571786769999996</v>
      </c>
      <c r="I10" s="1"/>
    </row>
    <row r="11" spans="1:9" x14ac:dyDescent="0.35">
      <c r="B11" s="123" t="s">
        <v>29</v>
      </c>
      <c r="C11" s="30">
        <f>'VA historique'!R11</f>
        <v>23.294342999999998</v>
      </c>
      <c r="D11" s="30">
        <f>'VA historique'!S11</f>
        <v>23.04682</v>
      </c>
      <c r="E11" s="30">
        <f>'VA historique'!T11</f>
        <v>23.307596</v>
      </c>
      <c r="F11" s="30">
        <f>'VA historique'!U11</f>
        <v>23.241424000000002</v>
      </c>
      <c r="G11" s="30">
        <f>'VA historique'!V11</f>
        <v>23.721858999999998</v>
      </c>
      <c r="H11" s="30">
        <f>G11*0.905</f>
        <v>21.468282394999999</v>
      </c>
      <c r="I11" s="1"/>
    </row>
    <row r="12" spans="1:9" x14ac:dyDescent="0.35">
      <c r="B12" s="5" t="s">
        <v>30</v>
      </c>
      <c r="C12" s="9">
        <f t="shared" ref="C12:H12" si="0">SUM(C6:C11)</f>
        <v>202.03799999999998</v>
      </c>
      <c r="D12" s="9">
        <f t="shared" si="0"/>
        <v>203.41883099999998</v>
      </c>
      <c r="E12" s="9">
        <f t="shared" si="0"/>
        <v>208.04195399999998</v>
      </c>
      <c r="F12" s="9">
        <f t="shared" si="0"/>
        <v>210.63030499999999</v>
      </c>
      <c r="G12" s="9">
        <f t="shared" si="0"/>
        <v>214.27317599999998</v>
      </c>
      <c r="H12" s="9">
        <f t="shared" si="0"/>
        <v>198.37349469</v>
      </c>
      <c r="I12" s="1"/>
    </row>
    <row r="13" spans="1:9" x14ac:dyDescent="0.35">
      <c r="B13" s="124" t="s">
        <v>31</v>
      </c>
      <c r="C13" s="30">
        <f>'VA historique'!R10</f>
        <v>109.505257</v>
      </c>
      <c r="D13" s="30">
        <f>'VA historique'!S10</f>
        <v>108.449133</v>
      </c>
      <c r="E13" s="30">
        <f>'VA historique'!T10</f>
        <v>110.800995</v>
      </c>
      <c r="F13" s="30">
        <f>'VA historique'!U10</f>
        <v>111.94245100000001</v>
      </c>
      <c r="G13" s="30">
        <f>'VA historique'!V10</f>
        <v>114.881552</v>
      </c>
      <c r="H13" s="30">
        <f>'VA historique'!W10</f>
        <v>96.546553000000003</v>
      </c>
      <c r="I13" s="1"/>
    </row>
    <row r="16" spans="1:9" x14ac:dyDescent="0.35">
      <c r="B16" s="415" t="s">
        <v>98</v>
      </c>
      <c r="C16" s="415"/>
      <c r="D16" s="415"/>
      <c r="E16" s="415"/>
    </row>
    <row r="18" spans="2:22" x14ac:dyDescent="0.35">
      <c r="D18" s="423" t="s">
        <v>99</v>
      </c>
      <c r="E18" s="423"/>
      <c r="F18" s="423"/>
      <c r="G18" s="423"/>
      <c r="H18" s="423"/>
      <c r="I18" s="423"/>
      <c r="J18" s="423"/>
      <c r="K18" s="423" t="s">
        <v>100</v>
      </c>
      <c r="L18" s="423"/>
      <c r="M18" s="423"/>
      <c r="N18" s="423"/>
      <c r="O18" s="423"/>
      <c r="P18" s="423"/>
      <c r="Q18" s="423" t="s">
        <v>101</v>
      </c>
      <c r="R18" s="423"/>
      <c r="S18" s="423"/>
      <c r="T18" s="423"/>
      <c r="U18" s="423"/>
      <c r="V18" s="423"/>
    </row>
    <row r="19" spans="2:22" x14ac:dyDescent="0.35">
      <c r="B19" s="45" t="s">
        <v>3</v>
      </c>
      <c r="C19" s="45" t="s">
        <v>102</v>
      </c>
      <c r="D19" s="125">
        <v>2020</v>
      </c>
      <c r="E19" s="125">
        <v>2025</v>
      </c>
      <c r="F19" s="125">
        <v>2030</v>
      </c>
      <c r="G19" s="125">
        <v>2035</v>
      </c>
      <c r="H19" s="125">
        <v>2040</v>
      </c>
      <c r="I19" s="125">
        <v>2045</v>
      </c>
      <c r="J19" s="126">
        <v>2050</v>
      </c>
      <c r="K19" s="125">
        <v>2025</v>
      </c>
      <c r="L19" s="125">
        <v>2030</v>
      </c>
      <c r="M19" s="125">
        <v>2035</v>
      </c>
      <c r="N19" s="125">
        <v>2040</v>
      </c>
      <c r="O19" s="125">
        <v>2045</v>
      </c>
      <c r="P19" s="126">
        <v>2050</v>
      </c>
      <c r="Q19" s="125">
        <v>2025</v>
      </c>
      <c r="R19" s="125">
        <v>2030</v>
      </c>
      <c r="S19" s="125">
        <v>2035</v>
      </c>
      <c r="T19" s="125">
        <v>2040</v>
      </c>
      <c r="U19" s="125">
        <v>2045</v>
      </c>
      <c r="V19" s="126">
        <v>2050</v>
      </c>
    </row>
    <row r="20" spans="2:22" x14ac:dyDescent="0.35">
      <c r="B20" s="123" t="s">
        <v>24</v>
      </c>
      <c r="D20" s="127">
        <v>3.5700125703579801</v>
      </c>
      <c r="E20" s="127">
        <v>3.2996967329742701</v>
      </c>
      <c r="F20" s="127">
        <v>3.22175342713521</v>
      </c>
      <c r="G20" s="127">
        <v>3.1562413445919502</v>
      </c>
      <c r="H20" s="127">
        <v>3.1153021729638701</v>
      </c>
      <c r="I20" s="127">
        <v>3.0816548079461201</v>
      </c>
      <c r="J20" s="127">
        <v>3.0433020561147401</v>
      </c>
      <c r="K20" s="127">
        <f t="shared" ref="K20:P26" si="1">E20/$D20</f>
        <v>0.92428154465668888</v>
      </c>
      <c r="L20" s="127">
        <f t="shared" si="1"/>
        <v>0.90244876275383845</v>
      </c>
      <c r="M20" s="127">
        <f t="shared" si="1"/>
        <v>0.88409810396702904</v>
      </c>
      <c r="N20" s="127">
        <f t="shared" si="1"/>
        <v>0.87263058926750103</v>
      </c>
      <c r="O20" s="127">
        <f t="shared" si="1"/>
        <v>0.86320559023608978</v>
      </c>
      <c r="P20" s="127">
        <f t="shared" si="1"/>
        <v>0.85246256032358325</v>
      </c>
      <c r="Q20" s="127">
        <f>K20+0.017</f>
        <v>0.9412815446566889</v>
      </c>
      <c r="R20" s="127">
        <f>L20+0.027</f>
        <v>0.92944876275383848</v>
      </c>
      <c r="S20" s="127">
        <f>M20+0.0395</f>
        <v>0.92359810396702902</v>
      </c>
      <c r="T20" s="127">
        <f>N20+0.0585</f>
        <v>0.93113058926750103</v>
      </c>
      <c r="U20" s="127">
        <f>O20+0.0796</f>
        <v>0.94280559023608979</v>
      </c>
      <c r="V20" s="127">
        <f>P20+0.1</f>
        <v>0.95246256032358323</v>
      </c>
    </row>
    <row r="21" spans="2:22" x14ac:dyDescent="0.35">
      <c r="B21" s="123" t="s">
        <v>25</v>
      </c>
      <c r="D21" s="127">
        <v>37.402350687045001</v>
      </c>
      <c r="E21" s="127">
        <v>35.720653214871398</v>
      </c>
      <c r="F21" s="127">
        <v>36.0203887247403</v>
      </c>
      <c r="G21" s="127">
        <v>36.693133457604702</v>
      </c>
      <c r="H21" s="127">
        <v>37.813804981684001</v>
      </c>
      <c r="I21" s="127">
        <v>39.085526353625099</v>
      </c>
      <c r="J21" s="127">
        <v>40.3791177202285</v>
      </c>
      <c r="K21" s="127">
        <f t="shared" si="1"/>
        <v>0.95503765294740983</v>
      </c>
      <c r="L21" s="127">
        <f t="shared" si="1"/>
        <v>0.96305146770405081</v>
      </c>
      <c r="M21" s="127">
        <f t="shared" si="1"/>
        <v>0.98103816427543555</v>
      </c>
      <c r="N21" s="127">
        <f t="shared" si="1"/>
        <v>1.0110007603019859</v>
      </c>
      <c r="O21" s="127">
        <f t="shared" si="1"/>
        <v>1.0450018684831779</v>
      </c>
      <c r="P21" s="127">
        <f t="shared" si="1"/>
        <v>1.0795876991286153</v>
      </c>
      <c r="Q21" s="127">
        <f>K21+0.017</f>
        <v>0.97203765294740985</v>
      </c>
      <c r="R21" s="127">
        <f>L21+0.027</f>
        <v>0.99005146770405084</v>
      </c>
      <c r="S21" s="127">
        <f>M21+0.0395</f>
        <v>1.0205381642754356</v>
      </c>
      <c r="T21" s="127">
        <f>N21+0.0585</f>
        <v>1.0695007603019859</v>
      </c>
      <c r="U21" s="127">
        <f>O21+0.0796</f>
        <v>1.124601868483178</v>
      </c>
      <c r="V21" s="127">
        <f>P21+0.1</f>
        <v>1.1795876991286154</v>
      </c>
    </row>
    <row r="22" spans="2:22" x14ac:dyDescent="0.35">
      <c r="B22" s="123" t="s">
        <v>26</v>
      </c>
      <c r="D22" s="127">
        <v>2.8732771731233901</v>
      </c>
      <c r="E22" s="127">
        <v>2.7053239916481302</v>
      </c>
      <c r="F22" s="127">
        <v>2.71231120131716</v>
      </c>
      <c r="G22" s="127">
        <v>2.70616917415553</v>
      </c>
      <c r="H22" s="127">
        <v>2.7062037855350298</v>
      </c>
      <c r="I22" s="127">
        <v>2.6983022063941</v>
      </c>
      <c r="J22" s="127">
        <v>2.6784942983283302</v>
      </c>
      <c r="K22" s="127">
        <f t="shared" si="1"/>
        <v>0.9415464741632682</v>
      </c>
      <c r="L22" s="127">
        <f t="shared" si="1"/>
        <v>0.94397826519769679</v>
      </c>
      <c r="M22" s="127">
        <f t="shared" si="1"/>
        <v>0.94184062695691639</v>
      </c>
      <c r="N22" s="127">
        <f t="shared" si="1"/>
        <v>0.94185267291608221</v>
      </c>
      <c r="O22" s="127">
        <f t="shared" si="1"/>
        <v>0.93910264962739953</v>
      </c>
      <c r="P22" s="127">
        <f t="shared" si="1"/>
        <v>0.93220881138197964</v>
      </c>
      <c r="Q22" s="127">
        <f>K22+0.017</f>
        <v>0.95854647416326821</v>
      </c>
      <c r="R22" s="127">
        <f>L22+0.027</f>
        <v>0.97097826519769681</v>
      </c>
      <c r="S22" s="127">
        <f>M22+0.0395</f>
        <v>0.98134062695691637</v>
      </c>
      <c r="T22" s="127">
        <f>N22+0.0585</f>
        <v>1.0003526729160823</v>
      </c>
      <c r="U22" s="127">
        <f>O22+0.0796</f>
        <v>1.0187026496273996</v>
      </c>
      <c r="V22" s="127">
        <f>P22+0.1</f>
        <v>1.0322088113819796</v>
      </c>
    </row>
    <row r="23" spans="2:22" x14ac:dyDescent="0.35">
      <c r="B23" s="123" t="s">
        <v>27</v>
      </c>
      <c r="D23" s="127">
        <v>45.491181089476797</v>
      </c>
      <c r="E23" s="127">
        <v>47.489432229915103</v>
      </c>
      <c r="F23" s="127">
        <v>48.554973796202702</v>
      </c>
      <c r="G23" s="127">
        <v>50.353641313315102</v>
      </c>
      <c r="H23" s="127">
        <v>53.531223381880203</v>
      </c>
      <c r="I23" s="127">
        <v>57.847252362086799</v>
      </c>
      <c r="J23" s="127">
        <v>62.272120747303298</v>
      </c>
      <c r="K23" s="127">
        <f t="shared" si="1"/>
        <v>1.0439261213400448</v>
      </c>
      <c r="L23" s="127">
        <f t="shared" si="1"/>
        <v>1.0673491572069698</v>
      </c>
      <c r="M23" s="127">
        <f t="shared" si="1"/>
        <v>1.1068879749302247</v>
      </c>
      <c r="N23" s="127">
        <f t="shared" si="1"/>
        <v>1.1767384820497278</v>
      </c>
      <c r="O23" s="127">
        <f t="shared" si="1"/>
        <v>1.271614650943153</v>
      </c>
      <c r="P23" s="127">
        <f t="shared" si="1"/>
        <v>1.3688833583990707</v>
      </c>
      <c r="Q23" s="127">
        <f>K23+0.017</f>
        <v>1.0609261213400447</v>
      </c>
      <c r="R23" s="127">
        <f>L23+0.027</f>
        <v>1.0943491572069697</v>
      </c>
      <c r="S23" s="127">
        <f>M23+0.0395</f>
        <v>1.1463879749302248</v>
      </c>
      <c r="T23" s="127">
        <f>N23+0.0585</f>
        <v>1.2352384820497277</v>
      </c>
      <c r="U23" s="127">
        <f>O23+0.0796</f>
        <v>1.3512146509431529</v>
      </c>
      <c r="V23" s="127">
        <f>P23+0.1</f>
        <v>1.4688833583990708</v>
      </c>
    </row>
    <row r="24" spans="2:22" x14ac:dyDescent="0.35">
      <c r="B24" s="123" t="s">
        <v>103</v>
      </c>
      <c r="D24" s="127">
        <v>128.933626055964</v>
      </c>
      <c r="E24" s="127">
        <v>135.569935139157</v>
      </c>
      <c r="F24" s="127">
        <v>139.74980797556699</v>
      </c>
      <c r="G24" s="127">
        <v>145.93917778420999</v>
      </c>
      <c r="H24" s="127">
        <v>156.79434791577501</v>
      </c>
      <c r="I24" s="127">
        <v>169.144030051763</v>
      </c>
      <c r="J24" s="127">
        <v>181.04522019280699</v>
      </c>
      <c r="K24" s="127">
        <f t="shared" si="1"/>
        <v>1.0514707395285112</v>
      </c>
      <c r="L24" s="127">
        <f t="shared" si="1"/>
        <v>1.0838895348751629</v>
      </c>
      <c r="M24" s="127">
        <f t="shared" si="1"/>
        <v>1.1318938452942033</v>
      </c>
      <c r="N24" s="127">
        <f t="shared" si="1"/>
        <v>1.2160857699582419</v>
      </c>
      <c r="O24" s="127">
        <f t="shared" si="1"/>
        <v>1.3118690230455907</v>
      </c>
      <c r="P24" s="127">
        <f t="shared" si="1"/>
        <v>1.404173804234931</v>
      </c>
      <c r="Q24" s="127">
        <f>K24+0.017</f>
        <v>1.0684707395285111</v>
      </c>
      <c r="R24" s="127">
        <f>L24+0.027</f>
        <v>1.1108895348751628</v>
      </c>
      <c r="S24" s="127">
        <f>M24+0.0395</f>
        <v>1.1713938452942034</v>
      </c>
      <c r="T24" s="127">
        <f>N24+0.0585</f>
        <v>1.2745857699582419</v>
      </c>
      <c r="U24" s="127">
        <f>O24+0.0796</f>
        <v>1.3914690230455906</v>
      </c>
      <c r="V24" s="127">
        <f>P24+0.1</f>
        <v>1.5041738042349311</v>
      </c>
    </row>
    <row r="25" spans="2:22" x14ac:dyDescent="0.35">
      <c r="B25" s="45" t="s">
        <v>104</v>
      </c>
      <c r="D25" s="127">
        <v>235.2055540394</v>
      </c>
      <c r="E25" s="127">
        <v>242.31734896617399</v>
      </c>
      <c r="F25" s="127">
        <v>248.41423413784</v>
      </c>
      <c r="G25" s="127">
        <v>257.83707231161299</v>
      </c>
      <c r="H25" s="127">
        <v>274.24405717312601</v>
      </c>
      <c r="I25" s="127">
        <v>293.70727789824798</v>
      </c>
      <c r="J25" s="127">
        <v>312.83006471911199</v>
      </c>
      <c r="K25" s="127">
        <f t="shared" si="1"/>
        <v>1.0302365093197701</v>
      </c>
      <c r="L25" s="127">
        <f t="shared" si="1"/>
        <v>1.0561580280380087</v>
      </c>
      <c r="M25" s="127">
        <f t="shared" si="1"/>
        <v>1.0962201694795946</v>
      </c>
      <c r="N25" s="127">
        <f t="shared" si="1"/>
        <v>1.1659761109518125</v>
      </c>
      <c r="O25" s="127">
        <f t="shared" si="1"/>
        <v>1.2487259456851438</v>
      </c>
      <c r="P25" s="127">
        <f t="shared" si="1"/>
        <v>1.3300283915349587</v>
      </c>
      <c r="Q25" s="127"/>
      <c r="R25" s="127"/>
      <c r="S25" s="127"/>
      <c r="T25" s="127"/>
      <c r="U25" s="127"/>
      <c r="V25" s="127"/>
    </row>
    <row r="26" spans="2:22" x14ac:dyDescent="0.35">
      <c r="B26" s="123" t="s">
        <v>31</v>
      </c>
      <c r="D26" s="127">
        <v>106.7</v>
      </c>
      <c r="E26" s="127">
        <v>115.224526796836</v>
      </c>
      <c r="F26" s="127">
        <v>117.81856254807499</v>
      </c>
      <c r="G26" s="127">
        <v>121.79677605641299</v>
      </c>
      <c r="H26" s="127">
        <v>127.797797959314</v>
      </c>
      <c r="I26" s="127">
        <v>135.10475704922101</v>
      </c>
      <c r="J26" s="127">
        <v>142.308376006294</v>
      </c>
      <c r="K26" s="127">
        <f t="shared" si="1"/>
        <v>1.0798924723227366</v>
      </c>
      <c r="L26" s="127">
        <f t="shared" si="1"/>
        <v>1.1042039601506559</v>
      </c>
      <c r="M26" s="127">
        <f t="shared" si="1"/>
        <v>1.1414880605099624</v>
      </c>
      <c r="N26" s="127">
        <f t="shared" si="1"/>
        <v>1.1977300652231864</v>
      </c>
      <c r="O26" s="127">
        <f t="shared" si="1"/>
        <v>1.2662114062719869</v>
      </c>
      <c r="P26" s="127">
        <f t="shared" si="1"/>
        <v>1.3337242362351827</v>
      </c>
      <c r="Q26" s="127">
        <f t="shared" ref="Q26:V26" si="2">K26</f>
        <v>1.0798924723227366</v>
      </c>
      <c r="R26" s="127">
        <f t="shared" si="2"/>
        <v>1.1042039601506559</v>
      </c>
      <c r="S26" s="127">
        <f t="shared" si="2"/>
        <v>1.1414880605099624</v>
      </c>
      <c r="T26" s="127">
        <f t="shared" si="2"/>
        <v>1.1977300652231864</v>
      </c>
      <c r="U26" s="127">
        <f t="shared" si="2"/>
        <v>1.2662114062719869</v>
      </c>
      <c r="V26" s="127">
        <f t="shared" si="2"/>
        <v>1.3337242362351827</v>
      </c>
    </row>
    <row r="29" spans="2:22" x14ac:dyDescent="0.35">
      <c r="B29" s="45" t="s">
        <v>102</v>
      </c>
      <c r="C29" s="5">
        <v>2019</v>
      </c>
      <c r="D29" s="5">
        <v>2020</v>
      </c>
      <c r="E29" s="125">
        <v>2025</v>
      </c>
      <c r="F29" s="125">
        <v>2030</v>
      </c>
      <c r="G29" s="125">
        <v>2035</v>
      </c>
      <c r="H29" s="125">
        <v>2040</v>
      </c>
      <c r="I29" s="125">
        <v>2045</v>
      </c>
      <c r="J29" s="126">
        <v>2050</v>
      </c>
    </row>
    <row r="30" spans="2:22" x14ac:dyDescent="0.35">
      <c r="B30" s="123" t="s">
        <v>24</v>
      </c>
      <c r="C30" s="30">
        <f t="shared" ref="C30:D35" si="3">G6</f>
        <v>25.805907999999999</v>
      </c>
      <c r="D30" s="30">
        <f t="shared" si="3"/>
        <v>23.35434674</v>
      </c>
      <c r="E30" s="127">
        <f t="shared" ref="E30:J34" si="4">$D30*Q20</f>
        <v>21.983015573875107</v>
      </c>
      <c r="F30" s="127">
        <f t="shared" si="4"/>
        <v>21.706668682417142</v>
      </c>
      <c r="G30" s="127">
        <f t="shared" si="4"/>
        <v>21.570030368452567</v>
      </c>
      <c r="H30" s="127">
        <f t="shared" si="4"/>
        <v>21.745946641973742</v>
      </c>
      <c r="I30" s="127">
        <f t="shared" si="4"/>
        <v>22.018608662784001</v>
      </c>
      <c r="J30" s="127">
        <f t="shared" si="4"/>
        <v>22.244140890665129</v>
      </c>
    </row>
    <row r="31" spans="2:22" x14ac:dyDescent="0.35">
      <c r="B31" s="123" t="s">
        <v>25</v>
      </c>
      <c r="C31" s="30">
        <f t="shared" si="3"/>
        <v>47.173411999999999</v>
      </c>
      <c r="D31" s="30">
        <f t="shared" si="3"/>
        <v>44.246974000000002</v>
      </c>
      <c r="E31" s="127">
        <f t="shared" si="4"/>
        <v>43.009724756985065</v>
      </c>
      <c r="F31" s="127">
        <f t="shared" si="4"/>
        <v>43.806781550162981</v>
      </c>
      <c r="G31" s="127">
        <f t="shared" si="4"/>
        <v>45.155725620702931</v>
      </c>
      <c r="H31" s="127">
        <f t="shared" si="4"/>
        <v>47.322172334062202</v>
      </c>
      <c r="I31" s="127">
        <f t="shared" si="4"/>
        <v>49.760229635126599</v>
      </c>
      <c r="J31" s="127">
        <f t="shared" si="4"/>
        <v>52.193186254063669</v>
      </c>
    </row>
    <row r="32" spans="2:22" x14ac:dyDescent="0.35">
      <c r="B32" s="123" t="s">
        <v>26</v>
      </c>
      <c r="C32" s="30">
        <f t="shared" si="3"/>
        <v>8.3584969999999998</v>
      </c>
      <c r="D32" s="30">
        <f t="shared" si="3"/>
        <v>7.5644397850000002</v>
      </c>
      <c r="E32" s="127">
        <f t="shared" si="4"/>
        <v>7.2508670849321009</v>
      </c>
      <c r="F32" s="127">
        <f t="shared" si="4"/>
        <v>7.3449066196317387</v>
      </c>
      <c r="G32" s="127">
        <f t="shared" si="4"/>
        <v>7.423292081189742</v>
      </c>
      <c r="H32" s="127">
        <f t="shared" si="4"/>
        <v>7.5671075580375051</v>
      </c>
      <c r="I32" s="127">
        <f t="shared" si="4"/>
        <v>7.7059148519264173</v>
      </c>
      <c r="J32" s="127">
        <f t="shared" si="4"/>
        <v>7.8080813992454079</v>
      </c>
    </row>
    <row r="33" spans="2:22" x14ac:dyDescent="0.35">
      <c r="B33" s="123" t="s">
        <v>27</v>
      </c>
      <c r="C33" s="30">
        <f t="shared" si="3"/>
        <v>45.598266000000002</v>
      </c>
      <c r="D33" s="30">
        <f t="shared" si="3"/>
        <v>44.167665</v>
      </c>
      <c r="E33" s="127">
        <f t="shared" si="4"/>
        <v>46.858629517096446</v>
      </c>
      <c r="F33" s="127">
        <f t="shared" si="4"/>
        <v>48.334846968549769</v>
      </c>
      <c r="G33" s="127">
        <f t="shared" si="4"/>
        <v>50.633280036746569</v>
      </c>
      <c r="H33" s="127">
        <f t="shared" si="4"/>
        <v>54.557599470280891</v>
      </c>
      <c r="I33" s="127">
        <f t="shared" si="4"/>
        <v>59.67999604594911</v>
      </c>
      <c r="J33" s="127">
        <f t="shared" si="4"/>
        <v>64.877148097845094</v>
      </c>
    </row>
    <row r="34" spans="2:22" x14ac:dyDescent="0.35">
      <c r="B34" s="123" t="s">
        <v>28</v>
      </c>
      <c r="C34" s="30">
        <f t="shared" si="3"/>
        <v>63.615233999999994</v>
      </c>
      <c r="D34" s="30">
        <f t="shared" si="3"/>
        <v>57.571786769999996</v>
      </c>
      <c r="E34" s="127">
        <f t="shared" si="4"/>
        <v>61.513769586119651</v>
      </c>
      <c r="F34" s="127">
        <f t="shared" si="4"/>
        <v>63.955895426857346</v>
      </c>
      <c r="G34" s="127">
        <f t="shared" si="4"/>
        <v>67.439236684968236</v>
      </c>
      <c r="H34" s="127">
        <f t="shared" si="4"/>
        <v>73.380180168112176</v>
      </c>
      <c r="I34" s="127">
        <f t="shared" si="4"/>
        <v>80.109357891840958</v>
      </c>
      <c r="J34" s="127">
        <f t="shared" si="4"/>
        <v>86.597973522433165</v>
      </c>
    </row>
    <row r="35" spans="2:22" x14ac:dyDescent="0.35">
      <c r="B35" s="123" t="s">
        <v>29</v>
      </c>
      <c r="C35" s="30">
        <f t="shared" si="3"/>
        <v>23.721858999999998</v>
      </c>
      <c r="D35" s="30">
        <f t="shared" si="3"/>
        <v>21.468282394999999</v>
      </c>
      <c r="E35" s="127">
        <f t="shared" ref="E35:J35" si="5">$D35*Q24</f>
        <v>22.938231566992567</v>
      </c>
      <c r="F35" s="127">
        <f t="shared" si="5"/>
        <v>23.848890244350198</v>
      </c>
      <c r="G35" s="127">
        <f t="shared" si="5"/>
        <v>25.147813866540901</v>
      </c>
      <c r="H35" s="127">
        <f t="shared" si="5"/>
        <v>27.363167246112045</v>
      </c>
      <c r="I35" s="127">
        <f t="shared" si="5"/>
        <v>29.872449930637501</v>
      </c>
      <c r="J35" s="127">
        <f t="shared" si="5"/>
        <v>32.292028000476947</v>
      </c>
    </row>
    <row r="36" spans="2:22" x14ac:dyDescent="0.35">
      <c r="B36" s="5" t="s">
        <v>30</v>
      </c>
      <c r="C36" s="9">
        <f t="shared" ref="C36:J36" si="6">SUM(C30:C35)</f>
        <v>214.27317599999998</v>
      </c>
      <c r="D36" s="9">
        <f t="shared" si="6"/>
        <v>198.37349469</v>
      </c>
      <c r="E36" s="9">
        <f t="shared" si="6"/>
        <v>203.55423808600091</v>
      </c>
      <c r="F36" s="9">
        <f t="shared" si="6"/>
        <v>208.99798949196918</v>
      </c>
      <c r="G36" s="9">
        <f t="shared" si="6"/>
        <v>217.36937865860097</v>
      </c>
      <c r="H36" s="9">
        <f t="shared" si="6"/>
        <v>231.93617341857859</v>
      </c>
      <c r="I36" s="9">
        <f t="shared" si="6"/>
        <v>249.14655701826462</v>
      </c>
      <c r="J36" s="9">
        <f t="shared" si="6"/>
        <v>266.0125581647294</v>
      </c>
    </row>
    <row r="37" spans="2:22" x14ac:dyDescent="0.35">
      <c r="B37" s="124" t="s">
        <v>31</v>
      </c>
      <c r="C37" s="30">
        <f>G13</f>
        <v>114.881552</v>
      </c>
      <c r="D37" s="30">
        <f>H13</f>
        <v>96.546553000000003</v>
      </c>
      <c r="E37" s="127">
        <f t="shared" ref="E37:J37" si="7">$D37*K26</f>
        <v>104.25989581340812</v>
      </c>
      <c r="F37" s="127">
        <f t="shared" si="7"/>
        <v>106.60708616149519</v>
      </c>
      <c r="G37" s="127">
        <f t="shared" si="7"/>
        <v>110.2067375328923</v>
      </c>
      <c r="H37" s="127">
        <f t="shared" si="7"/>
        <v>115.63670922176382</v>
      </c>
      <c r="I37" s="127">
        <f t="shared" si="7"/>
        <v>122.24834664484293</v>
      </c>
      <c r="J37" s="127">
        <f t="shared" si="7"/>
        <v>128.76647766106458</v>
      </c>
    </row>
    <row r="38" spans="2:22" x14ac:dyDescent="0.35">
      <c r="E38" s="128">
        <f t="shared" ref="E38:J38" si="8">$D36*K25</f>
        <v>204.37161671098954</v>
      </c>
      <c r="F38" s="128">
        <f t="shared" si="8"/>
        <v>209.5137589667988</v>
      </c>
      <c r="G38" s="128">
        <f t="shared" si="8"/>
        <v>217.46102596933125</v>
      </c>
      <c r="H38" s="128">
        <f t="shared" si="8"/>
        <v>231.29875585456622</v>
      </c>
      <c r="I38" s="128">
        <f t="shared" si="8"/>
        <v>247.71412975563712</v>
      </c>
      <c r="J38" s="128">
        <f t="shared" si="8"/>
        <v>263.84238006570939</v>
      </c>
    </row>
    <row r="42" spans="2:22" x14ac:dyDescent="0.35">
      <c r="D42" s="423" t="s">
        <v>99</v>
      </c>
      <c r="E42" s="423"/>
      <c r="F42" s="423"/>
      <c r="G42" s="423"/>
      <c r="H42" s="423"/>
      <c r="I42" s="423"/>
      <c r="J42" s="423"/>
      <c r="K42" s="423" t="s">
        <v>100</v>
      </c>
      <c r="L42" s="423"/>
      <c r="M42" s="423"/>
      <c r="N42" s="423"/>
      <c r="O42" s="423"/>
      <c r="P42" s="423"/>
      <c r="Q42" s="423" t="s">
        <v>105</v>
      </c>
      <c r="R42" s="423"/>
      <c r="S42" s="423"/>
      <c r="T42" s="423"/>
      <c r="U42" s="423"/>
      <c r="V42" s="423"/>
    </row>
    <row r="43" spans="2:22" x14ac:dyDescent="0.35">
      <c r="B43" s="45" t="s">
        <v>4</v>
      </c>
      <c r="D43" s="125">
        <v>2020</v>
      </c>
      <c r="E43" s="125">
        <v>2025</v>
      </c>
      <c r="F43" s="125">
        <v>2030</v>
      </c>
      <c r="G43" s="125">
        <v>2035</v>
      </c>
      <c r="H43" s="125">
        <v>2040</v>
      </c>
      <c r="I43" s="125">
        <v>2045</v>
      </c>
      <c r="J43" s="126">
        <v>2050</v>
      </c>
      <c r="K43" s="125">
        <v>2025</v>
      </c>
      <c r="L43" s="125">
        <v>2030</v>
      </c>
      <c r="M43" s="125">
        <v>2035</v>
      </c>
      <c r="N43" s="125">
        <v>2040</v>
      </c>
      <c r="O43" s="125">
        <v>2045</v>
      </c>
      <c r="P43" s="126">
        <v>2050</v>
      </c>
      <c r="Q43" s="125">
        <v>2025</v>
      </c>
      <c r="R43" s="125">
        <v>2030</v>
      </c>
      <c r="S43" s="125">
        <v>2035</v>
      </c>
      <c r="T43" s="125">
        <v>2040</v>
      </c>
      <c r="U43" s="125">
        <v>2045</v>
      </c>
      <c r="V43" s="126">
        <v>2050</v>
      </c>
    </row>
    <row r="44" spans="2:22" x14ac:dyDescent="0.35">
      <c r="B44" s="123" t="s">
        <v>24</v>
      </c>
      <c r="D44" s="127">
        <v>3.5700125703579801</v>
      </c>
      <c r="E44" s="127">
        <v>3.4933934423402002</v>
      </c>
      <c r="F44" s="127">
        <v>3.4715369849334801</v>
      </c>
      <c r="G44" s="127">
        <v>3.4505072655960598</v>
      </c>
      <c r="H44" s="127">
        <v>3.4618509905789399</v>
      </c>
      <c r="I44" s="127">
        <v>3.47310186468893</v>
      </c>
      <c r="J44" s="127">
        <v>3.46706483272366</v>
      </c>
      <c r="K44" s="127">
        <f t="shared" ref="K44:P50" si="9">E44/$D44</f>
        <v>0.97853813494833242</v>
      </c>
      <c r="L44" s="127">
        <f t="shared" si="9"/>
        <v>0.97241589952871632</v>
      </c>
      <c r="M44" s="127">
        <f t="shared" si="9"/>
        <v>0.96652524258480776</v>
      </c>
      <c r="N44" s="127">
        <f t="shared" si="9"/>
        <v>0.96970274539728174</v>
      </c>
      <c r="O44" s="127">
        <f t="shared" si="9"/>
        <v>0.9728542396534664</v>
      </c>
      <c r="P44" s="127">
        <f t="shared" si="9"/>
        <v>0.97116320023937697</v>
      </c>
      <c r="Q44" s="127">
        <f>K44+0.019</f>
        <v>0.99753813494833243</v>
      </c>
      <c r="R44" s="127">
        <f>L44+0.028</f>
        <v>1.0004158995287162</v>
      </c>
      <c r="S44" s="127">
        <f>M44+0.039</f>
        <v>1.0055252425848078</v>
      </c>
      <c r="T44" s="127">
        <f>N44+0.056</f>
        <v>1.0257027453972818</v>
      </c>
      <c r="U44" s="127">
        <f>O44+0.074</f>
        <v>1.0468542396534664</v>
      </c>
      <c r="V44" s="127">
        <f>P44+0.091</f>
        <v>1.062163200239377</v>
      </c>
    </row>
    <row r="45" spans="2:22" x14ac:dyDescent="0.35">
      <c r="B45" s="123" t="s">
        <v>25</v>
      </c>
      <c r="D45" s="127">
        <v>37.402350687045001</v>
      </c>
      <c r="E45" s="127">
        <v>37.817504393641798</v>
      </c>
      <c r="F45" s="127">
        <v>38.813060806086597</v>
      </c>
      <c r="G45" s="127">
        <v>40.114145203087901</v>
      </c>
      <c r="H45" s="127">
        <v>42.020244254142099</v>
      </c>
      <c r="I45" s="127">
        <v>44.050363496616797</v>
      </c>
      <c r="J45" s="127">
        <v>46.001683843023201</v>
      </c>
      <c r="K45" s="127">
        <f t="shared" si="9"/>
        <v>1.0110996688435574</v>
      </c>
      <c r="L45" s="127">
        <f t="shared" si="9"/>
        <v>1.037717151278682</v>
      </c>
      <c r="M45" s="127">
        <f t="shared" si="9"/>
        <v>1.0725033177388548</v>
      </c>
      <c r="N45" s="127">
        <f t="shared" si="9"/>
        <v>1.1234653299129831</v>
      </c>
      <c r="O45" s="127">
        <f t="shared" si="9"/>
        <v>1.1777431815769392</v>
      </c>
      <c r="P45" s="127">
        <f t="shared" si="9"/>
        <v>1.2299142433033423</v>
      </c>
      <c r="Q45" s="127">
        <f>K45+0.019</f>
        <v>1.0300996688435573</v>
      </c>
      <c r="R45" s="127">
        <f>L45+0.028</f>
        <v>1.0657171512786821</v>
      </c>
      <c r="S45" s="127">
        <f>M45+0.039</f>
        <v>1.1115033177388547</v>
      </c>
      <c r="T45" s="127">
        <f>N45+0.056</f>
        <v>1.1794653299129831</v>
      </c>
      <c r="U45" s="127">
        <f>O45+0.074</f>
        <v>1.2517431815769393</v>
      </c>
      <c r="V45" s="127">
        <f>P45+0.091</f>
        <v>1.3209142433033423</v>
      </c>
    </row>
    <row r="46" spans="2:22" x14ac:dyDescent="0.35">
      <c r="B46" s="123" t="s">
        <v>26</v>
      </c>
      <c r="D46" s="127">
        <v>2.8732771731233901</v>
      </c>
      <c r="E46" s="127">
        <v>2.8641302085087399</v>
      </c>
      <c r="F46" s="127">
        <v>2.9225975429145499</v>
      </c>
      <c r="G46" s="127">
        <v>2.9584735062657099</v>
      </c>
      <c r="H46" s="127">
        <v>3.0072441565916601</v>
      </c>
      <c r="I46" s="127">
        <v>3.0410539169919302</v>
      </c>
      <c r="J46" s="127">
        <v>3.05145963665555</v>
      </c>
      <c r="K46" s="127">
        <f t="shared" si="9"/>
        <v>0.99681653942048787</v>
      </c>
      <c r="L46" s="127">
        <f t="shared" si="9"/>
        <v>1.0171651973754923</v>
      </c>
      <c r="M46" s="127">
        <f t="shared" si="9"/>
        <v>1.0296512755327769</v>
      </c>
      <c r="N46" s="127">
        <f t="shared" si="9"/>
        <v>1.0466251514895242</v>
      </c>
      <c r="O46" s="127">
        <f t="shared" si="9"/>
        <v>1.0583921194369699</v>
      </c>
      <c r="P46" s="127">
        <f t="shared" si="9"/>
        <v>1.0620136703826826</v>
      </c>
      <c r="Q46" s="127">
        <f>K46+0.019</f>
        <v>1.0158165394204879</v>
      </c>
      <c r="R46" s="127">
        <f>L46+0.028</f>
        <v>1.0451651973754923</v>
      </c>
      <c r="S46" s="127">
        <f>M46+0.039</f>
        <v>1.0686512755327768</v>
      </c>
      <c r="T46" s="127">
        <f>N46+0.056</f>
        <v>1.1026251514895242</v>
      </c>
      <c r="U46" s="127">
        <f>O46+0.074</f>
        <v>1.1323921194369699</v>
      </c>
      <c r="V46" s="127">
        <f>P46+0.091</f>
        <v>1.1530136703826825</v>
      </c>
    </row>
    <row r="47" spans="2:22" x14ac:dyDescent="0.35">
      <c r="B47" s="123" t="s">
        <v>27</v>
      </c>
      <c r="D47" s="127">
        <v>45.491181089476797</v>
      </c>
      <c r="E47" s="127">
        <v>50.277126826412001</v>
      </c>
      <c r="F47" s="127">
        <v>52.319456205522897</v>
      </c>
      <c r="G47" s="127">
        <v>55.048263498136997</v>
      </c>
      <c r="H47" s="127">
        <v>59.4860814144252</v>
      </c>
      <c r="I47" s="127">
        <v>65.195296867074504</v>
      </c>
      <c r="J47" s="127">
        <v>70.943164996815696</v>
      </c>
      <c r="K47" s="127">
        <f t="shared" si="9"/>
        <v>1.1052060118536318</v>
      </c>
      <c r="L47" s="127">
        <f t="shared" si="9"/>
        <v>1.1501010734941248</v>
      </c>
      <c r="M47" s="127">
        <f t="shared" si="9"/>
        <v>1.2100864866502881</v>
      </c>
      <c r="N47" s="127">
        <f t="shared" si="9"/>
        <v>1.3076398543581838</v>
      </c>
      <c r="O47" s="127">
        <f t="shared" si="9"/>
        <v>1.4331414420487698</v>
      </c>
      <c r="P47" s="127">
        <f t="shared" si="9"/>
        <v>1.5594927038116968</v>
      </c>
      <c r="Q47" s="127">
        <f>K47+0.019</f>
        <v>1.1242060118536317</v>
      </c>
      <c r="R47" s="127">
        <f>L47+0.028</f>
        <v>1.1781010734941249</v>
      </c>
      <c r="S47" s="127">
        <f>M47+0.039</f>
        <v>1.249086486650288</v>
      </c>
      <c r="T47" s="127">
        <f>N47+0.056</f>
        <v>1.3636398543581838</v>
      </c>
      <c r="U47" s="127">
        <f>O47+0.074</f>
        <v>1.5071414420487699</v>
      </c>
      <c r="V47" s="127">
        <f>P47+0.091</f>
        <v>1.6504927038116968</v>
      </c>
    </row>
    <row r="48" spans="2:22" x14ac:dyDescent="0.35">
      <c r="B48" s="123" t="s">
        <v>103</v>
      </c>
      <c r="D48" s="127">
        <v>128.933626055964</v>
      </c>
      <c r="E48" s="127">
        <v>143.52807567461701</v>
      </c>
      <c r="F48" s="127">
        <v>150.58465459783099</v>
      </c>
      <c r="G48" s="127">
        <v>159.54552846294899</v>
      </c>
      <c r="H48" s="127">
        <v>174.236282232934</v>
      </c>
      <c r="I48" s="127">
        <v>190.629542497431</v>
      </c>
      <c r="J48" s="127">
        <v>206.25475371463699</v>
      </c>
      <c r="K48" s="127">
        <f t="shared" si="9"/>
        <v>1.1131935094442955</v>
      </c>
      <c r="L48" s="127">
        <f t="shared" si="9"/>
        <v>1.1679238318518188</v>
      </c>
      <c r="M48" s="127">
        <f t="shared" si="9"/>
        <v>1.2374237298941535</v>
      </c>
      <c r="N48" s="127">
        <f t="shared" si="9"/>
        <v>1.351364167461685</v>
      </c>
      <c r="O48" s="127">
        <f t="shared" si="9"/>
        <v>1.4785091238703527</v>
      </c>
      <c r="P48" s="127">
        <f t="shared" si="9"/>
        <v>1.5996971466940015</v>
      </c>
      <c r="Q48" s="127">
        <f>K48+0.019</f>
        <v>1.1321935094442954</v>
      </c>
      <c r="R48" s="127">
        <f>L48+0.028</f>
        <v>1.1959238318518188</v>
      </c>
      <c r="S48" s="127">
        <f>M48+0.039</f>
        <v>1.2764237298941534</v>
      </c>
      <c r="T48" s="127">
        <f>N48+0.056</f>
        <v>1.407364167461685</v>
      </c>
      <c r="U48" s="127">
        <f>O48+0.074</f>
        <v>1.5525091238703528</v>
      </c>
      <c r="V48" s="127">
        <f>P48+0.091</f>
        <v>1.6906971466940015</v>
      </c>
    </row>
    <row r="49" spans="2:22" x14ac:dyDescent="0.35">
      <c r="B49" s="45" t="s">
        <v>104</v>
      </c>
      <c r="D49" s="127">
        <v>235.2055540394</v>
      </c>
      <c r="E49" s="127">
        <v>256.541708631711</v>
      </c>
      <c r="F49" s="127">
        <v>267.67386794099502</v>
      </c>
      <c r="G49" s="127">
        <v>281.87600193364102</v>
      </c>
      <c r="H49" s="127">
        <v>304.75119531725198</v>
      </c>
      <c r="I49" s="127">
        <v>331.01543103102398</v>
      </c>
      <c r="J49" s="127">
        <v>356.389900183279</v>
      </c>
      <c r="K49" s="127">
        <f t="shared" si="9"/>
        <v>1.09071280089218</v>
      </c>
      <c r="L49" s="127">
        <f t="shared" si="9"/>
        <v>1.1380422925563916</v>
      </c>
      <c r="M49" s="127">
        <f t="shared" si="9"/>
        <v>1.1984240894516593</v>
      </c>
      <c r="N49" s="127">
        <f t="shared" si="9"/>
        <v>1.2956802681037123</v>
      </c>
      <c r="O49" s="127">
        <f t="shared" si="9"/>
        <v>1.4073453000840896</v>
      </c>
      <c r="P49" s="127">
        <f t="shared" si="9"/>
        <v>1.5152274003001607</v>
      </c>
      <c r="Q49" s="127"/>
      <c r="R49" s="127"/>
      <c r="S49" s="127"/>
      <c r="T49" s="127"/>
      <c r="U49" s="127"/>
      <c r="V49" s="127"/>
    </row>
    <row r="50" spans="2:22" x14ac:dyDescent="0.35">
      <c r="B50" s="123" t="s">
        <v>31</v>
      </c>
      <c r="D50" s="127">
        <v>106.7</v>
      </c>
      <c r="E50" s="127">
        <v>115.224526796836</v>
      </c>
      <c r="F50" s="127">
        <v>117.81856254807499</v>
      </c>
      <c r="G50" s="127">
        <v>121.79677605641299</v>
      </c>
      <c r="H50" s="127">
        <v>127.797797959314</v>
      </c>
      <c r="I50" s="127">
        <v>135.10475704922101</v>
      </c>
      <c r="J50" s="127">
        <v>142.308376006294</v>
      </c>
      <c r="K50" s="127">
        <f t="shared" si="9"/>
        <v>1.0798924723227366</v>
      </c>
      <c r="L50" s="127">
        <f t="shared" si="9"/>
        <v>1.1042039601506559</v>
      </c>
      <c r="M50" s="127">
        <f t="shared" si="9"/>
        <v>1.1414880605099624</v>
      </c>
      <c r="N50" s="127">
        <f t="shared" si="9"/>
        <v>1.1977300652231864</v>
      </c>
      <c r="O50" s="127">
        <f t="shared" si="9"/>
        <v>1.2662114062719869</v>
      </c>
      <c r="P50" s="127">
        <f t="shared" si="9"/>
        <v>1.3337242362351827</v>
      </c>
      <c r="Q50" s="127">
        <f t="shared" ref="Q50:V50" si="10">K50/$D50</f>
        <v>1.012082916891037E-2</v>
      </c>
      <c r="R50" s="127">
        <f t="shared" si="10"/>
        <v>1.0348678164485998E-2</v>
      </c>
      <c r="S50" s="127">
        <f t="shared" si="10"/>
        <v>1.0698107408715674E-2</v>
      </c>
      <c r="T50" s="127">
        <f t="shared" si="10"/>
        <v>1.1225211482878972E-2</v>
      </c>
      <c r="U50" s="127">
        <f t="shared" si="10"/>
        <v>1.1867023488959577E-2</v>
      </c>
      <c r="V50" s="127">
        <f t="shared" si="10"/>
        <v>1.2499758540161037E-2</v>
      </c>
    </row>
    <row r="53" spans="2:22" x14ac:dyDescent="0.35">
      <c r="B53" s="45" t="s">
        <v>102</v>
      </c>
      <c r="C53" s="5">
        <v>2019</v>
      </c>
      <c r="D53" s="5">
        <v>2020</v>
      </c>
      <c r="E53" s="125">
        <v>2025</v>
      </c>
      <c r="F53" s="125">
        <v>2030</v>
      </c>
      <c r="G53" s="125">
        <v>2035</v>
      </c>
      <c r="H53" s="125">
        <v>2040</v>
      </c>
      <c r="I53" s="125">
        <v>2045</v>
      </c>
      <c r="J53" s="126">
        <v>2050</v>
      </c>
    </row>
    <row r="54" spans="2:22" x14ac:dyDescent="0.35">
      <c r="B54" s="123" t="s">
        <v>24</v>
      </c>
      <c r="C54" s="30">
        <f t="shared" ref="C54:D59" si="11">G6</f>
        <v>25.805907999999999</v>
      </c>
      <c r="D54" s="30">
        <f t="shared" si="11"/>
        <v>23.35434674</v>
      </c>
      <c r="E54" s="127">
        <f t="shared" ref="E54:J58" si="12">$D54*Q44</f>
        <v>23.296851489956268</v>
      </c>
      <c r="F54" s="127">
        <f t="shared" si="12"/>
        <v>23.364059801802643</v>
      </c>
      <c r="G54" s="127">
        <f t="shared" si="12"/>
        <v>23.483385171148214</v>
      </c>
      <c r="H54" s="127">
        <f t="shared" si="12"/>
        <v>23.954617568178058</v>
      </c>
      <c r="I54" s="127">
        <f t="shared" si="12"/>
        <v>24.448596899106111</v>
      </c>
      <c r="J54" s="127">
        <f t="shared" si="12"/>
        <v>24.806127672858462</v>
      </c>
    </row>
    <row r="55" spans="2:22" x14ac:dyDescent="0.35">
      <c r="B55" s="123" t="s">
        <v>25</v>
      </c>
      <c r="C55" s="30">
        <f t="shared" si="11"/>
        <v>47.173411999999999</v>
      </c>
      <c r="D55" s="30">
        <f t="shared" si="11"/>
        <v>44.246974000000002</v>
      </c>
      <c r="E55" s="127">
        <f t="shared" si="12"/>
        <v>45.578793264729491</v>
      </c>
      <c r="F55" s="127">
        <f t="shared" si="12"/>
        <v>47.154759083981915</v>
      </c>
      <c r="G55" s="127">
        <f t="shared" si="12"/>
        <v>49.180658400904846</v>
      </c>
      <c r="H55" s="127">
        <f t="shared" si="12"/>
        <v>52.187771786561186</v>
      </c>
      <c r="I55" s="127">
        <f t="shared" si="12"/>
        <v>55.385848009912117</v>
      </c>
      <c r="J55" s="127">
        <f t="shared" si="12"/>
        <v>58.446458179672661</v>
      </c>
    </row>
    <row r="56" spans="2:22" x14ac:dyDescent="0.35">
      <c r="B56" s="123" t="s">
        <v>26</v>
      </c>
      <c r="C56" s="30">
        <f t="shared" si="11"/>
        <v>8.3584969999999998</v>
      </c>
      <c r="D56" s="30">
        <f t="shared" si="11"/>
        <v>7.5644397850000002</v>
      </c>
      <c r="E56" s="127">
        <f t="shared" si="12"/>
        <v>7.6840830450533595</v>
      </c>
      <c r="F56" s="127">
        <f t="shared" si="12"/>
        <v>7.9060892009245514</v>
      </c>
      <c r="G56" s="127">
        <f t="shared" si="12"/>
        <v>8.083748224931135</v>
      </c>
      <c r="H56" s="127">
        <f t="shared" si="12"/>
        <v>8.3407415638690097</v>
      </c>
      <c r="I56" s="127">
        <f t="shared" si="12"/>
        <v>8.5659120004894866</v>
      </c>
      <c r="J56" s="127">
        <f t="shared" si="12"/>
        <v>8.7219024808916394</v>
      </c>
    </row>
    <row r="57" spans="2:22" x14ac:dyDescent="0.35">
      <c r="B57" s="123" t="s">
        <v>27</v>
      </c>
      <c r="C57" s="30">
        <f t="shared" si="11"/>
        <v>45.598266000000002</v>
      </c>
      <c r="D57" s="30">
        <f t="shared" si="11"/>
        <v>44.167665</v>
      </c>
      <c r="E57" s="127">
        <f t="shared" si="12"/>
        <v>49.653554522537235</v>
      </c>
      <c r="F57" s="127">
        <f t="shared" si="12"/>
        <v>52.033973550228886</v>
      </c>
      <c r="G57" s="127">
        <f t="shared" si="12"/>
        <v>55.169233498396892</v>
      </c>
      <c r="H57" s="127">
        <f t="shared" si="12"/>
        <v>60.228788267941049</v>
      </c>
      <c r="I57" s="127">
        <f t="shared" si="12"/>
        <v>66.566918320026986</v>
      </c>
      <c r="J57" s="127">
        <f t="shared" si="12"/>
        <v>72.898408826899242</v>
      </c>
    </row>
    <row r="58" spans="2:22" x14ac:dyDescent="0.35">
      <c r="B58" s="123" t="s">
        <v>28</v>
      </c>
      <c r="C58" s="30">
        <f t="shared" si="11"/>
        <v>63.615233999999994</v>
      </c>
      <c r="D58" s="30">
        <f t="shared" si="11"/>
        <v>57.571786769999996</v>
      </c>
      <c r="E58" s="127">
        <f t="shared" si="12"/>
        <v>65.182403308104952</v>
      </c>
      <c r="F58" s="127">
        <f t="shared" si="12"/>
        <v>68.851471840534245</v>
      </c>
      <c r="G58" s="127">
        <f t="shared" si="12"/>
        <v>73.485994805634263</v>
      </c>
      <c r="H58" s="127">
        <f t="shared" si="12"/>
        <v>81.024469756842691</v>
      </c>
      <c r="I58" s="127">
        <f t="shared" si="12"/>
        <v>89.380724237943454</v>
      </c>
      <c r="J58" s="127">
        <f t="shared" si="12"/>
        <v>97.336455622114457</v>
      </c>
    </row>
    <row r="59" spans="2:22" x14ac:dyDescent="0.35">
      <c r="B59" s="123" t="s">
        <v>29</v>
      </c>
      <c r="C59" s="30">
        <f t="shared" si="11"/>
        <v>23.721858999999998</v>
      </c>
      <c r="D59" s="30">
        <f t="shared" si="11"/>
        <v>21.468282394999999</v>
      </c>
      <c r="E59" s="127">
        <f t="shared" ref="E59:J59" si="13">$D59*Q48</f>
        <v>24.306249986536233</v>
      </c>
      <c r="F59" s="127">
        <f t="shared" si="13"/>
        <v>25.674430545105341</v>
      </c>
      <c r="G59" s="127">
        <f t="shared" si="13"/>
        <v>27.402625089046889</v>
      </c>
      <c r="H59" s="127">
        <f t="shared" si="13"/>
        <v>30.213691379671523</v>
      </c>
      <c r="I59" s="127">
        <f t="shared" si="13"/>
        <v>33.329704292062765</v>
      </c>
      <c r="J59" s="127">
        <f t="shared" si="13"/>
        <v>36.296363789647565</v>
      </c>
    </row>
    <row r="60" spans="2:22" x14ac:dyDescent="0.35">
      <c r="B60" s="5" t="s">
        <v>106</v>
      </c>
      <c r="C60" s="9">
        <f t="shared" ref="C60:J60" si="14">SUM(C54:C59)</f>
        <v>214.27317599999998</v>
      </c>
      <c r="D60" s="9">
        <f t="shared" si="14"/>
        <v>198.37349469</v>
      </c>
      <c r="E60" s="9">
        <f t="shared" si="14"/>
        <v>215.70193561691755</v>
      </c>
      <c r="F60" s="9">
        <f t="shared" si="14"/>
        <v>224.98478402257757</v>
      </c>
      <c r="G60" s="9">
        <f t="shared" si="14"/>
        <v>236.80564519006222</v>
      </c>
      <c r="H60" s="9">
        <f t="shared" si="14"/>
        <v>255.95008032306353</v>
      </c>
      <c r="I60" s="9">
        <f t="shared" si="14"/>
        <v>277.67770375954098</v>
      </c>
      <c r="J60" s="9">
        <f t="shared" si="14"/>
        <v>298.505716572084</v>
      </c>
    </row>
    <row r="61" spans="2:22" x14ac:dyDescent="0.35">
      <c r="B61" s="124" t="s">
        <v>31</v>
      </c>
      <c r="C61" s="30">
        <f>G13</f>
        <v>114.881552</v>
      </c>
      <c r="D61" s="30">
        <f>H13</f>
        <v>96.546553000000003</v>
      </c>
      <c r="E61" s="127">
        <f t="shared" ref="E61:J61" si="15">$D61*K50</f>
        <v>104.25989581340812</v>
      </c>
      <c r="F61" s="127">
        <f t="shared" si="15"/>
        <v>106.60708616149519</v>
      </c>
      <c r="G61" s="127">
        <f t="shared" si="15"/>
        <v>110.2067375328923</v>
      </c>
      <c r="H61" s="127">
        <f t="shared" si="15"/>
        <v>115.63670922176382</v>
      </c>
      <c r="I61" s="127">
        <f t="shared" si="15"/>
        <v>122.24834664484293</v>
      </c>
      <c r="J61" s="127">
        <f t="shared" si="15"/>
        <v>128.76647766106458</v>
      </c>
    </row>
    <row r="62" spans="2:22" x14ac:dyDescent="0.35">
      <c r="E62" s="128">
        <f t="shared" ref="E62:J62" si="16">$D60*K49</f>
        <v>216.36851001609992</v>
      </c>
      <c r="F62" s="128">
        <f t="shared" si="16"/>
        <v>225.75742667943078</v>
      </c>
      <c r="G62" s="128">
        <f t="shared" si="16"/>
        <v>237.73557474520683</v>
      </c>
      <c r="H62" s="128">
        <f t="shared" si="16"/>
        <v>257.02862278460952</v>
      </c>
      <c r="I62" s="128">
        <f t="shared" si="16"/>
        <v>279.1800054132276</v>
      </c>
      <c r="J62" s="128">
        <f t="shared" si="16"/>
        <v>300.58095464758645</v>
      </c>
    </row>
    <row r="63" spans="2:22" x14ac:dyDescent="0.35">
      <c r="B63" s="45" t="s">
        <v>107</v>
      </c>
      <c r="C63" s="45">
        <f t="shared" ref="C63:J63" si="17">C60/$C60</f>
        <v>1</v>
      </c>
      <c r="D63" s="45">
        <f t="shared" si="17"/>
        <v>0.92579714546257541</v>
      </c>
      <c r="E63" s="45">
        <f t="shared" si="17"/>
        <v>1.0066679350331633</v>
      </c>
      <c r="F63" s="45">
        <f t="shared" si="17"/>
        <v>1.0499904291453523</v>
      </c>
      <c r="G63" s="45">
        <f t="shared" si="17"/>
        <v>1.1051576758728878</v>
      </c>
      <c r="H63" s="45">
        <f t="shared" si="17"/>
        <v>1.1945036009689964</v>
      </c>
      <c r="I63" s="45">
        <f t="shared" si="17"/>
        <v>1.295905110211</v>
      </c>
      <c r="J63" s="45">
        <f t="shared" si="17"/>
        <v>1.3931081908828571</v>
      </c>
    </row>
    <row r="64" spans="2:22" x14ac:dyDescent="0.35">
      <c r="B64" s="45" t="s">
        <v>108</v>
      </c>
      <c r="C64" s="45">
        <v>1</v>
      </c>
      <c r="D64" s="45">
        <v>0.87866105410226403</v>
      </c>
      <c r="E64" s="45">
        <v>1.0403239832145601</v>
      </c>
      <c r="F64" s="45">
        <v>1.0806995602577301</v>
      </c>
      <c r="G64" s="45">
        <v>1.13623483809699</v>
      </c>
      <c r="H64" s="45">
        <v>1.2212969159425799</v>
      </c>
      <c r="I64" s="45">
        <v>1.3223143634158401</v>
      </c>
      <c r="J64" s="45">
        <v>1.4280889824139</v>
      </c>
    </row>
    <row r="66" spans="2:22" x14ac:dyDescent="0.35">
      <c r="B66" s="415" t="s">
        <v>109</v>
      </c>
      <c r="C66" s="415"/>
      <c r="D66" s="415"/>
      <c r="E66" s="415"/>
      <c r="G66" s="45" t="s">
        <v>110</v>
      </c>
    </row>
    <row r="67" spans="2:22" x14ac:dyDescent="0.35">
      <c r="G67" s="45" t="s">
        <v>111</v>
      </c>
    </row>
    <row r="69" spans="2:22" x14ac:dyDescent="0.35">
      <c r="B69" s="45" t="s">
        <v>112</v>
      </c>
      <c r="C69" s="45">
        <v>2019</v>
      </c>
      <c r="D69" s="61">
        <v>2020</v>
      </c>
      <c r="E69" s="61">
        <v>2025</v>
      </c>
      <c r="F69" s="45">
        <v>2030</v>
      </c>
      <c r="G69" s="61">
        <v>2035</v>
      </c>
      <c r="H69" s="61">
        <v>2040</v>
      </c>
      <c r="I69" s="61">
        <v>2045</v>
      </c>
      <c r="J69" s="45">
        <v>2050</v>
      </c>
      <c r="K69" s="45" t="s">
        <v>113</v>
      </c>
      <c r="N69" s="45" t="s">
        <v>114</v>
      </c>
      <c r="O69" s="45">
        <v>2019</v>
      </c>
      <c r="P69" s="61">
        <v>2020</v>
      </c>
      <c r="Q69" s="61">
        <v>2025</v>
      </c>
      <c r="R69" s="45">
        <v>2030</v>
      </c>
      <c r="S69" s="61">
        <v>2035</v>
      </c>
      <c r="T69" s="61">
        <v>2040</v>
      </c>
      <c r="U69" s="61">
        <v>2045</v>
      </c>
      <c r="V69" s="45">
        <v>2050</v>
      </c>
    </row>
    <row r="70" spans="2:22" x14ac:dyDescent="0.35">
      <c r="B70" s="43" t="s">
        <v>24</v>
      </c>
      <c r="C70" s="77">
        <v>0.92552547736913704</v>
      </c>
      <c r="D70" s="129">
        <f t="shared" ref="D70:D75" si="18">C70+(F70-C70)*1/11</f>
        <v>0.9068413430628518</v>
      </c>
      <c r="E70" s="129">
        <f t="shared" ref="E70:E75" si="19">C70+(F70-C70)*6/11</f>
        <v>0.81342067153142594</v>
      </c>
      <c r="F70" s="77">
        <v>0.72</v>
      </c>
      <c r="G70" s="129">
        <f t="shared" ref="G70:G75" si="20">F70+(J70-F70)*5/20</f>
        <v>0.67500000000000004</v>
      </c>
      <c r="H70" s="129">
        <f t="shared" ref="H70:H75" si="21">F70+(J70-F70)*10/20</f>
        <v>0.63</v>
      </c>
      <c r="I70" s="129">
        <f t="shared" ref="I70:I75" si="22">F70+(J70-F70)*15/20</f>
        <v>0.58499999999999996</v>
      </c>
      <c r="J70" s="77">
        <v>0.54</v>
      </c>
      <c r="K70" s="45" t="s">
        <v>115</v>
      </c>
      <c r="N70" s="43" t="s">
        <v>24</v>
      </c>
      <c r="O70" s="77">
        <f t="shared" ref="O70:V77" si="23">C70/$C70</f>
        <v>1</v>
      </c>
      <c r="P70" s="77">
        <f t="shared" si="23"/>
        <v>0.97981240412808945</v>
      </c>
      <c r="Q70" s="77">
        <f t="shared" si="23"/>
        <v>0.87887442476853705</v>
      </c>
      <c r="R70" s="77">
        <f t="shared" si="23"/>
        <v>0.77793644540898443</v>
      </c>
      <c r="S70" s="77">
        <f t="shared" si="23"/>
        <v>0.729315417570923</v>
      </c>
      <c r="T70" s="77">
        <f t="shared" si="23"/>
        <v>0.68069438973286145</v>
      </c>
      <c r="U70" s="77">
        <f t="shared" si="23"/>
        <v>0.6320733618947999</v>
      </c>
      <c r="V70" s="77">
        <f t="shared" si="23"/>
        <v>0.58345233405673846</v>
      </c>
    </row>
    <row r="71" spans="2:22" x14ac:dyDescent="0.35">
      <c r="B71" s="43" t="s">
        <v>25</v>
      </c>
      <c r="C71" s="77">
        <v>1.0186421329141899</v>
      </c>
      <c r="D71" s="129">
        <f t="shared" si="18"/>
        <v>1.0133110299219907</v>
      </c>
      <c r="E71" s="129">
        <f t="shared" si="19"/>
        <v>0.98665551496099535</v>
      </c>
      <c r="F71" s="77">
        <v>0.96</v>
      </c>
      <c r="G71" s="129">
        <f t="shared" si="20"/>
        <v>0.95</v>
      </c>
      <c r="H71" s="129">
        <f t="shared" si="21"/>
        <v>0.94</v>
      </c>
      <c r="I71" s="129">
        <f t="shared" si="22"/>
        <v>0.93</v>
      </c>
      <c r="J71" s="77">
        <v>0.92</v>
      </c>
      <c r="N71" s="43" t="s">
        <v>25</v>
      </c>
      <c r="O71" s="77">
        <f t="shared" si="23"/>
        <v>1</v>
      </c>
      <c r="P71" s="77">
        <f t="shared" si="23"/>
        <v>0.99476646133127478</v>
      </c>
      <c r="Q71" s="77">
        <f t="shared" si="23"/>
        <v>0.96859876798764899</v>
      </c>
      <c r="R71" s="77">
        <f t="shared" si="23"/>
        <v>0.9424310746440232</v>
      </c>
      <c r="S71" s="77">
        <f t="shared" si="23"/>
        <v>0.93261408428314796</v>
      </c>
      <c r="T71" s="77">
        <f t="shared" si="23"/>
        <v>0.92279709392227272</v>
      </c>
      <c r="U71" s="77">
        <f t="shared" si="23"/>
        <v>0.91298010356139758</v>
      </c>
      <c r="V71" s="77">
        <f t="shared" si="23"/>
        <v>0.90316311320052234</v>
      </c>
    </row>
    <row r="72" spans="2:22" x14ac:dyDescent="0.35">
      <c r="B72" s="43" t="s">
        <v>26</v>
      </c>
      <c r="C72" s="77">
        <v>0.733860088587031</v>
      </c>
      <c r="D72" s="129">
        <f t="shared" si="18"/>
        <v>0.72169098962457368</v>
      </c>
      <c r="E72" s="129">
        <f t="shared" si="19"/>
        <v>0.66084549481228683</v>
      </c>
      <c r="F72" s="77">
        <v>0.6</v>
      </c>
      <c r="G72" s="129">
        <f t="shared" si="20"/>
        <v>0.53500000000000003</v>
      </c>
      <c r="H72" s="129">
        <f t="shared" si="21"/>
        <v>0.47</v>
      </c>
      <c r="I72" s="129">
        <f t="shared" si="22"/>
        <v>0.40500000000000003</v>
      </c>
      <c r="J72" s="77">
        <v>0.34</v>
      </c>
      <c r="N72" s="43" t="s">
        <v>26</v>
      </c>
      <c r="O72" s="77">
        <f t="shared" si="23"/>
        <v>1</v>
      </c>
      <c r="P72" s="77">
        <f t="shared" si="23"/>
        <v>0.98341768526220352</v>
      </c>
      <c r="Q72" s="77">
        <f t="shared" si="23"/>
        <v>0.90050611157322102</v>
      </c>
      <c r="R72" s="77">
        <f t="shared" si="23"/>
        <v>0.81759453788423853</v>
      </c>
      <c r="S72" s="77">
        <f t="shared" si="23"/>
        <v>0.72902179628011277</v>
      </c>
      <c r="T72" s="77">
        <f t="shared" si="23"/>
        <v>0.6404490546759869</v>
      </c>
      <c r="U72" s="77">
        <f t="shared" si="23"/>
        <v>0.55187631307186102</v>
      </c>
      <c r="V72" s="77">
        <f t="shared" si="23"/>
        <v>0.46330357146773521</v>
      </c>
    </row>
    <row r="73" spans="2:22" x14ac:dyDescent="0.35">
      <c r="B73" s="43" t="s">
        <v>27</v>
      </c>
      <c r="C73" s="77">
        <v>0.75483998978846301</v>
      </c>
      <c r="D73" s="129">
        <f t="shared" si="18"/>
        <v>0.74621817253496636</v>
      </c>
      <c r="E73" s="129">
        <f t="shared" si="19"/>
        <v>0.70310908626748325</v>
      </c>
      <c r="F73" s="77">
        <v>0.66</v>
      </c>
      <c r="G73" s="129">
        <f t="shared" si="20"/>
        <v>0.6</v>
      </c>
      <c r="H73" s="129">
        <f t="shared" si="21"/>
        <v>0.54</v>
      </c>
      <c r="I73" s="129">
        <f t="shared" si="22"/>
        <v>0.48</v>
      </c>
      <c r="J73" s="77">
        <v>0.42</v>
      </c>
      <c r="N73" s="43" t="s">
        <v>27</v>
      </c>
      <c r="O73" s="77">
        <f t="shared" si="23"/>
        <v>1</v>
      </c>
      <c r="P73" s="77">
        <f t="shared" si="23"/>
        <v>0.98857795377810753</v>
      </c>
      <c r="Q73" s="77">
        <f t="shared" si="23"/>
        <v>0.93146772266864553</v>
      </c>
      <c r="R73" s="77">
        <f t="shared" si="23"/>
        <v>0.8743574915591833</v>
      </c>
      <c r="S73" s="77">
        <f t="shared" si="23"/>
        <v>0.79487044687198471</v>
      </c>
      <c r="T73" s="77">
        <f t="shared" si="23"/>
        <v>0.71538340218478635</v>
      </c>
      <c r="U73" s="77">
        <f t="shared" si="23"/>
        <v>0.63589635749758777</v>
      </c>
      <c r="V73" s="77">
        <f t="shared" si="23"/>
        <v>0.5564093128103893</v>
      </c>
    </row>
    <row r="74" spans="2:22" x14ac:dyDescent="0.35">
      <c r="B74" s="43" t="s">
        <v>28</v>
      </c>
      <c r="C74" s="77">
        <v>0.84</v>
      </c>
      <c r="D74" s="129">
        <f t="shared" si="18"/>
        <v>0.83181818181818179</v>
      </c>
      <c r="E74" s="129">
        <f t="shared" si="19"/>
        <v>0.79090909090909089</v>
      </c>
      <c r="F74" s="77">
        <v>0.75</v>
      </c>
      <c r="G74" s="129">
        <f t="shared" si="20"/>
        <v>0.70250000000000001</v>
      </c>
      <c r="H74" s="129">
        <f t="shared" si="21"/>
        <v>0.65500000000000003</v>
      </c>
      <c r="I74" s="129">
        <f t="shared" si="22"/>
        <v>0.60750000000000004</v>
      </c>
      <c r="J74" s="77">
        <v>0.56000000000000005</v>
      </c>
      <c r="K74" s="45" t="s">
        <v>116</v>
      </c>
      <c r="N74" s="43" t="s">
        <v>28</v>
      </c>
      <c r="O74" s="77">
        <f t="shared" si="23"/>
        <v>1</v>
      </c>
      <c r="P74" s="77">
        <f t="shared" si="23"/>
        <v>0.99025974025974028</v>
      </c>
      <c r="Q74" s="77">
        <f t="shared" si="23"/>
        <v>0.94155844155844159</v>
      </c>
      <c r="R74" s="77">
        <f t="shared" si="23"/>
        <v>0.8928571428571429</v>
      </c>
      <c r="S74" s="77">
        <f t="shared" si="23"/>
        <v>0.83630952380952384</v>
      </c>
      <c r="T74" s="77">
        <f t="shared" si="23"/>
        <v>0.77976190476190477</v>
      </c>
      <c r="U74" s="77">
        <f t="shared" si="23"/>
        <v>0.72321428571428581</v>
      </c>
      <c r="V74" s="77">
        <f t="shared" si="23"/>
        <v>0.66666666666666674</v>
      </c>
    </row>
    <row r="75" spans="2:22" x14ac:dyDescent="0.35">
      <c r="B75" s="43" t="s">
        <v>29</v>
      </c>
      <c r="C75" s="77">
        <v>0.8</v>
      </c>
      <c r="D75" s="129">
        <f t="shared" si="18"/>
        <v>0.79272727272727272</v>
      </c>
      <c r="E75" s="129">
        <f t="shared" si="19"/>
        <v>0.75636363636363635</v>
      </c>
      <c r="F75" s="77">
        <v>0.72</v>
      </c>
      <c r="G75" s="129">
        <f t="shared" si="20"/>
        <v>0.66749999999999998</v>
      </c>
      <c r="H75" s="129">
        <f t="shared" si="21"/>
        <v>0.61499999999999999</v>
      </c>
      <c r="I75" s="129">
        <f t="shared" si="22"/>
        <v>0.5625</v>
      </c>
      <c r="J75" s="77">
        <v>0.51</v>
      </c>
      <c r="K75" s="45" t="s">
        <v>117</v>
      </c>
      <c r="N75" s="43" t="s">
        <v>29</v>
      </c>
      <c r="O75" s="77">
        <f t="shared" si="23"/>
        <v>1</v>
      </c>
      <c r="P75" s="77">
        <f t="shared" si="23"/>
        <v>0.99090909090909085</v>
      </c>
      <c r="Q75" s="77">
        <f t="shared" si="23"/>
        <v>0.94545454545454544</v>
      </c>
      <c r="R75" s="77">
        <f t="shared" si="23"/>
        <v>0.89999999999999991</v>
      </c>
      <c r="S75" s="77">
        <f t="shared" si="23"/>
        <v>0.83437499999999998</v>
      </c>
      <c r="T75" s="77">
        <f t="shared" si="23"/>
        <v>0.76874999999999993</v>
      </c>
      <c r="U75" s="77">
        <f t="shared" si="23"/>
        <v>0.703125</v>
      </c>
      <c r="V75" s="77">
        <f t="shared" si="23"/>
        <v>0.63749999999999996</v>
      </c>
    </row>
    <row r="76" spans="2:22" x14ac:dyDescent="0.35">
      <c r="B76" s="43" t="s">
        <v>30</v>
      </c>
      <c r="C76" s="130">
        <f t="shared" ref="C76:J76" si="24">SUMPRODUCT(C54:C59,C70:C75)/C60</f>
        <v>0.8629381406464518</v>
      </c>
      <c r="D76" s="131">
        <f t="shared" si="24"/>
        <v>0.85364372124189114</v>
      </c>
      <c r="E76" s="131">
        <f t="shared" si="24"/>
        <v>0.80596534198198233</v>
      </c>
      <c r="F76" s="130">
        <f t="shared" si="24"/>
        <v>0.76138909775032848</v>
      </c>
      <c r="G76" s="131">
        <f t="shared" si="24"/>
        <v>0.71752689566282524</v>
      </c>
      <c r="H76" s="131">
        <f t="shared" si="24"/>
        <v>0.67295957250276117</v>
      </c>
      <c r="I76" s="131">
        <f t="shared" si="24"/>
        <v>0.62763170851759198</v>
      </c>
      <c r="J76" s="130">
        <f t="shared" si="24"/>
        <v>0.58212751064211377</v>
      </c>
      <c r="K76" s="45" t="s">
        <v>118</v>
      </c>
      <c r="N76" s="43" t="s">
        <v>30</v>
      </c>
      <c r="O76" s="77">
        <f t="shared" si="23"/>
        <v>1</v>
      </c>
      <c r="P76" s="77">
        <f t="shared" si="23"/>
        <v>0.98922933294199056</v>
      </c>
      <c r="Q76" s="77">
        <f t="shared" si="23"/>
        <v>0.93397811965781286</v>
      </c>
      <c r="R76" s="77">
        <f t="shared" si="23"/>
        <v>0.88232175852135819</v>
      </c>
      <c r="S76" s="77">
        <f t="shared" si="23"/>
        <v>0.831492851996674</v>
      </c>
      <c r="T76" s="77">
        <f t="shared" si="23"/>
        <v>0.77984682888002588</v>
      </c>
      <c r="U76" s="77">
        <f t="shared" si="23"/>
        <v>0.72731946701001648</v>
      </c>
      <c r="V76" s="77">
        <f t="shared" si="23"/>
        <v>0.67458776385295161</v>
      </c>
    </row>
    <row r="77" spans="2:22" x14ac:dyDescent="0.35">
      <c r="B77" s="132" t="s">
        <v>31</v>
      </c>
      <c r="C77" s="130">
        <v>1</v>
      </c>
      <c r="D77" s="131">
        <v>1</v>
      </c>
      <c r="E77" s="131">
        <v>1</v>
      </c>
      <c r="F77" s="130">
        <v>1</v>
      </c>
      <c r="G77" s="131">
        <v>1</v>
      </c>
      <c r="H77" s="131">
        <v>1</v>
      </c>
      <c r="I77" s="131">
        <v>1</v>
      </c>
      <c r="J77" s="45">
        <v>1</v>
      </c>
      <c r="N77" s="132" t="s">
        <v>31</v>
      </c>
      <c r="O77" s="77">
        <f t="shared" si="23"/>
        <v>1</v>
      </c>
      <c r="P77" s="77">
        <f t="shared" si="23"/>
        <v>1</v>
      </c>
      <c r="Q77" s="77">
        <f t="shared" si="23"/>
        <v>1</v>
      </c>
      <c r="R77" s="77">
        <f t="shared" si="23"/>
        <v>1</v>
      </c>
      <c r="S77" s="77">
        <f t="shared" si="23"/>
        <v>1</v>
      </c>
      <c r="T77" s="77">
        <f t="shared" si="23"/>
        <v>1</v>
      </c>
      <c r="U77" s="77">
        <f t="shared" si="23"/>
        <v>1</v>
      </c>
      <c r="V77" s="77">
        <f t="shared" si="23"/>
        <v>1</v>
      </c>
    </row>
    <row r="81" spans="2:11" x14ac:dyDescent="0.35">
      <c r="B81" s="415" t="s">
        <v>119</v>
      </c>
      <c r="C81" s="415"/>
      <c r="D81" s="415"/>
      <c r="E81" s="415"/>
    </row>
    <row r="83" spans="2:11" x14ac:dyDescent="0.35">
      <c r="B83" s="45" t="s">
        <v>3</v>
      </c>
      <c r="C83" s="5">
        <v>2019</v>
      </c>
      <c r="D83" s="5">
        <v>2020</v>
      </c>
      <c r="E83" s="125">
        <v>2025</v>
      </c>
      <c r="F83" s="125">
        <v>2030</v>
      </c>
      <c r="G83" s="125">
        <v>2035</v>
      </c>
      <c r="H83" s="125">
        <v>2040</v>
      </c>
      <c r="I83" s="125">
        <v>2045</v>
      </c>
      <c r="J83" s="126">
        <v>2050</v>
      </c>
    </row>
    <row r="84" spans="2:11" x14ac:dyDescent="0.35">
      <c r="B84" s="43" t="s">
        <v>24</v>
      </c>
      <c r="C84" s="119">
        <f t="shared" ref="C84:J91" si="25">C30*O70</f>
        <v>25.805907999999999</v>
      </c>
      <c r="D84" s="119">
        <f t="shared" si="25"/>
        <v>22.882878626160409</v>
      </c>
      <c r="E84" s="119">
        <f t="shared" si="25"/>
        <v>19.320310167167275</v>
      </c>
      <c r="F84" s="119">
        <f t="shared" si="25"/>
        <v>16.886408676470115</v>
      </c>
      <c r="G84" s="119">
        <f t="shared" si="25"/>
        <v>15.731355705185473</v>
      </c>
      <c r="H84" s="119">
        <f t="shared" si="25"/>
        <v>14.802343878621684</v>
      </c>
      <c r="I84" s="119">
        <f t="shared" si="25"/>
        <v>13.917376001731848</v>
      </c>
      <c r="J84" s="119">
        <f t="shared" si="25"/>
        <v>12.978395921745507</v>
      </c>
      <c r="K84" s="175">
        <f t="shared" ref="K84:K89" si="26">(J84/C84)^(1/31)-1</f>
        <v>-2.1927545111208202E-2</v>
      </c>
    </row>
    <row r="85" spans="2:11" x14ac:dyDescent="0.35">
      <c r="B85" s="43" t="s">
        <v>25</v>
      </c>
      <c r="C85" s="119">
        <f t="shared" si="25"/>
        <v>47.173411999999999</v>
      </c>
      <c r="D85" s="119">
        <f t="shared" si="25"/>
        <v>44.015405750596919</v>
      </c>
      <c r="E85" s="119">
        <f t="shared" si="25"/>
        <v>41.65916641110362</v>
      </c>
      <c r="F85" s="119">
        <f t="shared" si="25"/>
        <v>41.284872213016065</v>
      </c>
      <c r="G85" s="119">
        <f t="shared" si="25"/>
        <v>42.11286569989295</v>
      </c>
      <c r="H85" s="119">
        <f t="shared" si="25"/>
        <v>43.668763107961574</v>
      </c>
      <c r="I85" s="119">
        <f t="shared" si="25"/>
        <v>45.430099605516808</v>
      </c>
      <c r="J85" s="119">
        <f t="shared" si="25"/>
        <v>47.138960585074848</v>
      </c>
      <c r="K85" s="175">
        <f t="shared" si="26"/>
        <v>-2.3566853190049031E-5</v>
      </c>
    </row>
    <row r="86" spans="2:11" x14ac:dyDescent="0.35">
      <c r="B86" s="43" t="s">
        <v>26</v>
      </c>
      <c r="C86" s="119">
        <f t="shared" si="25"/>
        <v>8.3584969999999998</v>
      </c>
      <c r="D86" s="119">
        <f t="shared" si="25"/>
        <v>7.4390038636700204</v>
      </c>
      <c r="E86" s="119">
        <f t="shared" si="25"/>
        <v>6.5294501241864626</v>
      </c>
      <c r="F86" s="119">
        <f t="shared" si="25"/>
        <v>6.0051555334806963</v>
      </c>
      <c r="G86" s="119">
        <f t="shared" si="25"/>
        <v>5.4117417273408828</v>
      </c>
      <c r="H86" s="119">
        <f t="shared" si="25"/>
        <v>4.8463468821766362</v>
      </c>
      <c r="I86" s="119">
        <f t="shared" si="25"/>
        <v>4.2527118773268473</v>
      </c>
      <c r="J86" s="119">
        <f t="shared" si="25"/>
        <v>3.6175119985811888</v>
      </c>
      <c r="K86" s="175">
        <f t="shared" si="26"/>
        <v>-2.6654210616906204E-2</v>
      </c>
    </row>
    <row r="87" spans="2:11" x14ac:dyDescent="0.35">
      <c r="B87" s="43" t="s">
        <v>27</v>
      </c>
      <c r="C87" s="119">
        <f t="shared" si="25"/>
        <v>45.598266000000002</v>
      </c>
      <c r="D87" s="119">
        <f t="shared" si="25"/>
        <v>43.663179888856938</v>
      </c>
      <c r="E87" s="119">
        <f t="shared" si="25"/>
        <v>43.6473009236636</v>
      </c>
      <c r="F87" s="119">
        <f t="shared" si="25"/>
        <v>42.261935550318171</v>
      </c>
      <c r="G87" s="119">
        <f t="shared" si="25"/>
        <v>40.24689792940309</v>
      </c>
      <c r="H87" s="119">
        <f t="shared" si="25"/>
        <v>39.029601124084444</v>
      </c>
      <c r="I87" s="119">
        <f t="shared" si="25"/>
        <v>37.950292101089481</v>
      </c>
      <c r="J87" s="119">
        <f t="shared" si="25"/>
        <v>36.098249390219841</v>
      </c>
      <c r="K87" s="175">
        <f t="shared" si="26"/>
        <v>-7.5079738928894857E-3</v>
      </c>
    </row>
    <row r="88" spans="2:11" x14ac:dyDescent="0.35">
      <c r="B88" s="43" t="s">
        <v>28</v>
      </c>
      <c r="C88" s="119">
        <f t="shared" si="25"/>
        <v>63.615233999999994</v>
      </c>
      <c r="D88" s="119">
        <f t="shared" si="25"/>
        <v>57.01102261314935</v>
      </c>
      <c r="E88" s="119">
        <f t="shared" si="25"/>
        <v>57.918809025891882</v>
      </c>
      <c r="F88" s="119">
        <f t="shared" si="25"/>
        <v>57.103478059694062</v>
      </c>
      <c r="G88" s="119">
        <f t="shared" si="25"/>
        <v>56.400075918083559</v>
      </c>
      <c r="H88" s="119">
        <f t="shared" si="25"/>
        <v>57.219069059658899</v>
      </c>
      <c r="I88" s="119">
        <f t="shared" si="25"/>
        <v>57.936232046777846</v>
      </c>
      <c r="J88" s="119">
        <f t="shared" si="25"/>
        <v>57.731982348288781</v>
      </c>
      <c r="K88" s="175">
        <f t="shared" si="26"/>
        <v>-3.1254817135593083E-3</v>
      </c>
    </row>
    <row r="89" spans="2:11" x14ac:dyDescent="0.35">
      <c r="B89" s="43" t="s">
        <v>29</v>
      </c>
      <c r="C89" s="119">
        <f t="shared" si="25"/>
        <v>23.721858999999998</v>
      </c>
      <c r="D89" s="119">
        <f t="shared" si="25"/>
        <v>21.273116191409088</v>
      </c>
      <c r="E89" s="119">
        <f t="shared" si="25"/>
        <v>21.687055299702063</v>
      </c>
      <c r="F89" s="119">
        <f t="shared" si="25"/>
        <v>21.464001219915176</v>
      </c>
      <c r="G89" s="119">
        <f t="shared" si="25"/>
        <v>20.982707194895063</v>
      </c>
      <c r="H89" s="119">
        <f t="shared" si="25"/>
        <v>21.035434820448632</v>
      </c>
      <c r="I89" s="119">
        <f t="shared" si="25"/>
        <v>21.004066357479491</v>
      </c>
      <c r="J89" s="119">
        <f t="shared" si="25"/>
        <v>20.586167850304051</v>
      </c>
      <c r="K89" s="175">
        <f t="shared" si="26"/>
        <v>-4.5630271957672885E-3</v>
      </c>
    </row>
    <row r="90" spans="2:11" x14ac:dyDescent="0.35">
      <c r="B90" s="43" t="s">
        <v>30</v>
      </c>
      <c r="C90" s="119">
        <f t="shared" si="25"/>
        <v>214.27317599999998</v>
      </c>
      <c r="D90" s="119">
        <f t="shared" si="25"/>
        <v>196.23687982556021</v>
      </c>
      <c r="E90" s="119">
        <f t="shared" si="25"/>
        <v>190.11520453594187</v>
      </c>
      <c r="F90" s="119">
        <f t="shared" si="25"/>
        <v>184.40347361598259</v>
      </c>
      <c r="G90" s="119">
        <f t="shared" si="25"/>
        <v>180.74108459758509</v>
      </c>
      <c r="H90" s="119">
        <f t="shared" si="25"/>
        <v>180.87468934304627</v>
      </c>
      <c r="I90" s="119">
        <f t="shared" si="25"/>
        <v>181.2091410579049</v>
      </c>
      <c r="J90" s="119">
        <f t="shared" si="25"/>
        <v>179.44881676914804</v>
      </c>
      <c r="K90" s="175">
        <f>(J90/C90)^(1/31)-1</f>
        <v>-5.7050094479532687E-3</v>
      </c>
    </row>
    <row r="91" spans="2:11" x14ac:dyDescent="0.35">
      <c r="B91" s="132" t="s">
        <v>31</v>
      </c>
      <c r="C91" s="119">
        <f t="shared" si="25"/>
        <v>114.881552</v>
      </c>
      <c r="D91" s="119">
        <f t="shared" si="25"/>
        <v>96.546553000000003</v>
      </c>
      <c r="E91" s="119">
        <f t="shared" si="25"/>
        <v>104.25989581340812</v>
      </c>
      <c r="F91" s="119">
        <f t="shared" si="25"/>
        <v>106.60708616149519</v>
      </c>
      <c r="G91" s="119">
        <f t="shared" si="25"/>
        <v>110.2067375328923</v>
      </c>
      <c r="H91" s="119">
        <f t="shared" si="25"/>
        <v>115.63670922176382</v>
      </c>
      <c r="I91" s="119">
        <f t="shared" si="25"/>
        <v>122.24834664484293</v>
      </c>
      <c r="J91" s="119">
        <f t="shared" si="25"/>
        <v>128.76647766106458</v>
      </c>
    </row>
    <row r="93" spans="2:11" x14ac:dyDescent="0.35">
      <c r="B93" s="45" t="s">
        <v>120</v>
      </c>
      <c r="C93" s="119">
        <f t="shared" ref="C93:J93" si="27">C90+C91</f>
        <v>329.15472799999998</v>
      </c>
      <c r="D93" s="119">
        <f t="shared" si="27"/>
        <v>292.78343282556023</v>
      </c>
      <c r="E93" s="119">
        <f t="shared" si="27"/>
        <v>294.37510034934996</v>
      </c>
      <c r="F93" s="119">
        <f t="shared" si="27"/>
        <v>291.01055977747779</v>
      </c>
      <c r="G93" s="119">
        <f t="shared" si="27"/>
        <v>290.94782213047739</v>
      </c>
      <c r="H93" s="119">
        <f t="shared" si="27"/>
        <v>296.51139856481007</v>
      </c>
      <c r="I93" s="119">
        <f t="shared" si="27"/>
        <v>303.45748770274781</v>
      </c>
      <c r="J93" s="119">
        <f t="shared" si="27"/>
        <v>308.21529443021262</v>
      </c>
    </row>
    <row r="94" spans="2:11" x14ac:dyDescent="0.35">
      <c r="B94" s="45" t="s">
        <v>121</v>
      </c>
      <c r="C94" s="45">
        <f t="shared" ref="C94:J94" si="28">C93/$C93</f>
        <v>1</v>
      </c>
      <c r="D94" s="77">
        <f t="shared" si="28"/>
        <v>0.88950091832057854</v>
      </c>
      <c r="E94" s="77">
        <f t="shared" si="28"/>
        <v>0.89433653934738555</v>
      </c>
      <c r="F94" s="77">
        <f t="shared" si="28"/>
        <v>0.88411477953152118</v>
      </c>
      <c r="G94" s="77">
        <f t="shared" si="28"/>
        <v>0.88392417723520411</v>
      </c>
      <c r="H94" s="77">
        <f t="shared" si="28"/>
        <v>0.90082679463990589</v>
      </c>
      <c r="I94" s="77">
        <f t="shared" si="28"/>
        <v>0.92192960297610504</v>
      </c>
      <c r="J94" s="77">
        <f t="shared" si="28"/>
        <v>0.93638422362328222</v>
      </c>
    </row>
    <row r="96" spans="2:11" x14ac:dyDescent="0.35">
      <c r="B96" s="45" t="s">
        <v>4</v>
      </c>
      <c r="C96" s="5">
        <v>2019</v>
      </c>
      <c r="D96" s="5">
        <v>2020</v>
      </c>
      <c r="E96" s="125">
        <v>2025</v>
      </c>
      <c r="F96" s="125">
        <v>2030</v>
      </c>
      <c r="G96" s="125">
        <v>2035</v>
      </c>
      <c r="H96" s="125">
        <v>2040</v>
      </c>
      <c r="I96" s="125">
        <v>2045</v>
      </c>
      <c r="J96" s="126">
        <v>2050</v>
      </c>
    </row>
    <row r="97" spans="2:11" x14ac:dyDescent="0.35">
      <c r="B97" s="43" t="s">
        <v>24</v>
      </c>
      <c r="C97" s="119">
        <f t="shared" ref="C97:J104" si="29">O70*C54</f>
        <v>25.805907999999999</v>
      </c>
      <c r="D97" s="119">
        <f t="shared" si="29"/>
        <v>22.882878626160409</v>
      </c>
      <c r="E97" s="119">
        <f t="shared" si="29"/>
        <v>20.47500695215335</v>
      </c>
      <c r="F97" s="119">
        <f t="shared" si="29"/>
        <v>18.17575363253729</v>
      </c>
      <c r="G97" s="119">
        <f t="shared" si="29"/>
        <v>17.126794862074782</v>
      </c>
      <c r="H97" s="119">
        <f t="shared" si="29"/>
        <v>16.305773786855045</v>
      </c>
      <c r="I97" s="119">
        <f t="shared" si="29"/>
        <v>15.45330683562878</v>
      </c>
      <c r="J97" s="119">
        <f t="shared" si="29"/>
        <v>14.47319308963872</v>
      </c>
      <c r="K97" s="175">
        <f t="shared" ref="K97:K102" si="30">(J97/C97)^(1/31)-1</f>
        <v>-1.8482081090890001E-2</v>
      </c>
    </row>
    <row r="98" spans="2:11" x14ac:dyDescent="0.35">
      <c r="B98" s="43" t="s">
        <v>25</v>
      </c>
      <c r="C98" s="119">
        <f t="shared" si="29"/>
        <v>47.173411999999999</v>
      </c>
      <c r="D98" s="119">
        <f t="shared" si="29"/>
        <v>44.015405750596919</v>
      </c>
      <c r="E98" s="119">
        <f t="shared" si="29"/>
        <v>44.147563002580739</v>
      </c>
      <c r="F98" s="119">
        <f t="shared" si="29"/>
        <v>44.440110278097094</v>
      </c>
      <c r="G98" s="119">
        <f t="shared" si="29"/>
        <v>45.866574699002179</v>
      </c>
      <c r="H98" s="119">
        <f t="shared" si="29"/>
        <v>48.158724142917436</v>
      </c>
      <c r="I98" s="119">
        <f t="shared" si="29"/>
        <v>50.566177251925389</v>
      </c>
      <c r="J98" s="119">
        <f t="shared" si="29"/>
        <v>52.786685125097293</v>
      </c>
      <c r="K98" s="175">
        <f t="shared" si="30"/>
        <v>3.6333120972902311E-3</v>
      </c>
    </row>
    <row r="99" spans="2:11" x14ac:dyDescent="0.35">
      <c r="B99" s="43" t="s">
        <v>26</v>
      </c>
      <c r="C99" s="119">
        <f t="shared" si="29"/>
        <v>8.3584969999999998</v>
      </c>
      <c r="D99" s="119">
        <f t="shared" si="29"/>
        <v>7.4390038636700204</v>
      </c>
      <c r="E99" s="119">
        <f t="shared" si="29"/>
        <v>6.9195637439067168</v>
      </c>
      <c r="F99" s="119">
        <f t="shared" si="29"/>
        <v>6.4639753467014769</v>
      </c>
      <c r="G99" s="119">
        <f t="shared" si="29"/>
        <v>5.8932286516154688</v>
      </c>
      <c r="H99" s="119">
        <f t="shared" si="29"/>
        <v>5.3418200498766195</v>
      </c>
      <c r="I99" s="119">
        <f t="shared" si="29"/>
        <v>4.7273239329281473</v>
      </c>
      <c r="J99" s="119">
        <f t="shared" si="29"/>
        <v>4.0408885693903969</v>
      </c>
      <c r="K99" s="175">
        <f t="shared" si="30"/>
        <v>-2.3172900475390001E-2</v>
      </c>
    </row>
    <row r="100" spans="2:11" x14ac:dyDescent="0.35">
      <c r="B100" s="43" t="s">
        <v>27</v>
      </c>
      <c r="C100" s="119">
        <f t="shared" si="29"/>
        <v>45.598266000000002</v>
      </c>
      <c r="D100" s="119">
        <f t="shared" si="29"/>
        <v>43.663179888856938</v>
      </c>
      <c r="E100" s="119">
        <f t="shared" si="29"/>
        <v>46.250683353511185</v>
      </c>
      <c r="F100" s="119">
        <f t="shared" si="29"/>
        <v>45.496294589235021</v>
      </c>
      <c r="G100" s="119">
        <f t="shared" si="29"/>
        <v>43.852393284455609</v>
      </c>
      <c r="H100" s="119">
        <f t="shared" si="29"/>
        <v>43.086675460586811</v>
      </c>
      <c r="I100" s="119">
        <f t="shared" si="29"/>
        <v>42.329660889544606</v>
      </c>
      <c r="J100" s="119">
        <f t="shared" si="29"/>
        <v>40.561353560345822</v>
      </c>
      <c r="K100" s="175">
        <f t="shared" si="30"/>
        <v>-3.7688142845659911E-3</v>
      </c>
    </row>
    <row r="101" spans="2:11" x14ac:dyDescent="0.35">
      <c r="B101" s="43" t="s">
        <v>28</v>
      </c>
      <c r="C101" s="119">
        <f t="shared" si="29"/>
        <v>63.615233999999994</v>
      </c>
      <c r="D101" s="119">
        <f t="shared" si="29"/>
        <v>57.01102261314935</v>
      </c>
      <c r="E101" s="119">
        <f t="shared" si="29"/>
        <v>61.373042075813103</v>
      </c>
      <c r="F101" s="119">
        <f t="shared" si="29"/>
        <v>61.474528429048434</v>
      </c>
      <c r="G101" s="119">
        <f t="shared" si="29"/>
        <v>61.457037322569136</v>
      </c>
      <c r="H101" s="119">
        <f t="shared" si="29"/>
        <v>63.179794869919007</v>
      </c>
      <c r="I101" s="119">
        <f t="shared" si="29"/>
        <v>64.641416636369826</v>
      </c>
      <c r="J101" s="119">
        <f t="shared" si="29"/>
        <v>64.890970414742981</v>
      </c>
      <c r="K101" s="175">
        <f t="shared" si="30"/>
        <v>6.407055939188222E-4</v>
      </c>
    </row>
    <row r="102" spans="2:11" x14ac:dyDescent="0.35">
      <c r="B102" s="43" t="s">
        <v>29</v>
      </c>
      <c r="C102" s="119">
        <f t="shared" si="29"/>
        <v>23.721858999999998</v>
      </c>
      <c r="D102" s="119">
        <f t="shared" si="29"/>
        <v>21.273116191409088</v>
      </c>
      <c r="E102" s="119">
        <f t="shared" si="29"/>
        <v>22.980454532725165</v>
      </c>
      <c r="F102" s="119">
        <f t="shared" si="29"/>
        <v>23.106987490594804</v>
      </c>
      <c r="G102" s="119">
        <f t="shared" si="29"/>
        <v>22.864065308673499</v>
      </c>
      <c r="H102" s="119">
        <f t="shared" si="29"/>
        <v>23.226775248122483</v>
      </c>
      <c r="I102" s="119">
        <f t="shared" si="29"/>
        <v>23.434948330356633</v>
      </c>
      <c r="J102" s="119">
        <f t="shared" si="29"/>
        <v>23.138931915900322</v>
      </c>
      <c r="K102" s="175">
        <f t="shared" si="30"/>
        <v>-8.0227092845497339E-4</v>
      </c>
    </row>
    <row r="103" spans="2:11" x14ac:dyDescent="0.35">
      <c r="B103" s="43" t="s">
        <v>30</v>
      </c>
      <c r="C103" s="119">
        <f t="shared" si="29"/>
        <v>214.27317599999998</v>
      </c>
      <c r="D103" s="119">
        <f t="shared" si="29"/>
        <v>196.23687982556021</v>
      </c>
      <c r="E103" s="119">
        <f t="shared" si="29"/>
        <v>201.46088823403926</v>
      </c>
      <c r="F103" s="119">
        <f t="shared" si="29"/>
        <v>198.5089702793486</v>
      </c>
      <c r="G103" s="119">
        <f t="shared" si="29"/>
        <v>196.90220128799731</v>
      </c>
      <c r="H103" s="119">
        <f t="shared" si="29"/>
        <v>199.60185849152901</v>
      </c>
      <c r="I103" s="119">
        <f t="shared" si="29"/>
        <v>201.96039949895459</v>
      </c>
      <c r="J103" s="119">
        <f t="shared" si="29"/>
        <v>201.3683038396851</v>
      </c>
      <c r="K103" s="175">
        <f>(J103/C103)^(1/31)-1</f>
        <v>-2.0017401492939957E-3</v>
      </c>
    </row>
    <row r="104" spans="2:11" x14ac:dyDescent="0.35">
      <c r="B104" s="132" t="s">
        <v>31</v>
      </c>
      <c r="C104" s="119">
        <f t="shared" si="29"/>
        <v>114.881552</v>
      </c>
      <c r="D104" s="119">
        <f t="shared" si="29"/>
        <v>96.546553000000003</v>
      </c>
      <c r="E104" s="119">
        <f t="shared" si="29"/>
        <v>104.25989581340812</v>
      </c>
      <c r="F104" s="119">
        <f t="shared" si="29"/>
        <v>106.60708616149519</v>
      </c>
      <c r="G104" s="119">
        <f t="shared" si="29"/>
        <v>110.2067375328923</v>
      </c>
      <c r="H104" s="119">
        <f t="shared" si="29"/>
        <v>115.63670922176382</v>
      </c>
      <c r="I104" s="119">
        <f t="shared" si="29"/>
        <v>122.24834664484293</v>
      </c>
      <c r="J104" s="119">
        <f t="shared" si="29"/>
        <v>128.76647766106458</v>
      </c>
    </row>
    <row r="106" spans="2:11" x14ac:dyDescent="0.35">
      <c r="B106" s="45" t="s">
        <v>120</v>
      </c>
      <c r="C106" s="119">
        <f t="shared" ref="C106:J106" si="31">C103+C104</f>
        <v>329.15472799999998</v>
      </c>
      <c r="D106" s="119">
        <f t="shared" si="31"/>
        <v>292.78343282556023</v>
      </c>
      <c r="E106" s="119">
        <f t="shared" si="31"/>
        <v>305.72078404744741</v>
      </c>
      <c r="F106" s="119">
        <f t="shared" si="31"/>
        <v>305.11605644084381</v>
      </c>
      <c r="G106" s="119">
        <f t="shared" si="31"/>
        <v>307.10893882088965</v>
      </c>
      <c r="H106" s="119">
        <f t="shared" si="31"/>
        <v>315.23856771329281</v>
      </c>
      <c r="I106" s="119">
        <f t="shared" si="31"/>
        <v>324.2087461437975</v>
      </c>
      <c r="J106" s="119">
        <f t="shared" si="31"/>
        <v>330.13478150074968</v>
      </c>
    </row>
    <row r="107" spans="2:11" x14ac:dyDescent="0.35">
      <c r="B107" s="45" t="s">
        <v>121</v>
      </c>
      <c r="C107" s="45">
        <f t="shared" ref="C107:J107" si="32">C106/$C106</f>
        <v>1</v>
      </c>
      <c r="D107" s="77">
        <f t="shared" si="32"/>
        <v>0.88950091832057854</v>
      </c>
      <c r="E107" s="77">
        <f t="shared" si="32"/>
        <v>0.92880568936396213</v>
      </c>
      <c r="F107" s="77">
        <f t="shared" si="32"/>
        <v>0.92696847557007844</v>
      </c>
      <c r="G107" s="77">
        <f t="shared" si="32"/>
        <v>0.93302302138248394</v>
      </c>
      <c r="H107" s="77">
        <f t="shared" si="32"/>
        <v>0.95772152394327092</v>
      </c>
      <c r="I107" s="77">
        <f t="shared" si="32"/>
        <v>0.98497368734073754</v>
      </c>
      <c r="J107" s="77">
        <f t="shared" si="32"/>
        <v>1.0029774857153191</v>
      </c>
    </row>
    <row r="108" spans="2:11" x14ac:dyDescent="0.35">
      <c r="B108" s="45" t="s">
        <v>122</v>
      </c>
      <c r="C108" s="45">
        <v>1</v>
      </c>
      <c r="D108" s="77">
        <v>0.87866105410226403</v>
      </c>
      <c r="E108" s="77">
        <v>0.93408673746918303</v>
      </c>
      <c r="F108" s="77">
        <v>0.97096905100025399</v>
      </c>
      <c r="G108" s="77">
        <v>0.97262960423195999</v>
      </c>
      <c r="H108" s="77">
        <v>0.984736859684059</v>
      </c>
      <c r="I108" s="77">
        <v>1.0177474299521501</v>
      </c>
      <c r="J108" s="77">
        <v>1.0578514907326699</v>
      </c>
    </row>
    <row r="109" spans="2:11" x14ac:dyDescent="0.35">
      <c r="F109" s="45">
        <f>F107/F108-1</f>
        <v>-4.5316146158158044E-2</v>
      </c>
      <c r="J109" s="45">
        <f>J107/J108-1</f>
        <v>-5.1873070556761269E-2</v>
      </c>
    </row>
  </sheetData>
  <mergeCells count="11">
    <mergeCell ref="B81:E81"/>
    <mergeCell ref="Q18:V18"/>
    <mergeCell ref="D42:J42"/>
    <mergeCell ref="K42:P42"/>
    <mergeCell ref="Q42:V42"/>
    <mergeCell ref="B66:E66"/>
    <mergeCell ref="B2:E2"/>
    <mergeCell ref="C4:H4"/>
    <mergeCell ref="B16:E16"/>
    <mergeCell ref="D18:J18"/>
    <mergeCell ref="K18:P18"/>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DC3E6"/>
  </sheetPr>
  <dimension ref="A2:AMK216"/>
  <sheetViews>
    <sheetView zoomScale="78" zoomScaleNormal="78" workbookViewId="0">
      <selection activeCell="P193" sqref="P193"/>
    </sheetView>
  </sheetViews>
  <sheetFormatPr baseColWidth="10" defaultColWidth="8.7265625" defaultRowHeight="14.5" x14ac:dyDescent="0.35"/>
  <cols>
    <col min="1" max="1" width="10.453125" style="1" customWidth="1"/>
    <col min="2" max="2" width="44.26953125" style="1" customWidth="1"/>
    <col min="3" max="1025" width="10.453125" style="1" customWidth="1"/>
  </cols>
  <sheetData>
    <row r="2" spans="1:41" ht="23" x14ac:dyDescent="0.35">
      <c r="B2" s="133" t="s">
        <v>123</v>
      </c>
    </row>
    <row r="3" spans="1:41" ht="23" x14ac:dyDescent="0.35">
      <c r="A3" s="133"/>
    </row>
    <row r="4" spans="1:41" x14ac:dyDescent="0.35">
      <c r="C4" s="134">
        <f t="shared" ref="C4:W4" si="0">C16</f>
        <v>2000</v>
      </c>
      <c r="D4" s="134">
        <f t="shared" si="0"/>
        <v>2001</v>
      </c>
      <c r="E4" s="134">
        <f t="shared" si="0"/>
        <v>2002</v>
      </c>
      <c r="F4" s="134">
        <f t="shared" si="0"/>
        <v>2003</v>
      </c>
      <c r="G4" s="134">
        <f t="shared" si="0"/>
        <v>2004</v>
      </c>
      <c r="H4" s="134">
        <f t="shared" si="0"/>
        <v>2005</v>
      </c>
      <c r="I4" s="134">
        <f t="shared" si="0"/>
        <v>2006</v>
      </c>
      <c r="J4" s="134">
        <f t="shared" si="0"/>
        <v>2007</v>
      </c>
      <c r="K4" s="134">
        <f t="shared" si="0"/>
        <v>2008</v>
      </c>
      <c r="L4" s="134">
        <f t="shared" si="0"/>
        <v>2009</v>
      </c>
      <c r="M4" s="134">
        <f t="shared" si="0"/>
        <v>2010</v>
      </c>
      <c r="N4" s="134">
        <f t="shared" si="0"/>
        <v>2011</v>
      </c>
      <c r="O4" s="134">
        <f t="shared" si="0"/>
        <v>2012</v>
      </c>
      <c r="P4" s="134">
        <f t="shared" si="0"/>
        <v>2013</v>
      </c>
      <c r="Q4" s="134">
        <f t="shared" si="0"/>
        <v>2014</v>
      </c>
      <c r="R4" s="134">
        <f t="shared" si="0"/>
        <v>2015</v>
      </c>
      <c r="S4" s="134">
        <f t="shared" si="0"/>
        <v>2016</v>
      </c>
      <c r="T4" s="134">
        <f t="shared" si="0"/>
        <v>2017</v>
      </c>
      <c r="U4" s="134">
        <f t="shared" si="0"/>
        <v>2018</v>
      </c>
      <c r="V4" s="134">
        <f t="shared" si="0"/>
        <v>2019</v>
      </c>
      <c r="W4" s="135">
        <f t="shared" si="0"/>
        <v>2020</v>
      </c>
    </row>
    <row r="5" spans="1:41" x14ac:dyDescent="0.35">
      <c r="A5" s="136" t="s">
        <v>24</v>
      </c>
      <c r="B5" s="137" t="s">
        <v>124</v>
      </c>
      <c r="C5" s="138">
        <f t="shared" ref="C5:V5" si="1">C99</f>
        <v>24.255374</v>
      </c>
      <c r="D5" s="138">
        <f t="shared" si="1"/>
        <v>24.447949000000001</v>
      </c>
      <c r="E5" s="138">
        <f t="shared" si="1"/>
        <v>24.380507000000001</v>
      </c>
      <c r="F5" s="138">
        <f t="shared" si="1"/>
        <v>24.315009</v>
      </c>
      <c r="G5" s="138">
        <f t="shared" si="1"/>
        <v>24.667256999999999</v>
      </c>
      <c r="H5" s="138">
        <f t="shared" si="1"/>
        <v>23.865376000000001</v>
      </c>
      <c r="I5" s="138">
        <f t="shared" si="1"/>
        <v>24.026119999999999</v>
      </c>
      <c r="J5" s="138">
        <f t="shared" si="1"/>
        <v>24.463282</v>
      </c>
      <c r="K5" s="138">
        <f t="shared" si="1"/>
        <v>23.969868000000002</v>
      </c>
      <c r="L5" s="138">
        <f t="shared" si="1"/>
        <v>23.940850000000001</v>
      </c>
      <c r="M5" s="138">
        <f t="shared" si="1"/>
        <v>24.627644</v>
      </c>
      <c r="N5" s="138">
        <f t="shared" si="1"/>
        <v>24.858457999999999</v>
      </c>
      <c r="O5" s="138">
        <f t="shared" si="1"/>
        <v>24.396314</v>
      </c>
      <c r="P5" s="138">
        <f t="shared" si="1"/>
        <v>25.766483999999998</v>
      </c>
      <c r="Q5" s="138">
        <f t="shared" si="1"/>
        <v>25.214587999999999</v>
      </c>
      <c r="R5" s="138">
        <f t="shared" si="1"/>
        <v>25.624379000000001</v>
      </c>
      <c r="S5" s="138">
        <f t="shared" si="1"/>
        <v>26.013804</v>
      </c>
      <c r="T5" s="138">
        <f t="shared" si="1"/>
        <v>26.657764</v>
      </c>
      <c r="U5" s="138">
        <f t="shared" si="1"/>
        <v>25.460822</v>
      </c>
      <c r="V5" s="138">
        <f t="shared" si="1"/>
        <v>25.805907999999999</v>
      </c>
      <c r="W5" s="139"/>
    </row>
    <row r="6" spans="1:41" x14ac:dyDescent="0.35">
      <c r="A6" s="140" t="s">
        <v>25</v>
      </c>
      <c r="B6" s="137" t="str">
        <f>B5</f>
        <v>G€2014</v>
      </c>
      <c r="C6" s="138">
        <f t="shared" ref="C6:W6" si="2">C34+C33+C97</f>
        <v>31.942511000000003</v>
      </c>
      <c r="D6" s="138">
        <f t="shared" si="2"/>
        <v>33.273386000000002</v>
      </c>
      <c r="E6" s="138">
        <f t="shared" si="2"/>
        <v>33.191317999999995</v>
      </c>
      <c r="F6" s="138">
        <f t="shared" si="2"/>
        <v>34.755954000000003</v>
      </c>
      <c r="G6" s="138">
        <f t="shared" si="2"/>
        <v>34.883828000000001</v>
      </c>
      <c r="H6" s="138">
        <f t="shared" si="2"/>
        <v>37.535786000000002</v>
      </c>
      <c r="I6" s="138">
        <f t="shared" si="2"/>
        <v>38.942272000000003</v>
      </c>
      <c r="J6" s="138">
        <f t="shared" si="2"/>
        <v>40.135964000000001</v>
      </c>
      <c r="K6" s="138">
        <f t="shared" si="2"/>
        <v>39.390090999999998</v>
      </c>
      <c r="L6" s="138">
        <f t="shared" si="2"/>
        <v>38.159934999999997</v>
      </c>
      <c r="M6" s="138">
        <f t="shared" si="2"/>
        <v>36.26484</v>
      </c>
      <c r="N6" s="138">
        <f t="shared" si="2"/>
        <v>38.769879000000003</v>
      </c>
      <c r="O6" s="138">
        <f t="shared" si="2"/>
        <v>39.070678000000001</v>
      </c>
      <c r="P6" s="138">
        <f t="shared" si="2"/>
        <v>39.992198999999999</v>
      </c>
      <c r="Q6" s="138">
        <f t="shared" si="2"/>
        <v>40.501538000000004</v>
      </c>
      <c r="R6" s="138">
        <f t="shared" si="2"/>
        <v>41.415126000000001</v>
      </c>
      <c r="S6" s="138">
        <f t="shared" si="2"/>
        <v>42.558777999999997</v>
      </c>
      <c r="T6" s="138">
        <f t="shared" si="2"/>
        <v>43.825743000000003</v>
      </c>
      <c r="U6" s="138">
        <f t="shared" si="2"/>
        <v>45.192982999999998</v>
      </c>
      <c r="V6" s="138">
        <f t="shared" si="2"/>
        <v>47.173411999999999</v>
      </c>
      <c r="W6" s="139">
        <f t="shared" si="2"/>
        <v>44.246974000000002</v>
      </c>
      <c r="AB6" s="127"/>
      <c r="AC6" s="127"/>
      <c r="AD6" s="127"/>
      <c r="AE6" s="127"/>
      <c r="AF6" s="127"/>
      <c r="AG6" s="127"/>
      <c r="AJ6" s="127"/>
      <c r="AK6" s="127"/>
      <c r="AL6" s="127"/>
      <c r="AM6" s="127"/>
      <c r="AN6" s="127"/>
      <c r="AO6" s="127"/>
    </row>
    <row r="7" spans="1:41" x14ac:dyDescent="0.35">
      <c r="A7" s="141" t="s">
        <v>26</v>
      </c>
      <c r="B7" s="137" t="str">
        <f>B6</f>
        <v>G€2014</v>
      </c>
      <c r="C7" s="138">
        <f t="shared" ref="C7:V7" si="3">C98</f>
        <v>8.0903080000000003</v>
      </c>
      <c r="D7" s="138">
        <f t="shared" si="3"/>
        <v>7.9800120000000003</v>
      </c>
      <c r="E7" s="138">
        <f t="shared" si="3"/>
        <v>8.0445189999999993</v>
      </c>
      <c r="F7" s="138">
        <f t="shared" si="3"/>
        <v>8.0972279999999994</v>
      </c>
      <c r="G7" s="138">
        <f t="shared" si="3"/>
        <v>8.0322479999999992</v>
      </c>
      <c r="H7" s="138">
        <f t="shared" si="3"/>
        <v>7.9702590000000004</v>
      </c>
      <c r="I7" s="138">
        <f t="shared" si="3"/>
        <v>8.2548189999999995</v>
      </c>
      <c r="J7" s="138">
        <f t="shared" si="3"/>
        <v>8.416677</v>
      </c>
      <c r="K7" s="138">
        <f t="shared" si="3"/>
        <v>7.840287</v>
      </c>
      <c r="L7" s="138">
        <f t="shared" si="3"/>
        <v>6.9824710000000003</v>
      </c>
      <c r="M7" s="138">
        <f t="shared" si="3"/>
        <v>7.4149409999999998</v>
      </c>
      <c r="N7" s="138">
        <f t="shared" si="3"/>
        <v>8.1861669999999993</v>
      </c>
      <c r="O7" s="138">
        <f t="shared" si="3"/>
        <v>7.834263</v>
      </c>
      <c r="P7" s="138">
        <f t="shared" si="3"/>
        <v>7.5743799999999997</v>
      </c>
      <c r="Q7" s="138">
        <f t="shared" si="3"/>
        <v>7.7432129999999999</v>
      </c>
      <c r="R7" s="138">
        <f t="shared" si="3"/>
        <v>8.0230730000000001</v>
      </c>
      <c r="S7" s="138">
        <f t="shared" si="3"/>
        <v>8.0998359999999998</v>
      </c>
      <c r="T7" s="138">
        <f t="shared" si="3"/>
        <v>8.2923500000000008</v>
      </c>
      <c r="U7" s="138">
        <f t="shared" si="3"/>
        <v>8.2701740000000008</v>
      </c>
      <c r="V7" s="138">
        <f t="shared" si="3"/>
        <v>8.3584969999999998</v>
      </c>
      <c r="W7" s="139"/>
      <c r="AB7" s="127"/>
      <c r="AC7" s="127"/>
      <c r="AD7" s="127"/>
      <c r="AE7" s="127"/>
      <c r="AF7" s="127"/>
      <c r="AG7" s="127"/>
      <c r="AJ7" s="127"/>
      <c r="AK7" s="127"/>
      <c r="AL7" s="127"/>
      <c r="AM7" s="127"/>
      <c r="AN7" s="127"/>
      <c r="AO7" s="127"/>
    </row>
    <row r="8" spans="1:41" x14ac:dyDescent="0.35">
      <c r="A8" s="142" t="s">
        <v>125</v>
      </c>
      <c r="B8" s="137" t="str">
        <f>B7</f>
        <v>G€2014</v>
      </c>
      <c r="C8" s="138">
        <f t="shared" ref="C8:W8" si="4">C23</f>
        <v>37.851342000000002</v>
      </c>
      <c r="D8" s="138">
        <f t="shared" si="4"/>
        <v>36.603383000000001</v>
      </c>
      <c r="E8" s="138">
        <f t="shared" si="4"/>
        <v>37.547612000000001</v>
      </c>
      <c r="F8" s="138">
        <f t="shared" si="4"/>
        <v>39.651257000000001</v>
      </c>
      <c r="G8" s="138">
        <f t="shared" si="4"/>
        <v>40.609594999999999</v>
      </c>
      <c r="H8" s="138">
        <f t="shared" si="4"/>
        <v>40.848894000000001</v>
      </c>
      <c r="I8" s="138">
        <f t="shared" si="4"/>
        <v>40.817717000000002</v>
      </c>
      <c r="J8" s="138">
        <f t="shared" si="4"/>
        <v>41.448940999999998</v>
      </c>
      <c r="K8" s="138">
        <f t="shared" si="4"/>
        <v>37.907620999999999</v>
      </c>
      <c r="L8" s="138">
        <f t="shared" si="4"/>
        <v>38.774315999999999</v>
      </c>
      <c r="M8" s="138">
        <f t="shared" si="4"/>
        <v>40.455101999999997</v>
      </c>
      <c r="N8" s="138">
        <f t="shared" si="4"/>
        <v>42.097633000000002</v>
      </c>
      <c r="O8" s="138">
        <f t="shared" si="4"/>
        <v>41.755277999999997</v>
      </c>
      <c r="P8" s="138">
        <f t="shared" si="4"/>
        <v>41.636980999999999</v>
      </c>
      <c r="Q8" s="138">
        <f t="shared" si="4"/>
        <v>42.825800000000001</v>
      </c>
      <c r="R8" s="138">
        <f t="shared" si="4"/>
        <v>43.507950999999998</v>
      </c>
      <c r="S8" s="138">
        <f t="shared" si="4"/>
        <v>44.673572</v>
      </c>
      <c r="T8" s="138">
        <f t="shared" si="4"/>
        <v>45.485210000000002</v>
      </c>
      <c r="U8" s="138">
        <f t="shared" si="4"/>
        <v>45.279347999999999</v>
      </c>
      <c r="V8" s="138">
        <f t="shared" si="4"/>
        <v>45.598266000000002</v>
      </c>
      <c r="W8" s="139">
        <f t="shared" si="4"/>
        <v>44.167665</v>
      </c>
      <c r="AB8" s="127"/>
      <c r="AC8" s="127"/>
      <c r="AD8" s="127"/>
      <c r="AE8" s="127"/>
      <c r="AF8" s="127"/>
      <c r="AG8" s="127"/>
      <c r="AJ8" s="127"/>
      <c r="AK8" s="127"/>
      <c r="AL8" s="127"/>
      <c r="AM8" s="127"/>
      <c r="AN8" s="127"/>
      <c r="AO8" s="127"/>
    </row>
    <row r="9" spans="1:41" x14ac:dyDescent="0.35">
      <c r="A9" s="143" t="s">
        <v>126</v>
      </c>
      <c r="B9" s="137" t="str">
        <f>B8</f>
        <v>G€2014</v>
      </c>
      <c r="C9" s="138">
        <f t="shared" ref="C9:V9" si="5">C104+C105+C111</f>
        <v>62.795178</v>
      </c>
      <c r="D9" s="138">
        <f t="shared" si="5"/>
        <v>62.381359000000003</v>
      </c>
      <c r="E9" s="138">
        <f t="shared" si="5"/>
        <v>60.610973999999999</v>
      </c>
      <c r="F9" s="138">
        <f t="shared" si="5"/>
        <v>61.797167999999999</v>
      </c>
      <c r="G9" s="138">
        <f t="shared" si="5"/>
        <v>64.275343000000007</v>
      </c>
      <c r="H9" s="138">
        <f t="shared" si="5"/>
        <v>66.464110000000005</v>
      </c>
      <c r="I9" s="138">
        <f t="shared" si="5"/>
        <v>67.636186999999993</v>
      </c>
      <c r="J9" s="138">
        <f t="shared" si="5"/>
        <v>68.94769500000001</v>
      </c>
      <c r="K9" s="138">
        <f t="shared" si="5"/>
        <v>67.927361000000005</v>
      </c>
      <c r="L9" s="138">
        <f t="shared" si="5"/>
        <v>59.212614000000002</v>
      </c>
      <c r="M9" s="138">
        <f t="shared" si="5"/>
        <v>61.441162999999996</v>
      </c>
      <c r="N9" s="138">
        <f t="shared" si="5"/>
        <v>63.443430999999997</v>
      </c>
      <c r="O9" s="138">
        <f t="shared" si="5"/>
        <v>63.849208000000004</v>
      </c>
      <c r="P9" s="138">
        <f t="shared" si="5"/>
        <v>61.156238999999999</v>
      </c>
      <c r="Q9" s="138">
        <f t="shared" si="5"/>
        <v>60.859242000000002</v>
      </c>
      <c r="R9" s="138">
        <f t="shared" si="5"/>
        <v>60.173127999999998</v>
      </c>
      <c r="S9" s="138">
        <f t="shared" si="5"/>
        <v>59.026021</v>
      </c>
      <c r="T9" s="138">
        <f t="shared" si="5"/>
        <v>60.473290999999996</v>
      </c>
      <c r="U9" s="138">
        <f t="shared" si="5"/>
        <v>63.185553999999996</v>
      </c>
      <c r="V9" s="138">
        <f t="shared" si="5"/>
        <v>63.615233999999994</v>
      </c>
      <c r="W9" s="139"/>
      <c r="AB9" s="127"/>
      <c r="AC9" s="127"/>
      <c r="AD9" s="127"/>
      <c r="AE9" s="127"/>
      <c r="AF9" s="127"/>
      <c r="AG9" s="127"/>
      <c r="AJ9" s="127"/>
      <c r="AK9" s="127"/>
      <c r="AL9" s="127"/>
      <c r="AM9" s="127"/>
      <c r="AN9" s="127"/>
      <c r="AO9" s="127"/>
    </row>
    <row r="10" spans="1:41" x14ac:dyDescent="0.35">
      <c r="A10" s="144" t="s">
        <v>31</v>
      </c>
      <c r="B10" s="137" t="str">
        <f>B9</f>
        <v>G€2014</v>
      </c>
      <c r="C10" s="138">
        <f t="shared" ref="C10:W10" si="6">C38</f>
        <v>115.435343</v>
      </c>
      <c r="D10" s="138">
        <f t="shared" si="6"/>
        <v>119.966746</v>
      </c>
      <c r="E10" s="138">
        <f t="shared" si="6"/>
        <v>119.421395</v>
      </c>
      <c r="F10" s="138">
        <f t="shared" si="6"/>
        <v>119.08888899999999</v>
      </c>
      <c r="G10" s="138">
        <f t="shared" si="6"/>
        <v>121.36758</v>
      </c>
      <c r="H10" s="138">
        <f t="shared" si="6"/>
        <v>124.69868200000001</v>
      </c>
      <c r="I10" s="138">
        <f t="shared" si="6"/>
        <v>127.732686</v>
      </c>
      <c r="J10" s="138">
        <f t="shared" si="6"/>
        <v>133.59735499999999</v>
      </c>
      <c r="K10" s="138">
        <f t="shared" si="6"/>
        <v>131.61919700000001</v>
      </c>
      <c r="L10" s="138">
        <f t="shared" si="6"/>
        <v>123.99427300000001</v>
      </c>
      <c r="M10" s="138">
        <f t="shared" si="6"/>
        <v>120.903094</v>
      </c>
      <c r="N10" s="138">
        <f t="shared" si="6"/>
        <v>118.61881099999999</v>
      </c>
      <c r="O10" s="138">
        <f t="shared" si="6"/>
        <v>112.59388199999999</v>
      </c>
      <c r="P10" s="138">
        <f t="shared" si="6"/>
        <v>113.12113600000001</v>
      </c>
      <c r="Q10" s="138">
        <f t="shared" si="6"/>
        <v>110.115753</v>
      </c>
      <c r="R10" s="138">
        <f t="shared" si="6"/>
        <v>109.505257</v>
      </c>
      <c r="S10" s="138">
        <f t="shared" si="6"/>
        <v>108.449133</v>
      </c>
      <c r="T10" s="138">
        <f t="shared" si="6"/>
        <v>110.800995</v>
      </c>
      <c r="U10" s="138">
        <f t="shared" si="6"/>
        <v>111.94245100000001</v>
      </c>
      <c r="V10" s="138">
        <f t="shared" si="6"/>
        <v>114.881552</v>
      </c>
      <c r="W10" s="139">
        <f t="shared" si="6"/>
        <v>96.546553000000003</v>
      </c>
      <c r="AB10" s="127"/>
      <c r="AC10" s="127"/>
      <c r="AD10" s="127"/>
      <c r="AE10" s="127"/>
      <c r="AF10" s="127"/>
      <c r="AG10" s="127"/>
      <c r="AJ10" s="127"/>
      <c r="AK10" s="127"/>
      <c r="AL10" s="127"/>
      <c r="AM10" s="127"/>
      <c r="AN10" s="127"/>
      <c r="AO10" s="127"/>
    </row>
    <row r="11" spans="1:41" x14ac:dyDescent="0.35">
      <c r="A11" s="145" t="s">
        <v>29</v>
      </c>
      <c r="B11" s="137" t="str">
        <f>B9</f>
        <v>G€2014</v>
      </c>
      <c r="C11" s="138">
        <f t="shared" ref="C11:V11" si="7">C31+C90+C91+C92+C109+C110</f>
        <v>25.817636999999998</v>
      </c>
      <c r="D11" s="138">
        <f t="shared" si="7"/>
        <v>27.181069999999998</v>
      </c>
      <c r="E11" s="138">
        <f t="shared" si="7"/>
        <v>26.584540999999998</v>
      </c>
      <c r="F11" s="138">
        <f t="shared" si="7"/>
        <v>26.466640999999999</v>
      </c>
      <c r="G11" s="138">
        <f t="shared" si="7"/>
        <v>26.299292000000001</v>
      </c>
      <c r="H11" s="138">
        <f t="shared" si="7"/>
        <v>25.722553000000001</v>
      </c>
      <c r="I11" s="138">
        <f t="shared" si="7"/>
        <v>25.213290999999998</v>
      </c>
      <c r="J11" s="138">
        <f t="shared" si="7"/>
        <v>25.722699999999996</v>
      </c>
      <c r="K11" s="138">
        <f t="shared" si="7"/>
        <v>25.294239999999999</v>
      </c>
      <c r="L11" s="138">
        <f t="shared" si="7"/>
        <v>23.75264</v>
      </c>
      <c r="M11" s="138">
        <f t="shared" si="7"/>
        <v>23.252610000000001</v>
      </c>
      <c r="N11" s="138">
        <f t="shared" si="7"/>
        <v>24.532299999999999</v>
      </c>
      <c r="O11" s="138">
        <f t="shared" si="7"/>
        <v>24.333483999999999</v>
      </c>
      <c r="P11" s="138">
        <f t="shared" si="7"/>
        <v>23.708504999999999</v>
      </c>
      <c r="Q11" s="138">
        <f t="shared" si="7"/>
        <v>23.559021000000001</v>
      </c>
      <c r="R11" s="138">
        <f t="shared" si="7"/>
        <v>23.294342999999998</v>
      </c>
      <c r="S11" s="138">
        <f t="shared" si="7"/>
        <v>23.04682</v>
      </c>
      <c r="T11" s="138">
        <f t="shared" si="7"/>
        <v>23.307596</v>
      </c>
      <c r="U11" s="138">
        <f t="shared" si="7"/>
        <v>23.241424000000002</v>
      </c>
      <c r="V11" s="138">
        <f t="shared" si="7"/>
        <v>23.721858999999998</v>
      </c>
      <c r="W11" s="139"/>
      <c r="AB11" s="127"/>
      <c r="AC11" s="127"/>
      <c r="AD11" s="127"/>
      <c r="AE11" s="127"/>
      <c r="AF11" s="127"/>
      <c r="AG11" s="127"/>
      <c r="AJ11" s="127"/>
      <c r="AK11" s="127"/>
      <c r="AL11" s="127"/>
      <c r="AM11" s="127"/>
      <c r="AN11" s="127"/>
      <c r="AO11" s="127"/>
    </row>
    <row r="12" spans="1:41" x14ac:dyDescent="0.35">
      <c r="A12" s="1" t="s">
        <v>127</v>
      </c>
      <c r="C12" s="146"/>
      <c r="D12" s="146"/>
      <c r="E12" s="146"/>
      <c r="F12" s="146"/>
      <c r="G12" s="146"/>
      <c r="H12" s="146"/>
      <c r="I12" s="146"/>
      <c r="J12" s="146"/>
      <c r="K12" s="146"/>
      <c r="L12" s="146"/>
      <c r="M12" s="146"/>
      <c r="N12" s="146"/>
      <c r="O12" s="146"/>
      <c r="P12" s="146"/>
      <c r="Q12" s="146"/>
      <c r="R12" s="146"/>
    </row>
    <row r="14" spans="1:41" x14ac:dyDescent="0.35">
      <c r="A14" s="147" t="s">
        <v>128</v>
      </c>
    </row>
    <row r="16" spans="1:41" x14ac:dyDescent="0.35">
      <c r="C16" s="147">
        <v>2000</v>
      </c>
      <c r="D16" s="147">
        <v>2001</v>
      </c>
      <c r="E16" s="147">
        <v>2002</v>
      </c>
      <c r="F16" s="147">
        <v>2003</v>
      </c>
      <c r="G16" s="147">
        <v>2004</v>
      </c>
      <c r="H16" s="147">
        <v>2005</v>
      </c>
      <c r="I16" s="147">
        <v>2006</v>
      </c>
      <c r="J16" s="147">
        <v>2007</v>
      </c>
      <c r="K16" s="147">
        <v>2008</v>
      </c>
      <c r="L16" s="147">
        <v>2009</v>
      </c>
      <c r="M16" s="147">
        <v>2010</v>
      </c>
      <c r="N16" s="147">
        <v>2011</v>
      </c>
      <c r="O16" s="147">
        <v>2012</v>
      </c>
      <c r="P16" s="147">
        <v>2013</v>
      </c>
      <c r="Q16" s="147">
        <v>2014</v>
      </c>
      <c r="R16" s="147">
        <v>2015</v>
      </c>
      <c r="S16" s="147">
        <v>2016</v>
      </c>
      <c r="T16" s="147">
        <v>2017</v>
      </c>
      <c r="U16" s="147">
        <v>2018</v>
      </c>
      <c r="V16" s="148">
        <v>2019</v>
      </c>
      <c r="W16" s="148">
        <v>2020</v>
      </c>
    </row>
    <row r="17" spans="1:23" x14ac:dyDescent="0.35">
      <c r="A17" s="1" t="s">
        <v>129</v>
      </c>
      <c r="B17" s="146" t="s">
        <v>130</v>
      </c>
      <c r="C17" s="149">
        <v>29.389969000000001</v>
      </c>
      <c r="D17" s="149">
        <v>28.546126000000001</v>
      </c>
      <c r="E17" s="149">
        <v>30.172436999999999</v>
      </c>
      <c r="F17" s="149">
        <v>25.571211999999999</v>
      </c>
      <c r="G17" s="149">
        <v>31.018657000000001</v>
      </c>
      <c r="H17" s="149">
        <v>29.214953000000001</v>
      </c>
      <c r="I17" s="149">
        <v>29.275853999999999</v>
      </c>
      <c r="J17" s="149">
        <v>29.047340999999999</v>
      </c>
      <c r="K17" s="149">
        <v>30.347363000000001</v>
      </c>
      <c r="L17" s="149">
        <v>32.327103999999999</v>
      </c>
      <c r="M17" s="149">
        <v>31.228936999999998</v>
      </c>
      <c r="N17" s="149">
        <v>32.475391999999999</v>
      </c>
      <c r="O17" s="149">
        <v>29.742467999999999</v>
      </c>
      <c r="P17" s="149">
        <v>29.169098000000002</v>
      </c>
      <c r="Q17" s="149">
        <v>33.458134000000001</v>
      </c>
      <c r="R17" s="149">
        <v>33.504586000000003</v>
      </c>
      <c r="S17" s="149">
        <v>29.362691999999999</v>
      </c>
      <c r="T17" s="149">
        <v>31.780947000000001</v>
      </c>
      <c r="U17" s="149">
        <v>33.024822999999998</v>
      </c>
      <c r="V17" s="149">
        <v>32.262165000000003</v>
      </c>
      <c r="W17" s="149">
        <v>32.214969000000004</v>
      </c>
    </row>
    <row r="18" spans="1:23" x14ac:dyDescent="0.35">
      <c r="A18" s="1" t="s">
        <v>131</v>
      </c>
      <c r="B18" s="146" t="s">
        <v>132</v>
      </c>
      <c r="C18" s="149">
        <v>251.25233299999999</v>
      </c>
      <c r="D18" s="149">
        <v>255.68560400000001</v>
      </c>
      <c r="E18" s="149">
        <v>257.88006799999999</v>
      </c>
      <c r="F18" s="149">
        <v>262.48102299999999</v>
      </c>
      <c r="G18" s="149">
        <v>269.12421000000001</v>
      </c>
      <c r="H18" s="149">
        <v>270.99702600000001</v>
      </c>
      <c r="I18" s="149">
        <v>275.58150999999998</v>
      </c>
      <c r="J18" s="149">
        <v>280.49002100000001</v>
      </c>
      <c r="K18" s="149">
        <v>270.352599</v>
      </c>
      <c r="L18" s="149">
        <v>254.038321</v>
      </c>
      <c r="M18" s="149">
        <v>258.73925600000001</v>
      </c>
      <c r="N18" s="149">
        <v>266.073939</v>
      </c>
      <c r="O18" s="149">
        <v>268.13092599999999</v>
      </c>
      <c r="P18" s="149">
        <v>270.12850400000002</v>
      </c>
      <c r="Q18" s="149">
        <v>271.38012099999997</v>
      </c>
      <c r="R18" s="149">
        <v>272.50423999999998</v>
      </c>
      <c r="S18" s="149">
        <v>273.29395199999999</v>
      </c>
      <c r="T18" s="149">
        <v>276.21136200000001</v>
      </c>
      <c r="U18" s="149">
        <v>282.17446999999999</v>
      </c>
      <c r="V18" s="149">
        <v>286.88732399999998</v>
      </c>
      <c r="W18" s="149">
        <v>259.86492399999997</v>
      </c>
    </row>
    <row r="19" spans="1:23" x14ac:dyDescent="0.35">
      <c r="A19" s="1" t="s">
        <v>133</v>
      </c>
      <c r="B19" s="146" t="s">
        <v>134</v>
      </c>
      <c r="C19" s="149">
        <v>52.436248999999997</v>
      </c>
      <c r="D19" s="149">
        <v>55.314064000000002</v>
      </c>
      <c r="E19" s="149">
        <v>59.034858</v>
      </c>
      <c r="F19" s="149">
        <v>58.792772999999997</v>
      </c>
      <c r="G19" s="149">
        <v>60.555283000000003</v>
      </c>
      <c r="H19" s="149">
        <v>58.023119999999999</v>
      </c>
      <c r="I19" s="149">
        <v>56.268000000000001</v>
      </c>
      <c r="J19" s="149">
        <v>56.650292</v>
      </c>
      <c r="K19" s="149">
        <v>53.452357999999997</v>
      </c>
      <c r="L19" s="149">
        <v>49.647824</v>
      </c>
      <c r="M19" s="149">
        <v>49.286099999999998</v>
      </c>
      <c r="N19" s="149">
        <v>47.758293999999999</v>
      </c>
      <c r="O19" s="149">
        <v>50.471072999999997</v>
      </c>
      <c r="P19" s="149">
        <v>52.836941000000003</v>
      </c>
      <c r="Q19" s="149">
        <v>50.375036000000001</v>
      </c>
      <c r="R19" s="149">
        <v>50.024189999999997</v>
      </c>
      <c r="S19" s="149">
        <v>48.903846999999999</v>
      </c>
      <c r="T19" s="149">
        <v>46.865982000000002</v>
      </c>
      <c r="U19" s="149">
        <v>48.963918999999997</v>
      </c>
      <c r="V19" s="149">
        <v>48.927565999999999</v>
      </c>
      <c r="W19" s="149">
        <v>47.506179000000003</v>
      </c>
    </row>
    <row r="20" spans="1:23" x14ac:dyDescent="0.35">
      <c r="A20" s="1" t="s">
        <v>135</v>
      </c>
      <c r="B20" s="146" t="s">
        <v>136</v>
      </c>
      <c r="C20" s="149">
        <v>4.5386470000000001</v>
      </c>
      <c r="D20" s="149">
        <v>4.0135860000000001</v>
      </c>
      <c r="E20" s="149">
        <v>3.7933680000000001</v>
      </c>
      <c r="F20" s="149">
        <v>3.3946230000000002</v>
      </c>
      <c r="G20" s="149">
        <v>3.1814100000000001</v>
      </c>
      <c r="H20" s="149">
        <v>2.9217170000000001</v>
      </c>
      <c r="I20" s="149">
        <v>3.0870039999999999</v>
      </c>
      <c r="J20" s="149">
        <v>3.1527029999999998</v>
      </c>
      <c r="K20" s="149">
        <v>2.929125</v>
      </c>
      <c r="L20" s="149">
        <v>2.658496</v>
      </c>
      <c r="M20" s="149">
        <v>2.578846</v>
      </c>
      <c r="N20" s="149">
        <v>2.5639889999999999</v>
      </c>
      <c r="O20" s="149">
        <v>2.415788</v>
      </c>
      <c r="P20" s="149">
        <v>2.1912600000000002</v>
      </c>
      <c r="Q20" s="149">
        <v>2.1840229999999998</v>
      </c>
      <c r="R20" s="149">
        <v>2.0490870000000001</v>
      </c>
      <c r="S20" s="149">
        <v>1.9746889999999999</v>
      </c>
      <c r="T20" s="149">
        <v>2.000931</v>
      </c>
      <c r="U20" s="149">
        <v>2.0008880000000002</v>
      </c>
      <c r="V20" s="149">
        <v>1.9820310000000001</v>
      </c>
      <c r="W20" s="149">
        <v>1.765396</v>
      </c>
    </row>
    <row r="21" spans="1:23" x14ac:dyDescent="0.35">
      <c r="A21" s="1" t="s">
        <v>137</v>
      </c>
      <c r="B21" s="146" t="s">
        <v>138</v>
      </c>
      <c r="C21" s="149">
        <v>36.495229999999999</v>
      </c>
      <c r="D21" s="149">
        <v>38.879345999999998</v>
      </c>
      <c r="E21" s="149">
        <v>42.148147999999999</v>
      </c>
      <c r="F21" s="149">
        <v>40.938017000000002</v>
      </c>
      <c r="G21" s="149">
        <v>43.334659000000002</v>
      </c>
      <c r="H21" s="149">
        <v>41.020854</v>
      </c>
      <c r="I21" s="149">
        <v>38.977260999999999</v>
      </c>
      <c r="J21" s="149">
        <v>39.198014999999998</v>
      </c>
      <c r="K21" s="149">
        <v>36.377786999999998</v>
      </c>
      <c r="L21" s="149">
        <v>32.280160000000002</v>
      </c>
      <c r="M21" s="149">
        <v>31.420501999999999</v>
      </c>
      <c r="N21" s="149">
        <v>30.06841</v>
      </c>
      <c r="O21" s="149">
        <v>33.414028000000002</v>
      </c>
      <c r="P21" s="149">
        <v>35.939242</v>
      </c>
      <c r="Q21" s="149">
        <v>34.085185000000003</v>
      </c>
      <c r="R21" s="149">
        <v>34.383324999999999</v>
      </c>
      <c r="S21" s="149">
        <v>33.533636999999999</v>
      </c>
      <c r="T21" s="149">
        <v>30.996842999999998</v>
      </c>
      <c r="U21" s="149">
        <v>33.131999999999998</v>
      </c>
      <c r="V21" s="149">
        <v>33.003774999999997</v>
      </c>
      <c r="W21" s="149">
        <v>31.522490000000001</v>
      </c>
    </row>
    <row r="22" spans="1:23" x14ac:dyDescent="0.35">
      <c r="A22" s="1" t="s">
        <v>139</v>
      </c>
      <c r="B22" s="146" t="s">
        <v>140</v>
      </c>
      <c r="C22" s="149">
        <v>12.546692</v>
      </c>
      <c r="D22" s="149">
        <v>13.336209</v>
      </c>
      <c r="E22" s="149">
        <v>13.965849</v>
      </c>
      <c r="F22" s="149">
        <v>15.097875999999999</v>
      </c>
      <c r="G22" s="149">
        <v>14.640784999999999</v>
      </c>
      <c r="H22" s="149">
        <v>14.563033000000001</v>
      </c>
      <c r="I22" s="149">
        <v>14.710312</v>
      </c>
      <c r="J22" s="149">
        <v>14.814892</v>
      </c>
      <c r="K22" s="149">
        <v>14.501436</v>
      </c>
      <c r="L22" s="149">
        <v>14.711707000000001</v>
      </c>
      <c r="M22" s="149">
        <v>15.254386</v>
      </c>
      <c r="N22" s="149">
        <v>15.058176</v>
      </c>
      <c r="O22" s="149">
        <v>14.618653</v>
      </c>
      <c r="P22" s="149">
        <v>14.716125</v>
      </c>
      <c r="Q22" s="149">
        <v>14.105828000000001</v>
      </c>
      <c r="R22" s="149">
        <v>13.591778</v>
      </c>
      <c r="S22" s="149">
        <v>13.392080999999999</v>
      </c>
      <c r="T22" s="149">
        <v>13.868116000000001</v>
      </c>
      <c r="U22" s="149">
        <v>13.829893999999999</v>
      </c>
      <c r="V22" s="149">
        <v>13.936655</v>
      </c>
      <c r="W22" s="149">
        <v>14.254647</v>
      </c>
    </row>
    <row r="23" spans="1:23" x14ac:dyDescent="0.35">
      <c r="A23" s="150" t="s">
        <v>141</v>
      </c>
      <c r="B23" s="150" t="s">
        <v>142</v>
      </c>
      <c r="C23" s="149">
        <v>37.851342000000002</v>
      </c>
      <c r="D23" s="149">
        <v>36.603383000000001</v>
      </c>
      <c r="E23" s="149">
        <v>37.547612000000001</v>
      </c>
      <c r="F23" s="149">
        <v>39.651257000000001</v>
      </c>
      <c r="G23" s="149">
        <v>40.609594999999999</v>
      </c>
      <c r="H23" s="149">
        <v>40.848894000000001</v>
      </c>
      <c r="I23" s="149">
        <v>40.817717000000002</v>
      </c>
      <c r="J23" s="149">
        <v>41.448940999999998</v>
      </c>
      <c r="K23" s="149">
        <v>37.907620999999999</v>
      </c>
      <c r="L23" s="149">
        <v>38.774315999999999</v>
      </c>
      <c r="M23" s="149">
        <v>40.455101999999997</v>
      </c>
      <c r="N23" s="149">
        <v>42.097633000000002</v>
      </c>
      <c r="O23" s="149">
        <v>41.755277999999997</v>
      </c>
      <c r="P23" s="149">
        <v>41.636980999999999</v>
      </c>
      <c r="Q23" s="149">
        <v>42.825800000000001</v>
      </c>
      <c r="R23" s="149">
        <v>43.507950999999998</v>
      </c>
      <c r="S23" s="149">
        <v>44.673572</v>
      </c>
      <c r="T23" s="149">
        <v>45.485210000000002</v>
      </c>
      <c r="U23" s="149">
        <v>45.279347999999999</v>
      </c>
      <c r="V23" s="149">
        <v>45.598266000000002</v>
      </c>
      <c r="W23" s="149">
        <v>44.167665</v>
      </c>
    </row>
    <row r="24" spans="1:23" x14ac:dyDescent="0.35">
      <c r="A24" s="1" t="s">
        <v>143</v>
      </c>
      <c r="B24" s="146" t="s">
        <v>144</v>
      </c>
      <c r="C24" s="149">
        <v>2.7592810000000001</v>
      </c>
      <c r="D24" s="149">
        <v>3.5851869999999999</v>
      </c>
      <c r="E24" s="149">
        <v>4.8666080000000003</v>
      </c>
      <c r="F24" s="149">
        <v>3.6326930000000002</v>
      </c>
      <c r="G24" s="149">
        <v>3.1179839999999999</v>
      </c>
      <c r="H24" s="149">
        <v>3.0913309999999998</v>
      </c>
      <c r="I24" s="149">
        <v>3.9526970000000001</v>
      </c>
      <c r="J24" s="149">
        <v>3.9187759999999998</v>
      </c>
      <c r="K24" s="149">
        <v>2.334962</v>
      </c>
      <c r="L24" s="149">
        <v>1.6934009999999999</v>
      </c>
      <c r="M24" s="149">
        <v>1.465033</v>
      </c>
      <c r="N24" s="149">
        <v>1.409505</v>
      </c>
      <c r="O24" s="149">
        <v>1.2097519999999999</v>
      </c>
      <c r="P24" s="149">
        <v>1.1432709999999999</v>
      </c>
      <c r="Q24" s="149">
        <v>2.2588059999999999</v>
      </c>
      <c r="R24" s="149">
        <v>2.4538679999999999</v>
      </c>
      <c r="S24" s="149">
        <v>2.6595680000000002</v>
      </c>
      <c r="T24" s="149">
        <v>2.6156109999999999</v>
      </c>
      <c r="U24" s="149">
        <v>3.1106199999999999</v>
      </c>
      <c r="V24" s="149">
        <v>3.0371320000000002</v>
      </c>
      <c r="W24" s="149">
        <v>3.7258819999999999</v>
      </c>
    </row>
    <row r="25" spans="1:23" x14ac:dyDescent="0.35">
      <c r="A25" s="1" t="s">
        <v>145</v>
      </c>
      <c r="B25" s="146" t="s">
        <v>146</v>
      </c>
      <c r="C25" s="149">
        <v>24.422138</v>
      </c>
      <c r="D25" s="149">
        <v>24.708074</v>
      </c>
      <c r="E25" s="149">
        <v>24.755929999999999</v>
      </c>
      <c r="F25" s="149">
        <v>24.817325</v>
      </c>
      <c r="G25" s="149">
        <v>27.069545999999999</v>
      </c>
      <c r="H25" s="149">
        <v>27.271519999999999</v>
      </c>
      <c r="I25" s="149">
        <v>29.532468000000001</v>
      </c>
      <c r="J25" s="149">
        <v>30.224132000000001</v>
      </c>
      <c r="K25" s="149">
        <v>30.255942999999998</v>
      </c>
      <c r="L25" s="149">
        <v>25.765826000000001</v>
      </c>
      <c r="M25" s="149">
        <v>28.044132000000001</v>
      </c>
      <c r="N25" s="149">
        <v>29.355011000000001</v>
      </c>
      <c r="O25" s="149">
        <v>29.514707999999999</v>
      </c>
      <c r="P25" s="149">
        <v>30.238057000000001</v>
      </c>
      <c r="Q25" s="149">
        <v>30.529464999999998</v>
      </c>
      <c r="R25" s="149">
        <v>29.862833999999999</v>
      </c>
      <c r="S25" s="149">
        <v>29.393823999999999</v>
      </c>
      <c r="T25" s="149">
        <v>29.732545000000002</v>
      </c>
      <c r="U25" s="149">
        <v>30.314031</v>
      </c>
      <c r="V25" s="149">
        <v>31.823128000000001</v>
      </c>
      <c r="W25" s="149">
        <v>28.029067999999999</v>
      </c>
    </row>
    <row r="26" spans="1:23" x14ac:dyDescent="0.35">
      <c r="A26" s="1" t="s">
        <v>147</v>
      </c>
      <c r="B26" s="146" t="s">
        <v>148</v>
      </c>
      <c r="C26" s="149">
        <v>5.3318079999999997</v>
      </c>
      <c r="D26" s="149">
        <v>5.2905439999999997</v>
      </c>
      <c r="E26" s="149">
        <v>5.5300229999999999</v>
      </c>
      <c r="F26" s="149">
        <v>5.6432200000000003</v>
      </c>
      <c r="G26" s="149">
        <v>6.2335419999999999</v>
      </c>
      <c r="H26" s="149">
        <v>6.5155560000000001</v>
      </c>
      <c r="I26" s="149">
        <v>7.5852810000000002</v>
      </c>
      <c r="J26" s="149">
        <v>7.6873519999999997</v>
      </c>
      <c r="K26" s="149">
        <v>7.9317039999999999</v>
      </c>
      <c r="L26" s="149">
        <v>7.4069649999999996</v>
      </c>
      <c r="M26" s="149">
        <v>9.0368230000000001</v>
      </c>
      <c r="N26" s="149">
        <v>9.379092</v>
      </c>
      <c r="O26" s="149">
        <v>9.8284249999999993</v>
      </c>
      <c r="P26" s="149">
        <v>10.702061</v>
      </c>
      <c r="Q26" s="149">
        <v>11.123084</v>
      </c>
      <c r="R26" s="149">
        <v>11.128679999999999</v>
      </c>
      <c r="S26" s="149">
        <v>11.394397</v>
      </c>
      <c r="T26" s="149">
        <v>11.786925</v>
      </c>
      <c r="U26" s="149">
        <v>12.260071999999999</v>
      </c>
      <c r="V26" s="149">
        <v>13.493798</v>
      </c>
      <c r="W26" s="149">
        <v>12.077309</v>
      </c>
    </row>
    <row r="27" spans="1:23" x14ac:dyDescent="0.35">
      <c r="A27" s="1" t="s">
        <v>149</v>
      </c>
      <c r="B27" s="146" t="s">
        <v>150</v>
      </c>
      <c r="C27" s="149">
        <v>10.617983000000001</v>
      </c>
      <c r="D27" s="149">
        <v>10.120741000000001</v>
      </c>
      <c r="E27" s="149">
        <v>9.6501640000000002</v>
      </c>
      <c r="F27" s="149">
        <v>9.0387540000000008</v>
      </c>
      <c r="G27" s="149">
        <v>9.7549010000000003</v>
      </c>
      <c r="H27" s="149">
        <v>9.2139299999999995</v>
      </c>
      <c r="I27" s="149">
        <v>8.9104919999999996</v>
      </c>
      <c r="J27" s="149">
        <v>9.1941249999999997</v>
      </c>
      <c r="K27" s="149">
        <v>8.9187309999999993</v>
      </c>
      <c r="L27" s="149">
        <v>7.5785689999999999</v>
      </c>
      <c r="M27" s="149">
        <v>7.7074259999999999</v>
      </c>
      <c r="N27" s="149">
        <v>7.3882000000000003</v>
      </c>
      <c r="O27" s="149">
        <v>7.2561330000000002</v>
      </c>
      <c r="P27" s="149">
        <v>7.1224829999999999</v>
      </c>
      <c r="Q27" s="149">
        <v>6.9197939999999996</v>
      </c>
      <c r="R27" s="149">
        <v>6.8595009999999998</v>
      </c>
      <c r="S27" s="149">
        <v>6.9052819999999997</v>
      </c>
      <c r="T27" s="149">
        <v>6.9433600000000002</v>
      </c>
      <c r="U27" s="149">
        <v>7.054011</v>
      </c>
      <c r="V27" s="149">
        <v>7.12005</v>
      </c>
      <c r="W27" s="149">
        <v>6.2023619999999999</v>
      </c>
    </row>
    <row r="28" spans="1:23" x14ac:dyDescent="0.35">
      <c r="A28" s="1" t="s">
        <v>151</v>
      </c>
      <c r="B28" s="146" t="s">
        <v>152</v>
      </c>
      <c r="C28" s="149">
        <v>11.485924000000001</v>
      </c>
      <c r="D28" s="149">
        <v>12.400689</v>
      </c>
      <c r="E28" s="149">
        <v>12.157581</v>
      </c>
      <c r="F28" s="149">
        <v>12.441276</v>
      </c>
      <c r="G28" s="149">
        <v>13.45471</v>
      </c>
      <c r="H28" s="149">
        <v>13.507080999999999</v>
      </c>
      <c r="I28" s="149">
        <v>14.390752000000001</v>
      </c>
      <c r="J28" s="149">
        <v>14.806767000000001</v>
      </c>
      <c r="K28" s="149">
        <v>14.643867</v>
      </c>
      <c r="L28" s="149">
        <v>11.404749000000001</v>
      </c>
      <c r="M28" s="149">
        <v>11.495244</v>
      </c>
      <c r="N28" s="149">
        <v>12.772231</v>
      </c>
      <c r="O28" s="149">
        <v>12.524309000000001</v>
      </c>
      <c r="P28" s="149">
        <v>12.428447</v>
      </c>
      <c r="Q28" s="149">
        <v>12.486587</v>
      </c>
      <c r="R28" s="149">
        <v>11.874653</v>
      </c>
      <c r="S28" s="149">
        <v>11.096029</v>
      </c>
      <c r="T28" s="149">
        <v>11.008343999999999</v>
      </c>
      <c r="U28" s="149">
        <v>11.013045999999999</v>
      </c>
      <c r="V28" s="149">
        <v>11.25338</v>
      </c>
      <c r="W28" s="149">
        <v>9.8018180000000008</v>
      </c>
    </row>
    <row r="29" spans="1:23" x14ac:dyDescent="0.35">
      <c r="A29" s="1" t="s">
        <v>153</v>
      </c>
      <c r="B29" s="146" t="s">
        <v>154</v>
      </c>
      <c r="C29" s="149">
        <v>31.312270999999999</v>
      </c>
      <c r="D29" s="149">
        <v>30.239395999999999</v>
      </c>
      <c r="E29" s="149">
        <v>28.800540999999999</v>
      </c>
      <c r="F29" s="149">
        <v>30.740936000000001</v>
      </c>
      <c r="G29" s="149">
        <v>31.458558</v>
      </c>
      <c r="H29" s="149">
        <v>32.540165000000002</v>
      </c>
      <c r="I29" s="149">
        <v>32.320242999999998</v>
      </c>
      <c r="J29" s="149">
        <v>32.323222000000001</v>
      </c>
      <c r="K29" s="149">
        <v>31.062785999999999</v>
      </c>
      <c r="L29" s="149">
        <v>26.000693999999999</v>
      </c>
      <c r="M29" s="149">
        <v>28.477751000000001</v>
      </c>
      <c r="N29" s="149">
        <v>28.441257</v>
      </c>
      <c r="O29" s="149">
        <v>28.448081999999999</v>
      </c>
      <c r="P29" s="149">
        <v>26.993219</v>
      </c>
      <c r="Q29" s="149">
        <v>27.034531000000001</v>
      </c>
      <c r="R29" s="149">
        <v>26.907309000000001</v>
      </c>
      <c r="S29" s="149">
        <v>27.063396999999998</v>
      </c>
      <c r="T29" s="149">
        <v>28.382299</v>
      </c>
      <c r="U29" s="149">
        <v>30.481016</v>
      </c>
      <c r="V29" s="149">
        <v>29.811316999999999</v>
      </c>
      <c r="W29" s="149">
        <v>21.588477999999999</v>
      </c>
    </row>
    <row r="30" spans="1:23" x14ac:dyDescent="0.35">
      <c r="A30" s="1" t="s">
        <v>155</v>
      </c>
      <c r="B30" s="146" t="s">
        <v>156</v>
      </c>
      <c r="C30" s="149">
        <v>107.636529</v>
      </c>
      <c r="D30" s="149">
        <v>110.73627</v>
      </c>
      <c r="E30" s="149">
        <v>110.26134500000001</v>
      </c>
      <c r="F30" s="149">
        <v>111.23528</v>
      </c>
      <c r="G30" s="149">
        <v>112.00391999999999</v>
      </c>
      <c r="H30" s="149">
        <v>114.19605799999999</v>
      </c>
      <c r="I30" s="149">
        <v>116.587794</v>
      </c>
      <c r="J30" s="149">
        <v>119.58060999999999</v>
      </c>
      <c r="K30" s="149">
        <v>117.839759</v>
      </c>
      <c r="L30" s="149">
        <v>114.039581</v>
      </c>
      <c r="M30" s="149">
        <v>112.603025</v>
      </c>
      <c r="N30" s="149">
        <v>118.184112</v>
      </c>
      <c r="O30" s="149">
        <v>118.120992</v>
      </c>
      <c r="P30" s="149">
        <v>118.71838099999999</v>
      </c>
      <c r="Q30" s="149">
        <v>118.356483</v>
      </c>
      <c r="R30" s="149">
        <v>119.748088</v>
      </c>
      <c r="S30" s="149">
        <v>120.605048</v>
      </c>
      <c r="T30" s="149">
        <v>123.135418</v>
      </c>
      <c r="U30" s="149">
        <v>123.838032</v>
      </c>
      <c r="V30" s="149">
        <v>127.564139</v>
      </c>
      <c r="W30" s="149">
        <v>115.423219</v>
      </c>
    </row>
    <row r="31" spans="1:23" x14ac:dyDescent="0.35">
      <c r="A31" s="151" t="s">
        <v>157</v>
      </c>
      <c r="B31" s="151" t="s">
        <v>158</v>
      </c>
      <c r="C31" s="149">
        <v>7.728758</v>
      </c>
      <c r="D31" s="149">
        <v>7.9163790000000001</v>
      </c>
      <c r="E31" s="149">
        <v>7.6195259999999996</v>
      </c>
      <c r="F31" s="149">
        <v>7.2813949999999998</v>
      </c>
      <c r="G31" s="149">
        <v>6.9169419999999997</v>
      </c>
      <c r="H31" s="149">
        <v>6.6159239999999997</v>
      </c>
      <c r="I31" s="149">
        <v>6.377637</v>
      </c>
      <c r="J31" s="149">
        <v>6.6093520000000003</v>
      </c>
      <c r="K31" s="149">
        <v>6.3567830000000001</v>
      </c>
      <c r="L31" s="149">
        <v>5.2001189999999999</v>
      </c>
      <c r="M31" s="149">
        <v>5.0222569999999997</v>
      </c>
      <c r="N31" s="149">
        <v>5.7206869999999999</v>
      </c>
      <c r="O31" s="149">
        <v>5.7848519999999999</v>
      </c>
      <c r="P31" s="149">
        <v>5.4665270000000001</v>
      </c>
      <c r="Q31" s="149">
        <v>5.0477809999999996</v>
      </c>
      <c r="R31" s="149">
        <v>5.2696180000000004</v>
      </c>
      <c r="S31" s="149">
        <v>5.2340429999999998</v>
      </c>
      <c r="T31" s="149">
        <v>5.4201540000000001</v>
      </c>
      <c r="U31" s="149">
        <v>5.7109880000000004</v>
      </c>
      <c r="V31" s="149">
        <v>5.7394429999999996</v>
      </c>
      <c r="W31" s="149">
        <v>4.7046559999999999</v>
      </c>
    </row>
    <row r="32" spans="1:23" x14ac:dyDescent="0.35">
      <c r="A32" s="1" t="s">
        <v>159</v>
      </c>
      <c r="B32" s="146" t="s">
        <v>160</v>
      </c>
      <c r="C32" s="149">
        <v>9.7555200000000006</v>
      </c>
      <c r="D32" s="149">
        <v>10.232670000000001</v>
      </c>
      <c r="E32" s="149">
        <v>10.209158</v>
      </c>
      <c r="F32" s="149">
        <v>10.472488</v>
      </c>
      <c r="G32" s="149">
        <v>10.47326</v>
      </c>
      <c r="H32" s="149">
        <v>10.245184999999999</v>
      </c>
      <c r="I32" s="149">
        <v>9.9934890000000003</v>
      </c>
      <c r="J32" s="149">
        <v>10.054644</v>
      </c>
      <c r="K32" s="149">
        <v>10.362041</v>
      </c>
      <c r="L32" s="149">
        <v>10.315694000000001</v>
      </c>
      <c r="M32" s="149">
        <v>10.129296</v>
      </c>
      <c r="N32" s="149">
        <v>10.804295</v>
      </c>
      <c r="O32" s="149">
        <v>10.891468</v>
      </c>
      <c r="P32" s="149">
        <v>10.932872</v>
      </c>
      <c r="Q32" s="149">
        <v>11.156261000000001</v>
      </c>
      <c r="R32" s="149">
        <v>10.876778</v>
      </c>
      <c r="S32" s="149">
        <v>10.965140999999999</v>
      </c>
      <c r="T32" s="149">
        <v>11.110309000000001</v>
      </c>
      <c r="U32" s="149">
        <v>10.568101</v>
      </c>
      <c r="V32" s="149">
        <v>10.878606</v>
      </c>
      <c r="W32" s="149">
        <v>9.9541070000000005</v>
      </c>
    </row>
    <row r="33" spans="1:23" x14ac:dyDescent="0.35">
      <c r="A33" s="152" t="s">
        <v>161</v>
      </c>
      <c r="B33" s="152" t="s">
        <v>162</v>
      </c>
      <c r="C33" s="149">
        <v>15.201510000000001</v>
      </c>
      <c r="D33" s="149">
        <v>14.763462000000001</v>
      </c>
      <c r="E33" s="149">
        <v>14.06606</v>
      </c>
      <c r="F33" s="149">
        <v>14.153542</v>
      </c>
      <c r="G33" s="149">
        <v>14.133512</v>
      </c>
      <c r="H33" s="149">
        <v>15.497234000000001</v>
      </c>
      <c r="I33" s="149">
        <v>14.823026</v>
      </c>
      <c r="J33" s="149">
        <v>15.47382</v>
      </c>
      <c r="K33" s="149">
        <v>14.488583</v>
      </c>
      <c r="L33" s="149">
        <v>15.200737999999999</v>
      </c>
      <c r="M33" s="149">
        <v>14.442672999999999</v>
      </c>
      <c r="N33" s="149">
        <v>15.151477999999999</v>
      </c>
      <c r="O33" s="149">
        <v>15.474824999999999</v>
      </c>
      <c r="P33" s="149">
        <v>17.462278000000001</v>
      </c>
      <c r="Q33" s="149">
        <v>18.203213000000002</v>
      </c>
      <c r="R33" s="149">
        <v>18.339183999999999</v>
      </c>
      <c r="S33" s="149">
        <v>19.159825999999999</v>
      </c>
      <c r="T33" s="149">
        <v>20.072040000000001</v>
      </c>
      <c r="U33" s="149">
        <v>19.723796</v>
      </c>
      <c r="V33" s="149">
        <v>20.784559000000002</v>
      </c>
      <c r="W33" s="149">
        <v>19.246948</v>
      </c>
    </row>
    <row r="34" spans="1:23" x14ac:dyDescent="0.35">
      <c r="A34" s="152" t="s">
        <v>163</v>
      </c>
      <c r="B34" s="152" t="s">
        <v>164</v>
      </c>
      <c r="C34" s="149">
        <v>7.0963750000000001</v>
      </c>
      <c r="D34" s="149">
        <v>8.1969740000000009</v>
      </c>
      <c r="E34" s="149">
        <v>8.5355059999999998</v>
      </c>
      <c r="F34" s="149">
        <v>8.835744</v>
      </c>
      <c r="G34" s="149">
        <v>8.5607190000000006</v>
      </c>
      <c r="H34" s="149">
        <v>9.2470180000000006</v>
      </c>
      <c r="I34" s="149">
        <v>10.981588</v>
      </c>
      <c r="J34" s="149">
        <v>11.226611999999999</v>
      </c>
      <c r="K34" s="149">
        <v>11.339971999999999</v>
      </c>
      <c r="L34" s="149">
        <v>11.000344</v>
      </c>
      <c r="M34" s="149">
        <v>10.984916</v>
      </c>
      <c r="N34" s="149">
        <v>11.392872000000001</v>
      </c>
      <c r="O34" s="149">
        <v>11.747849</v>
      </c>
      <c r="P34" s="149">
        <v>11.400753</v>
      </c>
      <c r="Q34" s="149">
        <v>11.517984999999999</v>
      </c>
      <c r="R34" s="149">
        <v>12.272225000000001</v>
      </c>
      <c r="S34" s="149">
        <v>12.81461</v>
      </c>
      <c r="T34" s="149">
        <v>13.152265</v>
      </c>
      <c r="U34" s="149">
        <v>13.967620999999999</v>
      </c>
      <c r="V34" s="149">
        <v>14.940269000000001</v>
      </c>
      <c r="W34" s="149">
        <v>14.900026</v>
      </c>
    </row>
    <row r="35" spans="1:23" x14ac:dyDescent="0.35">
      <c r="A35" s="1" t="s">
        <v>165</v>
      </c>
      <c r="B35" s="146" t="s">
        <v>166</v>
      </c>
      <c r="C35" s="149">
        <v>17.412953000000002</v>
      </c>
      <c r="D35" s="149">
        <v>18.055399000000001</v>
      </c>
      <c r="E35" s="149">
        <v>18.409973999999998</v>
      </c>
      <c r="F35" s="149">
        <v>19.716028999999999</v>
      </c>
      <c r="G35" s="149">
        <v>20.101071000000001</v>
      </c>
      <c r="H35" s="149">
        <v>20.671482999999998</v>
      </c>
      <c r="I35" s="149">
        <v>21.298949</v>
      </c>
      <c r="J35" s="149">
        <v>21.756567</v>
      </c>
      <c r="K35" s="149">
        <v>21.268037</v>
      </c>
      <c r="L35" s="149">
        <v>18.832214</v>
      </c>
      <c r="M35" s="149">
        <v>18.248799000000002</v>
      </c>
      <c r="N35" s="149">
        <v>20.400644</v>
      </c>
      <c r="O35" s="149">
        <v>19.666101999999999</v>
      </c>
      <c r="P35" s="149">
        <v>18.696278</v>
      </c>
      <c r="Q35" s="149">
        <v>18.523551999999999</v>
      </c>
      <c r="R35" s="149">
        <v>18.826789999999999</v>
      </c>
      <c r="S35" s="149">
        <v>18.676333</v>
      </c>
      <c r="T35" s="149">
        <v>18.876024999999998</v>
      </c>
      <c r="U35" s="149">
        <v>19.778382000000001</v>
      </c>
      <c r="V35" s="149">
        <v>19.812342999999998</v>
      </c>
      <c r="W35" s="149">
        <v>17.885584000000001</v>
      </c>
    </row>
    <row r="36" spans="1:23" x14ac:dyDescent="0.35">
      <c r="A36" s="153" t="s">
        <v>167</v>
      </c>
      <c r="B36" s="153" t="s">
        <v>168</v>
      </c>
      <c r="C36" s="149">
        <v>24.255374</v>
      </c>
      <c r="D36" s="149">
        <v>24.447949000000001</v>
      </c>
      <c r="E36" s="149">
        <v>24.380507000000001</v>
      </c>
      <c r="F36" s="149">
        <v>24.315009</v>
      </c>
      <c r="G36" s="149">
        <v>24.667256999999999</v>
      </c>
      <c r="H36" s="149">
        <v>23.865376000000001</v>
      </c>
      <c r="I36" s="149">
        <v>24.026119999999999</v>
      </c>
      <c r="J36" s="149">
        <v>24.463282</v>
      </c>
      <c r="K36" s="149">
        <v>23.969868000000002</v>
      </c>
      <c r="L36" s="149">
        <v>23.940850000000001</v>
      </c>
      <c r="M36" s="149">
        <v>24.627644</v>
      </c>
      <c r="N36" s="149">
        <v>24.858457999999999</v>
      </c>
      <c r="O36" s="149">
        <v>24.396314</v>
      </c>
      <c r="P36" s="149">
        <v>25.766483999999998</v>
      </c>
      <c r="Q36" s="149">
        <v>25.214587999999999</v>
      </c>
      <c r="R36" s="149">
        <v>25.624379000000001</v>
      </c>
      <c r="S36" s="149">
        <v>26.013804</v>
      </c>
      <c r="T36" s="149">
        <v>26.657764</v>
      </c>
      <c r="U36" s="149">
        <v>25.460822</v>
      </c>
      <c r="V36" s="149">
        <v>25.805907999999999</v>
      </c>
      <c r="W36" s="149">
        <v>21.701089</v>
      </c>
    </row>
    <row r="37" spans="1:23" x14ac:dyDescent="0.35">
      <c r="A37" s="1" t="s">
        <v>169</v>
      </c>
      <c r="B37" s="146" t="s">
        <v>170</v>
      </c>
      <c r="C37" s="149">
        <v>28.254632999999998</v>
      </c>
      <c r="D37" s="149">
        <v>28.725096000000001</v>
      </c>
      <c r="E37" s="149">
        <v>28.358239999999999</v>
      </c>
      <c r="F37" s="149">
        <v>27.245087999999999</v>
      </c>
      <c r="G37" s="149">
        <v>28.210153999999999</v>
      </c>
      <c r="H37" s="149">
        <v>29.230820999999999</v>
      </c>
      <c r="I37" s="149">
        <v>29.779657</v>
      </c>
      <c r="J37" s="149">
        <v>30.866015999999998</v>
      </c>
      <c r="K37" s="149">
        <v>30.781068000000001</v>
      </c>
      <c r="L37" s="149">
        <v>30.004085</v>
      </c>
      <c r="M37" s="149">
        <v>29.555235</v>
      </c>
      <c r="N37" s="149">
        <v>30.235903</v>
      </c>
      <c r="O37" s="149">
        <v>30.523461000000001</v>
      </c>
      <c r="P37" s="149">
        <v>29.043524000000001</v>
      </c>
      <c r="Q37" s="149">
        <v>28.693103000000001</v>
      </c>
      <c r="R37" s="149">
        <v>28.539113</v>
      </c>
      <c r="S37" s="149">
        <v>27.720690999999999</v>
      </c>
      <c r="T37" s="149">
        <v>27.869295999999999</v>
      </c>
      <c r="U37" s="149">
        <v>28.652469</v>
      </c>
      <c r="V37" s="149">
        <v>29.666309999999999</v>
      </c>
      <c r="W37" s="149">
        <v>27.234922000000001</v>
      </c>
    </row>
    <row r="38" spans="1:23" x14ac:dyDescent="0.35">
      <c r="A38" s="154" t="s">
        <v>171</v>
      </c>
      <c r="B38" s="155" t="s">
        <v>31</v>
      </c>
      <c r="C38" s="149">
        <v>115.435343</v>
      </c>
      <c r="D38" s="149">
        <v>119.966746</v>
      </c>
      <c r="E38" s="149">
        <v>119.421395</v>
      </c>
      <c r="F38" s="149">
        <v>119.08888899999999</v>
      </c>
      <c r="G38" s="149">
        <v>121.36758</v>
      </c>
      <c r="H38" s="149">
        <v>124.69868200000001</v>
      </c>
      <c r="I38" s="149">
        <v>127.732686</v>
      </c>
      <c r="J38" s="149">
        <v>133.59735499999999</v>
      </c>
      <c r="K38" s="149">
        <v>131.61919700000001</v>
      </c>
      <c r="L38" s="149">
        <v>123.99427300000001</v>
      </c>
      <c r="M38" s="149">
        <v>120.903094</v>
      </c>
      <c r="N38" s="149">
        <v>118.61881099999999</v>
      </c>
      <c r="O38" s="149">
        <v>112.59388199999999</v>
      </c>
      <c r="P38" s="149">
        <v>113.12113600000001</v>
      </c>
      <c r="Q38" s="149">
        <v>110.115753</v>
      </c>
      <c r="R38" s="149">
        <v>109.505257</v>
      </c>
      <c r="S38" s="149">
        <v>108.449133</v>
      </c>
      <c r="T38" s="149">
        <v>110.800995</v>
      </c>
      <c r="U38" s="149">
        <v>111.94245100000001</v>
      </c>
      <c r="V38" s="149">
        <v>114.881552</v>
      </c>
      <c r="W38" s="149">
        <v>96.546553000000003</v>
      </c>
    </row>
    <row r="39" spans="1:23" x14ac:dyDescent="0.35">
      <c r="A39" s="1" t="s">
        <v>172</v>
      </c>
      <c r="B39" s="146" t="s">
        <v>173</v>
      </c>
      <c r="C39" s="149">
        <v>854.66098099999999</v>
      </c>
      <c r="D39" s="149">
        <v>874.04384400000004</v>
      </c>
      <c r="E39" s="149">
        <v>886.50923899999998</v>
      </c>
      <c r="F39" s="149">
        <v>896.77774799999997</v>
      </c>
      <c r="G39" s="149">
        <v>923.68864900000005</v>
      </c>
      <c r="H39" s="149">
        <v>942.78867200000002</v>
      </c>
      <c r="I39" s="149">
        <v>972.29396899999995</v>
      </c>
      <c r="J39" s="149">
        <v>1003.958573</v>
      </c>
      <c r="K39" s="149">
        <v>1019.252011</v>
      </c>
      <c r="L39" s="149">
        <v>987.10458900000003</v>
      </c>
      <c r="M39" s="149">
        <v>1013.315817</v>
      </c>
      <c r="N39" s="149">
        <v>1041.90435</v>
      </c>
      <c r="O39" s="149">
        <v>1053.1905690000001</v>
      </c>
      <c r="P39" s="149">
        <v>1058.51658</v>
      </c>
      <c r="Q39" s="149">
        <v>1072.5710300000001</v>
      </c>
      <c r="R39" s="149">
        <v>1087.9917009999999</v>
      </c>
      <c r="S39" s="149">
        <v>1106.6541749999999</v>
      </c>
      <c r="T39" s="149">
        <v>1137.041563</v>
      </c>
      <c r="U39" s="149">
        <v>1163.337865</v>
      </c>
      <c r="V39" s="149">
        <v>1192.838761</v>
      </c>
      <c r="W39" s="149">
        <v>1092.6543059999999</v>
      </c>
    </row>
    <row r="40" spans="1:23" x14ac:dyDescent="0.35">
      <c r="A40" s="1" t="s">
        <v>174</v>
      </c>
      <c r="B40" s="146" t="s">
        <v>175</v>
      </c>
      <c r="C40" s="149">
        <v>290.84373199999999</v>
      </c>
      <c r="D40" s="149">
        <v>298.63553300000001</v>
      </c>
      <c r="E40" s="149">
        <v>301.47765600000002</v>
      </c>
      <c r="F40" s="149">
        <v>302.77336200000002</v>
      </c>
      <c r="G40" s="149">
        <v>307.17890899999998</v>
      </c>
      <c r="H40" s="149">
        <v>310.75261399999999</v>
      </c>
      <c r="I40" s="149">
        <v>316.59435000000002</v>
      </c>
      <c r="J40" s="149">
        <v>326.74801400000001</v>
      </c>
      <c r="K40" s="149">
        <v>331.68282699999997</v>
      </c>
      <c r="L40" s="149">
        <v>314.35572999999999</v>
      </c>
      <c r="M40" s="149">
        <v>321.78294599999998</v>
      </c>
      <c r="N40" s="149">
        <v>332.43240800000001</v>
      </c>
      <c r="O40" s="149">
        <v>333.55157400000002</v>
      </c>
      <c r="P40" s="149">
        <v>333.72658699999999</v>
      </c>
      <c r="Q40" s="149">
        <v>336.86556200000001</v>
      </c>
      <c r="R40" s="149">
        <v>344.02880599999997</v>
      </c>
      <c r="S40" s="149">
        <v>351.19842399999999</v>
      </c>
      <c r="T40" s="149">
        <v>358.51860699999997</v>
      </c>
      <c r="U40" s="149">
        <v>359.13032299999998</v>
      </c>
      <c r="V40" s="149">
        <v>367.57460900000001</v>
      </c>
      <c r="W40" s="149">
        <v>308.04420199999998</v>
      </c>
    </row>
    <row r="41" spans="1:23" x14ac:dyDescent="0.35">
      <c r="A41" s="1" t="s">
        <v>176</v>
      </c>
      <c r="B41" s="146" t="s">
        <v>177</v>
      </c>
      <c r="C41" s="149">
        <v>171.396061</v>
      </c>
      <c r="D41" s="149">
        <v>178.03922399999999</v>
      </c>
      <c r="E41" s="149">
        <v>180.91576800000001</v>
      </c>
      <c r="F41" s="149">
        <v>182.402727</v>
      </c>
      <c r="G41" s="149">
        <v>183.624863</v>
      </c>
      <c r="H41" s="149">
        <v>184.189009</v>
      </c>
      <c r="I41" s="149">
        <v>186.79444000000001</v>
      </c>
      <c r="J41" s="149">
        <v>192.82199299999999</v>
      </c>
      <c r="K41" s="149">
        <v>197.99284900000001</v>
      </c>
      <c r="L41" s="149">
        <v>186.68932599999999</v>
      </c>
      <c r="M41" s="149">
        <v>186.60430700000001</v>
      </c>
      <c r="N41" s="149">
        <v>192.73387</v>
      </c>
      <c r="O41" s="149">
        <v>192.943172</v>
      </c>
      <c r="P41" s="149">
        <v>194.75059899999999</v>
      </c>
      <c r="Q41" s="149">
        <v>198.270906</v>
      </c>
      <c r="R41" s="149">
        <v>208.25428199999999</v>
      </c>
      <c r="S41" s="149">
        <v>213.191136</v>
      </c>
      <c r="T41" s="149">
        <v>217.57671199999999</v>
      </c>
      <c r="U41" s="149">
        <v>219.716903</v>
      </c>
      <c r="V41" s="149">
        <v>221.64131</v>
      </c>
      <c r="W41" s="149">
        <v>208.11429000000001</v>
      </c>
    </row>
    <row r="42" spans="1:23" x14ac:dyDescent="0.35">
      <c r="A42" s="1" t="s">
        <v>178</v>
      </c>
      <c r="B42" s="146" t="s">
        <v>179</v>
      </c>
      <c r="C42" s="149">
        <v>74.157089999999997</v>
      </c>
      <c r="D42" s="149">
        <v>73.977934000000005</v>
      </c>
      <c r="E42" s="149">
        <v>75.008655000000005</v>
      </c>
      <c r="F42" s="149">
        <v>74.949951999999996</v>
      </c>
      <c r="G42" s="149">
        <v>78.468664000000004</v>
      </c>
      <c r="H42" s="149">
        <v>80.725566000000001</v>
      </c>
      <c r="I42" s="149">
        <v>83.277325000000005</v>
      </c>
      <c r="J42" s="149">
        <v>85.965557000000004</v>
      </c>
      <c r="K42" s="149">
        <v>85.510874000000001</v>
      </c>
      <c r="L42" s="149">
        <v>80.593101000000004</v>
      </c>
      <c r="M42" s="149">
        <v>86.680441999999999</v>
      </c>
      <c r="N42" s="149">
        <v>88.568935999999994</v>
      </c>
      <c r="O42" s="149">
        <v>89.679914999999994</v>
      </c>
      <c r="P42" s="149">
        <v>87.568494999999999</v>
      </c>
      <c r="Q42" s="149">
        <v>87.696288999999993</v>
      </c>
      <c r="R42" s="149">
        <v>85.025486000000001</v>
      </c>
      <c r="S42" s="149">
        <v>86.508730999999997</v>
      </c>
      <c r="T42" s="149">
        <v>88.749098000000004</v>
      </c>
      <c r="U42" s="149">
        <v>86.409052000000003</v>
      </c>
      <c r="V42" s="149">
        <v>89.755247999999995</v>
      </c>
      <c r="W42" s="149">
        <v>69.124375000000001</v>
      </c>
    </row>
    <row r="43" spans="1:23" x14ac:dyDescent="0.35">
      <c r="A43" s="1" t="s">
        <v>180</v>
      </c>
      <c r="B43" s="146" t="s">
        <v>181</v>
      </c>
      <c r="C43" s="149">
        <v>45.635714999999998</v>
      </c>
      <c r="D43" s="149">
        <v>46.779704000000002</v>
      </c>
      <c r="E43" s="149">
        <v>45.369385999999999</v>
      </c>
      <c r="F43" s="149">
        <v>45.165066000000003</v>
      </c>
      <c r="G43" s="149">
        <v>44.852884000000003</v>
      </c>
      <c r="H43" s="149">
        <v>45.738351999999999</v>
      </c>
      <c r="I43" s="149">
        <v>46.484977999999998</v>
      </c>
      <c r="J43" s="149">
        <v>47.918776999999999</v>
      </c>
      <c r="K43" s="149">
        <v>48.023831000000001</v>
      </c>
      <c r="L43" s="149">
        <v>47.010202</v>
      </c>
      <c r="M43" s="149">
        <v>48.664200999999998</v>
      </c>
      <c r="N43" s="149">
        <v>51.290877000000002</v>
      </c>
      <c r="O43" s="149">
        <v>51.133006000000002</v>
      </c>
      <c r="P43" s="149">
        <v>51.460731000000003</v>
      </c>
      <c r="Q43" s="149">
        <v>50.898366000000003</v>
      </c>
      <c r="R43" s="149">
        <v>50.749037999999999</v>
      </c>
      <c r="S43" s="149">
        <v>51.532573999999997</v>
      </c>
      <c r="T43" s="149">
        <v>52.221138000000003</v>
      </c>
      <c r="U43" s="149">
        <v>53.183914000000001</v>
      </c>
      <c r="V43" s="149">
        <v>56.056249999999999</v>
      </c>
      <c r="W43" s="149">
        <v>32.796370000000003</v>
      </c>
    </row>
    <row r="44" spans="1:23" x14ac:dyDescent="0.35">
      <c r="A44" s="1" t="s">
        <v>182</v>
      </c>
      <c r="B44" s="146" t="s">
        <v>183</v>
      </c>
      <c r="C44" s="149">
        <v>52.548471999999997</v>
      </c>
      <c r="D44" s="149">
        <v>56.908489000000003</v>
      </c>
      <c r="E44" s="149">
        <v>61.428776999999997</v>
      </c>
      <c r="F44" s="149">
        <v>63.721981999999997</v>
      </c>
      <c r="G44" s="149">
        <v>68.502025000000003</v>
      </c>
      <c r="H44" s="149">
        <v>69.330124999999995</v>
      </c>
      <c r="I44" s="149">
        <v>75.667862</v>
      </c>
      <c r="J44" s="149">
        <v>79.396192999999997</v>
      </c>
      <c r="K44" s="149">
        <v>82.105980000000002</v>
      </c>
      <c r="L44" s="149">
        <v>78.835273999999998</v>
      </c>
      <c r="M44" s="149">
        <v>81.816299999999998</v>
      </c>
      <c r="N44" s="149">
        <v>87.005201999999997</v>
      </c>
      <c r="O44" s="149">
        <v>91.059291000000002</v>
      </c>
      <c r="P44" s="149">
        <v>90.574571000000006</v>
      </c>
      <c r="Q44" s="149">
        <v>94.375947999999994</v>
      </c>
      <c r="R44" s="149">
        <v>97.953288999999998</v>
      </c>
      <c r="S44" s="149">
        <v>100.967552</v>
      </c>
      <c r="T44" s="149">
        <v>107.08545100000001</v>
      </c>
      <c r="U44" s="149">
        <v>113.027378</v>
      </c>
      <c r="V44" s="149">
        <v>118.480981</v>
      </c>
      <c r="W44" s="149">
        <v>119.644657</v>
      </c>
    </row>
    <row r="45" spans="1:23" x14ac:dyDescent="0.35">
      <c r="A45" s="1" t="s">
        <v>184</v>
      </c>
      <c r="B45" s="146" t="s">
        <v>185</v>
      </c>
      <c r="C45" s="149">
        <v>19.383137999999999</v>
      </c>
      <c r="D45" s="149">
        <v>19.889327000000002</v>
      </c>
      <c r="E45" s="149">
        <v>19.806692000000002</v>
      </c>
      <c r="F45" s="149">
        <v>20.317522</v>
      </c>
      <c r="G45" s="149">
        <v>21.897606</v>
      </c>
      <c r="H45" s="149">
        <v>22.440643000000001</v>
      </c>
      <c r="I45" s="149">
        <v>23.190992999999999</v>
      </c>
      <c r="J45" s="149">
        <v>24.019515999999999</v>
      </c>
      <c r="K45" s="149">
        <v>23.673562</v>
      </c>
      <c r="L45" s="149">
        <v>21.876767000000001</v>
      </c>
      <c r="M45" s="149">
        <v>22.751301999999999</v>
      </c>
      <c r="N45" s="149">
        <v>24.045839999999998</v>
      </c>
      <c r="O45" s="149">
        <v>23.243867999999999</v>
      </c>
      <c r="P45" s="149">
        <v>22.837195000000001</v>
      </c>
      <c r="Q45" s="149">
        <v>23.408149999999999</v>
      </c>
      <c r="R45" s="149">
        <v>23.429345000000001</v>
      </c>
      <c r="S45" s="149">
        <v>23.811530000000001</v>
      </c>
      <c r="T45" s="149">
        <v>25.365144000000001</v>
      </c>
      <c r="U45" s="149">
        <v>26.043462999999999</v>
      </c>
      <c r="V45" s="149">
        <v>26.845939999999999</v>
      </c>
      <c r="W45" s="149">
        <v>25.355122000000001</v>
      </c>
    </row>
    <row r="46" spans="1:23" x14ac:dyDescent="0.35">
      <c r="A46" s="1" t="s">
        <v>186</v>
      </c>
      <c r="B46" s="146" t="s">
        <v>187</v>
      </c>
      <c r="C46" s="149">
        <v>9.008286</v>
      </c>
      <c r="D46" s="149">
        <v>10.810107</v>
      </c>
      <c r="E46" s="149">
        <v>13.617540999999999</v>
      </c>
      <c r="F46" s="149">
        <v>13.938879</v>
      </c>
      <c r="G46" s="149">
        <v>15.007693</v>
      </c>
      <c r="H46" s="149">
        <v>15.022373999999999</v>
      </c>
      <c r="I46" s="149">
        <v>17.099734999999999</v>
      </c>
      <c r="J46" s="149">
        <v>17.901907000000001</v>
      </c>
      <c r="K46" s="149">
        <v>18.385791999999999</v>
      </c>
      <c r="L46" s="149">
        <v>17.932514000000001</v>
      </c>
      <c r="M46" s="149">
        <v>18.637521</v>
      </c>
      <c r="N46" s="149">
        <v>20.962475999999999</v>
      </c>
      <c r="O46" s="149">
        <v>23.168897999999999</v>
      </c>
      <c r="P46" s="149">
        <v>23.219666</v>
      </c>
      <c r="Q46" s="149">
        <v>24.141013999999998</v>
      </c>
      <c r="R46" s="149">
        <v>25.387605000000001</v>
      </c>
      <c r="S46" s="149">
        <v>24.902417</v>
      </c>
      <c r="T46" s="149">
        <v>26.110399999999998</v>
      </c>
      <c r="U46" s="149">
        <v>27.289002</v>
      </c>
      <c r="V46" s="149">
        <v>28.413038</v>
      </c>
      <c r="W46" s="149">
        <v>30.402187999999999</v>
      </c>
    </row>
    <row r="47" spans="1:23" x14ac:dyDescent="0.35">
      <c r="A47" s="1" t="s">
        <v>188</v>
      </c>
      <c r="B47" s="146" t="s">
        <v>189</v>
      </c>
      <c r="C47" s="149">
        <v>28.864281999999999</v>
      </c>
      <c r="D47" s="149">
        <v>29.842191</v>
      </c>
      <c r="E47" s="149">
        <v>29.690265</v>
      </c>
      <c r="F47" s="149">
        <v>31.339994000000001</v>
      </c>
      <c r="G47" s="149">
        <v>33.594562000000003</v>
      </c>
      <c r="H47" s="149">
        <v>34.078470000000003</v>
      </c>
      <c r="I47" s="149">
        <v>36.959558000000001</v>
      </c>
      <c r="J47" s="149">
        <v>39.130225000000003</v>
      </c>
      <c r="K47" s="149">
        <v>41.676504000000001</v>
      </c>
      <c r="L47" s="149">
        <v>40.287551999999998</v>
      </c>
      <c r="M47" s="149">
        <v>41.717910000000003</v>
      </c>
      <c r="N47" s="149">
        <v>42.608907000000002</v>
      </c>
      <c r="O47" s="149">
        <v>44.678975000000001</v>
      </c>
      <c r="P47" s="149">
        <v>44.511212999999998</v>
      </c>
      <c r="Q47" s="149">
        <v>46.826785000000001</v>
      </c>
      <c r="R47" s="149">
        <v>49.136339</v>
      </c>
      <c r="S47" s="149">
        <v>52.227702999999998</v>
      </c>
      <c r="T47" s="149">
        <v>55.573903999999999</v>
      </c>
      <c r="U47" s="149">
        <v>59.667560000000002</v>
      </c>
      <c r="V47" s="149">
        <v>63.189658000000001</v>
      </c>
      <c r="W47" s="149">
        <v>64.102996000000005</v>
      </c>
    </row>
    <row r="48" spans="1:23" x14ac:dyDescent="0.35">
      <c r="A48" s="1" t="s">
        <v>190</v>
      </c>
      <c r="B48" s="146" t="s">
        <v>191</v>
      </c>
      <c r="C48" s="149">
        <v>62.867615999999998</v>
      </c>
      <c r="D48" s="149">
        <v>61.420133999999997</v>
      </c>
      <c r="E48" s="149">
        <v>63.902166000000001</v>
      </c>
      <c r="F48" s="149">
        <v>64.976045999999997</v>
      </c>
      <c r="G48" s="149">
        <v>68.616904000000005</v>
      </c>
      <c r="H48" s="149">
        <v>68.926483000000005</v>
      </c>
      <c r="I48" s="149">
        <v>67.465087999999994</v>
      </c>
      <c r="J48" s="149">
        <v>72.481999000000002</v>
      </c>
      <c r="K48" s="149">
        <v>73.459676000000002</v>
      </c>
      <c r="L48" s="149">
        <v>78.393384999999995</v>
      </c>
      <c r="M48" s="149">
        <v>78.692867000000007</v>
      </c>
      <c r="N48" s="149">
        <v>83.877752999999998</v>
      </c>
      <c r="O48" s="149">
        <v>85.825554999999994</v>
      </c>
      <c r="P48" s="149">
        <v>85.828542999999996</v>
      </c>
      <c r="Q48" s="149">
        <v>86.922708</v>
      </c>
      <c r="R48" s="149">
        <v>87.092391000000006</v>
      </c>
      <c r="S48" s="149">
        <v>86.822427000000005</v>
      </c>
      <c r="T48" s="149">
        <v>87.271518999999998</v>
      </c>
      <c r="U48" s="149">
        <v>93.555757999999997</v>
      </c>
      <c r="V48" s="149">
        <v>95.154634999999999</v>
      </c>
      <c r="W48" s="149">
        <v>89.213160999999999</v>
      </c>
    </row>
    <row r="49" spans="1:23" x14ac:dyDescent="0.35">
      <c r="A49" s="1" t="s">
        <v>192</v>
      </c>
      <c r="B49" s="146" t="s">
        <v>193</v>
      </c>
      <c r="C49" s="149">
        <v>199.851969</v>
      </c>
      <c r="D49" s="149">
        <v>206.111817</v>
      </c>
      <c r="E49" s="149">
        <v>202.70647099999999</v>
      </c>
      <c r="F49" s="149">
        <v>204.07121699999999</v>
      </c>
      <c r="G49" s="149">
        <v>211.829916</v>
      </c>
      <c r="H49" s="149">
        <v>218.52077499999999</v>
      </c>
      <c r="I49" s="149">
        <v>225.14655400000001</v>
      </c>
      <c r="J49" s="149">
        <v>228.096936</v>
      </c>
      <c r="K49" s="149">
        <v>228.50703999999999</v>
      </c>
      <c r="L49" s="149">
        <v>230.21879000000001</v>
      </c>
      <c r="M49" s="149">
        <v>234.79736</v>
      </c>
      <c r="N49" s="149">
        <v>234.243888</v>
      </c>
      <c r="O49" s="149">
        <v>238.52232900000001</v>
      </c>
      <c r="P49" s="149">
        <v>243.20063300000001</v>
      </c>
      <c r="Q49" s="149">
        <v>245.92055199999999</v>
      </c>
      <c r="R49" s="149">
        <v>246.727453</v>
      </c>
      <c r="S49" s="149">
        <v>248.68389500000001</v>
      </c>
      <c r="T49" s="149">
        <v>250.644665</v>
      </c>
      <c r="U49" s="149">
        <v>253.901689</v>
      </c>
      <c r="V49" s="149">
        <v>258.66377299999999</v>
      </c>
      <c r="W49" s="149">
        <v>255.36476200000001</v>
      </c>
    </row>
    <row r="50" spans="1:23" x14ac:dyDescent="0.35">
      <c r="A50" s="1" t="s">
        <v>194</v>
      </c>
      <c r="B50" s="146" t="s">
        <v>195</v>
      </c>
      <c r="C50" s="149">
        <v>209.58815799999999</v>
      </c>
      <c r="D50" s="149">
        <v>208.524891</v>
      </c>
      <c r="E50" s="149">
        <v>210.816509</v>
      </c>
      <c r="F50" s="149">
        <v>212.73299900000001</v>
      </c>
      <c r="G50" s="149">
        <v>217.17214100000001</v>
      </c>
      <c r="H50" s="149">
        <v>224.640277</v>
      </c>
      <c r="I50" s="149">
        <v>233.861132</v>
      </c>
      <c r="J50" s="149">
        <v>242.27982399999999</v>
      </c>
      <c r="K50" s="149">
        <v>246.59453999999999</v>
      </c>
      <c r="L50" s="149">
        <v>228.91269199999999</v>
      </c>
      <c r="M50" s="149">
        <v>237.92855700000001</v>
      </c>
      <c r="N50" s="149">
        <v>246.16961900000001</v>
      </c>
      <c r="O50" s="149">
        <v>245.92675500000001</v>
      </c>
      <c r="P50" s="149">
        <v>246.89797999999999</v>
      </c>
      <c r="Q50" s="149">
        <v>250.22551000000001</v>
      </c>
      <c r="R50" s="149">
        <v>254.548956</v>
      </c>
      <c r="S50" s="149">
        <v>261.28500600000001</v>
      </c>
      <c r="T50" s="149">
        <v>274.961071</v>
      </c>
      <c r="U50" s="149">
        <v>284.70895300000001</v>
      </c>
      <c r="V50" s="149">
        <v>292.64949999999999</v>
      </c>
      <c r="W50" s="149">
        <v>274.46176000000003</v>
      </c>
    </row>
    <row r="51" spans="1:23" x14ac:dyDescent="0.35">
      <c r="A51" s="1" t="s">
        <v>196</v>
      </c>
      <c r="B51" s="146" t="s">
        <v>197</v>
      </c>
      <c r="C51" s="149">
        <v>69.865482999999998</v>
      </c>
      <c r="D51" s="149">
        <v>69.079357999999999</v>
      </c>
      <c r="E51" s="149">
        <v>72.161817999999997</v>
      </c>
      <c r="F51" s="149">
        <v>75.704161999999997</v>
      </c>
      <c r="G51" s="149">
        <v>78.426360000000003</v>
      </c>
      <c r="H51" s="149">
        <v>81.717325000000002</v>
      </c>
      <c r="I51" s="149">
        <v>87.155294999999995</v>
      </c>
      <c r="J51" s="149">
        <v>90.310184000000007</v>
      </c>
      <c r="K51" s="149">
        <v>92.020143000000004</v>
      </c>
      <c r="L51" s="149">
        <v>87.376951000000005</v>
      </c>
      <c r="M51" s="149">
        <v>92.349597000000003</v>
      </c>
      <c r="N51" s="149">
        <v>95.639998000000006</v>
      </c>
      <c r="O51" s="149">
        <v>97.611407</v>
      </c>
      <c r="P51" s="149">
        <v>98.985677999999993</v>
      </c>
      <c r="Q51" s="149">
        <v>100.60877600000001</v>
      </c>
      <c r="R51" s="149">
        <v>102.37482199999999</v>
      </c>
      <c r="S51" s="149">
        <v>105.076504</v>
      </c>
      <c r="T51" s="149">
        <v>110.17821600000001</v>
      </c>
      <c r="U51" s="149">
        <v>114.41453</v>
      </c>
      <c r="V51" s="149">
        <v>118.26093299999999</v>
      </c>
      <c r="W51" s="149">
        <v>112.490301</v>
      </c>
    </row>
    <row r="52" spans="1:23" x14ac:dyDescent="0.35">
      <c r="A52" s="1" t="s">
        <v>198</v>
      </c>
      <c r="B52" s="146" t="s">
        <v>199</v>
      </c>
      <c r="C52" s="149">
        <v>27.413891</v>
      </c>
      <c r="D52" s="149">
        <v>26.476153</v>
      </c>
      <c r="E52" s="149">
        <v>27.087040999999999</v>
      </c>
      <c r="F52" s="149">
        <v>26.676573000000001</v>
      </c>
      <c r="G52" s="149">
        <v>26.896056999999999</v>
      </c>
      <c r="H52" s="149">
        <v>26.565214000000001</v>
      </c>
      <c r="I52" s="149">
        <v>26.985468000000001</v>
      </c>
      <c r="J52" s="149">
        <v>27.641169999999999</v>
      </c>
      <c r="K52" s="149">
        <v>29.067184000000001</v>
      </c>
      <c r="L52" s="149">
        <v>29.596568999999999</v>
      </c>
      <c r="M52" s="149">
        <v>30.390976999999999</v>
      </c>
      <c r="N52" s="149">
        <v>31.111065</v>
      </c>
      <c r="O52" s="149">
        <v>31.905929</v>
      </c>
      <c r="P52" s="149">
        <v>32.930802</v>
      </c>
      <c r="Q52" s="149">
        <v>33.550325000000001</v>
      </c>
      <c r="R52" s="149">
        <v>33.455739000000001</v>
      </c>
      <c r="S52" s="149">
        <v>33.362495000000003</v>
      </c>
      <c r="T52" s="149">
        <v>35.352969000000002</v>
      </c>
      <c r="U52" s="149">
        <v>35.547234000000003</v>
      </c>
      <c r="V52" s="149">
        <v>36.015591999999998</v>
      </c>
      <c r="W52" s="149">
        <v>35.794105999999999</v>
      </c>
    </row>
    <row r="53" spans="1:23" x14ac:dyDescent="0.35">
      <c r="A53" s="1" t="s">
        <v>200</v>
      </c>
      <c r="B53" s="146" t="s">
        <v>201</v>
      </c>
      <c r="C53" s="149">
        <v>10.73372</v>
      </c>
      <c r="D53" s="149">
        <v>10.706769</v>
      </c>
      <c r="E53" s="149">
        <v>11.292026</v>
      </c>
      <c r="F53" s="149">
        <v>10.709196</v>
      </c>
      <c r="G53" s="149">
        <v>11.259017</v>
      </c>
      <c r="H53" s="149">
        <v>11.983407</v>
      </c>
      <c r="I53" s="149">
        <v>12.145346999999999</v>
      </c>
      <c r="J53" s="149">
        <v>12.519088</v>
      </c>
      <c r="K53" s="149">
        <v>12.700179</v>
      </c>
      <c r="L53" s="149">
        <v>12.485498</v>
      </c>
      <c r="M53" s="149">
        <v>13.040074000000001</v>
      </c>
      <c r="N53" s="149">
        <v>13.938494</v>
      </c>
      <c r="O53" s="149">
        <v>14.510355000000001</v>
      </c>
      <c r="P53" s="149">
        <v>14.326101</v>
      </c>
      <c r="Q53" s="149">
        <v>14.585618</v>
      </c>
      <c r="R53" s="149">
        <v>14.890879</v>
      </c>
      <c r="S53" s="149">
        <v>14.951174</v>
      </c>
      <c r="T53" s="149">
        <v>15.388038</v>
      </c>
      <c r="U53" s="149">
        <v>15.743112999999999</v>
      </c>
      <c r="V53" s="149">
        <v>16.322865</v>
      </c>
      <c r="W53" s="149">
        <v>16.311184999999998</v>
      </c>
    </row>
    <row r="54" spans="1:23" x14ac:dyDescent="0.35">
      <c r="A54" s="1" t="s">
        <v>202</v>
      </c>
      <c r="B54" s="146" t="s">
        <v>203</v>
      </c>
      <c r="C54" s="149">
        <v>103.006795</v>
      </c>
      <c r="D54" s="149">
        <v>103.789891</v>
      </c>
      <c r="E54" s="149">
        <v>101.41589500000001</v>
      </c>
      <c r="F54" s="149">
        <v>100.942015</v>
      </c>
      <c r="G54" s="149">
        <v>101.74891100000001</v>
      </c>
      <c r="H54" s="149">
        <v>105.558716</v>
      </c>
      <c r="I54" s="149">
        <v>108.780387</v>
      </c>
      <c r="J54" s="149">
        <v>113.118298</v>
      </c>
      <c r="K54" s="149">
        <v>114.033905</v>
      </c>
      <c r="L54" s="149">
        <v>99.930391</v>
      </c>
      <c r="M54" s="149">
        <v>102.496095</v>
      </c>
      <c r="N54" s="149">
        <v>105.78234999999999</v>
      </c>
      <c r="O54" s="149">
        <v>101.932438</v>
      </c>
      <c r="P54" s="149">
        <v>100.661902</v>
      </c>
      <c r="Q54" s="149">
        <v>101.480791</v>
      </c>
      <c r="R54" s="149">
        <v>103.827516</v>
      </c>
      <c r="S54" s="149">
        <v>107.887181</v>
      </c>
      <c r="T54" s="149">
        <v>114.034493</v>
      </c>
      <c r="U54" s="149">
        <v>119.003781</v>
      </c>
      <c r="V54" s="149">
        <v>122.04852700000001</v>
      </c>
      <c r="W54" s="149">
        <v>109.87823299999999</v>
      </c>
    </row>
    <row r="55" spans="1:23" x14ac:dyDescent="0.35">
      <c r="A55" s="1" t="s">
        <v>204</v>
      </c>
      <c r="B55" s="146" t="s">
        <v>205</v>
      </c>
      <c r="C55" s="149">
        <v>47.349400000000003</v>
      </c>
      <c r="D55" s="149">
        <v>49.062908999999998</v>
      </c>
      <c r="E55" s="149">
        <v>50.262763</v>
      </c>
      <c r="F55" s="149">
        <v>51.797640000000001</v>
      </c>
      <c r="G55" s="149">
        <v>52.844028999999999</v>
      </c>
      <c r="H55" s="149">
        <v>53.579524999999997</v>
      </c>
      <c r="I55" s="149">
        <v>55.184275999999997</v>
      </c>
      <c r="J55" s="149">
        <v>56.284261000000001</v>
      </c>
      <c r="K55" s="149">
        <v>58.073079</v>
      </c>
      <c r="L55" s="149">
        <v>57.844971000000001</v>
      </c>
      <c r="M55" s="149">
        <v>59.524766</v>
      </c>
      <c r="N55" s="149">
        <v>58.590950999999997</v>
      </c>
      <c r="O55" s="149">
        <v>58.430745999999999</v>
      </c>
      <c r="P55" s="149">
        <v>58.376353999999999</v>
      </c>
      <c r="Q55" s="149">
        <v>58.260748999999997</v>
      </c>
      <c r="R55" s="149">
        <v>57.640808</v>
      </c>
      <c r="S55" s="149">
        <v>57.707044000000003</v>
      </c>
      <c r="T55" s="149">
        <v>58.586410999999998</v>
      </c>
      <c r="U55" s="149">
        <v>59.620240000000003</v>
      </c>
      <c r="V55" s="149">
        <v>61.001089</v>
      </c>
      <c r="W55" s="149">
        <v>47.149341</v>
      </c>
    </row>
    <row r="56" spans="1:23" x14ac:dyDescent="0.35">
      <c r="A56" s="1" t="s">
        <v>206</v>
      </c>
      <c r="B56" s="146" t="s">
        <v>207</v>
      </c>
      <c r="C56" s="149">
        <v>18.263514000000001</v>
      </c>
      <c r="D56" s="149">
        <v>19.841491000000001</v>
      </c>
      <c r="E56" s="149">
        <v>21.669107</v>
      </c>
      <c r="F56" s="149">
        <v>22.937189</v>
      </c>
      <c r="G56" s="149">
        <v>22.858194999999998</v>
      </c>
      <c r="H56" s="149">
        <v>23.350496</v>
      </c>
      <c r="I56" s="149">
        <v>24.103404999999999</v>
      </c>
      <c r="J56" s="149">
        <v>24.564737000000001</v>
      </c>
      <c r="K56" s="149">
        <v>25.603321999999999</v>
      </c>
      <c r="L56" s="149">
        <v>25.858514</v>
      </c>
      <c r="M56" s="149">
        <v>26.642337999999999</v>
      </c>
      <c r="N56" s="149">
        <v>26.556215000000002</v>
      </c>
      <c r="O56" s="149">
        <v>26.344842</v>
      </c>
      <c r="P56" s="149">
        <v>26.826383</v>
      </c>
      <c r="Q56" s="149">
        <v>27.182728999999998</v>
      </c>
      <c r="R56" s="149">
        <v>27.423155000000001</v>
      </c>
      <c r="S56" s="149">
        <v>27.614006</v>
      </c>
      <c r="T56" s="149">
        <v>28.344080000000002</v>
      </c>
      <c r="U56" s="149">
        <v>29.583915999999999</v>
      </c>
      <c r="V56" s="149">
        <v>30.768329999999999</v>
      </c>
      <c r="W56" s="149">
        <v>20.895969999999998</v>
      </c>
    </row>
    <row r="57" spans="1:23" x14ac:dyDescent="0.35">
      <c r="A57" s="1" t="s">
        <v>208</v>
      </c>
      <c r="B57" s="146" t="s">
        <v>209</v>
      </c>
      <c r="C57" s="149">
        <v>25.364768000000002</v>
      </c>
      <c r="D57" s="149">
        <v>25.493660999999999</v>
      </c>
      <c r="E57" s="149">
        <v>24.713367999999999</v>
      </c>
      <c r="F57" s="149">
        <v>24.844024999999998</v>
      </c>
      <c r="G57" s="149">
        <v>25.827387000000002</v>
      </c>
      <c r="H57" s="149">
        <v>26.132898999999998</v>
      </c>
      <c r="I57" s="149">
        <v>27.004311999999999</v>
      </c>
      <c r="J57" s="149">
        <v>27.64751</v>
      </c>
      <c r="K57" s="149">
        <v>28.280308999999999</v>
      </c>
      <c r="L57" s="149">
        <v>27.827314000000001</v>
      </c>
      <c r="M57" s="149">
        <v>28.713318999999998</v>
      </c>
      <c r="N57" s="149">
        <v>27.987736999999999</v>
      </c>
      <c r="O57" s="149">
        <v>28.181688999999999</v>
      </c>
      <c r="P57" s="149">
        <v>27.832937000000001</v>
      </c>
      <c r="Q57" s="149">
        <v>27.475021000000002</v>
      </c>
      <c r="R57" s="149">
        <v>26.703652999999999</v>
      </c>
      <c r="S57" s="149">
        <v>26.529758999999999</v>
      </c>
      <c r="T57" s="149">
        <v>26.690853000000001</v>
      </c>
      <c r="U57" s="149">
        <v>26.593793999999999</v>
      </c>
      <c r="V57" s="149">
        <v>26.782654999999998</v>
      </c>
      <c r="W57" s="149">
        <v>23.416933</v>
      </c>
    </row>
    <row r="58" spans="1:23" x14ac:dyDescent="0.35">
      <c r="A58" s="1" t="s">
        <v>210</v>
      </c>
      <c r="B58" s="146" t="s">
        <v>211</v>
      </c>
      <c r="C58" s="149">
        <v>3.5362130000000001</v>
      </c>
      <c r="D58" s="149">
        <v>3.5740569999999998</v>
      </c>
      <c r="E58" s="149">
        <v>3.7888440000000001</v>
      </c>
      <c r="F58" s="149">
        <v>3.9649969999999999</v>
      </c>
      <c r="G58" s="149">
        <v>4.050351</v>
      </c>
      <c r="H58" s="149">
        <v>4.0165430000000004</v>
      </c>
      <c r="I58" s="149">
        <v>4.0245410000000001</v>
      </c>
      <c r="J58" s="149">
        <v>4.0350239999999999</v>
      </c>
      <c r="K58" s="149">
        <v>4.1594930000000003</v>
      </c>
      <c r="L58" s="149">
        <v>4.1420209999999997</v>
      </c>
      <c r="M58" s="149">
        <v>4.1555400000000002</v>
      </c>
      <c r="N58" s="149">
        <v>4.0399339999999997</v>
      </c>
      <c r="O58" s="149">
        <v>3.90144</v>
      </c>
      <c r="P58" s="149">
        <v>3.7180219999999999</v>
      </c>
      <c r="Q58" s="149">
        <v>3.6030000000000002</v>
      </c>
      <c r="R58" s="149">
        <v>3.5139999999999998</v>
      </c>
      <c r="S58" s="149">
        <v>3.5656469999999998</v>
      </c>
      <c r="T58" s="149">
        <v>3.5540289999999999</v>
      </c>
      <c r="U58" s="149">
        <v>3.4331429999999998</v>
      </c>
      <c r="V58" s="149">
        <v>3.3653550000000001</v>
      </c>
      <c r="W58" s="149">
        <v>2.8947080000000001</v>
      </c>
    </row>
    <row r="59" spans="1:23" x14ac:dyDescent="0.35">
      <c r="A59" s="1" t="s">
        <v>212</v>
      </c>
      <c r="B59" s="146" t="s">
        <v>213</v>
      </c>
      <c r="C59" s="149">
        <v>373.85223300000001</v>
      </c>
      <c r="D59" s="149">
        <v>379.65651700000001</v>
      </c>
      <c r="E59" s="149">
        <v>381.13677300000001</v>
      </c>
      <c r="F59" s="149">
        <v>383.384388</v>
      </c>
      <c r="G59" s="149">
        <v>391.12611800000002</v>
      </c>
      <c r="H59" s="149">
        <v>395.00195500000001</v>
      </c>
      <c r="I59" s="149">
        <v>401.38985400000001</v>
      </c>
      <c r="J59" s="149">
        <v>405.45388800000001</v>
      </c>
      <c r="K59" s="149">
        <v>409.79887600000001</v>
      </c>
      <c r="L59" s="149">
        <v>415.25059399999998</v>
      </c>
      <c r="M59" s="149">
        <v>419.03451000000001</v>
      </c>
      <c r="N59" s="149">
        <v>424.83819499999998</v>
      </c>
      <c r="O59" s="149">
        <v>430.79872699999999</v>
      </c>
      <c r="P59" s="149">
        <v>435.388668</v>
      </c>
      <c r="Q59" s="149">
        <v>439.70497399999999</v>
      </c>
      <c r="R59" s="149">
        <v>441.12714099999999</v>
      </c>
      <c r="S59" s="149">
        <v>445.87325700000002</v>
      </c>
      <c r="T59" s="149">
        <v>450.38135899999997</v>
      </c>
      <c r="U59" s="149">
        <v>453.51062200000001</v>
      </c>
      <c r="V59" s="149">
        <v>456.02377799999999</v>
      </c>
      <c r="W59" s="149">
        <v>434.61776300000002</v>
      </c>
    </row>
    <row r="60" spans="1:23" x14ac:dyDescent="0.35">
      <c r="A60" s="1" t="s">
        <v>214</v>
      </c>
      <c r="B60" s="146" t="s">
        <v>215</v>
      </c>
      <c r="C60" s="149">
        <v>140.701752</v>
      </c>
      <c r="D60" s="149">
        <v>141.958236</v>
      </c>
      <c r="E60" s="149">
        <v>139.55448200000001</v>
      </c>
      <c r="F60" s="149">
        <v>141.00774899999999</v>
      </c>
      <c r="G60" s="149">
        <v>143.419872</v>
      </c>
      <c r="H60" s="149">
        <v>146.115793</v>
      </c>
      <c r="I60" s="149">
        <v>147.61606599999999</v>
      </c>
      <c r="J60" s="149">
        <v>148.702191</v>
      </c>
      <c r="K60" s="149">
        <v>148.916079</v>
      </c>
      <c r="L60" s="149">
        <v>152.65422899999999</v>
      </c>
      <c r="M60" s="149">
        <v>153.429832</v>
      </c>
      <c r="N60" s="149">
        <v>154.05400900000001</v>
      </c>
      <c r="O60" s="149">
        <v>155.71086399999999</v>
      </c>
      <c r="P60" s="149">
        <v>157.27252100000001</v>
      </c>
      <c r="Q60" s="149">
        <v>158.179</v>
      </c>
      <c r="R60" s="149">
        <v>157.38033300000001</v>
      </c>
      <c r="S60" s="149">
        <v>157.60764399999999</v>
      </c>
      <c r="T60" s="149">
        <v>157.85339500000001</v>
      </c>
      <c r="U60" s="149">
        <v>159.499843</v>
      </c>
      <c r="V60" s="149">
        <v>161.57198399999999</v>
      </c>
      <c r="W60" s="149">
        <v>158.69573600000001</v>
      </c>
    </row>
    <row r="61" spans="1:23" x14ac:dyDescent="0.35">
      <c r="A61" s="1" t="s">
        <v>216</v>
      </c>
      <c r="B61" s="146" t="s">
        <v>217</v>
      </c>
      <c r="C61" s="149">
        <v>102.597251</v>
      </c>
      <c r="D61" s="149">
        <v>103.536886</v>
      </c>
      <c r="E61" s="149">
        <v>102.037848</v>
      </c>
      <c r="F61" s="149">
        <v>102.32972100000001</v>
      </c>
      <c r="G61" s="149">
        <v>103.315622</v>
      </c>
      <c r="H61" s="149">
        <v>102.704002</v>
      </c>
      <c r="I61" s="149">
        <v>102.036215</v>
      </c>
      <c r="J61" s="149">
        <v>103.078901</v>
      </c>
      <c r="K61" s="149">
        <v>102.20813800000001</v>
      </c>
      <c r="L61" s="149">
        <v>100.68663100000001</v>
      </c>
      <c r="M61" s="149">
        <v>100.518596</v>
      </c>
      <c r="N61" s="149">
        <v>101.13605099999999</v>
      </c>
      <c r="O61" s="149">
        <v>102.44456099999999</v>
      </c>
      <c r="P61" s="149">
        <v>102.85809500000001</v>
      </c>
      <c r="Q61" s="149">
        <v>103.454358</v>
      </c>
      <c r="R61" s="149">
        <v>103.977374</v>
      </c>
      <c r="S61" s="149">
        <v>105.42507999999999</v>
      </c>
      <c r="T61" s="149">
        <v>106.49440800000001</v>
      </c>
      <c r="U61" s="149">
        <v>107.64566600000001</v>
      </c>
      <c r="V61" s="149">
        <v>107.508837</v>
      </c>
      <c r="W61" s="149">
        <v>99.508636999999993</v>
      </c>
    </row>
    <row r="62" spans="1:23" x14ac:dyDescent="0.35">
      <c r="A62" s="1" t="s">
        <v>218</v>
      </c>
      <c r="B62" s="146" t="s">
        <v>219</v>
      </c>
      <c r="C62" s="149">
        <v>84.547804999999997</v>
      </c>
      <c r="D62" s="149">
        <v>86.992637999999999</v>
      </c>
      <c r="E62" s="149">
        <v>89.372179000000003</v>
      </c>
      <c r="F62" s="149">
        <v>89.155618000000004</v>
      </c>
      <c r="G62" s="149">
        <v>91.941986</v>
      </c>
      <c r="H62" s="149">
        <v>93.429440999999997</v>
      </c>
      <c r="I62" s="149">
        <v>94.226688999999993</v>
      </c>
      <c r="J62" s="149">
        <v>96.137833999999998</v>
      </c>
      <c r="K62" s="149">
        <v>99.803067999999996</v>
      </c>
      <c r="L62" s="149">
        <v>101.921138</v>
      </c>
      <c r="M62" s="149">
        <v>103.870937</v>
      </c>
      <c r="N62" s="149">
        <v>107.019245</v>
      </c>
      <c r="O62" s="149">
        <v>109.129424</v>
      </c>
      <c r="P62" s="149">
        <v>111.09665800000001</v>
      </c>
      <c r="Q62" s="149">
        <v>113.346187</v>
      </c>
      <c r="R62" s="149">
        <v>115.411078</v>
      </c>
      <c r="S62" s="149">
        <v>118.476882</v>
      </c>
      <c r="T62" s="149">
        <v>120.70052200000001</v>
      </c>
      <c r="U62" s="149">
        <v>121.16411600000001</v>
      </c>
      <c r="V62" s="149">
        <v>121.55774599999999</v>
      </c>
      <c r="W62" s="149">
        <v>113.086945</v>
      </c>
    </row>
    <row r="63" spans="1:23" x14ac:dyDescent="0.35">
      <c r="A63" s="1" t="s">
        <v>220</v>
      </c>
      <c r="B63" s="146" t="s">
        <v>221</v>
      </c>
      <c r="C63" s="149">
        <v>46.337989999999998</v>
      </c>
      <c r="D63" s="149">
        <v>47.500639</v>
      </c>
      <c r="E63" s="149">
        <v>50.694277</v>
      </c>
      <c r="F63" s="149">
        <v>51.461514000000001</v>
      </c>
      <c r="G63" s="149">
        <v>52.978431</v>
      </c>
      <c r="H63" s="149">
        <v>53.048422000000002</v>
      </c>
      <c r="I63" s="149">
        <v>58.030081000000003</v>
      </c>
      <c r="J63" s="149">
        <v>57.931693000000003</v>
      </c>
      <c r="K63" s="149">
        <v>59.019247999999997</v>
      </c>
      <c r="L63" s="149">
        <v>60.033957999999998</v>
      </c>
      <c r="M63" s="149">
        <v>61.246789</v>
      </c>
      <c r="N63" s="149">
        <v>62.638601000000001</v>
      </c>
      <c r="O63" s="149">
        <v>63.518251999999997</v>
      </c>
      <c r="P63" s="149">
        <v>64.161619999999999</v>
      </c>
      <c r="Q63" s="149">
        <v>64.725429000000005</v>
      </c>
      <c r="R63" s="149">
        <v>64.358356000000001</v>
      </c>
      <c r="S63" s="149">
        <v>64.365116</v>
      </c>
      <c r="T63" s="149">
        <v>65.329175000000006</v>
      </c>
      <c r="U63" s="149">
        <v>65.193813000000006</v>
      </c>
      <c r="V63" s="149">
        <v>65.391182999999998</v>
      </c>
      <c r="W63" s="149">
        <v>63.348976</v>
      </c>
    </row>
    <row r="64" spans="1:23" x14ac:dyDescent="0.35">
      <c r="A64" s="1" t="s">
        <v>85</v>
      </c>
      <c r="B64" s="146" t="s">
        <v>222</v>
      </c>
      <c r="C64" s="149">
        <v>1621.24485</v>
      </c>
      <c r="D64" s="149">
        <v>1653.4222569999999</v>
      </c>
      <c r="E64" s="149">
        <v>1671.8504760000001</v>
      </c>
      <c r="F64" s="149">
        <v>1683.7657730000001</v>
      </c>
      <c r="G64" s="149">
        <v>1734.7976839999999</v>
      </c>
      <c r="H64" s="149">
        <v>1760.5171069999999</v>
      </c>
      <c r="I64" s="149">
        <v>1804.1312479999999</v>
      </c>
      <c r="J64" s="149">
        <v>1850.186553</v>
      </c>
      <c r="K64" s="149">
        <v>1859.7010210000001</v>
      </c>
      <c r="L64" s="149">
        <v>1810.8865269999999</v>
      </c>
      <c r="M64" s="149">
        <v>1842.4244630000001</v>
      </c>
      <c r="N64" s="149">
        <v>1883.6692270000001</v>
      </c>
      <c r="O64" s="149">
        <v>1894.309037</v>
      </c>
      <c r="P64" s="149">
        <v>1906.042506</v>
      </c>
      <c r="Q64" s="149">
        <v>1927.230012</v>
      </c>
      <c r="R64" s="149">
        <v>1944.632926</v>
      </c>
      <c r="S64" s="149">
        <v>1963.4609029999999</v>
      </c>
      <c r="T64" s="149">
        <v>2006.1782390000001</v>
      </c>
      <c r="U64" s="149">
        <v>2043.9846809999999</v>
      </c>
      <c r="V64" s="149">
        <v>2082.657815</v>
      </c>
      <c r="W64" s="149">
        <v>1915.5922419999999</v>
      </c>
    </row>
    <row r="65" spans="1:23" x14ac:dyDescent="0.35">
      <c r="B65" s="146" t="s">
        <v>223</v>
      </c>
    </row>
    <row r="66" spans="1:23" x14ac:dyDescent="0.35">
      <c r="B66" s="146"/>
    </row>
    <row r="67" spans="1:23" x14ac:dyDescent="0.35">
      <c r="B67" s="146" t="s">
        <v>224</v>
      </c>
    </row>
    <row r="69" spans="1:23" x14ac:dyDescent="0.35">
      <c r="A69" s="147" t="s">
        <v>225</v>
      </c>
    </row>
    <row r="70" spans="1:23" x14ac:dyDescent="0.35">
      <c r="C70" s="148">
        <v>2000</v>
      </c>
      <c r="D70" s="148">
        <v>2001</v>
      </c>
      <c r="E70" s="148">
        <v>2002</v>
      </c>
      <c r="F70" s="148">
        <v>2003</v>
      </c>
      <c r="G70" s="148">
        <v>2004</v>
      </c>
      <c r="H70" s="148">
        <v>2005</v>
      </c>
      <c r="I70" s="148">
        <v>2006</v>
      </c>
      <c r="J70" s="148">
        <v>2007</v>
      </c>
      <c r="K70" s="148">
        <v>2008</v>
      </c>
      <c r="L70" s="148">
        <v>2009</v>
      </c>
      <c r="M70" s="148">
        <v>2010</v>
      </c>
      <c r="N70" s="148">
        <v>2011</v>
      </c>
      <c r="O70" s="148">
        <v>2012</v>
      </c>
      <c r="P70" s="148">
        <v>2013</v>
      </c>
      <c r="Q70" s="148">
        <v>2014</v>
      </c>
      <c r="R70" s="148">
        <v>2015</v>
      </c>
      <c r="S70" s="148">
        <v>2016</v>
      </c>
      <c r="T70" s="148">
        <v>2017</v>
      </c>
      <c r="U70" s="148">
        <v>2018</v>
      </c>
      <c r="V70" s="148">
        <v>2019</v>
      </c>
      <c r="W70" s="148">
        <v>2020</v>
      </c>
    </row>
    <row r="71" spans="1:23" x14ac:dyDescent="0.35">
      <c r="A71" s="1" t="s">
        <v>226</v>
      </c>
      <c r="B71" s="146" t="s">
        <v>130</v>
      </c>
      <c r="C71" s="149">
        <v>29.390118000000001</v>
      </c>
      <c r="D71" s="149">
        <v>28.546222</v>
      </c>
      <c r="E71" s="149">
        <v>30.172536000000001</v>
      </c>
      <c r="F71" s="149">
        <v>25.571261</v>
      </c>
      <c r="G71" s="149">
        <v>31.018730999999999</v>
      </c>
      <c r="H71" s="149">
        <v>29.214993</v>
      </c>
      <c r="I71" s="149">
        <v>29.275862</v>
      </c>
      <c r="J71" s="149">
        <v>29.047318000000001</v>
      </c>
      <c r="K71" s="149">
        <v>30.347297999999999</v>
      </c>
      <c r="L71" s="149">
        <v>32.326985999999998</v>
      </c>
      <c r="M71" s="149">
        <v>31.228867000000001</v>
      </c>
      <c r="N71" s="149">
        <v>32.475355999999998</v>
      </c>
      <c r="O71" s="149">
        <v>29.742453999999999</v>
      </c>
      <c r="P71" s="149">
        <v>29.169098000000002</v>
      </c>
      <c r="Q71" s="149">
        <v>33.458134000000001</v>
      </c>
      <c r="R71" s="149">
        <v>33.504586000000003</v>
      </c>
      <c r="S71" s="149">
        <v>29.362691999999999</v>
      </c>
      <c r="T71" s="149">
        <v>31.780947000000001</v>
      </c>
      <c r="U71" s="149">
        <v>33.024822999999998</v>
      </c>
      <c r="V71" s="149">
        <v>32.262165000000003</v>
      </c>
      <c r="W71" s="1">
        <v>30.2</v>
      </c>
    </row>
    <row r="72" spans="1:23" x14ac:dyDescent="0.35">
      <c r="A72" s="1" t="s">
        <v>227</v>
      </c>
      <c r="B72" s="146" t="s">
        <v>228</v>
      </c>
      <c r="C72" s="149">
        <v>25.332661999999999</v>
      </c>
      <c r="D72" s="149">
        <v>24.233353999999999</v>
      </c>
      <c r="E72" s="149">
        <v>25.989148</v>
      </c>
      <c r="F72" s="149">
        <v>22.037272000000002</v>
      </c>
      <c r="G72" s="149">
        <v>27.113160000000001</v>
      </c>
      <c r="H72" s="149">
        <v>25.422478999999999</v>
      </c>
      <c r="I72" s="149">
        <v>25.582253000000001</v>
      </c>
      <c r="J72" s="149">
        <v>25.291295999999999</v>
      </c>
      <c r="K72" s="149">
        <v>26.879681999999999</v>
      </c>
      <c r="L72" s="149">
        <v>29.099205999999999</v>
      </c>
      <c r="M72" s="149">
        <v>27.887471999999999</v>
      </c>
      <c r="N72" s="149">
        <v>29.022328999999999</v>
      </c>
      <c r="O72" s="149">
        <v>26.337357999999998</v>
      </c>
      <c r="P72" s="149">
        <v>25.699656999999998</v>
      </c>
      <c r="Q72" s="149">
        <v>29.690875999999999</v>
      </c>
      <c r="R72" s="149">
        <v>29.699065999999998</v>
      </c>
      <c r="S72" s="149">
        <v>25.727701</v>
      </c>
      <c r="T72" s="149">
        <v>28.138798000000001</v>
      </c>
      <c r="U72" s="149">
        <v>29.374351999999998</v>
      </c>
      <c r="V72" s="149">
        <v>28.680539</v>
      </c>
      <c r="W72" s="1">
        <v>26.8</v>
      </c>
    </row>
    <row r="73" spans="1:23" x14ac:dyDescent="0.35">
      <c r="A73" s="1" t="s">
        <v>229</v>
      </c>
      <c r="B73" s="146" t="s">
        <v>230</v>
      </c>
      <c r="C73" s="149">
        <v>3.5091969999999999</v>
      </c>
      <c r="D73" s="149">
        <v>4.1343750000000004</v>
      </c>
      <c r="E73" s="149">
        <v>3.7998479999999999</v>
      </c>
      <c r="F73" s="149">
        <v>2.921548</v>
      </c>
      <c r="G73" s="149">
        <v>3.151885</v>
      </c>
      <c r="H73" s="149">
        <v>3.1363430000000001</v>
      </c>
      <c r="I73" s="149">
        <v>3.0021399999999998</v>
      </c>
      <c r="J73" s="149">
        <v>3.0962640000000001</v>
      </c>
      <c r="K73" s="149">
        <v>2.8446739999999999</v>
      </c>
      <c r="L73" s="149">
        <v>2.5398849999999999</v>
      </c>
      <c r="M73" s="149">
        <v>2.6872699999999998</v>
      </c>
      <c r="N73" s="149">
        <v>2.8096160000000001</v>
      </c>
      <c r="O73" s="149">
        <v>2.7663600000000002</v>
      </c>
      <c r="P73" s="149">
        <v>2.888541</v>
      </c>
      <c r="Q73" s="149">
        <v>3.0663330000000002</v>
      </c>
      <c r="R73" s="149">
        <v>3.1593140000000002</v>
      </c>
      <c r="S73" s="149">
        <v>2.9867509999999999</v>
      </c>
      <c r="T73" s="149">
        <v>2.9070819999999999</v>
      </c>
      <c r="U73" s="149">
        <v>2.9278810000000002</v>
      </c>
      <c r="V73" s="149">
        <v>2.8515890000000002</v>
      </c>
      <c r="W73" s="1">
        <v>2.8</v>
      </c>
    </row>
    <row r="74" spans="1:23" x14ac:dyDescent="0.35">
      <c r="A74" s="1" t="s">
        <v>231</v>
      </c>
      <c r="B74" s="146" t="s">
        <v>232</v>
      </c>
      <c r="C74" s="149">
        <v>0.83082699999999998</v>
      </c>
      <c r="D74" s="149">
        <v>0.81041399999999997</v>
      </c>
      <c r="E74" s="149">
        <v>0.79404699999999995</v>
      </c>
      <c r="F74" s="149">
        <v>0.81817499999999999</v>
      </c>
      <c r="G74" s="149">
        <v>0.79580300000000004</v>
      </c>
      <c r="H74" s="149">
        <v>0.76583699999999999</v>
      </c>
      <c r="I74" s="149">
        <v>0.74345000000000006</v>
      </c>
      <c r="J74" s="149">
        <v>0.73288299999999995</v>
      </c>
      <c r="K74" s="149">
        <v>0.63100199999999995</v>
      </c>
      <c r="L74" s="149">
        <v>0.63431300000000002</v>
      </c>
      <c r="M74" s="149">
        <v>0.62348599999999998</v>
      </c>
      <c r="N74" s="149">
        <v>0.61711499999999997</v>
      </c>
      <c r="O74" s="149">
        <v>0.63404799999999994</v>
      </c>
      <c r="P74" s="149">
        <v>0.64042699999999997</v>
      </c>
      <c r="Q74" s="149">
        <v>0.70092500000000002</v>
      </c>
      <c r="R74" s="149">
        <v>0.64620599999999995</v>
      </c>
      <c r="S74" s="149">
        <v>0.643567</v>
      </c>
      <c r="T74" s="149">
        <v>0.70751500000000001</v>
      </c>
      <c r="U74" s="149">
        <v>0.68858799999999998</v>
      </c>
      <c r="V74" s="149">
        <v>0.697403</v>
      </c>
      <c r="W74" s="1">
        <v>0.6</v>
      </c>
    </row>
    <row r="75" spans="1:23" x14ac:dyDescent="0.35">
      <c r="A75" s="1" t="s">
        <v>135</v>
      </c>
      <c r="B75" s="146" t="s">
        <v>233</v>
      </c>
      <c r="C75" s="149">
        <v>4.5386470000000001</v>
      </c>
      <c r="D75" s="149">
        <v>4.0135860000000001</v>
      </c>
      <c r="E75" s="149">
        <v>3.7933680000000001</v>
      </c>
      <c r="F75" s="149">
        <v>3.3946230000000002</v>
      </c>
      <c r="G75" s="149">
        <v>3.1814100000000001</v>
      </c>
      <c r="H75" s="149">
        <v>2.9217170000000001</v>
      </c>
      <c r="I75" s="149">
        <v>3.0870039999999999</v>
      </c>
      <c r="J75" s="149">
        <v>3.1527029999999998</v>
      </c>
      <c r="K75" s="149">
        <v>2.929125</v>
      </c>
      <c r="L75" s="149">
        <v>2.658496</v>
      </c>
      <c r="M75" s="149">
        <v>2.578846</v>
      </c>
      <c r="N75" s="149">
        <v>2.5639889999999999</v>
      </c>
      <c r="O75" s="149">
        <v>2.415788</v>
      </c>
      <c r="P75" s="149">
        <v>2.1912600000000002</v>
      </c>
      <c r="Q75" s="149">
        <v>2.1840229999999998</v>
      </c>
      <c r="R75" s="149">
        <v>2.0490870000000001</v>
      </c>
      <c r="S75" s="149">
        <v>1.9746889999999999</v>
      </c>
      <c r="T75" s="149">
        <v>2.000931</v>
      </c>
      <c r="U75" s="149">
        <v>2.0008880000000002</v>
      </c>
      <c r="V75" s="149">
        <v>1.9820310000000001</v>
      </c>
      <c r="W75" s="1">
        <v>1.7</v>
      </c>
    </row>
    <row r="76" spans="1:23" x14ac:dyDescent="0.35">
      <c r="A76" s="1" t="s">
        <v>234</v>
      </c>
      <c r="B76" s="146" t="s">
        <v>235</v>
      </c>
      <c r="C76" s="149">
        <v>0</v>
      </c>
      <c r="D76" s="149">
        <v>0</v>
      </c>
      <c r="E76" s="149">
        <v>0</v>
      </c>
      <c r="F76" s="149">
        <v>0</v>
      </c>
      <c r="G76" s="149">
        <v>0</v>
      </c>
      <c r="H76" s="149">
        <v>0</v>
      </c>
      <c r="I76" s="149">
        <v>0</v>
      </c>
      <c r="J76" s="149">
        <v>0</v>
      </c>
      <c r="K76" s="149">
        <v>0</v>
      </c>
      <c r="L76" s="149">
        <v>0</v>
      </c>
      <c r="M76" s="149">
        <v>0</v>
      </c>
      <c r="N76" s="149">
        <v>0</v>
      </c>
      <c r="O76" s="149">
        <v>0</v>
      </c>
      <c r="P76" s="149">
        <v>0</v>
      </c>
      <c r="Q76" s="149">
        <v>0</v>
      </c>
      <c r="R76" s="149">
        <v>0</v>
      </c>
      <c r="S76" s="149">
        <v>0</v>
      </c>
      <c r="T76" s="149">
        <v>0</v>
      </c>
      <c r="U76" s="149">
        <v>0</v>
      </c>
      <c r="V76" s="149">
        <v>0</v>
      </c>
      <c r="W76" s="1">
        <v>0</v>
      </c>
    </row>
    <row r="77" spans="1:23" x14ac:dyDescent="0.35">
      <c r="A77" s="1" t="s">
        <v>236</v>
      </c>
      <c r="B77" s="146" t="s">
        <v>237</v>
      </c>
      <c r="C77" s="149">
        <v>0.55559499999999995</v>
      </c>
      <c r="D77" s="149">
        <v>0.45626699999999998</v>
      </c>
      <c r="E77" s="149">
        <v>0.50504899999999997</v>
      </c>
      <c r="F77" s="149">
        <v>0.41454999999999997</v>
      </c>
      <c r="G77" s="149">
        <v>0.37730799999999998</v>
      </c>
      <c r="H77" s="149">
        <v>0.37456299999999998</v>
      </c>
      <c r="I77" s="149">
        <v>0.42200500000000002</v>
      </c>
      <c r="J77" s="149">
        <v>0.39789200000000002</v>
      </c>
      <c r="K77" s="149">
        <v>0.36213600000000001</v>
      </c>
      <c r="L77" s="149">
        <v>0.32514599999999999</v>
      </c>
      <c r="M77" s="149">
        <v>0.31289699999999998</v>
      </c>
      <c r="N77" s="149">
        <v>0.26839200000000002</v>
      </c>
      <c r="O77" s="149">
        <v>0.26365499999999997</v>
      </c>
      <c r="P77" s="149">
        <v>0.19556299999999999</v>
      </c>
      <c r="Q77" s="149">
        <v>0.29641400000000001</v>
      </c>
      <c r="R77" s="149">
        <v>0.35799999999999998</v>
      </c>
      <c r="S77" s="149">
        <v>0.332675</v>
      </c>
      <c r="T77" s="149">
        <v>0.240948</v>
      </c>
      <c r="U77" s="149">
        <v>0.22254599999999999</v>
      </c>
      <c r="V77" s="149">
        <v>0.19840099999999999</v>
      </c>
      <c r="W77" s="1">
        <v>0.2</v>
      </c>
    </row>
    <row r="78" spans="1:23" x14ac:dyDescent="0.35">
      <c r="A78" s="1" t="s">
        <v>238</v>
      </c>
      <c r="B78" s="146" t="s">
        <v>239</v>
      </c>
      <c r="C78" s="149">
        <v>0</v>
      </c>
      <c r="D78" s="149">
        <v>0</v>
      </c>
      <c r="E78" s="149">
        <v>0</v>
      </c>
      <c r="F78" s="149">
        <v>0</v>
      </c>
      <c r="G78" s="149">
        <v>0</v>
      </c>
      <c r="H78" s="149">
        <v>0</v>
      </c>
      <c r="I78" s="149">
        <v>0</v>
      </c>
      <c r="J78" s="149">
        <v>0</v>
      </c>
      <c r="K78" s="149">
        <v>0</v>
      </c>
      <c r="L78" s="149">
        <v>0</v>
      </c>
      <c r="M78" s="149">
        <v>0</v>
      </c>
      <c r="N78" s="149">
        <v>0</v>
      </c>
      <c r="O78" s="149">
        <v>0</v>
      </c>
      <c r="P78" s="149">
        <v>0</v>
      </c>
      <c r="Q78" s="149">
        <v>0</v>
      </c>
      <c r="R78" s="149">
        <v>0</v>
      </c>
      <c r="S78" s="149">
        <v>0</v>
      </c>
      <c r="T78" s="149">
        <v>0</v>
      </c>
      <c r="U78" s="149">
        <v>0</v>
      </c>
      <c r="V78" s="149">
        <v>0</v>
      </c>
      <c r="W78" s="1">
        <v>0</v>
      </c>
    </row>
    <row r="79" spans="1:23" x14ac:dyDescent="0.35">
      <c r="A79" s="1" t="s">
        <v>240</v>
      </c>
      <c r="B79" s="146" t="s">
        <v>241</v>
      </c>
      <c r="C79" s="149">
        <v>3.5129450000000002</v>
      </c>
      <c r="D79" s="149">
        <v>3.196167</v>
      </c>
      <c r="E79" s="149">
        <v>2.9685589999999999</v>
      </c>
      <c r="F79" s="149">
        <v>2.7636889999999998</v>
      </c>
      <c r="G79" s="149">
        <v>2.6451750000000001</v>
      </c>
      <c r="H79" s="149">
        <v>2.449201</v>
      </c>
      <c r="I79" s="149">
        <v>2.5992850000000001</v>
      </c>
      <c r="J79" s="149">
        <v>2.6859459999999999</v>
      </c>
      <c r="K79" s="149">
        <v>2.5158109999999998</v>
      </c>
      <c r="L79" s="149">
        <v>2.245047</v>
      </c>
      <c r="M79" s="149">
        <v>2.2150729999999998</v>
      </c>
      <c r="N79" s="149">
        <v>2.2632690000000002</v>
      </c>
      <c r="O79" s="149">
        <v>2.092689</v>
      </c>
      <c r="P79" s="149">
        <v>1.9414739999999999</v>
      </c>
      <c r="Q79" s="149">
        <v>1.721052</v>
      </c>
      <c r="R79" s="149">
        <v>1.5887530000000001</v>
      </c>
      <c r="S79" s="149">
        <v>1.5007470000000001</v>
      </c>
      <c r="T79" s="149">
        <v>1.566808</v>
      </c>
      <c r="U79" s="149">
        <v>1.5580639999999999</v>
      </c>
      <c r="V79" s="149">
        <v>1.5813839999999999</v>
      </c>
      <c r="W79" s="1">
        <v>1.4</v>
      </c>
    </row>
    <row r="80" spans="1:23" x14ac:dyDescent="0.35">
      <c r="A80" s="1" t="s">
        <v>242</v>
      </c>
      <c r="B80" s="146" t="s">
        <v>243</v>
      </c>
      <c r="C80" s="149">
        <v>6.7122000000000001E-2</v>
      </c>
      <c r="D80" s="149">
        <v>6.6432000000000005E-2</v>
      </c>
      <c r="E80" s="149">
        <v>6.7303000000000002E-2</v>
      </c>
      <c r="F80" s="149">
        <v>5.9938999999999999E-2</v>
      </c>
      <c r="G80" s="149">
        <v>4.7254999999999998E-2</v>
      </c>
      <c r="H80" s="149">
        <v>4.5259000000000001E-2</v>
      </c>
      <c r="I80" s="149">
        <v>4.0483999999999999E-2</v>
      </c>
      <c r="J80" s="149">
        <v>4.2544999999999999E-2</v>
      </c>
      <c r="K80" s="149">
        <v>5.1660999999999999E-2</v>
      </c>
      <c r="L80" s="149">
        <v>6.2206999999999998E-2</v>
      </c>
      <c r="M80" s="149">
        <v>4.7640000000000002E-2</v>
      </c>
      <c r="N80" s="149">
        <v>3.6968000000000001E-2</v>
      </c>
      <c r="O80" s="149">
        <v>3.7990999999999997E-2</v>
      </c>
      <c r="P80" s="149">
        <v>4.2000000000000003E-2</v>
      </c>
      <c r="Q80" s="149">
        <v>0.13</v>
      </c>
      <c r="R80" s="149">
        <v>6.9000000000000006E-2</v>
      </c>
      <c r="S80" s="149">
        <v>9.8000000000000004E-2</v>
      </c>
      <c r="T80" s="149">
        <v>0.128409</v>
      </c>
      <c r="U80" s="149">
        <v>0.15112800000000001</v>
      </c>
      <c r="V80" s="149">
        <v>0.13142200000000001</v>
      </c>
      <c r="W80" s="1">
        <v>0.1</v>
      </c>
    </row>
    <row r="81" spans="1:23" x14ac:dyDescent="0.35">
      <c r="A81" s="1" t="s">
        <v>244</v>
      </c>
      <c r="B81" s="146" t="s">
        <v>245</v>
      </c>
      <c r="C81" s="149">
        <v>37.851342000000002</v>
      </c>
      <c r="D81" s="149">
        <v>36.603383000000001</v>
      </c>
      <c r="E81" s="149">
        <v>37.547612000000001</v>
      </c>
      <c r="F81" s="149">
        <v>39.651257000000001</v>
      </c>
      <c r="G81" s="149">
        <v>40.609594999999999</v>
      </c>
      <c r="H81" s="149">
        <v>40.848894000000001</v>
      </c>
      <c r="I81" s="149">
        <v>40.817717000000002</v>
      </c>
      <c r="J81" s="149">
        <v>41.448940999999998</v>
      </c>
      <c r="K81" s="149">
        <v>37.907620999999999</v>
      </c>
      <c r="L81" s="149">
        <v>38.774315999999999</v>
      </c>
      <c r="M81" s="149">
        <v>40.455101999999997</v>
      </c>
      <c r="N81" s="149">
        <v>42.097633000000002</v>
      </c>
      <c r="O81" s="149">
        <v>41.755277999999997</v>
      </c>
      <c r="P81" s="149">
        <v>41.636980999999999</v>
      </c>
      <c r="Q81" s="149">
        <v>42.825800000000001</v>
      </c>
      <c r="R81" s="149">
        <v>43.507950999999998</v>
      </c>
      <c r="S81" s="149">
        <v>44.673572</v>
      </c>
      <c r="T81" s="149">
        <v>45.485210000000002</v>
      </c>
      <c r="U81" s="149">
        <v>45.279347999999999</v>
      </c>
      <c r="V81" s="149">
        <v>45.598266000000002</v>
      </c>
      <c r="W81" s="1">
        <v>43.4</v>
      </c>
    </row>
    <row r="82" spans="1:23" x14ac:dyDescent="0.35">
      <c r="A82" s="1" t="s">
        <v>246</v>
      </c>
      <c r="B82" s="146" t="s">
        <v>247</v>
      </c>
      <c r="C82" s="149">
        <v>29.762302999999999</v>
      </c>
      <c r="D82" s="149">
        <v>28.586917</v>
      </c>
      <c r="E82" s="149">
        <v>29.570685999999998</v>
      </c>
      <c r="F82" s="149">
        <v>30.995165</v>
      </c>
      <c r="G82" s="149">
        <v>32.130209000000001</v>
      </c>
      <c r="H82" s="149">
        <v>32.371513999999998</v>
      </c>
      <c r="I82" s="149">
        <v>32.609327999999998</v>
      </c>
      <c r="J82" s="149">
        <v>33.444873000000001</v>
      </c>
      <c r="K82" s="149">
        <v>30.406323</v>
      </c>
      <c r="L82" s="149">
        <v>31.703175000000002</v>
      </c>
      <c r="M82" s="149">
        <v>33.854795000000003</v>
      </c>
      <c r="N82" s="149">
        <v>35.227919</v>
      </c>
      <c r="O82" s="149">
        <v>34.936715999999997</v>
      </c>
      <c r="P82" s="149">
        <v>35.388181000000003</v>
      </c>
      <c r="Q82" s="149">
        <v>37.039306000000003</v>
      </c>
      <c r="R82" s="149">
        <v>37.530867000000001</v>
      </c>
      <c r="S82" s="149">
        <v>38.768967000000004</v>
      </c>
      <c r="T82" s="149">
        <v>39.296081000000001</v>
      </c>
      <c r="U82" s="149">
        <v>39.249040999999998</v>
      </c>
      <c r="V82" s="149">
        <v>39.644911</v>
      </c>
      <c r="W82" s="1">
        <v>37.5</v>
      </c>
    </row>
    <row r="83" spans="1:23" x14ac:dyDescent="0.35">
      <c r="A83" s="1" t="s">
        <v>248</v>
      </c>
      <c r="B83" s="146" t="s">
        <v>249</v>
      </c>
      <c r="C83" s="149">
        <v>7.8220900000000002</v>
      </c>
      <c r="D83" s="149">
        <v>7.8139940000000001</v>
      </c>
      <c r="E83" s="149">
        <v>7.7045640000000004</v>
      </c>
      <c r="F83" s="149">
        <v>8.5478570000000005</v>
      </c>
      <c r="G83" s="149">
        <v>8.2990340000000007</v>
      </c>
      <c r="H83" s="149">
        <v>8.2463160000000002</v>
      </c>
      <c r="I83" s="149">
        <v>7.678032</v>
      </c>
      <c r="J83" s="149">
        <v>7.6493250000000002</v>
      </c>
      <c r="K83" s="149">
        <v>7.4744120000000001</v>
      </c>
      <c r="L83" s="149">
        <v>6.4918889999999996</v>
      </c>
      <c r="M83" s="149">
        <v>5.9628779999999999</v>
      </c>
      <c r="N83" s="149">
        <v>6.3108069999999996</v>
      </c>
      <c r="O83" s="149">
        <v>6.2689589999999997</v>
      </c>
      <c r="P83" s="149">
        <v>5.8199379999999996</v>
      </c>
      <c r="Q83" s="149">
        <v>5.4895659999999999</v>
      </c>
      <c r="R83" s="149">
        <v>5.8047110000000002</v>
      </c>
      <c r="S83" s="149">
        <v>5.734388</v>
      </c>
      <c r="T83" s="149">
        <v>6.0343349999999996</v>
      </c>
      <c r="U83" s="149">
        <v>5.9338879999999996</v>
      </c>
      <c r="V83" s="149">
        <v>5.8758970000000001</v>
      </c>
      <c r="W83" s="1">
        <v>5.7</v>
      </c>
    </row>
    <row r="84" spans="1:23" x14ac:dyDescent="0.35">
      <c r="A84" s="1" t="s">
        <v>250</v>
      </c>
      <c r="B84" s="146" t="s">
        <v>251</v>
      </c>
      <c r="C84" s="149">
        <v>2.2719930000000002</v>
      </c>
      <c r="D84" s="149">
        <v>2.3441299999999998</v>
      </c>
      <c r="E84" s="149">
        <v>2.1195499999999998</v>
      </c>
      <c r="F84" s="149">
        <v>2.282305</v>
      </c>
      <c r="G84" s="149">
        <v>1.960887</v>
      </c>
      <c r="H84" s="149">
        <v>1.9887049999999999</v>
      </c>
      <c r="I84" s="149">
        <v>2.1154389999999998</v>
      </c>
      <c r="J84" s="149">
        <v>1.3892359999999999</v>
      </c>
      <c r="K84" s="149">
        <v>1.047825</v>
      </c>
      <c r="L84" s="149">
        <v>1.195406</v>
      </c>
      <c r="M84" s="149">
        <v>0.94345999999999997</v>
      </c>
      <c r="N84" s="149">
        <v>0.82709299999999997</v>
      </c>
      <c r="O84" s="149">
        <v>0.81397299999999995</v>
      </c>
      <c r="P84" s="149">
        <v>0.54557100000000003</v>
      </c>
      <c r="Q84" s="149">
        <v>0.29692800000000003</v>
      </c>
      <c r="R84" s="149">
        <v>0.172372</v>
      </c>
      <c r="S84" s="149">
        <v>0.18145800000000001</v>
      </c>
      <c r="T84" s="149">
        <v>0.152367</v>
      </c>
      <c r="U84" s="149">
        <v>8.2465999999999998E-2</v>
      </c>
      <c r="V84" s="149">
        <v>6.9058999999999995E-2</v>
      </c>
      <c r="W84" s="1">
        <v>0.1</v>
      </c>
    </row>
    <row r="85" spans="1:23" x14ac:dyDescent="0.35">
      <c r="A85" s="1" t="s">
        <v>157</v>
      </c>
      <c r="B85" s="146" t="s">
        <v>252</v>
      </c>
      <c r="C85" s="149">
        <v>7.728758</v>
      </c>
      <c r="D85" s="149">
        <v>7.9163790000000001</v>
      </c>
      <c r="E85" s="149">
        <v>7.6195259999999996</v>
      </c>
      <c r="F85" s="149">
        <v>7.2813949999999998</v>
      </c>
      <c r="G85" s="149">
        <v>6.9169419999999997</v>
      </c>
      <c r="H85" s="149">
        <v>6.6159239999999997</v>
      </c>
      <c r="I85" s="149">
        <v>6.377637</v>
      </c>
      <c r="J85" s="149">
        <v>6.6093520000000003</v>
      </c>
      <c r="K85" s="149">
        <v>6.3567830000000001</v>
      </c>
      <c r="L85" s="149">
        <v>5.2001189999999999</v>
      </c>
      <c r="M85" s="149">
        <v>5.0222569999999997</v>
      </c>
      <c r="N85" s="149">
        <v>5.7206869999999999</v>
      </c>
      <c r="O85" s="149">
        <v>5.7848519999999999</v>
      </c>
      <c r="P85" s="149">
        <v>5.4665270000000001</v>
      </c>
      <c r="Q85" s="149">
        <v>5.0477809999999996</v>
      </c>
      <c r="R85" s="149">
        <v>5.2696180000000004</v>
      </c>
      <c r="S85" s="149">
        <v>5.2340429999999998</v>
      </c>
      <c r="T85" s="149">
        <v>5.4201540000000001</v>
      </c>
      <c r="U85" s="149">
        <v>5.7109880000000004</v>
      </c>
      <c r="V85" s="149">
        <v>5.7394429999999996</v>
      </c>
      <c r="W85" s="1">
        <v>5.0999999999999996</v>
      </c>
    </row>
    <row r="86" spans="1:23" x14ac:dyDescent="0.35">
      <c r="A86" s="1" t="s">
        <v>253</v>
      </c>
      <c r="B86" s="146" t="s">
        <v>254</v>
      </c>
      <c r="C86" s="149">
        <v>2.8957359999999999</v>
      </c>
      <c r="D86" s="149">
        <v>2.8660290000000002</v>
      </c>
      <c r="E86" s="149">
        <v>2.6769289999999999</v>
      </c>
      <c r="F86" s="149">
        <v>2.5549439999999999</v>
      </c>
      <c r="G86" s="149">
        <v>2.3881540000000001</v>
      </c>
      <c r="H86" s="149">
        <v>2.3434370000000002</v>
      </c>
      <c r="I86" s="149">
        <v>2.3318979999999998</v>
      </c>
      <c r="J86" s="149">
        <v>2.3579460000000001</v>
      </c>
      <c r="K86" s="149">
        <v>2.26085</v>
      </c>
      <c r="L86" s="149">
        <v>1.933324</v>
      </c>
      <c r="M86" s="149">
        <v>1.9013009999999999</v>
      </c>
      <c r="N86" s="149">
        <v>2.1157370000000002</v>
      </c>
      <c r="O86" s="149">
        <v>2.0758670000000001</v>
      </c>
      <c r="P86" s="149">
        <v>2.038535</v>
      </c>
      <c r="Q86" s="149">
        <v>1.8702449999999999</v>
      </c>
      <c r="R86" s="149">
        <v>1.862665</v>
      </c>
      <c r="S86" s="149">
        <v>1.814314</v>
      </c>
      <c r="T86" s="149">
        <v>1.833494</v>
      </c>
      <c r="U86" s="149">
        <v>1.748877</v>
      </c>
      <c r="V86" s="149">
        <v>1.6241730000000001</v>
      </c>
      <c r="W86" s="1">
        <v>1.4</v>
      </c>
    </row>
    <row r="87" spans="1:23" x14ac:dyDescent="0.35">
      <c r="A87" s="1" t="s">
        <v>255</v>
      </c>
      <c r="B87" s="146" t="s">
        <v>256</v>
      </c>
      <c r="C87" s="149">
        <v>2.3012579999999998</v>
      </c>
      <c r="D87" s="149">
        <v>2.477239</v>
      </c>
      <c r="E87" s="149">
        <v>2.5833080000000002</v>
      </c>
      <c r="F87" s="149">
        <v>2.514329</v>
      </c>
      <c r="G87" s="149">
        <v>2.6291259999999999</v>
      </c>
      <c r="H87" s="149">
        <v>2.4041450000000002</v>
      </c>
      <c r="I87" s="149">
        <v>2.2165509999999999</v>
      </c>
      <c r="J87" s="149">
        <v>2.3677999999999999</v>
      </c>
      <c r="K87" s="149">
        <v>2.2579549999999999</v>
      </c>
      <c r="L87" s="149">
        <v>1.7617940000000001</v>
      </c>
      <c r="M87" s="149">
        <v>1.6461840000000001</v>
      </c>
      <c r="N87" s="149">
        <v>1.939314</v>
      </c>
      <c r="O87" s="149">
        <v>1.934043</v>
      </c>
      <c r="P87" s="149">
        <v>1.833836</v>
      </c>
      <c r="Q87" s="149">
        <v>1.7769349999999999</v>
      </c>
      <c r="R87" s="149">
        <v>1.963543</v>
      </c>
      <c r="S87" s="149">
        <v>2.0688270000000002</v>
      </c>
      <c r="T87" s="149">
        <v>2.151932</v>
      </c>
      <c r="U87" s="149">
        <v>2.4559069999999998</v>
      </c>
      <c r="V87" s="149">
        <v>2.4888970000000001</v>
      </c>
      <c r="W87" s="1">
        <v>2.2999999999999998</v>
      </c>
    </row>
    <row r="88" spans="1:23" x14ac:dyDescent="0.35">
      <c r="A88" s="1" t="s">
        <v>257</v>
      </c>
      <c r="B88" s="146" t="s">
        <v>258</v>
      </c>
      <c r="C88" s="149">
        <v>3.0098699999999998</v>
      </c>
      <c r="D88" s="149">
        <v>3.042189</v>
      </c>
      <c r="E88" s="149">
        <v>2.6424699999999999</v>
      </c>
      <c r="F88" s="149">
        <v>2.4255610000000001</v>
      </c>
      <c r="G88" s="149">
        <v>1.8535809999999999</v>
      </c>
      <c r="H88" s="149">
        <v>1.8694249999999999</v>
      </c>
      <c r="I88" s="149">
        <v>1.838354</v>
      </c>
      <c r="J88" s="149">
        <v>1.8892199999999999</v>
      </c>
      <c r="K88" s="149">
        <v>1.864028</v>
      </c>
      <c r="L88" s="149">
        <v>1.5106919999999999</v>
      </c>
      <c r="M88" s="149">
        <v>1.489358</v>
      </c>
      <c r="N88" s="149">
        <v>1.6801280000000001</v>
      </c>
      <c r="O88" s="149">
        <v>1.8054300000000001</v>
      </c>
      <c r="P88" s="149">
        <v>1.606786</v>
      </c>
      <c r="Q88" s="149">
        <v>1.4006019999999999</v>
      </c>
      <c r="R88" s="149">
        <v>1.4434100000000001</v>
      </c>
      <c r="S88" s="149">
        <v>1.3678110000000001</v>
      </c>
      <c r="T88" s="149">
        <v>1.4510909999999999</v>
      </c>
      <c r="U88" s="149">
        <v>1.564495</v>
      </c>
      <c r="V88" s="149">
        <v>1.682739</v>
      </c>
      <c r="W88" s="1">
        <v>1.4</v>
      </c>
    </row>
    <row r="89" spans="1:23" x14ac:dyDescent="0.35">
      <c r="A89" s="1" t="s">
        <v>159</v>
      </c>
      <c r="B89" s="146" t="s">
        <v>259</v>
      </c>
      <c r="C89" s="149">
        <v>9.7555200000000006</v>
      </c>
      <c r="D89" s="149">
        <v>10.232670000000001</v>
      </c>
      <c r="E89" s="149">
        <v>10.209158</v>
      </c>
      <c r="F89" s="149">
        <v>10.472488</v>
      </c>
      <c r="G89" s="149">
        <v>10.47326</v>
      </c>
      <c r="H89" s="149">
        <v>10.245184999999999</v>
      </c>
      <c r="I89" s="149">
        <v>9.9934890000000003</v>
      </c>
      <c r="J89" s="149">
        <v>10.054644</v>
      </c>
      <c r="K89" s="149">
        <v>10.362041</v>
      </c>
      <c r="L89" s="149">
        <v>10.315694000000001</v>
      </c>
      <c r="M89" s="149">
        <v>10.129296</v>
      </c>
      <c r="N89" s="149">
        <v>10.804295</v>
      </c>
      <c r="O89" s="149">
        <v>10.891468</v>
      </c>
      <c r="P89" s="149">
        <v>10.932872</v>
      </c>
      <c r="Q89" s="149">
        <v>11.156261000000001</v>
      </c>
      <c r="R89" s="149">
        <v>10.876778</v>
      </c>
      <c r="S89" s="149">
        <v>10.965140999999999</v>
      </c>
      <c r="T89" s="149">
        <v>11.110309000000001</v>
      </c>
      <c r="U89" s="149">
        <v>10.568101</v>
      </c>
      <c r="V89" s="149">
        <v>10.878606</v>
      </c>
      <c r="W89" s="1">
        <v>10</v>
      </c>
    </row>
    <row r="90" spans="1:23" x14ac:dyDescent="0.35">
      <c r="A90" s="151" t="s">
        <v>260</v>
      </c>
      <c r="B90" s="151" t="s">
        <v>261</v>
      </c>
      <c r="C90" s="149">
        <v>2.2203029999999999</v>
      </c>
      <c r="D90" s="149">
        <v>2.4258389999999999</v>
      </c>
      <c r="E90" s="149">
        <v>2.7137720000000001</v>
      </c>
      <c r="F90" s="149">
        <v>3.0993219999999999</v>
      </c>
      <c r="G90" s="149">
        <v>2.8852329999999999</v>
      </c>
      <c r="H90" s="149">
        <v>2.6350099999999999</v>
      </c>
      <c r="I90" s="149">
        <v>2.6722999999999999</v>
      </c>
      <c r="J90" s="149">
        <v>2.7264390000000001</v>
      </c>
      <c r="K90" s="149">
        <v>3.0050819999999998</v>
      </c>
      <c r="L90" s="149">
        <v>2.8125580000000001</v>
      </c>
      <c r="M90" s="149">
        <v>2.7364860000000002</v>
      </c>
      <c r="N90" s="149">
        <v>2.9806249999999999</v>
      </c>
      <c r="O90" s="149">
        <v>2.867721</v>
      </c>
      <c r="P90" s="149">
        <v>2.9706800000000002</v>
      </c>
      <c r="Q90" s="149">
        <v>2.9019300000000001</v>
      </c>
      <c r="R90" s="149">
        <v>2.7446830000000002</v>
      </c>
      <c r="S90" s="149">
        <v>2.8410150000000001</v>
      </c>
      <c r="T90" s="149">
        <v>2.959012</v>
      </c>
      <c r="U90" s="149">
        <v>2.6847660000000002</v>
      </c>
      <c r="V90" s="149">
        <v>2.773155</v>
      </c>
      <c r="W90" s="1">
        <v>2.5</v>
      </c>
    </row>
    <row r="91" spans="1:23" x14ac:dyDescent="0.35">
      <c r="A91" s="151" t="s">
        <v>262</v>
      </c>
      <c r="B91" s="151" t="s">
        <v>263</v>
      </c>
      <c r="C91" s="149">
        <v>4.204739</v>
      </c>
      <c r="D91" s="149">
        <v>4.4584289999999998</v>
      </c>
      <c r="E91" s="149">
        <v>4.1650640000000001</v>
      </c>
      <c r="F91" s="149">
        <v>4.1524669999999997</v>
      </c>
      <c r="G91" s="149">
        <v>4.2976510000000001</v>
      </c>
      <c r="H91" s="149">
        <v>4.2915150000000004</v>
      </c>
      <c r="I91" s="149">
        <v>3.8043520000000002</v>
      </c>
      <c r="J91" s="149">
        <v>3.8638379999999999</v>
      </c>
      <c r="K91" s="149">
        <v>3.7469570000000001</v>
      </c>
      <c r="L91" s="149">
        <v>4.1213449999999998</v>
      </c>
      <c r="M91" s="149">
        <v>3.8804449999999999</v>
      </c>
      <c r="N91" s="149">
        <v>4.0299699999999996</v>
      </c>
      <c r="O91" s="149">
        <v>4.2375129999999999</v>
      </c>
      <c r="P91" s="149">
        <v>4.1447370000000001</v>
      </c>
      <c r="Q91" s="149">
        <v>4.2239040000000001</v>
      </c>
      <c r="R91" s="149">
        <v>4.290565</v>
      </c>
      <c r="S91" s="149">
        <v>4.2703069999999999</v>
      </c>
      <c r="T91" s="149">
        <v>4.2797260000000001</v>
      </c>
      <c r="U91" s="149">
        <v>3.9975969999999998</v>
      </c>
      <c r="V91" s="149">
        <v>4.1436440000000001</v>
      </c>
      <c r="W91" s="1">
        <v>4.0999999999999996</v>
      </c>
    </row>
    <row r="92" spans="1:23" x14ac:dyDescent="0.35">
      <c r="A92" s="151" t="s">
        <v>264</v>
      </c>
      <c r="B92" s="151" t="s">
        <v>265</v>
      </c>
      <c r="C92" s="149">
        <v>3.42815</v>
      </c>
      <c r="D92" s="149">
        <v>3.4605220000000001</v>
      </c>
      <c r="E92" s="149">
        <v>3.4359359999999999</v>
      </c>
      <c r="F92" s="149">
        <v>3.3746960000000001</v>
      </c>
      <c r="G92" s="149">
        <v>3.414514</v>
      </c>
      <c r="H92" s="149">
        <v>3.4063639999999999</v>
      </c>
      <c r="I92" s="149">
        <v>3.5329839999999999</v>
      </c>
      <c r="J92" s="149">
        <v>3.4946480000000002</v>
      </c>
      <c r="K92" s="149">
        <v>3.632647</v>
      </c>
      <c r="L92" s="149">
        <v>3.4204720000000002</v>
      </c>
      <c r="M92" s="149">
        <v>3.5157129999999999</v>
      </c>
      <c r="N92" s="149">
        <v>3.7879399999999999</v>
      </c>
      <c r="O92" s="149">
        <v>3.7914560000000002</v>
      </c>
      <c r="P92" s="149">
        <v>3.8131400000000002</v>
      </c>
      <c r="Q92" s="149">
        <v>4.0304270000000004</v>
      </c>
      <c r="R92" s="149">
        <v>3.8415300000000001</v>
      </c>
      <c r="S92" s="149">
        <v>3.8499989999999999</v>
      </c>
      <c r="T92" s="149">
        <v>3.866047</v>
      </c>
      <c r="U92" s="149">
        <v>3.8919049999999999</v>
      </c>
      <c r="V92" s="149">
        <v>3.960718</v>
      </c>
      <c r="W92" s="1">
        <v>3.4</v>
      </c>
    </row>
    <row r="93" spans="1:23" x14ac:dyDescent="0.35">
      <c r="A93" s="1" t="s">
        <v>266</v>
      </c>
      <c r="B93" s="146" t="s">
        <v>267</v>
      </c>
      <c r="C93" s="149">
        <v>2.7592810000000001</v>
      </c>
      <c r="D93" s="149">
        <v>3.5851869999999999</v>
      </c>
      <c r="E93" s="149">
        <v>4.8666080000000003</v>
      </c>
      <c r="F93" s="149">
        <v>3.6326930000000002</v>
      </c>
      <c r="G93" s="149">
        <v>3.1179839999999999</v>
      </c>
      <c r="H93" s="149">
        <v>3.0913309999999998</v>
      </c>
      <c r="I93" s="149">
        <v>3.9526970000000001</v>
      </c>
      <c r="J93" s="149">
        <v>3.9187759999999998</v>
      </c>
      <c r="K93" s="149">
        <v>2.334962</v>
      </c>
      <c r="L93" s="149">
        <v>1.6934009999999999</v>
      </c>
      <c r="M93" s="149">
        <v>1.465033</v>
      </c>
      <c r="N93" s="149">
        <v>1.409505</v>
      </c>
      <c r="O93" s="149">
        <v>1.2097519999999999</v>
      </c>
      <c r="P93" s="149">
        <v>1.1432709999999999</v>
      </c>
      <c r="Q93" s="149">
        <v>2.2588059999999999</v>
      </c>
      <c r="R93" s="149">
        <v>2.4538679999999999</v>
      </c>
      <c r="S93" s="149">
        <v>2.6595680000000002</v>
      </c>
      <c r="T93" s="149">
        <v>2.6156109999999999</v>
      </c>
      <c r="U93" s="149">
        <v>3.1106199999999999</v>
      </c>
      <c r="V93" s="149">
        <v>3.0371320000000002</v>
      </c>
      <c r="W93" s="1">
        <v>3.9</v>
      </c>
    </row>
    <row r="94" spans="1:23" x14ac:dyDescent="0.35">
      <c r="A94" s="1" t="s">
        <v>161</v>
      </c>
      <c r="B94" s="146" t="s">
        <v>268</v>
      </c>
      <c r="C94" s="149">
        <v>15.201510000000001</v>
      </c>
      <c r="D94" s="149">
        <v>14.763462000000001</v>
      </c>
      <c r="E94" s="149">
        <v>14.06606</v>
      </c>
      <c r="F94" s="149">
        <v>14.153542</v>
      </c>
      <c r="G94" s="149">
        <v>14.133512</v>
      </c>
      <c r="H94" s="149">
        <v>15.497234000000001</v>
      </c>
      <c r="I94" s="149">
        <v>14.823026</v>
      </c>
      <c r="J94" s="149">
        <v>15.47382</v>
      </c>
      <c r="K94" s="149">
        <v>14.488583</v>
      </c>
      <c r="L94" s="149">
        <v>15.200737999999999</v>
      </c>
      <c r="M94" s="149">
        <v>14.442672999999999</v>
      </c>
      <c r="N94" s="149">
        <v>15.151477999999999</v>
      </c>
      <c r="O94" s="149">
        <v>15.474824999999999</v>
      </c>
      <c r="P94" s="149">
        <v>17.462278000000001</v>
      </c>
      <c r="Q94" s="149">
        <v>18.203213000000002</v>
      </c>
      <c r="R94" s="149">
        <v>18.339183999999999</v>
      </c>
      <c r="S94" s="149">
        <v>19.159825999999999</v>
      </c>
      <c r="T94" s="149">
        <v>20.072040000000001</v>
      </c>
      <c r="U94" s="149">
        <v>19.723796</v>
      </c>
      <c r="V94" s="149">
        <v>20.784559000000002</v>
      </c>
      <c r="W94" s="1">
        <v>20.2</v>
      </c>
    </row>
    <row r="95" spans="1:23" x14ac:dyDescent="0.35">
      <c r="A95" s="1" t="s">
        <v>163</v>
      </c>
      <c r="B95" s="146" t="s">
        <v>269</v>
      </c>
      <c r="C95" s="149">
        <v>7.0963750000000001</v>
      </c>
      <c r="D95" s="149">
        <v>8.1969740000000009</v>
      </c>
      <c r="E95" s="149">
        <v>8.5355059999999998</v>
      </c>
      <c r="F95" s="149">
        <v>8.835744</v>
      </c>
      <c r="G95" s="149">
        <v>8.5607190000000006</v>
      </c>
      <c r="H95" s="149">
        <v>9.2470180000000006</v>
      </c>
      <c r="I95" s="149">
        <v>10.981588</v>
      </c>
      <c r="J95" s="149">
        <v>11.226611999999999</v>
      </c>
      <c r="K95" s="149">
        <v>11.339971999999999</v>
      </c>
      <c r="L95" s="149">
        <v>11.000344</v>
      </c>
      <c r="M95" s="149">
        <v>10.984916</v>
      </c>
      <c r="N95" s="149">
        <v>11.392872000000001</v>
      </c>
      <c r="O95" s="149">
        <v>11.747849</v>
      </c>
      <c r="P95" s="149">
        <v>11.400753</v>
      </c>
      <c r="Q95" s="149">
        <v>11.517984999999999</v>
      </c>
      <c r="R95" s="149">
        <v>12.272225000000001</v>
      </c>
      <c r="S95" s="149">
        <v>12.81461</v>
      </c>
      <c r="T95" s="149">
        <v>13.152265</v>
      </c>
      <c r="U95" s="149">
        <v>13.967620999999999</v>
      </c>
      <c r="V95" s="149">
        <v>14.940269000000001</v>
      </c>
      <c r="W95" s="1">
        <v>15.1</v>
      </c>
    </row>
    <row r="96" spans="1:23" x14ac:dyDescent="0.35">
      <c r="A96" s="1" t="s">
        <v>165</v>
      </c>
      <c r="B96" s="146" t="s">
        <v>270</v>
      </c>
      <c r="C96" s="149">
        <v>17.412953000000002</v>
      </c>
      <c r="D96" s="149">
        <v>18.055399000000001</v>
      </c>
      <c r="E96" s="149">
        <v>18.409973999999998</v>
      </c>
      <c r="F96" s="149">
        <v>19.716028999999999</v>
      </c>
      <c r="G96" s="149">
        <v>20.101071000000001</v>
      </c>
      <c r="H96" s="149">
        <v>20.671482999999998</v>
      </c>
      <c r="I96" s="149">
        <v>21.298949</v>
      </c>
      <c r="J96" s="149">
        <v>21.756567</v>
      </c>
      <c r="K96" s="149">
        <v>21.268037</v>
      </c>
      <c r="L96" s="149">
        <v>18.832214</v>
      </c>
      <c r="M96" s="149">
        <v>18.248799000000002</v>
      </c>
      <c r="N96" s="149">
        <v>20.400644</v>
      </c>
      <c r="O96" s="149">
        <v>19.666101999999999</v>
      </c>
      <c r="P96" s="149">
        <v>18.696278</v>
      </c>
      <c r="Q96" s="149">
        <v>18.523551999999999</v>
      </c>
      <c r="R96" s="149">
        <v>18.826789999999999</v>
      </c>
      <c r="S96" s="149">
        <v>18.676333</v>
      </c>
      <c r="T96" s="149">
        <v>18.876024999999998</v>
      </c>
      <c r="U96" s="149">
        <v>19.778382000000001</v>
      </c>
      <c r="V96" s="149">
        <v>19.812342999999998</v>
      </c>
      <c r="W96" s="1">
        <v>17.600000000000001</v>
      </c>
    </row>
    <row r="97" spans="1:23" x14ac:dyDescent="0.35">
      <c r="A97" s="152" t="s">
        <v>271</v>
      </c>
      <c r="B97" s="152" t="s">
        <v>272</v>
      </c>
      <c r="C97" s="149">
        <v>9.6446260000000006</v>
      </c>
      <c r="D97" s="149">
        <v>10.312950000000001</v>
      </c>
      <c r="E97" s="149">
        <v>10.589752000000001</v>
      </c>
      <c r="F97" s="149">
        <v>11.766667999999999</v>
      </c>
      <c r="G97" s="149">
        <v>12.189596999999999</v>
      </c>
      <c r="H97" s="149">
        <v>12.791534</v>
      </c>
      <c r="I97" s="149">
        <v>13.137658</v>
      </c>
      <c r="J97" s="149">
        <v>13.435532</v>
      </c>
      <c r="K97" s="149">
        <v>13.561536</v>
      </c>
      <c r="L97" s="149">
        <v>11.958853</v>
      </c>
      <c r="M97" s="149">
        <v>10.837251</v>
      </c>
      <c r="N97" s="149">
        <v>12.225529</v>
      </c>
      <c r="O97" s="149">
        <v>11.848004</v>
      </c>
      <c r="P97" s="149">
        <v>11.129168</v>
      </c>
      <c r="Q97" s="149">
        <v>10.780340000000001</v>
      </c>
      <c r="R97" s="149">
        <v>10.803717000000001</v>
      </c>
      <c r="S97" s="149">
        <v>10.584341999999999</v>
      </c>
      <c r="T97" s="149">
        <v>10.601438</v>
      </c>
      <c r="U97" s="149">
        <v>11.501566</v>
      </c>
      <c r="V97" s="149">
        <v>11.448584</v>
      </c>
      <c r="W97" s="1">
        <v>10.1</v>
      </c>
    </row>
    <row r="98" spans="1:23" x14ac:dyDescent="0.35">
      <c r="A98" s="156" t="s">
        <v>273</v>
      </c>
      <c r="B98" s="156" t="s">
        <v>274</v>
      </c>
      <c r="C98" s="149">
        <v>8.0903080000000003</v>
      </c>
      <c r="D98" s="149">
        <v>7.9800120000000003</v>
      </c>
      <c r="E98" s="149">
        <v>8.0445189999999993</v>
      </c>
      <c r="F98" s="149">
        <v>8.0972279999999994</v>
      </c>
      <c r="G98" s="149">
        <v>8.0322479999999992</v>
      </c>
      <c r="H98" s="149">
        <v>7.9702590000000004</v>
      </c>
      <c r="I98" s="149">
        <v>8.2548189999999995</v>
      </c>
      <c r="J98" s="149">
        <v>8.416677</v>
      </c>
      <c r="K98" s="149">
        <v>7.840287</v>
      </c>
      <c r="L98" s="149">
        <v>6.9824710000000003</v>
      </c>
      <c r="M98" s="149">
        <v>7.4149409999999998</v>
      </c>
      <c r="N98" s="149">
        <v>8.1861669999999993</v>
      </c>
      <c r="O98" s="149">
        <v>7.834263</v>
      </c>
      <c r="P98" s="149">
        <v>7.5743799999999997</v>
      </c>
      <c r="Q98" s="149">
        <v>7.7432129999999999</v>
      </c>
      <c r="R98" s="149">
        <v>8.0230730000000001</v>
      </c>
      <c r="S98" s="149">
        <v>8.0998359999999998</v>
      </c>
      <c r="T98" s="149">
        <v>8.2923500000000008</v>
      </c>
      <c r="U98" s="149">
        <v>8.2701740000000008</v>
      </c>
      <c r="V98" s="149">
        <v>8.3584969999999998</v>
      </c>
      <c r="W98" s="1">
        <v>7.5</v>
      </c>
    </row>
    <row r="99" spans="1:23" x14ac:dyDescent="0.35">
      <c r="A99" s="153" t="s">
        <v>167</v>
      </c>
      <c r="B99" s="153" t="s">
        <v>275</v>
      </c>
      <c r="C99" s="149">
        <v>24.255374</v>
      </c>
      <c r="D99" s="149">
        <v>24.447949000000001</v>
      </c>
      <c r="E99" s="149">
        <v>24.380507000000001</v>
      </c>
      <c r="F99" s="149">
        <v>24.315009</v>
      </c>
      <c r="G99" s="149">
        <v>24.667256999999999</v>
      </c>
      <c r="H99" s="149">
        <v>23.865376000000001</v>
      </c>
      <c r="I99" s="149">
        <v>24.026119999999999</v>
      </c>
      <c r="J99" s="149">
        <v>24.463282</v>
      </c>
      <c r="K99" s="149">
        <v>23.969868000000002</v>
      </c>
      <c r="L99" s="149">
        <v>23.940850000000001</v>
      </c>
      <c r="M99" s="149">
        <v>24.627644</v>
      </c>
      <c r="N99" s="149">
        <v>24.858457999999999</v>
      </c>
      <c r="O99" s="149">
        <v>24.396314</v>
      </c>
      <c r="P99" s="149">
        <v>25.766483999999998</v>
      </c>
      <c r="Q99" s="149">
        <v>25.214587999999999</v>
      </c>
      <c r="R99" s="149">
        <v>25.624379000000001</v>
      </c>
      <c r="S99" s="149">
        <v>26.013804</v>
      </c>
      <c r="T99" s="149">
        <v>26.657764</v>
      </c>
      <c r="U99" s="149">
        <v>25.460822</v>
      </c>
      <c r="V99" s="149">
        <v>25.805907999999999</v>
      </c>
      <c r="W99" s="1">
        <v>21.5</v>
      </c>
    </row>
    <row r="100" spans="1:23" x14ac:dyDescent="0.35">
      <c r="A100" s="1" t="s">
        <v>276</v>
      </c>
      <c r="B100" s="1" t="s">
        <v>277</v>
      </c>
      <c r="C100" s="149">
        <v>5.8707409999999998</v>
      </c>
      <c r="D100" s="149">
        <v>5.7037110000000002</v>
      </c>
      <c r="E100" s="149">
        <v>5.9039149999999996</v>
      </c>
      <c r="F100" s="149">
        <v>5.7612100000000002</v>
      </c>
      <c r="G100" s="149">
        <v>5.5004359999999997</v>
      </c>
      <c r="H100" s="149">
        <v>5.1969180000000001</v>
      </c>
      <c r="I100" s="149">
        <v>4.7876390000000004</v>
      </c>
      <c r="J100" s="149">
        <v>4.8590179999999998</v>
      </c>
      <c r="K100" s="149">
        <v>4.8591759999999997</v>
      </c>
      <c r="L100" s="149">
        <v>6.3924459999999996</v>
      </c>
      <c r="M100" s="149">
        <v>5.8092579999999998</v>
      </c>
      <c r="N100" s="149">
        <v>5.8211349999999999</v>
      </c>
      <c r="O100" s="149">
        <v>5.5506130000000002</v>
      </c>
      <c r="P100" s="149">
        <v>6.4536300000000004</v>
      </c>
      <c r="Q100" s="149">
        <v>5.8232530000000002</v>
      </c>
      <c r="R100" s="149">
        <v>6.3026080000000002</v>
      </c>
      <c r="S100" s="149">
        <v>7.0381970000000003</v>
      </c>
      <c r="T100" s="149">
        <v>7.2122590000000004</v>
      </c>
      <c r="U100" s="149">
        <v>5.816732</v>
      </c>
      <c r="V100" s="149">
        <v>5.9845490000000003</v>
      </c>
      <c r="W100" s="1">
        <v>4.8</v>
      </c>
    </row>
    <row r="101" spans="1:23" x14ac:dyDescent="0.35">
      <c r="A101" s="1" t="s">
        <v>278</v>
      </c>
      <c r="B101" s="146" t="s">
        <v>279</v>
      </c>
      <c r="C101" s="149">
        <v>19.404259</v>
      </c>
      <c r="D101" s="149">
        <v>19.860689000000001</v>
      </c>
      <c r="E101" s="149">
        <v>19.524709000000001</v>
      </c>
      <c r="F101" s="149">
        <v>19.614986999999999</v>
      </c>
      <c r="G101" s="149">
        <v>20.281328999999999</v>
      </c>
      <c r="H101" s="149">
        <v>19.793566999999999</v>
      </c>
      <c r="I101" s="149">
        <v>20.572875</v>
      </c>
      <c r="J101" s="149">
        <v>20.971878</v>
      </c>
      <c r="K101" s="149">
        <v>20.379166999999999</v>
      </c>
      <c r="L101" s="149">
        <v>17.605535</v>
      </c>
      <c r="M101" s="149">
        <v>18.835312999999999</v>
      </c>
      <c r="N101" s="149">
        <v>19.058634999999999</v>
      </c>
      <c r="O101" s="149">
        <v>18.907675999999999</v>
      </c>
      <c r="P101" s="149">
        <v>19.350933000000001</v>
      </c>
      <c r="Q101" s="149">
        <v>19.391335000000002</v>
      </c>
      <c r="R101" s="149">
        <v>19.321770999999998</v>
      </c>
      <c r="S101" s="149">
        <v>18.988880999999999</v>
      </c>
      <c r="T101" s="149">
        <v>19.459074000000001</v>
      </c>
      <c r="U101" s="149">
        <v>19.483629000000001</v>
      </c>
      <c r="V101" s="149">
        <v>19.659434000000001</v>
      </c>
      <c r="W101" s="1">
        <v>16.5</v>
      </c>
    </row>
    <row r="102" spans="1:23" x14ac:dyDescent="0.35">
      <c r="A102" s="1" t="s">
        <v>147</v>
      </c>
      <c r="B102" s="146" t="s">
        <v>280</v>
      </c>
      <c r="C102" s="149">
        <v>5.3318079999999997</v>
      </c>
      <c r="D102" s="149">
        <v>5.2905439999999997</v>
      </c>
      <c r="E102" s="149">
        <v>5.5300229999999999</v>
      </c>
      <c r="F102" s="149">
        <v>5.6432200000000003</v>
      </c>
      <c r="G102" s="149">
        <v>6.2335419999999999</v>
      </c>
      <c r="H102" s="149">
        <v>6.5155560000000001</v>
      </c>
      <c r="I102" s="149">
        <v>7.5852810000000002</v>
      </c>
      <c r="J102" s="149">
        <v>7.6873519999999997</v>
      </c>
      <c r="K102" s="149">
        <v>7.9317039999999999</v>
      </c>
      <c r="L102" s="149">
        <v>7.4069649999999996</v>
      </c>
      <c r="M102" s="149">
        <v>9.0368230000000001</v>
      </c>
      <c r="N102" s="149">
        <v>9.379092</v>
      </c>
      <c r="O102" s="149">
        <v>9.8284249999999993</v>
      </c>
      <c r="P102" s="149">
        <v>10.702061</v>
      </c>
      <c r="Q102" s="149">
        <v>11.123084</v>
      </c>
      <c r="R102" s="149">
        <v>11.128679999999999</v>
      </c>
      <c r="S102" s="149">
        <v>11.394397</v>
      </c>
      <c r="T102" s="149">
        <v>11.786925</v>
      </c>
      <c r="U102" s="149">
        <v>12.260071999999999</v>
      </c>
      <c r="V102" s="149">
        <v>13.493798</v>
      </c>
      <c r="W102" s="1">
        <v>11.9</v>
      </c>
    </row>
    <row r="103" spans="1:23" x14ac:dyDescent="0.35">
      <c r="A103" s="1" t="s">
        <v>149</v>
      </c>
      <c r="B103" s="146" t="s">
        <v>281</v>
      </c>
      <c r="C103" s="149">
        <v>10.617983000000001</v>
      </c>
      <c r="D103" s="149">
        <v>10.120741000000001</v>
      </c>
      <c r="E103" s="149">
        <v>9.6501640000000002</v>
      </c>
      <c r="F103" s="149">
        <v>9.0387540000000008</v>
      </c>
      <c r="G103" s="149">
        <v>9.7549010000000003</v>
      </c>
      <c r="H103" s="149">
        <v>9.2139299999999995</v>
      </c>
      <c r="I103" s="149">
        <v>8.9104919999999996</v>
      </c>
      <c r="J103" s="149">
        <v>9.1941249999999997</v>
      </c>
      <c r="K103" s="149">
        <v>8.9187309999999993</v>
      </c>
      <c r="L103" s="149">
        <v>7.5785689999999999</v>
      </c>
      <c r="M103" s="149">
        <v>7.7074259999999999</v>
      </c>
      <c r="N103" s="149">
        <v>7.3882000000000003</v>
      </c>
      <c r="O103" s="149">
        <v>7.2561330000000002</v>
      </c>
      <c r="P103" s="149">
        <v>7.1224829999999999</v>
      </c>
      <c r="Q103" s="149">
        <v>6.9197939999999996</v>
      </c>
      <c r="R103" s="149">
        <v>6.8595009999999998</v>
      </c>
      <c r="S103" s="149">
        <v>6.9052819999999997</v>
      </c>
      <c r="T103" s="149">
        <v>6.9433600000000002</v>
      </c>
      <c r="U103" s="149">
        <v>7.054011</v>
      </c>
      <c r="V103" s="149">
        <v>7.12005</v>
      </c>
      <c r="W103" s="1">
        <v>6.4</v>
      </c>
    </row>
    <row r="104" spans="1:23" x14ac:dyDescent="0.35">
      <c r="A104" s="157" t="s">
        <v>151</v>
      </c>
      <c r="B104" s="157" t="s">
        <v>282</v>
      </c>
      <c r="C104" s="149">
        <v>11.485924000000001</v>
      </c>
      <c r="D104" s="149">
        <v>12.400689</v>
      </c>
      <c r="E104" s="149">
        <v>12.157581</v>
      </c>
      <c r="F104" s="149">
        <v>12.441276</v>
      </c>
      <c r="G104" s="149">
        <v>13.45471</v>
      </c>
      <c r="H104" s="149">
        <v>13.507080999999999</v>
      </c>
      <c r="I104" s="149">
        <v>14.390752000000001</v>
      </c>
      <c r="J104" s="149">
        <v>14.806767000000001</v>
      </c>
      <c r="K104" s="149">
        <v>14.643867</v>
      </c>
      <c r="L104" s="149">
        <v>11.404749000000001</v>
      </c>
      <c r="M104" s="149">
        <v>11.495244</v>
      </c>
      <c r="N104" s="149">
        <v>12.772231</v>
      </c>
      <c r="O104" s="149">
        <v>12.524309000000001</v>
      </c>
      <c r="P104" s="149">
        <v>12.428447</v>
      </c>
      <c r="Q104" s="149">
        <v>12.486587</v>
      </c>
      <c r="R104" s="149">
        <v>11.874653</v>
      </c>
      <c r="S104" s="149">
        <v>11.096029</v>
      </c>
      <c r="T104" s="149">
        <v>11.008343999999999</v>
      </c>
      <c r="U104" s="149">
        <v>11.013045999999999</v>
      </c>
      <c r="V104" s="149">
        <v>11.25338</v>
      </c>
      <c r="W104" s="1">
        <v>10</v>
      </c>
    </row>
    <row r="105" spans="1:23" x14ac:dyDescent="0.35">
      <c r="A105" s="157" t="s">
        <v>283</v>
      </c>
      <c r="B105" s="157" t="s">
        <v>284</v>
      </c>
      <c r="C105" s="149">
        <v>31.312270999999999</v>
      </c>
      <c r="D105" s="149">
        <v>30.239395999999999</v>
      </c>
      <c r="E105" s="149">
        <v>28.800540999999999</v>
      </c>
      <c r="F105" s="149">
        <v>30.740936000000001</v>
      </c>
      <c r="G105" s="149">
        <v>31.458558</v>
      </c>
      <c r="H105" s="149">
        <v>32.540165000000002</v>
      </c>
      <c r="I105" s="149">
        <v>32.320242999999998</v>
      </c>
      <c r="J105" s="149">
        <v>32.323222000000001</v>
      </c>
      <c r="K105" s="149">
        <v>31.062785999999999</v>
      </c>
      <c r="L105" s="149">
        <v>26.000693999999999</v>
      </c>
      <c r="M105" s="149">
        <v>28.477751000000001</v>
      </c>
      <c r="N105" s="149">
        <v>28.441257</v>
      </c>
      <c r="O105" s="149">
        <v>28.448081999999999</v>
      </c>
      <c r="P105" s="149">
        <v>26.993219</v>
      </c>
      <c r="Q105" s="149">
        <v>27.034531000000001</v>
      </c>
      <c r="R105" s="149">
        <v>26.907309000000001</v>
      </c>
      <c r="S105" s="149">
        <v>27.063396999999998</v>
      </c>
      <c r="T105" s="149">
        <v>28.382299</v>
      </c>
      <c r="U105" s="149">
        <v>30.481016</v>
      </c>
      <c r="V105" s="149">
        <v>29.811316999999999</v>
      </c>
      <c r="W105" s="1">
        <v>17.399999999999999</v>
      </c>
    </row>
    <row r="106" spans="1:23" x14ac:dyDescent="0.35">
      <c r="A106" s="1" t="s">
        <v>285</v>
      </c>
      <c r="B106" s="146" t="s">
        <v>286</v>
      </c>
      <c r="C106" s="149">
        <v>20.354437999999998</v>
      </c>
      <c r="D106" s="149">
        <v>19.480934999999999</v>
      </c>
      <c r="E106" s="149">
        <v>19.568905000000001</v>
      </c>
      <c r="F106" s="149">
        <v>20.340807999999999</v>
      </c>
      <c r="G106" s="149">
        <v>21.698671000000001</v>
      </c>
      <c r="H106" s="149">
        <v>20.832203</v>
      </c>
      <c r="I106" s="149">
        <v>20.514844</v>
      </c>
      <c r="J106" s="149">
        <v>20.161345000000001</v>
      </c>
      <c r="K106" s="149">
        <v>18.361038000000001</v>
      </c>
      <c r="L106" s="149">
        <v>13.636471</v>
      </c>
      <c r="M106" s="149">
        <v>15.627941</v>
      </c>
      <c r="N106" s="149">
        <v>16.514938000000001</v>
      </c>
      <c r="O106" s="149">
        <v>14.521451000000001</v>
      </c>
      <c r="P106" s="149">
        <v>12.609652000000001</v>
      </c>
      <c r="Q106" s="149">
        <v>12.585031000000001</v>
      </c>
      <c r="R106" s="149">
        <v>12.654173999999999</v>
      </c>
      <c r="S106" s="149">
        <v>12.426857</v>
      </c>
      <c r="T106" s="149">
        <v>13.469141</v>
      </c>
      <c r="U106" s="149">
        <v>13.02356</v>
      </c>
      <c r="V106" s="149">
        <v>13.038845</v>
      </c>
      <c r="W106" s="1">
        <v>9.3000000000000007</v>
      </c>
    </row>
    <row r="107" spans="1:23" x14ac:dyDescent="0.35">
      <c r="A107" s="1" t="s">
        <v>287</v>
      </c>
      <c r="B107" s="146" t="s">
        <v>288</v>
      </c>
      <c r="C107" s="149">
        <v>11.208796</v>
      </c>
      <c r="D107" s="149">
        <v>11.045203000000001</v>
      </c>
      <c r="E107" s="149">
        <v>9.384036</v>
      </c>
      <c r="F107" s="149">
        <v>10.569376</v>
      </c>
      <c r="G107" s="149">
        <v>9.8204279999999997</v>
      </c>
      <c r="H107" s="149">
        <v>12.144292999999999</v>
      </c>
      <c r="I107" s="149">
        <v>12.2582</v>
      </c>
      <c r="J107" s="149">
        <v>12.593268</v>
      </c>
      <c r="K107" s="149">
        <v>13.062334</v>
      </c>
      <c r="L107" s="149">
        <v>12.516994</v>
      </c>
      <c r="M107" s="149">
        <v>13.000316</v>
      </c>
      <c r="N107" s="149">
        <v>12.030248</v>
      </c>
      <c r="O107" s="149">
        <v>14.007463</v>
      </c>
      <c r="P107" s="149">
        <v>14.381936</v>
      </c>
      <c r="Q107" s="149">
        <v>14.4495</v>
      </c>
      <c r="R107" s="149">
        <v>14.253136</v>
      </c>
      <c r="S107" s="149">
        <v>14.604545999999999</v>
      </c>
      <c r="T107" s="149">
        <v>14.902965999999999</v>
      </c>
      <c r="U107" s="149">
        <v>17.326832</v>
      </c>
      <c r="V107" s="149">
        <v>16.668766999999999</v>
      </c>
      <c r="W107" s="1">
        <v>8.3000000000000007</v>
      </c>
    </row>
    <row r="108" spans="1:23" x14ac:dyDescent="0.35">
      <c r="A108" s="1" t="s">
        <v>169</v>
      </c>
      <c r="B108" s="146" t="s">
        <v>289</v>
      </c>
      <c r="C108" s="149">
        <v>28.254632999999998</v>
      </c>
      <c r="D108" s="149">
        <v>28.725096000000001</v>
      </c>
      <c r="E108" s="149">
        <v>28.358239999999999</v>
      </c>
      <c r="F108" s="149">
        <v>27.245087999999999</v>
      </c>
      <c r="G108" s="149">
        <v>28.210153999999999</v>
      </c>
      <c r="H108" s="149">
        <v>29.230820999999999</v>
      </c>
      <c r="I108" s="149">
        <v>29.779657</v>
      </c>
      <c r="J108" s="149">
        <v>30.866015999999998</v>
      </c>
      <c r="K108" s="149">
        <v>30.781068000000001</v>
      </c>
      <c r="L108" s="149">
        <v>30.004085</v>
      </c>
      <c r="M108" s="149">
        <v>29.555235</v>
      </c>
      <c r="N108" s="149">
        <v>30.235903</v>
      </c>
      <c r="O108" s="149">
        <v>30.523461000000001</v>
      </c>
      <c r="P108" s="149">
        <v>29.043524000000001</v>
      </c>
      <c r="Q108" s="149">
        <v>28.693103000000001</v>
      </c>
      <c r="R108" s="149">
        <v>28.539113</v>
      </c>
      <c r="S108" s="149">
        <v>27.720690999999999</v>
      </c>
      <c r="T108" s="149">
        <v>27.869295999999999</v>
      </c>
      <c r="U108" s="149">
        <v>28.652469</v>
      </c>
      <c r="V108" s="149">
        <v>29.666309999999999</v>
      </c>
      <c r="W108" s="1">
        <v>27.2</v>
      </c>
    </row>
    <row r="109" spans="1:23" x14ac:dyDescent="0.35">
      <c r="A109" s="151" t="s">
        <v>290</v>
      </c>
      <c r="B109" s="151" t="s">
        <v>291</v>
      </c>
      <c r="C109" s="149">
        <v>3.697276</v>
      </c>
      <c r="D109" s="149">
        <v>3.9559310000000001</v>
      </c>
      <c r="E109" s="149">
        <v>3.79786</v>
      </c>
      <c r="F109" s="149">
        <v>3.7520910000000001</v>
      </c>
      <c r="G109" s="149">
        <v>3.660444</v>
      </c>
      <c r="H109" s="149">
        <v>3.751045</v>
      </c>
      <c r="I109" s="149">
        <v>3.7622439999999999</v>
      </c>
      <c r="J109" s="149">
        <v>3.7272639999999999</v>
      </c>
      <c r="K109" s="149">
        <v>3.269593</v>
      </c>
      <c r="L109" s="149">
        <v>3.1220050000000001</v>
      </c>
      <c r="M109" s="149">
        <v>2.8895719999999998</v>
      </c>
      <c r="N109" s="149">
        <v>2.806756</v>
      </c>
      <c r="O109" s="149">
        <v>2.7169490000000001</v>
      </c>
      <c r="P109" s="149">
        <v>2.4824999999999999</v>
      </c>
      <c r="Q109" s="149">
        <v>2.3909790000000002</v>
      </c>
      <c r="R109" s="149">
        <v>2.3811420000000001</v>
      </c>
      <c r="S109" s="149">
        <v>2.1533699999999998</v>
      </c>
      <c r="T109" s="149">
        <v>2.2145800000000002</v>
      </c>
      <c r="U109" s="149">
        <v>2.1962299999999999</v>
      </c>
      <c r="V109" s="149">
        <v>2.1792940000000001</v>
      </c>
      <c r="W109" s="1">
        <v>1.8</v>
      </c>
    </row>
    <row r="110" spans="1:23" x14ac:dyDescent="0.35">
      <c r="A110" s="151" t="s">
        <v>292</v>
      </c>
      <c r="B110" s="151" t="s">
        <v>293</v>
      </c>
      <c r="C110" s="149">
        <v>4.538411</v>
      </c>
      <c r="D110" s="149">
        <v>4.9639699999999998</v>
      </c>
      <c r="E110" s="149">
        <v>4.8523829999999997</v>
      </c>
      <c r="F110" s="149">
        <v>4.8066700000000004</v>
      </c>
      <c r="G110" s="149">
        <v>5.1245079999999996</v>
      </c>
      <c r="H110" s="149">
        <v>5.0226949999999997</v>
      </c>
      <c r="I110" s="149">
        <v>5.0637740000000004</v>
      </c>
      <c r="J110" s="149">
        <v>5.3011590000000002</v>
      </c>
      <c r="K110" s="149">
        <v>5.2831780000000004</v>
      </c>
      <c r="L110" s="149">
        <v>5.0761409999999998</v>
      </c>
      <c r="M110" s="149">
        <v>5.2081369999999998</v>
      </c>
      <c r="N110" s="149">
        <v>5.2063220000000001</v>
      </c>
      <c r="O110" s="149">
        <v>4.9349930000000004</v>
      </c>
      <c r="P110" s="149">
        <v>4.830921</v>
      </c>
      <c r="Q110" s="149">
        <v>4.9640000000000004</v>
      </c>
      <c r="R110" s="149">
        <v>4.7668049999999997</v>
      </c>
      <c r="S110" s="149">
        <v>4.698086</v>
      </c>
      <c r="T110" s="149">
        <v>4.5680769999999997</v>
      </c>
      <c r="U110" s="149">
        <v>4.759938</v>
      </c>
      <c r="V110" s="149">
        <v>4.925605</v>
      </c>
      <c r="W110" s="1">
        <v>5</v>
      </c>
    </row>
    <row r="111" spans="1:23" x14ac:dyDescent="0.35">
      <c r="A111" s="157" t="s">
        <v>294</v>
      </c>
      <c r="B111" s="157" t="s">
        <v>295</v>
      </c>
      <c r="C111" s="149">
        <v>19.996983</v>
      </c>
      <c r="D111" s="149">
        <v>19.741274000000001</v>
      </c>
      <c r="E111" s="149">
        <v>19.652851999999999</v>
      </c>
      <c r="F111" s="149">
        <v>18.614955999999999</v>
      </c>
      <c r="G111" s="149">
        <v>19.362075000000001</v>
      </c>
      <c r="H111" s="149">
        <v>20.416864</v>
      </c>
      <c r="I111" s="149">
        <v>20.925191999999999</v>
      </c>
      <c r="J111" s="149">
        <v>21.817706000000001</v>
      </c>
      <c r="K111" s="149">
        <v>22.220707999999998</v>
      </c>
      <c r="L111" s="149">
        <v>21.807171</v>
      </c>
      <c r="M111" s="149">
        <v>21.468167999999999</v>
      </c>
      <c r="N111" s="149">
        <v>22.229942999999999</v>
      </c>
      <c r="O111" s="149">
        <v>22.876816999999999</v>
      </c>
      <c r="P111" s="149">
        <v>21.734573000000001</v>
      </c>
      <c r="Q111" s="149">
        <v>21.338124000000001</v>
      </c>
      <c r="R111" s="149">
        <v>21.391165999999998</v>
      </c>
      <c r="S111" s="149">
        <v>20.866595</v>
      </c>
      <c r="T111" s="149">
        <v>21.082647999999999</v>
      </c>
      <c r="U111" s="149">
        <v>21.691492</v>
      </c>
      <c r="V111" s="149">
        <v>22.550536999999998</v>
      </c>
      <c r="W111" s="1">
        <v>20.399999999999999</v>
      </c>
    </row>
    <row r="112" spans="1:23" x14ac:dyDescent="0.35">
      <c r="A112" s="1" t="s">
        <v>137</v>
      </c>
      <c r="B112" s="146" t="s">
        <v>296</v>
      </c>
      <c r="C112" s="149">
        <v>36.495229999999999</v>
      </c>
      <c r="D112" s="149">
        <v>38.879345999999998</v>
      </c>
      <c r="E112" s="149">
        <v>42.148147999999999</v>
      </c>
      <c r="F112" s="149">
        <v>40.938017000000002</v>
      </c>
      <c r="G112" s="149">
        <v>43.334659000000002</v>
      </c>
      <c r="H112" s="149">
        <v>41.020854</v>
      </c>
      <c r="I112" s="149">
        <v>38.977260999999999</v>
      </c>
      <c r="J112" s="149">
        <v>39.198014999999998</v>
      </c>
      <c r="K112" s="149">
        <v>36.377786999999998</v>
      </c>
      <c r="L112" s="149">
        <v>32.280160000000002</v>
      </c>
      <c r="M112" s="149">
        <v>31.420501999999999</v>
      </c>
      <c r="N112" s="149">
        <v>30.06841</v>
      </c>
      <c r="O112" s="149">
        <v>33.414028000000002</v>
      </c>
      <c r="P112" s="149">
        <v>35.939242</v>
      </c>
      <c r="Q112" s="149">
        <v>34.085185000000003</v>
      </c>
      <c r="R112" s="149">
        <v>34.383324999999999</v>
      </c>
      <c r="S112" s="149">
        <v>33.533636999999999</v>
      </c>
      <c r="T112" s="149">
        <v>30.996842999999998</v>
      </c>
      <c r="U112" s="149">
        <v>33.131999999999998</v>
      </c>
      <c r="V112" s="149">
        <v>33.003774999999997</v>
      </c>
      <c r="W112" s="1">
        <v>32.5</v>
      </c>
    </row>
    <row r="113" spans="1:23" x14ac:dyDescent="0.35">
      <c r="A113" s="1" t="s">
        <v>139</v>
      </c>
      <c r="B113" s="146" t="s">
        <v>297</v>
      </c>
      <c r="C113" s="149">
        <v>12.546692</v>
      </c>
      <c r="D113" s="149">
        <v>13.336209</v>
      </c>
      <c r="E113" s="149">
        <v>13.965849</v>
      </c>
      <c r="F113" s="149">
        <v>15.097875999999999</v>
      </c>
      <c r="G113" s="149">
        <v>14.640784999999999</v>
      </c>
      <c r="H113" s="149">
        <v>14.563033000000001</v>
      </c>
      <c r="I113" s="149">
        <v>14.710312</v>
      </c>
      <c r="J113" s="149">
        <v>14.814892</v>
      </c>
      <c r="K113" s="149">
        <v>14.501436</v>
      </c>
      <c r="L113" s="149">
        <v>14.711707000000001</v>
      </c>
      <c r="M113" s="149">
        <v>15.254386</v>
      </c>
      <c r="N113" s="149">
        <v>15.058176</v>
      </c>
      <c r="O113" s="149">
        <v>14.618653</v>
      </c>
      <c r="P113" s="149">
        <v>14.716125</v>
      </c>
      <c r="Q113" s="149">
        <v>14.105828000000001</v>
      </c>
      <c r="R113" s="149">
        <v>13.591778</v>
      </c>
      <c r="S113" s="149">
        <v>13.392080999999999</v>
      </c>
      <c r="T113" s="149">
        <v>13.868116000000001</v>
      </c>
      <c r="U113" s="149">
        <v>13.829893999999999</v>
      </c>
      <c r="V113" s="149">
        <v>13.936655</v>
      </c>
      <c r="W113" s="1">
        <v>13.5</v>
      </c>
    </row>
    <row r="114" spans="1:23" x14ac:dyDescent="0.35">
      <c r="A114" s="1" t="s">
        <v>298</v>
      </c>
      <c r="B114" s="146" t="s">
        <v>299</v>
      </c>
      <c r="C114" s="149">
        <v>2.1262379999999999</v>
      </c>
      <c r="D114" s="149">
        <v>2.4001809999999999</v>
      </c>
      <c r="E114" s="149">
        <v>2.6089250000000002</v>
      </c>
      <c r="F114" s="149">
        <v>3.439381</v>
      </c>
      <c r="G114" s="149">
        <v>3.0105620000000002</v>
      </c>
      <c r="H114" s="149">
        <v>3.1473080000000002</v>
      </c>
      <c r="I114" s="149">
        <v>3.120981</v>
      </c>
      <c r="J114" s="149">
        <v>3.2109160000000001</v>
      </c>
      <c r="K114" s="149">
        <v>2.931276</v>
      </c>
      <c r="L114" s="149">
        <v>2.871464</v>
      </c>
      <c r="M114" s="149">
        <v>3.0329989999999998</v>
      </c>
      <c r="N114" s="149">
        <v>3.1508379999999998</v>
      </c>
      <c r="O114" s="149">
        <v>3.2397499999999999</v>
      </c>
      <c r="P114" s="149">
        <v>3.2659470000000002</v>
      </c>
      <c r="Q114" s="149">
        <v>3.3125260000000001</v>
      </c>
      <c r="R114" s="149">
        <v>3.1227279999999999</v>
      </c>
      <c r="S114" s="149">
        <v>3.1364969999999999</v>
      </c>
      <c r="T114" s="149">
        <v>3.2672159999999999</v>
      </c>
      <c r="U114" s="149">
        <v>3.250362</v>
      </c>
      <c r="V114" s="149">
        <v>3.261781</v>
      </c>
      <c r="W114" s="1">
        <v>3.2</v>
      </c>
    </row>
    <row r="115" spans="1:23" x14ac:dyDescent="0.35">
      <c r="A115" s="1" t="s">
        <v>300</v>
      </c>
      <c r="B115" s="146" t="s">
        <v>301</v>
      </c>
      <c r="C115" s="149">
        <v>4.4576200000000004</v>
      </c>
      <c r="D115" s="149">
        <v>4.6175569999999997</v>
      </c>
      <c r="E115" s="149">
        <v>4.742686</v>
      </c>
      <c r="F115" s="149">
        <v>4.5214590000000001</v>
      </c>
      <c r="G115" s="149">
        <v>4.4983979999999999</v>
      </c>
      <c r="H115" s="149">
        <v>4.3276240000000001</v>
      </c>
      <c r="I115" s="149">
        <v>4.3984990000000002</v>
      </c>
      <c r="J115" s="149">
        <v>4.3696200000000003</v>
      </c>
      <c r="K115" s="149">
        <v>4.3502409999999996</v>
      </c>
      <c r="L115" s="149">
        <v>4.7304000000000004</v>
      </c>
      <c r="M115" s="149">
        <v>4.8190929999999996</v>
      </c>
      <c r="N115" s="149">
        <v>4.671564</v>
      </c>
      <c r="O115" s="149">
        <v>4.4446810000000001</v>
      </c>
      <c r="P115" s="149">
        <v>4.7090699999999996</v>
      </c>
      <c r="Q115" s="149">
        <v>4.6813370000000001</v>
      </c>
      <c r="R115" s="149">
        <v>4.6071710000000001</v>
      </c>
      <c r="S115" s="149">
        <v>4.6304119999999998</v>
      </c>
      <c r="T115" s="149">
        <v>4.9151119999999997</v>
      </c>
      <c r="U115" s="149">
        <v>4.8510980000000004</v>
      </c>
      <c r="V115" s="149">
        <v>4.7938960000000002</v>
      </c>
      <c r="W115" s="1">
        <v>4.7</v>
      </c>
    </row>
    <row r="116" spans="1:23" x14ac:dyDescent="0.35">
      <c r="A116" s="1" t="s">
        <v>302</v>
      </c>
      <c r="B116" s="146" t="s">
        <v>303</v>
      </c>
      <c r="C116" s="149">
        <v>6.3495590000000002</v>
      </c>
      <c r="D116" s="149">
        <v>6.5838330000000003</v>
      </c>
      <c r="E116" s="149">
        <v>6.8278889999999999</v>
      </c>
      <c r="F116" s="149">
        <v>6.8144309999999999</v>
      </c>
      <c r="G116" s="149">
        <v>7.0195860000000003</v>
      </c>
      <c r="H116" s="149">
        <v>6.8850730000000002</v>
      </c>
      <c r="I116" s="149">
        <v>7.0322129999999996</v>
      </c>
      <c r="J116" s="149">
        <v>7.0287420000000003</v>
      </c>
      <c r="K116" s="149">
        <v>7.0980270000000001</v>
      </c>
      <c r="L116" s="149">
        <v>6.9731839999999998</v>
      </c>
      <c r="M116" s="149">
        <v>7.2056459999999998</v>
      </c>
      <c r="N116" s="149">
        <v>7.0060789999999997</v>
      </c>
      <c r="O116" s="149">
        <v>6.5771519999999999</v>
      </c>
      <c r="P116" s="149">
        <v>6.3133889999999999</v>
      </c>
      <c r="Q116" s="149">
        <v>5.6512039999999999</v>
      </c>
      <c r="R116" s="149">
        <v>5.3921409999999996</v>
      </c>
      <c r="S116" s="149">
        <v>5.1642150000000004</v>
      </c>
      <c r="T116" s="149">
        <v>5.2290979999999996</v>
      </c>
      <c r="U116" s="149">
        <v>5.2925800000000001</v>
      </c>
      <c r="V116" s="149">
        <v>5.4224730000000001</v>
      </c>
      <c r="W116" s="1">
        <v>5.3</v>
      </c>
    </row>
    <row r="117" spans="1:23" x14ac:dyDescent="0.35">
      <c r="A117" s="1" t="s">
        <v>304</v>
      </c>
      <c r="B117" s="146" t="s">
        <v>305</v>
      </c>
      <c r="C117" s="149">
        <v>0.180535</v>
      </c>
      <c r="D117" s="149">
        <v>0.184894</v>
      </c>
      <c r="E117" s="149">
        <v>0.18185100000000001</v>
      </c>
      <c r="F117" s="149">
        <v>0.182391</v>
      </c>
      <c r="G117" s="149">
        <v>0.18562799999999999</v>
      </c>
      <c r="H117" s="149">
        <v>0.18209600000000001</v>
      </c>
      <c r="I117" s="149">
        <v>0.17925199999999999</v>
      </c>
      <c r="J117" s="149">
        <v>0.186165</v>
      </c>
      <c r="K117" s="149">
        <v>0.19934399999999999</v>
      </c>
      <c r="L117" s="149">
        <v>0.25804700000000003</v>
      </c>
      <c r="M117" s="149">
        <v>0.29677399999999998</v>
      </c>
      <c r="N117" s="149">
        <v>0.28502100000000002</v>
      </c>
      <c r="O117" s="149">
        <v>0.36522100000000002</v>
      </c>
      <c r="P117" s="149">
        <v>0.44229400000000002</v>
      </c>
      <c r="Q117" s="149">
        <v>0.46076</v>
      </c>
      <c r="R117" s="149">
        <v>0.46973700000000002</v>
      </c>
      <c r="S117" s="149">
        <v>0.45827699999999999</v>
      </c>
      <c r="T117" s="149">
        <v>0.46028599999999997</v>
      </c>
      <c r="U117" s="149">
        <v>0.43673600000000001</v>
      </c>
      <c r="V117" s="149">
        <v>0.45635300000000001</v>
      </c>
      <c r="W117" s="1">
        <v>0.4</v>
      </c>
    </row>
    <row r="118" spans="1:23" x14ac:dyDescent="0.35">
      <c r="A118" s="1" t="s">
        <v>306</v>
      </c>
      <c r="B118" s="146" t="s">
        <v>31</v>
      </c>
      <c r="C118" s="149">
        <v>115.435468</v>
      </c>
      <c r="D118" s="149">
        <v>119.96694599999999</v>
      </c>
      <c r="E118" s="149">
        <v>119.421508</v>
      </c>
      <c r="F118" s="149">
        <v>119.08902500000001</v>
      </c>
      <c r="G118" s="149">
        <v>121.36767399999999</v>
      </c>
      <c r="H118" s="149">
        <v>124.698756</v>
      </c>
      <c r="I118" s="149">
        <v>127.73272900000001</v>
      </c>
      <c r="J118" s="149">
        <v>133.59743800000001</v>
      </c>
      <c r="K118" s="149">
        <v>131.61927</v>
      </c>
      <c r="L118" s="149">
        <v>123.994381</v>
      </c>
      <c r="M118" s="149">
        <v>120.903156</v>
      </c>
      <c r="N118" s="149">
        <v>118.618848</v>
      </c>
      <c r="O118" s="149">
        <v>112.59392800000001</v>
      </c>
      <c r="P118" s="149">
        <v>113.12113600000001</v>
      </c>
      <c r="Q118" s="149">
        <v>110.115753</v>
      </c>
      <c r="R118" s="149">
        <v>109.505257</v>
      </c>
      <c r="S118" s="149">
        <v>108.449133</v>
      </c>
      <c r="T118" s="149">
        <v>110.800995</v>
      </c>
      <c r="U118" s="149">
        <v>111.94245100000001</v>
      </c>
      <c r="V118" s="149">
        <v>114.881552</v>
      </c>
      <c r="W118" s="1">
        <v>98.9</v>
      </c>
    </row>
    <row r="119" spans="1:23" x14ac:dyDescent="0.35">
      <c r="A119" s="1" t="s">
        <v>307</v>
      </c>
      <c r="B119" s="146" t="s">
        <v>308</v>
      </c>
      <c r="C119" s="149">
        <v>15.174170999999999</v>
      </c>
      <c r="D119" s="149">
        <v>15.925606</v>
      </c>
      <c r="E119" s="149">
        <v>16.613848999999998</v>
      </c>
      <c r="F119" s="149">
        <v>17.08295</v>
      </c>
      <c r="G119" s="149">
        <v>17.307489</v>
      </c>
      <c r="H119" s="149">
        <v>17.964963000000001</v>
      </c>
      <c r="I119" s="149">
        <v>18.265056000000001</v>
      </c>
      <c r="J119" s="149">
        <v>19.104334000000001</v>
      </c>
      <c r="K119" s="149">
        <v>17.660342</v>
      </c>
      <c r="L119" s="149">
        <v>15.219435000000001</v>
      </c>
      <c r="M119" s="149">
        <v>14.509734999999999</v>
      </c>
      <c r="N119" s="149">
        <v>13.642486</v>
      </c>
      <c r="O119" s="149">
        <v>12.65793</v>
      </c>
      <c r="P119" s="149">
        <v>12.643257</v>
      </c>
      <c r="Q119" s="149">
        <v>11.645498999999999</v>
      </c>
      <c r="R119" s="149">
        <v>11.854081000000001</v>
      </c>
      <c r="S119" s="149">
        <v>12.428925</v>
      </c>
      <c r="T119" s="149">
        <v>13.049835</v>
      </c>
      <c r="U119" s="149">
        <v>13.616289999999999</v>
      </c>
      <c r="V119" s="149">
        <v>13.850389</v>
      </c>
      <c r="W119" s="1">
        <v>11.4</v>
      </c>
    </row>
    <row r="120" spans="1:23" x14ac:dyDescent="0.35">
      <c r="A120" s="1" t="s">
        <v>309</v>
      </c>
      <c r="B120" s="146" t="s">
        <v>310</v>
      </c>
      <c r="C120" s="149">
        <v>15.207917</v>
      </c>
      <c r="D120" s="149">
        <v>15.770747</v>
      </c>
      <c r="E120" s="149">
        <v>14.602512000000001</v>
      </c>
      <c r="F120" s="149">
        <v>14.922072999999999</v>
      </c>
      <c r="G120" s="149">
        <v>14.887397999999999</v>
      </c>
      <c r="H120" s="149">
        <v>15.05437</v>
      </c>
      <c r="I120" s="149">
        <v>15.080594</v>
      </c>
      <c r="J120" s="149">
        <v>15.937390000000001</v>
      </c>
      <c r="K120" s="149">
        <v>15.033066</v>
      </c>
      <c r="L120" s="149">
        <v>14.188385</v>
      </c>
      <c r="M120" s="149">
        <v>12.315127</v>
      </c>
      <c r="N120" s="149">
        <v>11.844605</v>
      </c>
      <c r="O120" s="149">
        <v>11.050191999999999</v>
      </c>
      <c r="P120" s="149">
        <v>11.642829000000001</v>
      </c>
      <c r="Q120" s="149">
        <v>12.277013999999999</v>
      </c>
      <c r="R120" s="149">
        <v>13.337477</v>
      </c>
      <c r="S120" s="149">
        <v>12.378685000000001</v>
      </c>
      <c r="T120" s="149">
        <v>12.569179999999999</v>
      </c>
      <c r="U120" s="149">
        <v>11.963148</v>
      </c>
      <c r="V120" s="149">
        <v>12.567174</v>
      </c>
      <c r="W120" s="1">
        <v>11.5</v>
      </c>
    </row>
    <row r="121" spans="1:23" x14ac:dyDescent="0.35">
      <c r="A121" s="1" t="s">
        <v>311</v>
      </c>
      <c r="B121" s="146" t="s">
        <v>312</v>
      </c>
      <c r="C121" s="149">
        <v>85.391503999999998</v>
      </c>
      <c r="D121" s="149">
        <v>88.630094</v>
      </c>
      <c r="E121" s="149">
        <v>88.455128000000002</v>
      </c>
      <c r="F121" s="149">
        <v>87.397408999999996</v>
      </c>
      <c r="G121" s="149">
        <v>89.451554000000002</v>
      </c>
      <c r="H121" s="149">
        <v>91.941700999999995</v>
      </c>
      <c r="I121" s="149">
        <v>94.613219999999998</v>
      </c>
      <c r="J121" s="149">
        <v>98.815579</v>
      </c>
      <c r="K121" s="149">
        <v>99.085008000000002</v>
      </c>
      <c r="L121" s="149">
        <v>94.782062999999994</v>
      </c>
      <c r="M121" s="149">
        <v>94.111052999999998</v>
      </c>
      <c r="N121" s="149">
        <v>93.156074000000004</v>
      </c>
      <c r="O121" s="149">
        <v>88.921546000000006</v>
      </c>
      <c r="P121" s="149">
        <v>88.857812999999993</v>
      </c>
      <c r="Q121" s="149">
        <v>86.193240000000003</v>
      </c>
      <c r="R121" s="149">
        <v>84.313699999999997</v>
      </c>
      <c r="S121" s="149">
        <v>83.562126000000006</v>
      </c>
      <c r="T121" s="149">
        <v>85.084568000000004</v>
      </c>
      <c r="U121" s="149">
        <v>86.167542999999995</v>
      </c>
      <c r="V121" s="149">
        <v>88.290665000000004</v>
      </c>
      <c r="W121" s="1">
        <v>75.8</v>
      </c>
    </row>
    <row r="122" spans="1:23" x14ac:dyDescent="0.35">
      <c r="A122" s="1" t="s">
        <v>313</v>
      </c>
      <c r="B122" s="146" t="s">
        <v>314</v>
      </c>
      <c r="C122" s="149">
        <v>171.396061</v>
      </c>
      <c r="D122" s="149">
        <v>178.03922399999999</v>
      </c>
      <c r="E122" s="149">
        <v>180.91576800000001</v>
      </c>
      <c r="F122" s="149">
        <v>182.402727</v>
      </c>
      <c r="G122" s="149">
        <v>183.624863</v>
      </c>
      <c r="H122" s="149">
        <v>184.189009</v>
      </c>
      <c r="I122" s="149">
        <v>186.79444000000001</v>
      </c>
      <c r="J122" s="149">
        <v>192.82199299999999</v>
      </c>
      <c r="K122" s="149">
        <v>197.99284900000001</v>
      </c>
      <c r="L122" s="149">
        <v>186.68932599999999</v>
      </c>
      <c r="M122" s="149">
        <v>186.60430700000001</v>
      </c>
      <c r="N122" s="149">
        <v>192.73387</v>
      </c>
      <c r="O122" s="149">
        <v>192.943172</v>
      </c>
      <c r="P122" s="149">
        <v>194.75059899999999</v>
      </c>
      <c r="Q122" s="149">
        <v>198.270906</v>
      </c>
      <c r="R122" s="149">
        <v>208.25428199999999</v>
      </c>
      <c r="S122" s="149">
        <v>213.191136</v>
      </c>
      <c r="T122" s="149">
        <v>217.57671199999999</v>
      </c>
      <c r="U122" s="149">
        <v>219.716903</v>
      </c>
      <c r="V122" s="149">
        <v>221.64131</v>
      </c>
      <c r="W122" s="1">
        <v>209.1</v>
      </c>
    </row>
    <row r="123" spans="1:23" x14ac:dyDescent="0.35">
      <c r="A123" s="1" t="s">
        <v>315</v>
      </c>
      <c r="B123" s="146" t="s">
        <v>316</v>
      </c>
      <c r="C123" s="149">
        <v>29.203372999999999</v>
      </c>
      <c r="D123" s="149">
        <v>29.904609000000001</v>
      </c>
      <c r="E123" s="149">
        <v>29.948851999999999</v>
      </c>
      <c r="F123" s="149">
        <v>28.361971</v>
      </c>
      <c r="G123" s="149">
        <v>28.095711000000001</v>
      </c>
      <c r="H123" s="149">
        <v>28.145648000000001</v>
      </c>
      <c r="I123" s="149">
        <v>28.313542999999999</v>
      </c>
      <c r="J123" s="149">
        <v>29.013341</v>
      </c>
      <c r="K123" s="149">
        <v>28.498778000000001</v>
      </c>
      <c r="L123" s="149">
        <v>26.937567000000001</v>
      </c>
      <c r="M123" s="149">
        <v>27.578992</v>
      </c>
      <c r="N123" s="149">
        <v>29.321497999999998</v>
      </c>
      <c r="O123" s="149">
        <v>28.527004000000002</v>
      </c>
      <c r="P123" s="149">
        <v>28.783114000000001</v>
      </c>
      <c r="Q123" s="149">
        <v>28.437884</v>
      </c>
      <c r="R123" s="149">
        <v>25.647694999999999</v>
      </c>
      <c r="S123" s="149">
        <v>28.700997999999998</v>
      </c>
      <c r="T123" s="149">
        <v>26.101271000000001</v>
      </c>
      <c r="U123" s="149">
        <v>26.663219000000002</v>
      </c>
      <c r="V123" s="149">
        <v>27.499234000000001</v>
      </c>
      <c r="W123" s="1">
        <v>24.3</v>
      </c>
    </row>
    <row r="124" spans="1:23" x14ac:dyDescent="0.35">
      <c r="A124" s="1" t="s">
        <v>317</v>
      </c>
      <c r="B124" s="146" t="s">
        <v>318</v>
      </c>
      <c r="C124" s="149">
        <v>90.205083000000002</v>
      </c>
      <c r="D124" s="149">
        <v>93.417383999999998</v>
      </c>
      <c r="E124" s="149">
        <v>94.028747999999993</v>
      </c>
      <c r="F124" s="149">
        <v>96.084774999999993</v>
      </c>
      <c r="G124" s="149">
        <v>95.824399999999997</v>
      </c>
      <c r="H124" s="149">
        <v>97.168408999999997</v>
      </c>
      <c r="I124" s="149">
        <v>100.617542</v>
      </c>
      <c r="J124" s="149">
        <v>104.70624100000001</v>
      </c>
      <c r="K124" s="149">
        <v>110.174149</v>
      </c>
      <c r="L124" s="149">
        <v>99.578639999999993</v>
      </c>
      <c r="M124" s="149">
        <v>88.119512</v>
      </c>
      <c r="N124" s="149">
        <v>86.425252</v>
      </c>
      <c r="O124" s="149">
        <v>88.589676999999995</v>
      </c>
      <c r="P124" s="149">
        <v>89.354827</v>
      </c>
      <c r="Q124" s="149">
        <v>90.693911999999997</v>
      </c>
      <c r="R124" s="149">
        <v>95.808576000000002</v>
      </c>
      <c r="S124" s="149">
        <v>96.027846999999994</v>
      </c>
      <c r="T124" s="149">
        <v>104.19269300000001</v>
      </c>
      <c r="U124" s="149">
        <v>104.43102500000001</v>
      </c>
      <c r="V124" s="149">
        <v>105.39436000000001</v>
      </c>
      <c r="W124" s="1">
        <v>98.5</v>
      </c>
    </row>
    <row r="125" spans="1:23" x14ac:dyDescent="0.35">
      <c r="A125" s="1" t="s">
        <v>319</v>
      </c>
      <c r="B125" s="146" t="s">
        <v>320</v>
      </c>
      <c r="C125" s="149">
        <v>55.897754999999997</v>
      </c>
      <c r="D125" s="149">
        <v>58.581617999999999</v>
      </c>
      <c r="E125" s="149">
        <v>60.557845</v>
      </c>
      <c r="F125" s="149">
        <v>61.316808000000002</v>
      </c>
      <c r="G125" s="149">
        <v>62.784080000000003</v>
      </c>
      <c r="H125" s="149">
        <v>62.167158000000001</v>
      </c>
      <c r="I125" s="149">
        <v>61.591189</v>
      </c>
      <c r="J125" s="149">
        <v>63.106313</v>
      </c>
      <c r="K125" s="149">
        <v>63.863996999999998</v>
      </c>
      <c r="L125" s="149">
        <v>63.360446000000003</v>
      </c>
      <c r="M125" s="149">
        <v>71.353615000000005</v>
      </c>
      <c r="N125" s="149">
        <v>77.058875</v>
      </c>
      <c r="O125" s="149">
        <v>75.875298999999998</v>
      </c>
      <c r="P125" s="149">
        <v>76.659138999999996</v>
      </c>
      <c r="Q125" s="149">
        <v>79.139110000000002</v>
      </c>
      <c r="R125" s="149">
        <v>86.798011000000002</v>
      </c>
      <c r="S125" s="149">
        <v>88.222932</v>
      </c>
      <c r="T125" s="149">
        <v>87.498583999999994</v>
      </c>
      <c r="U125" s="149">
        <v>88.733746999999994</v>
      </c>
      <c r="V125" s="149">
        <v>88.737717000000004</v>
      </c>
      <c r="W125" s="1">
        <v>86.6</v>
      </c>
    </row>
    <row r="126" spans="1:23" x14ac:dyDescent="0.35">
      <c r="A126" s="1" t="s">
        <v>321</v>
      </c>
      <c r="B126" s="146" t="s">
        <v>322</v>
      </c>
      <c r="C126" s="149">
        <v>74.157089999999997</v>
      </c>
      <c r="D126" s="149">
        <v>73.977934000000005</v>
      </c>
      <c r="E126" s="149">
        <v>75.008655000000005</v>
      </c>
      <c r="F126" s="149">
        <v>74.949951999999996</v>
      </c>
      <c r="G126" s="149">
        <v>78.468664000000004</v>
      </c>
      <c r="H126" s="149">
        <v>80.725566000000001</v>
      </c>
      <c r="I126" s="149">
        <v>83.277325000000005</v>
      </c>
      <c r="J126" s="149">
        <v>85.965557000000004</v>
      </c>
      <c r="K126" s="149">
        <v>85.510874000000001</v>
      </c>
      <c r="L126" s="149">
        <v>80.593101000000004</v>
      </c>
      <c r="M126" s="149">
        <v>86.680441999999999</v>
      </c>
      <c r="N126" s="149">
        <v>88.568935999999994</v>
      </c>
      <c r="O126" s="149">
        <v>89.679914999999994</v>
      </c>
      <c r="P126" s="149">
        <v>87.568494999999999</v>
      </c>
      <c r="Q126" s="149">
        <v>87.696288999999993</v>
      </c>
      <c r="R126" s="149">
        <v>85.025486000000001</v>
      </c>
      <c r="S126" s="149">
        <v>86.508730999999997</v>
      </c>
      <c r="T126" s="149">
        <v>88.749098000000004</v>
      </c>
      <c r="U126" s="149">
        <v>86.409052000000003</v>
      </c>
      <c r="V126" s="149">
        <v>89.755247999999995</v>
      </c>
      <c r="W126" s="1">
        <v>75.400000000000006</v>
      </c>
    </row>
    <row r="127" spans="1:23" x14ac:dyDescent="0.35">
      <c r="A127" s="1" t="s">
        <v>323</v>
      </c>
      <c r="B127" s="146" t="s">
        <v>324</v>
      </c>
      <c r="C127" s="149">
        <v>32.767749999999999</v>
      </c>
      <c r="D127" s="149">
        <v>33.538136999999999</v>
      </c>
      <c r="E127" s="149">
        <v>34.058219000000001</v>
      </c>
      <c r="F127" s="149">
        <v>34.317661999999999</v>
      </c>
      <c r="G127" s="149">
        <v>35.888402999999997</v>
      </c>
      <c r="H127" s="149">
        <v>37.114021000000001</v>
      </c>
      <c r="I127" s="149">
        <v>38.569423999999998</v>
      </c>
      <c r="J127" s="149">
        <v>39.930532999999997</v>
      </c>
      <c r="K127" s="149">
        <v>39.727345999999997</v>
      </c>
      <c r="L127" s="149">
        <v>37.942093999999997</v>
      </c>
      <c r="M127" s="149">
        <v>39.422035000000001</v>
      </c>
      <c r="N127" s="149">
        <v>40.650064</v>
      </c>
      <c r="O127" s="149">
        <v>41.839663000000002</v>
      </c>
      <c r="P127" s="149">
        <v>41.778827</v>
      </c>
      <c r="Q127" s="149">
        <v>41.428558000000002</v>
      </c>
      <c r="R127" s="149">
        <v>40.731569</v>
      </c>
      <c r="S127" s="149">
        <v>41.295005000000003</v>
      </c>
      <c r="T127" s="149">
        <v>42.207416000000002</v>
      </c>
      <c r="U127" s="149">
        <v>41.528517999999998</v>
      </c>
      <c r="V127" s="149">
        <v>43.493702999999996</v>
      </c>
      <c r="W127" s="1">
        <v>36.5</v>
      </c>
    </row>
    <row r="128" spans="1:23" x14ac:dyDescent="0.35">
      <c r="A128" s="1" t="s">
        <v>325</v>
      </c>
      <c r="B128" s="146" t="s">
        <v>326</v>
      </c>
      <c r="C128" s="149">
        <v>0.48627599999999999</v>
      </c>
      <c r="D128" s="149">
        <v>0.53817899999999996</v>
      </c>
      <c r="E128" s="149">
        <v>0.53498900000000005</v>
      </c>
      <c r="F128" s="149">
        <v>0.59182000000000001</v>
      </c>
      <c r="G128" s="149">
        <v>0.61446299999999998</v>
      </c>
      <c r="H128" s="149">
        <v>0.56724699999999995</v>
      </c>
      <c r="I128" s="149">
        <v>0.40984300000000001</v>
      </c>
      <c r="J128" s="149">
        <v>0.43836199999999997</v>
      </c>
      <c r="K128" s="149">
        <v>0.47567300000000001</v>
      </c>
      <c r="L128" s="149">
        <v>0.18660199999999999</v>
      </c>
      <c r="M128" s="149">
        <v>0.76783199999999996</v>
      </c>
      <c r="N128" s="149">
        <v>0.571461</v>
      </c>
      <c r="O128" s="149">
        <v>1.4182680000000001</v>
      </c>
      <c r="P128" s="149">
        <v>1.450483</v>
      </c>
      <c r="Q128" s="149">
        <v>2.0325980000000001</v>
      </c>
      <c r="R128" s="149">
        <v>1.8852640000000001</v>
      </c>
      <c r="S128" s="149">
        <v>2.325971</v>
      </c>
      <c r="T128" s="149">
        <v>2.4612560000000001</v>
      </c>
      <c r="U128" s="149">
        <v>2.323753</v>
      </c>
      <c r="V128" s="149">
        <v>2.8332410000000001</v>
      </c>
      <c r="W128" s="1">
        <v>3.7</v>
      </c>
    </row>
    <row r="129" spans="1:23" x14ac:dyDescent="0.35">
      <c r="A129" s="1" t="s">
        <v>327</v>
      </c>
      <c r="B129" s="146" t="s">
        <v>328</v>
      </c>
      <c r="C129" s="149">
        <v>3.3178860000000001</v>
      </c>
      <c r="D129" s="149">
        <v>2.8986510000000001</v>
      </c>
      <c r="E129" s="149">
        <v>3.177934</v>
      </c>
      <c r="F129" s="149">
        <v>3.2046960000000002</v>
      </c>
      <c r="G129" s="149">
        <v>3.8087070000000001</v>
      </c>
      <c r="H129" s="149">
        <v>4.1210659999999999</v>
      </c>
      <c r="I129" s="149">
        <v>4.6702789999999998</v>
      </c>
      <c r="J129" s="149">
        <v>4.9469370000000001</v>
      </c>
      <c r="K129" s="149">
        <v>5.0310040000000003</v>
      </c>
      <c r="L129" s="149">
        <v>4.0788120000000001</v>
      </c>
      <c r="M129" s="149">
        <v>5.6668500000000002</v>
      </c>
      <c r="N129" s="149">
        <v>6.1493669999999998</v>
      </c>
      <c r="O129" s="149">
        <v>6.583094</v>
      </c>
      <c r="P129" s="149">
        <v>6.6329279999999997</v>
      </c>
      <c r="Q129" s="149">
        <v>6.226737</v>
      </c>
      <c r="R129" s="149">
        <v>5.8078060000000002</v>
      </c>
      <c r="S129" s="149">
        <v>6.0255840000000003</v>
      </c>
      <c r="T129" s="149">
        <v>6.3737969999999997</v>
      </c>
      <c r="U129" s="149">
        <v>6.547892</v>
      </c>
      <c r="V129" s="149">
        <v>7.1698659999999999</v>
      </c>
      <c r="W129" s="1">
        <v>3.4</v>
      </c>
    </row>
    <row r="130" spans="1:23" x14ac:dyDescent="0.35">
      <c r="A130" s="1" t="s">
        <v>329</v>
      </c>
      <c r="B130" s="146" t="s">
        <v>330</v>
      </c>
      <c r="C130" s="149">
        <v>26.937643000000001</v>
      </c>
      <c r="D130" s="149">
        <v>26.045017000000001</v>
      </c>
      <c r="E130" s="149">
        <v>26.355696999999999</v>
      </c>
      <c r="F130" s="149">
        <v>26.194223000000001</v>
      </c>
      <c r="G130" s="149">
        <v>27.334163</v>
      </c>
      <c r="H130" s="149">
        <v>28.246468</v>
      </c>
      <c r="I130" s="149">
        <v>29.186779999999999</v>
      </c>
      <c r="J130" s="149">
        <v>30.081075999999999</v>
      </c>
      <c r="K130" s="149">
        <v>29.817775999999999</v>
      </c>
      <c r="L130" s="149">
        <v>29.020966000000001</v>
      </c>
      <c r="M130" s="149">
        <v>31.150596</v>
      </c>
      <c r="N130" s="149">
        <v>32.358949000000003</v>
      </c>
      <c r="O130" s="149">
        <v>30.885111999999999</v>
      </c>
      <c r="P130" s="149">
        <v>29.469318000000001</v>
      </c>
      <c r="Q130" s="149">
        <v>29.941103999999999</v>
      </c>
      <c r="R130" s="149">
        <v>29.342269000000002</v>
      </c>
      <c r="S130" s="149">
        <v>29.978853999999998</v>
      </c>
      <c r="T130" s="149">
        <v>31.075192000000001</v>
      </c>
      <c r="U130" s="149">
        <v>30.393274999999999</v>
      </c>
      <c r="V130" s="149">
        <v>31.190812000000001</v>
      </c>
      <c r="W130" s="1">
        <v>27.7</v>
      </c>
    </row>
    <row r="131" spans="1:23" x14ac:dyDescent="0.35">
      <c r="A131" s="1" t="s">
        <v>331</v>
      </c>
      <c r="B131" s="146" t="s">
        <v>332</v>
      </c>
      <c r="C131" s="149">
        <v>11.496486000000001</v>
      </c>
      <c r="D131" s="149">
        <v>11.589031</v>
      </c>
      <c r="E131" s="149">
        <v>11.487143</v>
      </c>
      <c r="F131" s="149">
        <v>11.14167</v>
      </c>
      <c r="G131" s="149">
        <v>11.214555000000001</v>
      </c>
      <c r="H131" s="149">
        <v>11.085901</v>
      </c>
      <c r="I131" s="149">
        <v>11.066409</v>
      </c>
      <c r="J131" s="149">
        <v>11.143038000000001</v>
      </c>
      <c r="K131" s="149">
        <v>10.930925</v>
      </c>
      <c r="L131" s="149">
        <v>10.477145</v>
      </c>
      <c r="M131" s="149">
        <v>9.8284870000000009</v>
      </c>
      <c r="N131" s="149">
        <v>9.4116569999999999</v>
      </c>
      <c r="O131" s="149">
        <v>9.0877820000000007</v>
      </c>
      <c r="P131" s="149">
        <v>8.3461269999999992</v>
      </c>
      <c r="Q131" s="149">
        <v>8.0672929999999994</v>
      </c>
      <c r="R131" s="149">
        <v>7.258578</v>
      </c>
      <c r="S131" s="149">
        <v>6.8589099999999998</v>
      </c>
      <c r="T131" s="149">
        <v>6.6617550000000003</v>
      </c>
      <c r="U131" s="149">
        <v>5.705673</v>
      </c>
      <c r="V131" s="149">
        <v>5.495851</v>
      </c>
      <c r="W131" s="1">
        <v>5.2</v>
      </c>
    </row>
    <row r="132" spans="1:23" x14ac:dyDescent="0.35">
      <c r="A132" s="1" t="s">
        <v>333</v>
      </c>
      <c r="B132" s="146" t="s">
        <v>334</v>
      </c>
      <c r="C132" s="149">
        <v>45.635714999999998</v>
      </c>
      <c r="D132" s="149">
        <v>46.779704000000002</v>
      </c>
      <c r="E132" s="149">
        <v>45.369385999999999</v>
      </c>
      <c r="F132" s="149">
        <v>45.165066000000003</v>
      </c>
      <c r="G132" s="149">
        <v>44.852884000000003</v>
      </c>
      <c r="H132" s="149">
        <v>45.738351999999999</v>
      </c>
      <c r="I132" s="149">
        <v>46.484977999999998</v>
      </c>
      <c r="J132" s="149">
        <v>47.918776999999999</v>
      </c>
      <c r="K132" s="149">
        <v>48.023831000000001</v>
      </c>
      <c r="L132" s="149">
        <v>47.010202</v>
      </c>
      <c r="M132" s="149">
        <v>48.664200999999998</v>
      </c>
      <c r="N132" s="149">
        <v>51.290877000000002</v>
      </c>
      <c r="O132" s="149">
        <v>51.133006000000002</v>
      </c>
      <c r="P132" s="149">
        <v>51.460731000000003</v>
      </c>
      <c r="Q132" s="149">
        <v>50.898366000000003</v>
      </c>
      <c r="R132" s="149">
        <v>50.749037999999999</v>
      </c>
      <c r="S132" s="149">
        <v>51.532573999999997</v>
      </c>
      <c r="T132" s="149">
        <v>52.221138000000003</v>
      </c>
      <c r="U132" s="149">
        <v>53.183914000000001</v>
      </c>
      <c r="V132" s="149">
        <v>56.056249999999999</v>
      </c>
      <c r="W132" s="1">
        <v>36.1</v>
      </c>
    </row>
    <row r="133" spans="1:23" x14ac:dyDescent="0.35">
      <c r="A133" s="1" t="s">
        <v>335</v>
      </c>
      <c r="B133" s="146" t="s">
        <v>336</v>
      </c>
      <c r="C133" s="149">
        <v>11.613199</v>
      </c>
      <c r="D133" s="149">
        <v>11.906779</v>
      </c>
      <c r="E133" s="149">
        <v>11.542452000000001</v>
      </c>
      <c r="F133" s="149">
        <v>11.490912</v>
      </c>
      <c r="G133" s="149">
        <v>11.401819</v>
      </c>
      <c r="H133" s="149">
        <v>11.621002000000001</v>
      </c>
      <c r="I133" s="149">
        <v>11.808489</v>
      </c>
      <c r="J133" s="149">
        <v>12.15348</v>
      </c>
      <c r="K133" s="149">
        <v>12.568599000000001</v>
      </c>
      <c r="L133" s="149">
        <v>11.045052</v>
      </c>
      <c r="M133" s="149">
        <v>11.225693</v>
      </c>
      <c r="N133" s="149">
        <v>11.860568000000001</v>
      </c>
      <c r="O133" s="149">
        <v>11.496904000000001</v>
      </c>
      <c r="P133" s="149">
        <v>11.97242</v>
      </c>
      <c r="Q133" s="149">
        <v>11.72479</v>
      </c>
      <c r="R133" s="149">
        <v>11.665031000000001</v>
      </c>
      <c r="S133" s="149">
        <v>11.860733</v>
      </c>
      <c r="T133" s="149">
        <v>12.155056</v>
      </c>
      <c r="U133" s="149">
        <v>12.049417999999999</v>
      </c>
      <c r="V133" s="149">
        <v>12.314908000000001</v>
      </c>
      <c r="W133" s="1">
        <v>6.9</v>
      </c>
    </row>
    <row r="134" spans="1:23" x14ac:dyDescent="0.35">
      <c r="A134" s="1" t="s">
        <v>337</v>
      </c>
      <c r="B134" s="146" t="s">
        <v>338</v>
      </c>
      <c r="C134" s="149">
        <v>34.049872000000001</v>
      </c>
      <c r="D134" s="149">
        <v>34.901010999999997</v>
      </c>
      <c r="E134" s="149">
        <v>33.853962000000003</v>
      </c>
      <c r="F134" s="149">
        <v>33.701031</v>
      </c>
      <c r="G134" s="149">
        <v>33.477350000000001</v>
      </c>
      <c r="H134" s="149">
        <v>34.143968999999998</v>
      </c>
      <c r="I134" s="149">
        <v>34.703417000000002</v>
      </c>
      <c r="J134" s="149">
        <v>35.792231000000001</v>
      </c>
      <c r="K134" s="149">
        <v>35.497824999999999</v>
      </c>
      <c r="L134" s="149">
        <v>35.964789000000003</v>
      </c>
      <c r="M134" s="149">
        <v>37.434950999999998</v>
      </c>
      <c r="N134" s="149">
        <v>39.426912000000002</v>
      </c>
      <c r="O134" s="149">
        <v>39.636964999999996</v>
      </c>
      <c r="P134" s="149">
        <v>39.489023000000003</v>
      </c>
      <c r="Q134" s="149">
        <v>39.173575999999997</v>
      </c>
      <c r="R134" s="149">
        <v>39.084006000000002</v>
      </c>
      <c r="S134" s="149">
        <v>39.671298</v>
      </c>
      <c r="T134" s="149">
        <v>40.060183000000002</v>
      </c>
      <c r="U134" s="149">
        <v>41.151103999999997</v>
      </c>
      <c r="V134" s="149">
        <v>43.808540999999998</v>
      </c>
      <c r="W134" s="1">
        <v>29.3</v>
      </c>
    </row>
    <row r="135" spans="1:23" x14ac:dyDescent="0.35">
      <c r="A135" s="1" t="s">
        <v>184</v>
      </c>
      <c r="B135" s="146" t="s">
        <v>339</v>
      </c>
      <c r="C135" s="149">
        <v>19.383137999999999</v>
      </c>
      <c r="D135" s="149">
        <v>19.889327000000002</v>
      </c>
      <c r="E135" s="149">
        <v>19.806692000000002</v>
      </c>
      <c r="F135" s="149">
        <v>20.317522</v>
      </c>
      <c r="G135" s="149">
        <v>21.897606</v>
      </c>
      <c r="H135" s="149">
        <v>22.440643000000001</v>
      </c>
      <c r="I135" s="149">
        <v>23.190992999999999</v>
      </c>
      <c r="J135" s="149">
        <v>24.019515999999999</v>
      </c>
      <c r="K135" s="149">
        <v>23.673562</v>
      </c>
      <c r="L135" s="149">
        <v>21.876767000000001</v>
      </c>
      <c r="M135" s="149">
        <v>22.751301999999999</v>
      </c>
      <c r="N135" s="149">
        <v>24.045839999999998</v>
      </c>
      <c r="O135" s="149">
        <v>23.243867999999999</v>
      </c>
      <c r="P135" s="149">
        <v>22.837195000000001</v>
      </c>
      <c r="Q135" s="149">
        <v>23.408149999999999</v>
      </c>
      <c r="R135" s="149">
        <v>23.429345000000001</v>
      </c>
      <c r="S135" s="149">
        <v>23.811530000000001</v>
      </c>
      <c r="T135" s="149">
        <v>25.365144000000001</v>
      </c>
      <c r="U135" s="149">
        <v>26.043462999999999</v>
      </c>
      <c r="V135" s="149">
        <v>26.845939999999999</v>
      </c>
      <c r="W135" s="1">
        <v>25.5</v>
      </c>
    </row>
    <row r="136" spans="1:23" x14ac:dyDescent="0.35">
      <c r="A136" s="1" t="s">
        <v>340</v>
      </c>
      <c r="B136" s="146" t="s">
        <v>341</v>
      </c>
      <c r="C136" s="149">
        <v>11.067078</v>
      </c>
      <c r="D136" s="149">
        <v>11.32921</v>
      </c>
      <c r="E136" s="149">
        <v>11.265905</v>
      </c>
      <c r="F136" s="149">
        <v>11.588995000000001</v>
      </c>
      <c r="G136" s="149">
        <v>12.160116</v>
      </c>
      <c r="H136" s="149">
        <v>12.348278000000001</v>
      </c>
      <c r="I136" s="149">
        <v>13.250551</v>
      </c>
      <c r="J136" s="149">
        <v>13.682243</v>
      </c>
      <c r="K136" s="149">
        <v>13.684754999999999</v>
      </c>
      <c r="L136" s="149">
        <v>11.992981</v>
      </c>
      <c r="M136" s="149">
        <v>12.357602999999999</v>
      </c>
      <c r="N136" s="149">
        <v>12.505020999999999</v>
      </c>
      <c r="O136" s="149">
        <v>12.301085</v>
      </c>
      <c r="P136" s="149">
        <v>12.173463999999999</v>
      </c>
      <c r="Q136" s="149">
        <v>12.382153000000001</v>
      </c>
      <c r="R136" s="149">
        <v>12.339679</v>
      </c>
      <c r="S136" s="149">
        <v>12.478009999999999</v>
      </c>
      <c r="T136" s="149">
        <v>13.77492</v>
      </c>
      <c r="U136" s="149">
        <v>13.902497</v>
      </c>
      <c r="V136" s="149">
        <v>14.385208</v>
      </c>
      <c r="W136" s="1">
        <v>13.7</v>
      </c>
    </row>
    <row r="137" spans="1:23" x14ac:dyDescent="0.35">
      <c r="A137" s="1" t="s">
        <v>342</v>
      </c>
      <c r="B137" s="146" t="s">
        <v>343</v>
      </c>
      <c r="C137" s="149">
        <v>5.5750080000000004</v>
      </c>
      <c r="D137" s="149">
        <v>5.725962</v>
      </c>
      <c r="E137" s="149">
        <v>5.708183</v>
      </c>
      <c r="F137" s="149">
        <v>5.8257029999999999</v>
      </c>
      <c r="G137" s="149">
        <v>6.4433429999999996</v>
      </c>
      <c r="H137" s="149">
        <v>6.6597249999999999</v>
      </c>
      <c r="I137" s="149">
        <v>6.6012009999999997</v>
      </c>
      <c r="J137" s="149">
        <v>6.8540169999999998</v>
      </c>
      <c r="K137" s="149">
        <v>6.619599</v>
      </c>
      <c r="L137" s="149">
        <v>6.5782160000000003</v>
      </c>
      <c r="M137" s="149">
        <v>6.7247779999999997</v>
      </c>
      <c r="N137" s="149">
        <v>7.3810000000000002</v>
      </c>
      <c r="O137" s="149">
        <v>7.2322959999999998</v>
      </c>
      <c r="P137" s="149">
        <v>6.9753920000000003</v>
      </c>
      <c r="Q137" s="149">
        <v>7.0598799999999997</v>
      </c>
      <c r="R137" s="149">
        <v>7.2781099999999999</v>
      </c>
      <c r="S137" s="149">
        <v>7.3717119999999996</v>
      </c>
      <c r="T137" s="149">
        <v>7.6906910000000002</v>
      </c>
      <c r="U137" s="149">
        <v>7.7613279999999998</v>
      </c>
      <c r="V137" s="149">
        <v>7.9962590000000002</v>
      </c>
      <c r="W137" s="1">
        <v>7</v>
      </c>
    </row>
    <row r="138" spans="1:23" x14ac:dyDescent="0.35">
      <c r="A138" s="1" t="s">
        <v>344</v>
      </c>
      <c r="B138" s="146" t="s">
        <v>345</v>
      </c>
      <c r="C138" s="149">
        <v>2.8397999999999999</v>
      </c>
      <c r="D138" s="149">
        <v>2.9356559999999998</v>
      </c>
      <c r="E138" s="149">
        <v>2.9333309999999999</v>
      </c>
      <c r="F138" s="149">
        <v>3.0090870000000001</v>
      </c>
      <c r="G138" s="149">
        <v>3.3583059999999998</v>
      </c>
      <c r="H138" s="149">
        <v>3.4839639999999998</v>
      </c>
      <c r="I138" s="149">
        <v>3.4399540000000002</v>
      </c>
      <c r="J138" s="149">
        <v>3.5830730000000002</v>
      </c>
      <c r="K138" s="149">
        <v>3.48516</v>
      </c>
      <c r="L138" s="149">
        <v>3.3509000000000002</v>
      </c>
      <c r="M138" s="149">
        <v>3.705047</v>
      </c>
      <c r="N138" s="149">
        <v>4.1740380000000004</v>
      </c>
      <c r="O138" s="149">
        <v>3.7239230000000001</v>
      </c>
      <c r="P138" s="149">
        <v>3.7017720000000001</v>
      </c>
      <c r="Q138" s="149">
        <v>3.9661170000000001</v>
      </c>
      <c r="R138" s="149">
        <v>3.8115559999999999</v>
      </c>
      <c r="S138" s="149">
        <v>3.9532259999999999</v>
      </c>
      <c r="T138" s="149">
        <v>3.9085160000000001</v>
      </c>
      <c r="U138" s="149">
        <v>4.3359740000000002</v>
      </c>
      <c r="V138" s="149">
        <v>4.4208689999999997</v>
      </c>
      <c r="W138" s="1">
        <v>4.7</v>
      </c>
    </row>
    <row r="139" spans="1:23" x14ac:dyDescent="0.35">
      <c r="A139" s="1" t="s">
        <v>186</v>
      </c>
      <c r="B139" s="146" t="s">
        <v>346</v>
      </c>
      <c r="C139" s="149">
        <v>9.008286</v>
      </c>
      <c r="D139" s="149">
        <v>10.810107</v>
      </c>
      <c r="E139" s="149">
        <v>13.617540999999999</v>
      </c>
      <c r="F139" s="149">
        <v>13.938879</v>
      </c>
      <c r="G139" s="149">
        <v>15.007693</v>
      </c>
      <c r="H139" s="149">
        <v>15.022373999999999</v>
      </c>
      <c r="I139" s="149">
        <v>17.099734999999999</v>
      </c>
      <c r="J139" s="149">
        <v>17.901907000000001</v>
      </c>
      <c r="K139" s="149">
        <v>18.385791999999999</v>
      </c>
      <c r="L139" s="149">
        <v>17.932514000000001</v>
      </c>
      <c r="M139" s="149">
        <v>18.637521</v>
      </c>
      <c r="N139" s="149">
        <v>20.962475999999999</v>
      </c>
      <c r="O139" s="149">
        <v>23.168897999999999</v>
      </c>
      <c r="P139" s="149">
        <v>23.219666</v>
      </c>
      <c r="Q139" s="149">
        <v>24.141013999999998</v>
      </c>
      <c r="R139" s="149">
        <v>25.387605000000001</v>
      </c>
      <c r="S139" s="149">
        <v>24.902417</v>
      </c>
      <c r="T139" s="149">
        <v>26.110399999999998</v>
      </c>
      <c r="U139" s="149">
        <v>27.289002</v>
      </c>
      <c r="V139" s="149">
        <v>28.413038</v>
      </c>
      <c r="W139" s="1">
        <v>28.4</v>
      </c>
    </row>
    <row r="140" spans="1:23" x14ac:dyDescent="0.35">
      <c r="A140" s="1" t="s">
        <v>188</v>
      </c>
      <c r="B140" s="146" t="s">
        <v>347</v>
      </c>
      <c r="C140" s="149">
        <v>28.864281999999999</v>
      </c>
      <c r="D140" s="149">
        <v>29.842191</v>
      </c>
      <c r="E140" s="149">
        <v>29.690265</v>
      </c>
      <c r="F140" s="149">
        <v>31.339994000000001</v>
      </c>
      <c r="G140" s="149">
        <v>33.594562000000003</v>
      </c>
      <c r="H140" s="149">
        <v>34.078470000000003</v>
      </c>
      <c r="I140" s="149">
        <v>36.959558000000001</v>
      </c>
      <c r="J140" s="149">
        <v>39.130225000000003</v>
      </c>
      <c r="K140" s="149">
        <v>41.676504000000001</v>
      </c>
      <c r="L140" s="149">
        <v>40.287551999999998</v>
      </c>
      <c r="M140" s="149">
        <v>41.717910000000003</v>
      </c>
      <c r="N140" s="149">
        <v>42.608907000000002</v>
      </c>
      <c r="O140" s="149">
        <v>44.678975000000001</v>
      </c>
      <c r="P140" s="149">
        <v>44.511212999999998</v>
      </c>
      <c r="Q140" s="149">
        <v>46.826785000000001</v>
      </c>
      <c r="R140" s="149">
        <v>49.136339</v>
      </c>
      <c r="S140" s="149">
        <v>52.227702999999998</v>
      </c>
      <c r="T140" s="149">
        <v>55.573903999999999</v>
      </c>
      <c r="U140" s="149">
        <v>59.667560000000002</v>
      </c>
      <c r="V140" s="149">
        <v>63.189658000000001</v>
      </c>
      <c r="W140" s="1">
        <v>64.3</v>
      </c>
    </row>
    <row r="141" spans="1:23" x14ac:dyDescent="0.35">
      <c r="A141" s="1" t="s">
        <v>348</v>
      </c>
      <c r="B141" s="146" t="s">
        <v>349</v>
      </c>
      <c r="C141" s="149">
        <v>25.739172</v>
      </c>
      <c r="D141" s="149">
        <v>26.562404000000001</v>
      </c>
      <c r="E141" s="149">
        <v>26.374244000000001</v>
      </c>
      <c r="F141" s="149">
        <v>27.867350999999999</v>
      </c>
      <c r="G141" s="149">
        <v>29.963574999999999</v>
      </c>
      <c r="H141" s="149">
        <v>30.377065000000002</v>
      </c>
      <c r="I141" s="149">
        <v>33.065153000000002</v>
      </c>
      <c r="J141" s="149">
        <v>35.068491999999999</v>
      </c>
      <c r="K141" s="149">
        <v>36.898130000000002</v>
      </c>
      <c r="L141" s="149">
        <v>35.304102999999998</v>
      </c>
      <c r="M141" s="149">
        <v>36.854163</v>
      </c>
      <c r="N141" s="149">
        <v>37.582166000000001</v>
      </c>
      <c r="O141" s="149">
        <v>39.095080000000003</v>
      </c>
      <c r="P141" s="149">
        <v>38.777003999999998</v>
      </c>
      <c r="Q141" s="149">
        <v>40.914856999999998</v>
      </c>
      <c r="R141" s="149">
        <v>43.021267000000002</v>
      </c>
      <c r="S141" s="149">
        <v>45.618749999999999</v>
      </c>
      <c r="T141" s="149">
        <v>48.494861</v>
      </c>
      <c r="U141" s="149">
        <v>51.826712999999998</v>
      </c>
      <c r="V141" s="149">
        <v>54.745204999999999</v>
      </c>
      <c r="W141" s="1">
        <v>55.2</v>
      </c>
    </row>
    <row r="142" spans="1:23" x14ac:dyDescent="0.35">
      <c r="A142" s="1" t="s">
        <v>350</v>
      </c>
      <c r="B142" s="146" t="s">
        <v>351</v>
      </c>
      <c r="C142" s="149">
        <v>3.1900230000000001</v>
      </c>
      <c r="D142" s="149">
        <v>3.3389060000000002</v>
      </c>
      <c r="E142" s="149">
        <v>3.3675079999999999</v>
      </c>
      <c r="F142" s="149">
        <v>3.5313690000000002</v>
      </c>
      <c r="G142" s="149">
        <v>3.7105980000000001</v>
      </c>
      <c r="H142" s="149">
        <v>3.7784759999999999</v>
      </c>
      <c r="I142" s="149">
        <v>4.0020870000000004</v>
      </c>
      <c r="J142" s="149">
        <v>4.1884410000000001</v>
      </c>
      <c r="K142" s="149">
        <v>4.8147890000000002</v>
      </c>
      <c r="L142" s="149">
        <v>4.964486</v>
      </c>
      <c r="M142" s="149">
        <v>4.8761900000000002</v>
      </c>
      <c r="N142" s="149">
        <v>5.036619</v>
      </c>
      <c r="O142" s="149">
        <v>5.5891710000000003</v>
      </c>
      <c r="P142" s="149">
        <v>5.7368430000000004</v>
      </c>
      <c r="Q142" s="149">
        <v>5.9119279999999996</v>
      </c>
      <c r="R142" s="149">
        <v>6.1150719999999996</v>
      </c>
      <c r="S142" s="149">
        <v>6.6088550000000001</v>
      </c>
      <c r="T142" s="149">
        <v>7.0792570000000001</v>
      </c>
      <c r="U142" s="149">
        <v>7.8456849999999996</v>
      </c>
      <c r="V142" s="149">
        <v>8.4528280000000002</v>
      </c>
      <c r="W142" s="1">
        <v>9.1</v>
      </c>
    </row>
    <row r="143" spans="1:23" x14ac:dyDescent="0.35">
      <c r="A143" s="1" t="s">
        <v>352</v>
      </c>
      <c r="B143" s="146" t="s">
        <v>353</v>
      </c>
      <c r="C143" s="149">
        <v>62.867635</v>
      </c>
      <c r="D143" s="149">
        <v>61.420192</v>
      </c>
      <c r="E143" s="149">
        <v>63.902166000000001</v>
      </c>
      <c r="F143" s="149">
        <v>64.976066000000003</v>
      </c>
      <c r="G143" s="149">
        <v>68.616924999999995</v>
      </c>
      <c r="H143" s="149">
        <v>68.926472000000004</v>
      </c>
      <c r="I143" s="149">
        <v>67.465114</v>
      </c>
      <c r="J143" s="149">
        <v>72.481975000000006</v>
      </c>
      <c r="K143" s="149">
        <v>73.459596000000005</v>
      </c>
      <c r="L143" s="149">
        <v>78.393345999999994</v>
      </c>
      <c r="M143" s="149">
        <v>78.692791</v>
      </c>
      <c r="N143" s="149">
        <v>83.877673999999999</v>
      </c>
      <c r="O143" s="149">
        <v>85.825520999999995</v>
      </c>
      <c r="P143" s="149">
        <v>85.828542999999996</v>
      </c>
      <c r="Q143" s="149">
        <v>86.922708</v>
      </c>
      <c r="R143" s="149">
        <v>87.092391000000006</v>
      </c>
      <c r="S143" s="149">
        <v>86.822427000000005</v>
      </c>
      <c r="T143" s="149">
        <v>87.271518999999998</v>
      </c>
      <c r="U143" s="149">
        <v>93.555757999999997</v>
      </c>
      <c r="V143" s="149">
        <v>95.154634999999999</v>
      </c>
      <c r="W143" s="1">
        <v>91.3</v>
      </c>
    </row>
    <row r="144" spans="1:23" x14ac:dyDescent="0.35">
      <c r="A144" s="1" t="s">
        <v>354</v>
      </c>
      <c r="B144" s="146" t="s">
        <v>355</v>
      </c>
      <c r="C144" s="149">
        <v>42.843302000000001</v>
      </c>
      <c r="D144" s="149">
        <v>44.039982000000002</v>
      </c>
      <c r="E144" s="149">
        <v>42.506005000000002</v>
      </c>
      <c r="F144" s="149">
        <v>42.884742000000003</v>
      </c>
      <c r="G144" s="149">
        <v>44.270245000000003</v>
      </c>
      <c r="H144" s="149">
        <v>44.190961000000001</v>
      </c>
      <c r="I144" s="149">
        <v>46.940455999999998</v>
      </c>
      <c r="J144" s="149">
        <v>52.213738999999997</v>
      </c>
      <c r="K144" s="149">
        <v>53.228923000000002</v>
      </c>
      <c r="L144" s="149">
        <v>52.901221999999997</v>
      </c>
      <c r="M144" s="149">
        <v>53.981408000000002</v>
      </c>
      <c r="N144" s="149">
        <v>56.850161</v>
      </c>
      <c r="O144" s="149">
        <v>58.670726999999999</v>
      </c>
      <c r="P144" s="149">
        <v>58.957723000000001</v>
      </c>
      <c r="Q144" s="149">
        <v>60.045000000000002</v>
      </c>
      <c r="R144" s="149">
        <v>60.197764999999997</v>
      </c>
      <c r="S144" s="149">
        <v>61.401549000000003</v>
      </c>
      <c r="T144" s="149">
        <v>61.862575999999997</v>
      </c>
      <c r="U144" s="149">
        <v>66.551271</v>
      </c>
      <c r="V144" s="149">
        <v>67.935648</v>
      </c>
      <c r="W144" s="1">
        <v>68.2</v>
      </c>
    </row>
    <row r="145" spans="1:23" x14ac:dyDescent="0.35">
      <c r="A145" s="1" t="s">
        <v>356</v>
      </c>
      <c r="B145" s="146" t="s">
        <v>357</v>
      </c>
      <c r="C145" s="149">
        <v>8.7463890000000006</v>
      </c>
      <c r="D145" s="149">
        <v>5.5638019999999999</v>
      </c>
      <c r="E145" s="149">
        <v>8.8757450000000002</v>
      </c>
      <c r="F145" s="149">
        <v>8.5736799999999995</v>
      </c>
      <c r="G145" s="149">
        <v>9.8279960000000006</v>
      </c>
      <c r="H145" s="149">
        <v>9.7816410000000005</v>
      </c>
      <c r="I145" s="149">
        <v>6.9837540000000002</v>
      </c>
      <c r="J145" s="149">
        <v>7.2303959999999998</v>
      </c>
      <c r="K145" s="149">
        <v>7.9039130000000002</v>
      </c>
      <c r="L145" s="149">
        <v>10.071144</v>
      </c>
      <c r="M145" s="149">
        <v>7.9448090000000002</v>
      </c>
      <c r="N145" s="149">
        <v>10.341143000000001</v>
      </c>
      <c r="O145" s="149">
        <v>10.101782</v>
      </c>
      <c r="P145" s="149">
        <v>10.380867</v>
      </c>
      <c r="Q145" s="149">
        <v>10.364000000000001</v>
      </c>
      <c r="R145" s="149">
        <v>9.0201750000000001</v>
      </c>
      <c r="S145" s="149">
        <v>8.4203080000000003</v>
      </c>
      <c r="T145" s="149">
        <v>7.9298820000000001</v>
      </c>
      <c r="U145" s="149">
        <v>8.7298369999999998</v>
      </c>
      <c r="V145" s="149">
        <v>7.1980199999999996</v>
      </c>
      <c r="W145" s="1">
        <v>3.8</v>
      </c>
    </row>
    <row r="146" spans="1:23" x14ac:dyDescent="0.35">
      <c r="A146" s="1" t="s">
        <v>358</v>
      </c>
      <c r="B146" s="146" t="s">
        <v>359</v>
      </c>
      <c r="C146" s="149">
        <v>13.801572</v>
      </c>
      <c r="D146" s="149">
        <v>14.503371</v>
      </c>
      <c r="E146" s="149">
        <v>13.761891</v>
      </c>
      <c r="F146" s="149">
        <v>14.935876</v>
      </c>
      <c r="G146" s="149">
        <v>15.90221</v>
      </c>
      <c r="H146" s="149">
        <v>16.413692000000001</v>
      </c>
      <c r="I146" s="149">
        <v>17.319980000000001</v>
      </c>
      <c r="J146" s="149">
        <v>17.660343999999998</v>
      </c>
      <c r="K146" s="149">
        <v>16.188755</v>
      </c>
      <c r="L146" s="149">
        <v>16.021125999999999</v>
      </c>
      <c r="M146" s="149">
        <v>17.584541000000002</v>
      </c>
      <c r="N146" s="149">
        <v>16.478238000000001</v>
      </c>
      <c r="O146" s="149">
        <v>17.034987999999998</v>
      </c>
      <c r="P146" s="149">
        <v>16.457979000000002</v>
      </c>
      <c r="Q146" s="149">
        <v>16.513708000000001</v>
      </c>
      <c r="R146" s="149">
        <v>17.87445</v>
      </c>
      <c r="S146" s="149">
        <v>17.204404</v>
      </c>
      <c r="T146" s="149">
        <v>17.857797000000001</v>
      </c>
      <c r="U146" s="149">
        <v>18.702382</v>
      </c>
      <c r="V146" s="149">
        <v>21.263074</v>
      </c>
      <c r="W146" s="1">
        <v>22.3</v>
      </c>
    </row>
    <row r="147" spans="1:23" x14ac:dyDescent="0.35">
      <c r="A147" s="1" t="s">
        <v>360</v>
      </c>
      <c r="B147" s="146" t="s">
        <v>361</v>
      </c>
      <c r="C147" s="149">
        <v>199.85209499999999</v>
      </c>
      <c r="D147" s="149">
        <v>206.111951</v>
      </c>
      <c r="E147" s="149">
        <v>202.70657399999999</v>
      </c>
      <c r="F147" s="149">
        <v>204.07125099999999</v>
      </c>
      <c r="G147" s="149">
        <v>211.82994400000001</v>
      </c>
      <c r="H147" s="149">
        <v>218.52077700000001</v>
      </c>
      <c r="I147" s="149">
        <v>225.146547</v>
      </c>
      <c r="J147" s="149">
        <v>228.09693200000001</v>
      </c>
      <c r="K147" s="149">
        <v>228.50701000000001</v>
      </c>
      <c r="L147" s="149">
        <v>230.21871899999999</v>
      </c>
      <c r="M147" s="149">
        <v>234.79729499999999</v>
      </c>
      <c r="N147" s="149">
        <v>234.24384599999999</v>
      </c>
      <c r="O147" s="149">
        <v>238.522291</v>
      </c>
      <c r="P147" s="149">
        <v>243.20063300000001</v>
      </c>
      <c r="Q147" s="149">
        <v>245.92055199999999</v>
      </c>
      <c r="R147" s="149">
        <v>246.727453</v>
      </c>
      <c r="S147" s="149">
        <v>248.68389500000001</v>
      </c>
      <c r="T147" s="149">
        <v>250.644665</v>
      </c>
      <c r="U147" s="149">
        <v>253.901689</v>
      </c>
      <c r="V147" s="149">
        <v>258.66377299999999</v>
      </c>
      <c r="W147" s="1">
        <v>255.5</v>
      </c>
    </row>
    <row r="148" spans="1:23" x14ac:dyDescent="0.35">
      <c r="A148" s="1" t="s">
        <v>196</v>
      </c>
      <c r="B148" s="146" t="s">
        <v>362</v>
      </c>
      <c r="C148" s="149">
        <v>69.865482999999998</v>
      </c>
      <c r="D148" s="149">
        <v>69.079357999999999</v>
      </c>
      <c r="E148" s="149">
        <v>72.161817999999997</v>
      </c>
      <c r="F148" s="149">
        <v>75.704161999999997</v>
      </c>
      <c r="G148" s="149">
        <v>78.426360000000003</v>
      </c>
      <c r="H148" s="149">
        <v>81.717325000000002</v>
      </c>
      <c r="I148" s="149">
        <v>87.155294999999995</v>
      </c>
      <c r="J148" s="149">
        <v>90.310184000000007</v>
      </c>
      <c r="K148" s="149">
        <v>92.020143000000004</v>
      </c>
      <c r="L148" s="149">
        <v>87.376951000000005</v>
      </c>
      <c r="M148" s="149">
        <v>92.349597000000003</v>
      </c>
      <c r="N148" s="149">
        <v>95.639998000000006</v>
      </c>
      <c r="O148" s="149">
        <v>97.611407</v>
      </c>
      <c r="P148" s="149">
        <v>98.985677999999993</v>
      </c>
      <c r="Q148" s="149">
        <v>100.60877600000001</v>
      </c>
      <c r="R148" s="149">
        <v>102.37482199999999</v>
      </c>
      <c r="S148" s="149">
        <v>105.076504</v>
      </c>
      <c r="T148" s="149">
        <v>110.17821600000001</v>
      </c>
      <c r="U148" s="149">
        <v>114.41453</v>
      </c>
      <c r="V148" s="149">
        <v>118.26093299999999</v>
      </c>
      <c r="W148" s="1">
        <v>114.3</v>
      </c>
    </row>
    <row r="149" spans="1:23" x14ac:dyDescent="0.35">
      <c r="A149" s="1" t="s">
        <v>363</v>
      </c>
      <c r="B149" s="146" t="s">
        <v>364</v>
      </c>
      <c r="C149" s="149">
        <v>20.877103000000002</v>
      </c>
      <c r="D149" s="149">
        <v>21.599305999999999</v>
      </c>
      <c r="E149" s="149">
        <v>22.204554000000002</v>
      </c>
      <c r="F149" s="149">
        <v>22.504474999999999</v>
      </c>
      <c r="G149" s="149">
        <v>23.220419</v>
      </c>
      <c r="H149" s="149">
        <v>23.897093999999999</v>
      </c>
      <c r="I149" s="149">
        <v>24.978818</v>
      </c>
      <c r="J149" s="149">
        <v>25.881005999999999</v>
      </c>
      <c r="K149" s="149">
        <v>25.647604000000001</v>
      </c>
      <c r="L149" s="149">
        <v>24.824612999999999</v>
      </c>
      <c r="M149" s="149">
        <v>27.236170000000001</v>
      </c>
      <c r="N149" s="149">
        <v>28.565912999999998</v>
      </c>
      <c r="O149" s="149">
        <v>28.883133000000001</v>
      </c>
      <c r="P149" s="149">
        <v>28.302880999999999</v>
      </c>
      <c r="Q149" s="149">
        <v>28.956949999999999</v>
      </c>
      <c r="R149" s="149">
        <v>29.765626000000001</v>
      </c>
      <c r="S149" s="149">
        <v>30.096094000000001</v>
      </c>
      <c r="T149" s="149">
        <v>30.961141000000001</v>
      </c>
      <c r="U149" s="149">
        <v>33.090485000000001</v>
      </c>
      <c r="V149" s="149">
        <v>34.275236999999997</v>
      </c>
      <c r="W149" s="1">
        <v>33.299999999999997</v>
      </c>
    </row>
    <row r="150" spans="1:23" x14ac:dyDescent="0.35">
      <c r="A150" s="1" t="s">
        <v>365</v>
      </c>
      <c r="B150" s="146" t="s">
        <v>366</v>
      </c>
      <c r="C150" s="149">
        <v>30.241216000000001</v>
      </c>
      <c r="D150" s="149">
        <v>27.294226999999999</v>
      </c>
      <c r="E150" s="149">
        <v>29.396902999999998</v>
      </c>
      <c r="F150" s="149">
        <v>31.362532000000002</v>
      </c>
      <c r="G150" s="149">
        <v>33.240178999999998</v>
      </c>
      <c r="H150" s="149">
        <v>34.627411000000002</v>
      </c>
      <c r="I150" s="149">
        <v>36.533729999999998</v>
      </c>
      <c r="J150" s="149">
        <v>37.637154000000002</v>
      </c>
      <c r="K150" s="149">
        <v>38.238804000000002</v>
      </c>
      <c r="L150" s="149">
        <v>37.319446999999997</v>
      </c>
      <c r="M150" s="149">
        <v>39.356095000000003</v>
      </c>
      <c r="N150" s="149">
        <v>40.358860999999997</v>
      </c>
      <c r="O150" s="149">
        <v>40.776595999999998</v>
      </c>
      <c r="P150" s="149">
        <v>41.523133000000001</v>
      </c>
      <c r="Q150" s="149">
        <v>42.499561</v>
      </c>
      <c r="R150" s="149">
        <v>43.089323</v>
      </c>
      <c r="S150" s="149">
        <v>45.050789000000002</v>
      </c>
      <c r="T150" s="149">
        <v>46.698073999999998</v>
      </c>
      <c r="U150" s="149">
        <v>48.203955999999998</v>
      </c>
      <c r="V150" s="149">
        <v>49.390588000000001</v>
      </c>
      <c r="W150" s="1">
        <v>46.4</v>
      </c>
    </row>
    <row r="151" spans="1:23" x14ac:dyDescent="0.35">
      <c r="A151" s="1" t="s">
        <v>367</v>
      </c>
      <c r="B151" s="146" t="s">
        <v>368</v>
      </c>
      <c r="C151" s="149">
        <v>19.311064999999999</v>
      </c>
      <c r="D151" s="149">
        <v>20.190752</v>
      </c>
      <c r="E151" s="149">
        <v>20.600411999999999</v>
      </c>
      <c r="F151" s="149">
        <v>21.862435999999999</v>
      </c>
      <c r="G151" s="149">
        <v>22.008787000000002</v>
      </c>
      <c r="H151" s="149">
        <v>23.229078999999999</v>
      </c>
      <c r="I151" s="149">
        <v>25.661968000000002</v>
      </c>
      <c r="J151" s="149">
        <v>26.807259999999999</v>
      </c>
      <c r="K151" s="149">
        <v>28.118407000000001</v>
      </c>
      <c r="L151" s="149">
        <v>25.223642999999999</v>
      </c>
      <c r="M151" s="149">
        <v>25.783391999999999</v>
      </c>
      <c r="N151" s="149">
        <v>26.756716999999998</v>
      </c>
      <c r="O151" s="149">
        <v>27.978691000000001</v>
      </c>
      <c r="P151" s="149">
        <v>29.161304000000001</v>
      </c>
      <c r="Q151" s="149">
        <v>29.152263999999999</v>
      </c>
      <c r="R151" s="149">
        <v>29.519871999999999</v>
      </c>
      <c r="S151" s="149">
        <v>29.910456</v>
      </c>
      <c r="T151" s="149">
        <v>32.478586999999997</v>
      </c>
      <c r="U151" s="149">
        <v>33.091188000000002</v>
      </c>
      <c r="V151" s="149">
        <v>34.575947999999997</v>
      </c>
      <c r="W151" s="1">
        <v>34.6</v>
      </c>
    </row>
    <row r="152" spans="1:23" x14ac:dyDescent="0.35">
      <c r="A152" s="1" t="s">
        <v>198</v>
      </c>
      <c r="B152" s="146" t="s">
        <v>369</v>
      </c>
      <c r="C152" s="149">
        <v>27.413891</v>
      </c>
      <c r="D152" s="149">
        <v>26.476153</v>
      </c>
      <c r="E152" s="149">
        <v>27.087040999999999</v>
      </c>
      <c r="F152" s="149">
        <v>26.676573000000001</v>
      </c>
      <c r="G152" s="149">
        <v>26.896056999999999</v>
      </c>
      <c r="H152" s="149">
        <v>26.565214000000001</v>
      </c>
      <c r="I152" s="149">
        <v>26.985468000000001</v>
      </c>
      <c r="J152" s="149">
        <v>27.641169999999999</v>
      </c>
      <c r="K152" s="149">
        <v>29.067184000000001</v>
      </c>
      <c r="L152" s="149">
        <v>29.596568999999999</v>
      </c>
      <c r="M152" s="149">
        <v>30.390976999999999</v>
      </c>
      <c r="N152" s="149">
        <v>31.111065</v>
      </c>
      <c r="O152" s="149">
        <v>31.905929</v>
      </c>
      <c r="P152" s="149">
        <v>32.930802</v>
      </c>
      <c r="Q152" s="149">
        <v>33.550325000000001</v>
      </c>
      <c r="R152" s="149">
        <v>33.455739000000001</v>
      </c>
      <c r="S152" s="149">
        <v>33.362495000000003</v>
      </c>
      <c r="T152" s="149">
        <v>35.352969000000002</v>
      </c>
      <c r="U152" s="149">
        <v>35.547234000000003</v>
      </c>
      <c r="V152" s="149">
        <v>36.015591999999998</v>
      </c>
      <c r="W152" s="1">
        <v>34.700000000000003</v>
      </c>
    </row>
    <row r="153" spans="1:23" x14ac:dyDescent="0.35">
      <c r="A153" s="1" t="s">
        <v>200</v>
      </c>
      <c r="B153" s="146" t="s">
        <v>370</v>
      </c>
      <c r="C153" s="149">
        <v>10.73372</v>
      </c>
      <c r="D153" s="149">
        <v>10.706769</v>
      </c>
      <c r="E153" s="149">
        <v>11.292026</v>
      </c>
      <c r="F153" s="149">
        <v>10.709196</v>
      </c>
      <c r="G153" s="149">
        <v>11.259017</v>
      </c>
      <c r="H153" s="149">
        <v>11.983407</v>
      </c>
      <c r="I153" s="149">
        <v>12.145346999999999</v>
      </c>
      <c r="J153" s="149">
        <v>12.519088</v>
      </c>
      <c r="K153" s="149">
        <v>12.700179</v>
      </c>
      <c r="L153" s="149">
        <v>12.485498</v>
      </c>
      <c r="M153" s="149">
        <v>13.040074000000001</v>
      </c>
      <c r="N153" s="149">
        <v>13.938494</v>
      </c>
      <c r="O153" s="149">
        <v>14.510355000000001</v>
      </c>
      <c r="P153" s="149">
        <v>14.326101</v>
      </c>
      <c r="Q153" s="149">
        <v>14.585618</v>
      </c>
      <c r="R153" s="149">
        <v>14.890879</v>
      </c>
      <c r="S153" s="149">
        <v>14.951174</v>
      </c>
      <c r="T153" s="149">
        <v>15.388038</v>
      </c>
      <c r="U153" s="149">
        <v>15.743112999999999</v>
      </c>
      <c r="V153" s="149">
        <v>16.322865</v>
      </c>
      <c r="W153" s="1">
        <v>15.4</v>
      </c>
    </row>
    <row r="154" spans="1:23" x14ac:dyDescent="0.35">
      <c r="A154" s="1" t="s">
        <v>371</v>
      </c>
      <c r="B154" s="146" t="s">
        <v>372</v>
      </c>
      <c r="C154" s="149">
        <v>5.8606860000000003</v>
      </c>
      <c r="D154" s="149">
        <v>5.6748710000000004</v>
      </c>
      <c r="E154" s="149">
        <v>5.7202000000000002</v>
      </c>
      <c r="F154" s="149">
        <v>5.6847409999999998</v>
      </c>
      <c r="G154" s="149">
        <v>5.9667289999999999</v>
      </c>
      <c r="H154" s="149">
        <v>6.517309</v>
      </c>
      <c r="I154" s="149">
        <v>6.6385990000000001</v>
      </c>
      <c r="J154" s="149">
        <v>6.8213749999999997</v>
      </c>
      <c r="K154" s="149">
        <v>7.0671720000000002</v>
      </c>
      <c r="L154" s="149">
        <v>7.3580019999999999</v>
      </c>
      <c r="M154" s="149">
        <v>7.8150300000000001</v>
      </c>
      <c r="N154" s="149">
        <v>8.3090709999999994</v>
      </c>
      <c r="O154" s="149">
        <v>8.5644050000000007</v>
      </c>
      <c r="P154" s="149">
        <v>8.6149520000000006</v>
      </c>
      <c r="Q154" s="149">
        <v>8.8472559999999998</v>
      </c>
      <c r="R154" s="149">
        <v>8.7025839999999999</v>
      </c>
      <c r="S154" s="149">
        <v>8.6958610000000007</v>
      </c>
      <c r="T154" s="149">
        <v>8.7789079999999995</v>
      </c>
      <c r="U154" s="149">
        <v>8.9461779999999997</v>
      </c>
      <c r="V154" s="149">
        <v>9.0247139999999995</v>
      </c>
      <c r="W154" s="1">
        <v>8</v>
      </c>
    </row>
    <row r="155" spans="1:23" x14ac:dyDescent="0.35">
      <c r="A155" s="1" t="s">
        <v>373</v>
      </c>
      <c r="B155" s="146" t="s">
        <v>374</v>
      </c>
      <c r="C155" s="149">
        <v>3.7768380000000001</v>
      </c>
      <c r="D155" s="149">
        <v>4.0403219999999997</v>
      </c>
      <c r="E155" s="149">
        <v>4.2408710000000003</v>
      </c>
      <c r="F155" s="149">
        <v>4.2053010000000004</v>
      </c>
      <c r="G155" s="149">
        <v>4.304405</v>
      </c>
      <c r="H155" s="149">
        <v>4.41859</v>
      </c>
      <c r="I155" s="149">
        <v>4.5101120000000003</v>
      </c>
      <c r="J155" s="149">
        <v>4.6679870000000001</v>
      </c>
      <c r="K155" s="149">
        <v>4.4440030000000004</v>
      </c>
      <c r="L155" s="149">
        <v>3.676215</v>
      </c>
      <c r="M155" s="149">
        <v>3.7512799999999999</v>
      </c>
      <c r="N155" s="149">
        <v>4.0906459999999996</v>
      </c>
      <c r="O155" s="149">
        <v>4.3653570000000004</v>
      </c>
      <c r="P155" s="149">
        <v>4.2105480000000002</v>
      </c>
      <c r="Q155" s="149">
        <v>4.2295800000000003</v>
      </c>
      <c r="R155" s="149">
        <v>4.7166839999999999</v>
      </c>
      <c r="S155" s="149">
        <v>4.7437040000000001</v>
      </c>
      <c r="T155" s="149">
        <v>5.0917310000000002</v>
      </c>
      <c r="U155" s="149">
        <v>5.2216399999999998</v>
      </c>
      <c r="V155" s="149">
        <v>5.6358040000000003</v>
      </c>
      <c r="W155" s="1">
        <v>5.7</v>
      </c>
    </row>
    <row r="156" spans="1:23" x14ac:dyDescent="0.35">
      <c r="A156" s="1" t="s">
        <v>375</v>
      </c>
      <c r="B156" s="146" t="s">
        <v>376</v>
      </c>
      <c r="C156" s="149">
        <v>1.255951</v>
      </c>
      <c r="D156" s="149">
        <v>1.285312</v>
      </c>
      <c r="E156" s="149">
        <v>2.0089399999999999</v>
      </c>
      <c r="F156" s="149">
        <v>1.1036010000000001</v>
      </c>
      <c r="G156" s="149">
        <v>1.3304959999999999</v>
      </c>
      <c r="H156" s="149">
        <v>1.3063009999999999</v>
      </c>
      <c r="I156" s="149">
        <v>1.2291179999999999</v>
      </c>
      <c r="J156" s="149">
        <v>1.2805569999999999</v>
      </c>
      <c r="K156" s="149">
        <v>1.380312</v>
      </c>
      <c r="L156" s="149">
        <v>1.483981</v>
      </c>
      <c r="M156" s="149">
        <v>1.47193</v>
      </c>
      <c r="N156" s="149">
        <v>1.5410759999999999</v>
      </c>
      <c r="O156" s="149">
        <v>1.591334</v>
      </c>
      <c r="P156" s="149">
        <v>1.501363</v>
      </c>
      <c r="Q156" s="149">
        <v>1.5087820000000001</v>
      </c>
      <c r="R156" s="149">
        <v>1.471611</v>
      </c>
      <c r="S156" s="149">
        <v>1.5103279999999999</v>
      </c>
      <c r="T156" s="149">
        <v>1.514467</v>
      </c>
      <c r="U156" s="149">
        <v>1.571259</v>
      </c>
      <c r="V156" s="149">
        <v>1.6447050000000001</v>
      </c>
      <c r="W156" s="1">
        <v>1.6</v>
      </c>
    </row>
    <row r="157" spans="1:23" x14ac:dyDescent="0.35">
      <c r="A157" s="1" t="s">
        <v>202</v>
      </c>
      <c r="B157" s="146" t="s">
        <v>377</v>
      </c>
      <c r="C157" s="149">
        <v>103.006795</v>
      </c>
      <c r="D157" s="149">
        <v>103.789891</v>
      </c>
      <c r="E157" s="149">
        <v>101.41589500000001</v>
      </c>
      <c r="F157" s="149">
        <v>100.942015</v>
      </c>
      <c r="G157" s="149">
        <v>101.74891100000001</v>
      </c>
      <c r="H157" s="149">
        <v>105.558716</v>
      </c>
      <c r="I157" s="149">
        <v>108.780387</v>
      </c>
      <c r="J157" s="149">
        <v>113.118298</v>
      </c>
      <c r="K157" s="149">
        <v>114.033905</v>
      </c>
      <c r="L157" s="149">
        <v>99.930391</v>
      </c>
      <c r="M157" s="149">
        <v>102.496095</v>
      </c>
      <c r="N157" s="149">
        <v>105.78234999999999</v>
      </c>
      <c r="O157" s="149">
        <v>101.932438</v>
      </c>
      <c r="P157" s="149">
        <v>100.661902</v>
      </c>
      <c r="Q157" s="149">
        <v>101.480791</v>
      </c>
      <c r="R157" s="149">
        <v>103.827516</v>
      </c>
      <c r="S157" s="149">
        <v>107.887181</v>
      </c>
      <c r="T157" s="149">
        <v>114.034493</v>
      </c>
      <c r="U157" s="149">
        <v>119.003781</v>
      </c>
      <c r="V157" s="149">
        <v>122.04852700000001</v>
      </c>
      <c r="W157" s="1">
        <v>111</v>
      </c>
    </row>
    <row r="158" spans="1:23" x14ac:dyDescent="0.35">
      <c r="A158" s="1" t="s">
        <v>378</v>
      </c>
      <c r="B158" s="146" t="s">
        <v>379</v>
      </c>
      <c r="C158" s="149">
        <v>29.098106000000001</v>
      </c>
      <c r="D158" s="149">
        <v>28.663451999999999</v>
      </c>
      <c r="E158" s="149">
        <v>28.248415999999999</v>
      </c>
      <c r="F158" s="149">
        <v>28.313248999999999</v>
      </c>
      <c r="G158" s="149">
        <v>28.11666</v>
      </c>
      <c r="H158" s="149">
        <v>29.447790999999999</v>
      </c>
      <c r="I158" s="149">
        <v>30.479769000000001</v>
      </c>
      <c r="J158" s="149">
        <v>31.770105999999998</v>
      </c>
      <c r="K158" s="149">
        <v>32.559221000000001</v>
      </c>
      <c r="L158" s="149">
        <v>30.423373000000002</v>
      </c>
      <c r="M158" s="149">
        <v>29.717034000000002</v>
      </c>
      <c r="N158" s="149">
        <v>30.233971</v>
      </c>
      <c r="O158" s="149">
        <v>30.579331</v>
      </c>
      <c r="P158" s="149">
        <v>29.867215999999999</v>
      </c>
      <c r="Q158" s="149">
        <v>30.496305</v>
      </c>
      <c r="R158" s="149">
        <v>31.898899</v>
      </c>
      <c r="S158" s="149">
        <v>33.017598999999997</v>
      </c>
      <c r="T158" s="149">
        <v>35.829590000000003</v>
      </c>
      <c r="U158" s="149">
        <v>38.198332000000001</v>
      </c>
      <c r="V158" s="149">
        <v>39.415148000000002</v>
      </c>
      <c r="W158" s="1">
        <v>38.1</v>
      </c>
    </row>
    <row r="159" spans="1:23" x14ac:dyDescent="0.35">
      <c r="A159" s="1" t="s">
        <v>380</v>
      </c>
      <c r="B159" s="146" t="s">
        <v>381</v>
      </c>
      <c r="C159" s="149">
        <v>34.888807999999997</v>
      </c>
      <c r="D159" s="149">
        <v>34.133265999999999</v>
      </c>
      <c r="E159" s="149">
        <v>30.101496999999998</v>
      </c>
      <c r="F159" s="149">
        <v>29.677523000000001</v>
      </c>
      <c r="G159" s="149">
        <v>29.762872000000002</v>
      </c>
      <c r="H159" s="149">
        <v>31.264956000000002</v>
      </c>
      <c r="I159" s="149">
        <v>32.897947000000002</v>
      </c>
      <c r="J159" s="149">
        <v>34.255629999999996</v>
      </c>
      <c r="K159" s="149">
        <v>33.368006999999999</v>
      </c>
      <c r="L159" s="149">
        <v>24.692312000000001</v>
      </c>
      <c r="M159" s="149">
        <v>28.445916</v>
      </c>
      <c r="N159" s="149">
        <v>29.965603999999999</v>
      </c>
      <c r="O159" s="149">
        <v>27.862950000000001</v>
      </c>
      <c r="P159" s="149">
        <v>27.668088000000001</v>
      </c>
      <c r="Q159" s="149">
        <v>28.600413</v>
      </c>
      <c r="R159" s="149">
        <v>29.966308000000001</v>
      </c>
      <c r="S159" s="149">
        <v>32.246935000000001</v>
      </c>
      <c r="T159" s="149">
        <v>35.545138000000001</v>
      </c>
      <c r="U159" s="149">
        <v>37.174275000000002</v>
      </c>
      <c r="V159" s="149">
        <v>37.402546999999998</v>
      </c>
      <c r="W159" s="1">
        <v>31.1</v>
      </c>
    </row>
    <row r="160" spans="1:23" x14ac:dyDescent="0.35">
      <c r="A160" s="1" t="s">
        <v>382</v>
      </c>
      <c r="B160" s="146" t="s">
        <v>383</v>
      </c>
      <c r="C160" s="149">
        <v>2.3218830000000001</v>
      </c>
      <c r="D160" s="149">
        <v>2.1471870000000002</v>
      </c>
      <c r="E160" s="149">
        <v>2.3341069999999999</v>
      </c>
      <c r="F160" s="149">
        <v>2.4501599999999999</v>
      </c>
      <c r="G160" s="149">
        <v>2.4537529999999999</v>
      </c>
      <c r="H160" s="149">
        <v>2.390495</v>
      </c>
      <c r="I160" s="149">
        <v>2.2609149999999998</v>
      </c>
      <c r="J160" s="149">
        <v>2.3099889999999998</v>
      </c>
      <c r="K160" s="149">
        <v>2.3983819999999998</v>
      </c>
      <c r="L160" s="149">
        <v>2.2334480000000001</v>
      </c>
      <c r="M160" s="149">
        <v>2.1983969999999999</v>
      </c>
      <c r="N160" s="149">
        <v>2.1560510000000002</v>
      </c>
      <c r="O160" s="149">
        <v>1.859202</v>
      </c>
      <c r="P160" s="149">
        <v>1.922277</v>
      </c>
      <c r="Q160" s="149">
        <v>2.0394679999999998</v>
      </c>
      <c r="R160" s="149">
        <v>2.0499290000000001</v>
      </c>
      <c r="S160" s="149">
        <v>1.904668</v>
      </c>
      <c r="T160" s="149">
        <v>1.957889</v>
      </c>
      <c r="U160" s="149">
        <v>1.9585950000000001</v>
      </c>
      <c r="V160" s="149">
        <v>1.9957819999999999</v>
      </c>
      <c r="W160" s="1">
        <v>1.1000000000000001</v>
      </c>
    </row>
    <row r="161" spans="1:23" x14ac:dyDescent="0.35">
      <c r="A161" s="1" t="s">
        <v>384</v>
      </c>
      <c r="B161" s="146" t="s">
        <v>385</v>
      </c>
      <c r="C161" s="149">
        <v>4.9060750000000004</v>
      </c>
      <c r="D161" s="149">
        <v>5.2340939999999998</v>
      </c>
      <c r="E161" s="149">
        <v>5.5203100000000003</v>
      </c>
      <c r="F161" s="149">
        <v>5.455273</v>
      </c>
      <c r="G161" s="149">
        <v>5.5930869999999997</v>
      </c>
      <c r="H161" s="149">
        <v>5.7181600000000001</v>
      </c>
      <c r="I161" s="149">
        <v>5.7956079999999996</v>
      </c>
      <c r="J161" s="149">
        <v>6.0138689999999997</v>
      </c>
      <c r="K161" s="149">
        <v>6.1148949999999997</v>
      </c>
      <c r="L161" s="149">
        <v>5.895664</v>
      </c>
      <c r="M161" s="149">
        <v>5.9829559999999997</v>
      </c>
      <c r="N161" s="149">
        <v>5.9307460000000001</v>
      </c>
      <c r="O161" s="149">
        <v>6.1990439999999998</v>
      </c>
      <c r="P161" s="149">
        <v>6.0923369999999997</v>
      </c>
      <c r="Q161" s="149">
        <v>6.1497120000000001</v>
      </c>
      <c r="R161" s="149">
        <v>6.1835789999999999</v>
      </c>
      <c r="S161" s="149">
        <v>6.6936140000000002</v>
      </c>
      <c r="T161" s="149">
        <v>6.7799680000000002</v>
      </c>
      <c r="U161" s="149">
        <v>7.2071670000000001</v>
      </c>
      <c r="V161" s="149">
        <v>7.3582789999999996</v>
      </c>
      <c r="W161" s="1">
        <v>7.1</v>
      </c>
    </row>
    <row r="162" spans="1:23" x14ac:dyDescent="0.35">
      <c r="A162" s="1" t="s">
        <v>386</v>
      </c>
      <c r="B162" s="146" t="s">
        <v>387</v>
      </c>
      <c r="C162" s="149">
        <v>12.014294</v>
      </c>
      <c r="D162" s="149">
        <v>12.829983</v>
      </c>
      <c r="E162" s="149">
        <v>13.5847</v>
      </c>
      <c r="F162" s="149">
        <v>13.578848000000001</v>
      </c>
      <c r="G162" s="149">
        <v>13.876315999999999</v>
      </c>
      <c r="H162" s="149">
        <v>14.243031</v>
      </c>
      <c r="I162" s="149">
        <v>14.413800999999999</v>
      </c>
      <c r="J162" s="149">
        <v>14.934309000000001</v>
      </c>
      <c r="K162" s="149">
        <v>14.942674999999999</v>
      </c>
      <c r="L162" s="149">
        <v>14.005542999999999</v>
      </c>
      <c r="M162" s="149">
        <v>13.839388</v>
      </c>
      <c r="N162" s="149">
        <v>14.301531000000001</v>
      </c>
      <c r="O162" s="149">
        <v>14.466473000000001</v>
      </c>
      <c r="P162" s="149">
        <v>14.144983</v>
      </c>
      <c r="Q162" s="149">
        <v>14.311787000000001</v>
      </c>
      <c r="R162" s="149">
        <v>14.566458000000001</v>
      </c>
      <c r="S162" s="149">
        <v>15.284720999999999</v>
      </c>
      <c r="T162" s="149">
        <v>15.548133999999999</v>
      </c>
      <c r="U162" s="149">
        <v>15.875400000000001</v>
      </c>
      <c r="V162" s="149">
        <v>16.320176</v>
      </c>
      <c r="W162" s="1">
        <v>16.100000000000001</v>
      </c>
    </row>
    <row r="163" spans="1:23" x14ac:dyDescent="0.35">
      <c r="A163" s="1" t="s">
        <v>388</v>
      </c>
      <c r="B163" s="146" t="s">
        <v>389</v>
      </c>
      <c r="C163" s="149">
        <v>19.430423000000001</v>
      </c>
      <c r="D163" s="149">
        <v>20.795612999999999</v>
      </c>
      <c r="E163" s="149">
        <v>21.891197999999999</v>
      </c>
      <c r="F163" s="149">
        <v>21.676874000000002</v>
      </c>
      <c r="G163" s="149">
        <v>22.280646999999998</v>
      </c>
      <c r="H163" s="149">
        <v>22.755474</v>
      </c>
      <c r="I163" s="149">
        <v>23.146153999999999</v>
      </c>
      <c r="J163" s="149">
        <v>24.048680000000001</v>
      </c>
      <c r="K163" s="149">
        <v>24.898779999999999</v>
      </c>
      <c r="L163" s="149">
        <v>22.879083999999999</v>
      </c>
      <c r="M163" s="149">
        <v>22.505860999999999</v>
      </c>
      <c r="N163" s="149">
        <v>23.433778</v>
      </c>
      <c r="O163" s="149">
        <v>20.982036000000001</v>
      </c>
      <c r="P163" s="149">
        <v>20.999528000000002</v>
      </c>
      <c r="Q163" s="149">
        <v>19.883105</v>
      </c>
      <c r="R163" s="149">
        <v>19.162343</v>
      </c>
      <c r="S163" s="149">
        <v>18.79308</v>
      </c>
      <c r="T163" s="149">
        <v>18.597204999999999</v>
      </c>
      <c r="U163" s="149">
        <v>18.936592000000001</v>
      </c>
      <c r="V163" s="149">
        <v>19.870242999999999</v>
      </c>
      <c r="W163" s="1">
        <v>18.100000000000001</v>
      </c>
    </row>
    <row r="164" spans="1:23" x14ac:dyDescent="0.35">
      <c r="A164" s="1" t="s">
        <v>214</v>
      </c>
      <c r="B164" s="146" t="s">
        <v>390</v>
      </c>
      <c r="C164" s="149">
        <v>140.701752</v>
      </c>
      <c r="D164" s="149">
        <v>141.958236</v>
      </c>
      <c r="E164" s="149">
        <v>139.55448200000001</v>
      </c>
      <c r="F164" s="149">
        <v>141.00774899999999</v>
      </c>
      <c r="G164" s="149">
        <v>143.419872</v>
      </c>
      <c r="H164" s="149">
        <v>146.115793</v>
      </c>
      <c r="I164" s="149">
        <v>147.61606599999999</v>
      </c>
      <c r="J164" s="149">
        <v>148.702191</v>
      </c>
      <c r="K164" s="149">
        <v>148.916079</v>
      </c>
      <c r="L164" s="149">
        <v>152.65422899999999</v>
      </c>
      <c r="M164" s="149">
        <v>153.429832</v>
      </c>
      <c r="N164" s="149">
        <v>154.05400900000001</v>
      </c>
      <c r="O164" s="149">
        <v>155.71086399999999</v>
      </c>
      <c r="P164" s="149">
        <v>157.27252100000001</v>
      </c>
      <c r="Q164" s="149">
        <v>158.179</v>
      </c>
      <c r="R164" s="149">
        <v>157.38033300000001</v>
      </c>
      <c r="S164" s="149">
        <v>157.60764399999999</v>
      </c>
      <c r="T164" s="149">
        <v>157.85339500000001</v>
      </c>
      <c r="U164" s="149">
        <v>159.499843</v>
      </c>
      <c r="V164" s="149">
        <v>161.57198399999999</v>
      </c>
      <c r="W164" s="1">
        <v>157.4</v>
      </c>
    </row>
    <row r="165" spans="1:23" x14ac:dyDescent="0.35">
      <c r="A165" s="1" t="s">
        <v>216</v>
      </c>
      <c r="B165" s="146" t="s">
        <v>391</v>
      </c>
      <c r="C165" s="149">
        <v>102.597251</v>
      </c>
      <c r="D165" s="149">
        <v>103.536886</v>
      </c>
      <c r="E165" s="149">
        <v>102.037848</v>
      </c>
      <c r="F165" s="149">
        <v>102.32972100000001</v>
      </c>
      <c r="G165" s="149">
        <v>103.315622</v>
      </c>
      <c r="H165" s="149">
        <v>102.704002</v>
      </c>
      <c r="I165" s="149">
        <v>102.036215</v>
      </c>
      <c r="J165" s="149">
        <v>103.078901</v>
      </c>
      <c r="K165" s="149">
        <v>102.20813800000001</v>
      </c>
      <c r="L165" s="149">
        <v>100.68663100000001</v>
      </c>
      <c r="M165" s="149">
        <v>100.518596</v>
      </c>
      <c r="N165" s="149">
        <v>101.13605099999999</v>
      </c>
      <c r="O165" s="149">
        <v>102.44456099999999</v>
      </c>
      <c r="P165" s="149">
        <v>102.85809500000001</v>
      </c>
      <c r="Q165" s="149">
        <v>103.454358</v>
      </c>
      <c r="R165" s="149">
        <v>103.977374</v>
      </c>
      <c r="S165" s="149">
        <v>105.42507999999999</v>
      </c>
      <c r="T165" s="149">
        <v>106.49440800000001</v>
      </c>
      <c r="U165" s="149">
        <v>107.64566600000001</v>
      </c>
      <c r="V165" s="149">
        <v>107.508837</v>
      </c>
      <c r="W165" s="1">
        <v>100.5</v>
      </c>
    </row>
    <row r="166" spans="1:23" x14ac:dyDescent="0.35">
      <c r="A166" s="1" t="s">
        <v>218</v>
      </c>
      <c r="B166" s="146" t="s">
        <v>392</v>
      </c>
      <c r="C166" s="149">
        <v>84.547804999999997</v>
      </c>
      <c r="D166" s="149">
        <v>86.992637999999999</v>
      </c>
      <c r="E166" s="149">
        <v>89.372179000000003</v>
      </c>
      <c r="F166" s="149">
        <v>89.155618000000004</v>
      </c>
      <c r="G166" s="149">
        <v>91.941986</v>
      </c>
      <c r="H166" s="149">
        <v>93.429440999999997</v>
      </c>
      <c r="I166" s="149">
        <v>94.226688999999993</v>
      </c>
      <c r="J166" s="149">
        <v>96.137833999999998</v>
      </c>
      <c r="K166" s="149">
        <v>99.803067999999996</v>
      </c>
      <c r="L166" s="149">
        <v>101.921138</v>
      </c>
      <c r="M166" s="149">
        <v>103.870937</v>
      </c>
      <c r="N166" s="149">
        <v>107.019245</v>
      </c>
      <c r="O166" s="149">
        <v>109.129424</v>
      </c>
      <c r="P166" s="149">
        <v>111.09665800000001</v>
      </c>
      <c r="Q166" s="149">
        <v>113.346187</v>
      </c>
      <c r="R166" s="149">
        <v>115.411078</v>
      </c>
      <c r="S166" s="149">
        <v>118.476882</v>
      </c>
      <c r="T166" s="149">
        <v>120.70052200000001</v>
      </c>
      <c r="U166" s="149">
        <v>121.16411600000001</v>
      </c>
      <c r="V166" s="149">
        <v>121.55774599999999</v>
      </c>
      <c r="W166" s="1">
        <v>111.3</v>
      </c>
    </row>
    <row r="167" spans="1:23" x14ac:dyDescent="0.35">
      <c r="A167" s="1" t="s">
        <v>220</v>
      </c>
      <c r="B167" s="146" t="s">
        <v>393</v>
      </c>
      <c r="C167" s="149">
        <v>46.337989999999998</v>
      </c>
      <c r="D167" s="149">
        <v>47.500639</v>
      </c>
      <c r="E167" s="149">
        <v>50.694277</v>
      </c>
      <c r="F167" s="149">
        <v>51.461514000000001</v>
      </c>
      <c r="G167" s="149">
        <v>52.978431</v>
      </c>
      <c r="H167" s="149">
        <v>53.048422000000002</v>
      </c>
      <c r="I167" s="149">
        <v>58.030081000000003</v>
      </c>
      <c r="J167" s="149">
        <v>57.931693000000003</v>
      </c>
      <c r="K167" s="149">
        <v>59.019247999999997</v>
      </c>
      <c r="L167" s="149">
        <v>60.033957999999998</v>
      </c>
      <c r="M167" s="149">
        <v>61.246789</v>
      </c>
      <c r="N167" s="149">
        <v>62.638601000000001</v>
      </c>
      <c r="O167" s="149">
        <v>63.518251999999997</v>
      </c>
      <c r="P167" s="149">
        <v>64.161619999999999</v>
      </c>
      <c r="Q167" s="149">
        <v>64.725429000000005</v>
      </c>
      <c r="R167" s="149">
        <v>64.358356000000001</v>
      </c>
      <c r="S167" s="149">
        <v>64.365116</v>
      </c>
      <c r="T167" s="149">
        <v>65.329175000000006</v>
      </c>
      <c r="U167" s="149">
        <v>65.193813000000006</v>
      </c>
      <c r="V167" s="149">
        <v>65.391182999999998</v>
      </c>
      <c r="W167" s="1">
        <v>61.7</v>
      </c>
    </row>
    <row r="168" spans="1:23" x14ac:dyDescent="0.35">
      <c r="A168" s="1" t="s">
        <v>394</v>
      </c>
      <c r="B168" s="146" t="s">
        <v>395</v>
      </c>
      <c r="C168" s="149">
        <v>23.611415000000001</v>
      </c>
      <c r="D168" s="149">
        <v>23.901145</v>
      </c>
      <c r="E168" s="149">
        <v>25.419584</v>
      </c>
      <c r="F168" s="149">
        <v>26.041498000000001</v>
      </c>
      <c r="G168" s="149">
        <v>26.817941999999999</v>
      </c>
      <c r="H168" s="149">
        <v>26.851438000000002</v>
      </c>
      <c r="I168" s="149">
        <v>30.29447</v>
      </c>
      <c r="J168" s="149">
        <v>29.673109</v>
      </c>
      <c r="K168" s="149">
        <v>29.537763999999999</v>
      </c>
      <c r="L168" s="149">
        <v>29.817838999999999</v>
      </c>
      <c r="M168" s="149">
        <v>30.475467999999999</v>
      </c>
      <c r="N168" s="149">
        <v>31.29561</v>
      </c>
      <c r="O168" s="149">
        <v>31.798283999999999</v>
      </c>
      <c r="P168" s="149">
        <v>32.038561999999999</v>
      </c>
      <c r="Q168" s="149">
        <v>32.520510000000002</v>
      </c>
      <c r="R168" s="149">
        <v>32.401497999999997</v>
      </c>
      <c r="S168" s="149">
        <v>32.693064</v>
      </c>
      <c r="T168" s="149">
        <v>33.403184000000003</v>
      </c>
      <c r="U168" s="149">
        <v>33.330050999999997</v>
      </c>
      <c r="V168" s="149">
        <v>33.517144999999999</v>
      </c>
      <c r="W168" s="1">
        <v>32.4</v>
      </c>
    </row>
    <row r="169" spans="1:23" x14ac:dyDescent="0.35">
      <c r="A169" s="1" t="s">
        <v>396</v>
      </c>
      <c r="B169" s="146" t="s">
        <v>397</v>
      </c>
      <c r="C169" s="149">
        <v>22.765599000000002</v>
      </c>
      <c r="D169" s="149">
        <v>23.626135000000001</v>
      </c>
      <c r="E169" s="149">
        <v>25.298451</v>
      </c>
      <c r="F169" s="149">
        <v>25.459457</v>
      </c>
      <c r="G169" s="149">
        <v>26.201827999999999</v>
      </c>
      <c r="H169" s="149">
        <v>26.238323000000001</v>
      </c>
      <c r="I169" s="149">
        <v>27.822984999999999</v>
      </c>
      <c r="J169" s="149">
        <v>28.303861999999999</v>
      </c>
      <c r="K169" s="149">
        <v>29.491046000000001</v>
      </c>
      <c r="L169" s="149">
        <v>30.212471000000001</v>
      </c>
      <c r="M169" s="149">
        <v>30.769288</v>
      </c>
      <c r="N169" s="149">
        <v>31.343872000000001</v>
      </c>
      <c r="O169" s="149">
        <v>31.721747000000001</v>
      </c>
      <c r="P169" s="149">
        <v>32.123922999999998</v>
      </c>
      <c r="Q169" s="149">
        <v>32.204920000000001</v>
      </c>
      <c r="R169" s="149">
        <v>31.956858</v>
      </c>
      <c r="S169" s="149">
        <v>31.669635</v>
      </c>
      <c r="T169" s="149">
        <v>31.921880999999999</v>
      </c>
      <c r="U169" s="149">
        <v>31.859705000000002</v>
      </c>
      <c r="V169" s="149">
        <v>31.868348999999998</v>
      </c>
      <c r="W169" s="1">
        <v>29.2</v>
      </c>
    </row>
    <row r="170" spans="1:23" x14ac:dyDescent="0.35">
      <c r="A170" s="1" t="s">
        <v>206</v>
      </c>
      <c r="B170" s="146" t="s">
        <v>398</v>
      </c>
      <c r="C170" s="149">
        <v>18.263514000000001</v>
      </c>
      <c r="D170" s="149">
        <v>19.841491000000001</v>
      </c>
      <c r="E170" s="149">
        <v>21.669107</v>
      </c>
      <c r="F170" s="149">
        <v>22.937189</v>
      </c>
      <c r="G170" s="149">
        <v>22.858194999999998</v>
      </c>
      <c r="H170" s="149">
        <v>23.350496</v>
      </c>
      <c r="I170" s="149">
        <v>24.103404999999999</v>
      </c>
      <c r="J170" s="149">
        <v>24.564737000000001</v>
      </c>
      <c r="K170" s="149">
        <v>25.603321999999999</v>
      </c>
      <c r="L170" s="149">
        <v>25.858514</v>
      </c>
      <c r="M170" s="149">
        <v>26.642337999999999</v>
      </c>
      <c r="N170" s="149">
        <v>26.556215000000002</v>
      </c>
      <c r="O170" s="149">
        <v>26.344842</v>
      </c>
      <c r="P170" s="149">
        <v>26.826383</v>
      </c>
      <c r="Q170" s="149">
        <v>27.182728999999998</v>
      </c>
      <c r="R170" s="149">
        <v>27.423155000000001</v>
      </c>
      <c r="S170" s="149">
        <v>27.614006</v>
      </c>
      <c r="T170" s="149">
        <v>28.344080000000002</v>
      </c>
      <c r="U170" s="149">
        <v>29.583915999999999</v>
      </c>
      <c r="V170" s="149">
        <v>30.768329999999999</v>
      </c>
      <c r="W170" s="1">
        <v>18.7</v>
      </c>
    </row>
    <row r="171" spans="1:23" x14ac:dyDescent="0.35">
      <c r="A171" s="1" t="s">
        <v>399</v>
      </c>
      <c r="B171" s="146" t="s">
        <v>400</v>
      </c>
      <c r="C171" s="149">
        <v>7.0485110000000004</v>
      </c>
      <c r="D171" s="149">
        <v>7.6928960000000002</v>
      </c>
      <c r="E171" s="149">
        <v>8.6011780000000009</v>
      </c>
      <c r="F171" s="149">
        <v>9.021528</v>
      </c>
      <c r="G171" s="149">
        <v>9.0310000000000006</v>
      </c>
      <c r="H171" s="149">
        <v>9.230696</v>
      </c>
      <c r="I171" s="149">
        <v>9.5635399999999997</v>
      </c>
      <c r="J171" s="149">
        <v>9.3431560000000005</v>
      </c>
      <c r="K171" s="149">
        <v>9.2892109999999999</v>
      </c>
      <c r="L171" s="149">
        <v>9.3086599999999997</v>
      </c>
      <c r="M171" s="149">
        <v>9.4910460000000008</v>
      </c>
      <c r="N171" s="149">
        <v>9.1162390000000002</v>
      </c>
      <c r="O171" s="149">
        <v>9.1000399999999999</v>
      </c>
      <c r="P171" s="149">
        <v>9.1274739999999994</v>
      </c>
      <c r="Q171" s="149">
        <v>9.3616770000000002</v>
      </c>
      <c r="R171" s="149">
        <v>9.3555860000000006</v>
      </c>
      <c r="S171" s="149">
        <v>9.2669619999999995</v>
      </c>
      <c r="T171" s="149">
        <v>9.5208530000000007</v>
      </c>
      <c r="U171" s="149">
        <v>9.6239240000000006</v>
      </c>
      <c r="V171" s="149">
        <v>9.9257869999999997</v>
      </c>
      <c r="W171" s="1">
        <v>7.1</v>
      </c>
    </row>
    <row r="172" spans="1:23" x14ac:dyDescent="0.35">
      <c r="A172" s="1" t="s">
        <v>401</v>
      </c>
      <c r="B172" s="146" t="s">
        <v>402</v>
      </c>
      <c r="C172" s="149">
        <v>1.963455</v>
      </c>
      <c r="D172" s="149">
        <v>2.0725579999999999</v>
      </c>
      <c r="E172" s="149">
        <v>2.2247279999999998</v>
      </c>
      <c r="F172" s="149">
        <v>2.2848579999999998</v>
      </c>
      <c r="G172" s="149">
        <v>2.3067510000000002</v>
      </c>
      <c r="H172" s="149">
        <v>2.3555280000000001</v>
      </c>
      <c r="I172" s="149">
        <v>2.4200370000000002</v>
      </c>
      <c r="J172" s="149">
        <v>2.629788</v>
      </c>
      <c r="K172" s="149">
        <v>2.7439100000000001</v>
      </c>
      <c r="L172" s="149">
        <v>2.8627509999999998</v>
      </c>
      <c r="M172" s="149">
        <v>3.1108530000000001</v>
      </c>
      <c r="N172" s="149">
        <v>3.2152889999999998</v>
      </c>
      <c r="O172" s="149">
        <v>3.2749489999999999</v>
      </c>
      <c r="P172" s="149">
        <v>3.3206790000000002</v>
      </c>
      <c r="Q172" s="149">
        <v>3.4036759999999999</v>
      </c>
      <c r="R172" s="149">
        <v>3.4498820000000001</v>
      </c>
      <c r="S172" s="149">
        <v>3.4376989999999998</v>
      </c>
      <c r="T172" s="149">
        <v>3.5020150000000001</v>
      </c>
      <c r="U172" s="149">
        <v>3.5672109999999999</v>
      </c>
      <c r="V172" s="149">
        <v>3.6655449999999998</v>
      </c>
      <c r="W172" s="1">
        <v>0.8</v>
      </c>
    </row>
    <row r="173" spans="1:23" x14ac:dyDescent="0.35">
      <c r="A173" s="1" t="s">
        <v>403</v>
      </c>
      <c r="B173" s="146" t="s">
        <v>404</v>
      </c>
      <c r="C173" s="149">
        <v>1.1808209999999999</v>
      </c>
      <c r="D173" s="149">
        <v>1.2795719999999999</v>
      </c>
      <c r="E173" s="149">
        <v>1.286578</v>
      </c>
      <c r="F173" s="149">
        <v>1.4634199999999999</v>
      </c>
      <c r="G173" s="149">
        <v>1.412361</v>
      </c>
      <c r="H173" s="149">
        <v>1.44554</v>
      </c>
      <c r="I173" s="149">
        <v>1.4721759999999999</v>
      </c>
      <c r="J173" s="149">
        <v>1.494332</v>
      </c>
      <c r="K173" s="149">
        <v>2.1455630000000001</v>
      </c>
      <c r="L173" s="149">
        <v>2.316541</v>
      </c>
      <c r="M173" s="149">
        <v>2.3687870000000002</v>
      </c>
      <c r="N173" s="149">
        <v>2.4516149999999999</v>
      </c>
      <c r="O173" s="149">
        <v>2.176361</v>
      </c>
      <c r="P173" s="149">
        <v>1.9417949999999999</v>
      </c>
      <c r="Q173" s="149">
        <v>1.7858620000000001</v>
      </c>
      <c r="R173" s="149">
        <v>1.898636</v>
      </c>
      <c r="S173" s="149">
        <v>1.9660439999999999</v>
      </c>
      <c r="T173" s="149">
        <v>2.0802689999999999</v>
      </c>
      <c r="U173" s="149">
        <v>3.0294089999999998</v>
      </c>
      <c r="V173" s="149">
        <v>3.3773550000000001</v>
      </c>
      <c r="W173" s="1">
        <v>3.2</v>
      </c>
    </row>
    <row r="174" spans="1:23" x14ac:dyDescent="0.35">
      <c r="A174" s="1" t="s">
        <v>405</v>
      </c>
      <c r="B174" s="146" t="s">
        <v>406</v>
      </c>
      <c r="C174" s="149">
        <v>8.2032520000000009</v>
      </c>
      <c r="D174" s="149">
        <v>8.9437519999999999</v>
      </c>
      <c r="E174" s="149">
        <v>9.7592379999999999</v>
      </c>
      <c r="F174" s="149">
        <v>10.348425000000001</v>
      </c>
      <c r="G174" s="149">
        <v>10.299564999999999</v>
      </c>
      <c r="H174" s="149">
        <v>10.513194</v>
      </c>
      <c r="I174" s="149">
        <v>10.855028000000001</v>
      </c>
      <c r="J174" s="149">
        <v>11.316439000000001</v>
      </c>
      <c r="K174" s="149">
        <v>11.473515000000001</v>
      </c>
      <c r="L174" s="149">
        <v>11.428732999999999</v>
      </c>
      <c r="M174" s="149">
        <v>11.723972</v>
      </c>
      <c r="N174" s="149">
        <v>11.84675</v>
      </c>
      <c r="O174" s="149">
        <v>11.820595000000001</v>
      </c>
      <c r="P174" s="149">
        <v>12.43951</v>
      </c>
      <c r="Q174" s="149">
        <v>12.631512000000001</v>
      </c>
      <c r="R174" s="149">
        <v>12.719051</v>
      </c>
      <c r="S174" s="149">
        <v>12.942292</v>
      </c>
      <c r="T174" s="149">
        <v>13.248104</v>
      </c>
      <c r="U174" s="149">
        <v>13.463388</v>
      </c>
      <c r="V174" s="149">
        <v>13.945741</v>
      </c>
      <c r="W174" s="1">
        <v>7.9</v>
      </c>
    </row>
    <row r="175" spans="1:23" x14ac:dyDescent="0.35">
      <c r="A175" s="1" t="s">
        <v>208</v>
      </c>
      <c r="B175" s="146" t="s">
        <v>407</v>
      </c>
      <c r="C175" s="149">
        <v>25.364768000000002</v>
      </c>
      <c r="D175" s="149">
        <v>25.493660999999999</v>
      </c>
      <c r="E175" s="149">
        <v>24.713367999999999</v>
      </c>
      <c r="F175" s="149">
        <v>24.844024999999998</v>
      </c>
      <c r="G175" s="149">
        <v>25.827387000000002</v>
      </c>
      <c r="H175" s="149">
        <v>26.132898999999998</v>
      </c>
      <c r="I175" s="149">
        <v>27.004311999999999</v>
      </c>
      <c r="J175" s="149">
        <v>27.64751</v>
      </c>
      <c r="K175" s="149">
        <v>28.280308999999999</v>
      </c>
      <c r="L175" s="149">
        <v>27.827314000000001</v>
      </c>
      <c r="M175" s="149">
        <v>28.713318999999998</v>
      </c>
      <c r="N175" s="149">
        <v>27.987736999999999</v>
      </c>
      <c r="O175" s="149">
        <v>28.181688999999999</v>
      </c>
      <c r="P175" s="149">
        <v>27.832937000000001</v>
      </c>
      <c r="Q175" s="149">
        <v>27.475021000000002</v>
      </c>
      <c r="R175" s="149">
        <v>26.703652999999999</v>
      </c>
      <c r="S175" s="149">
        <v>26.529758999999999</v>
      </c>
      <c r="T175" s="149">
        <v>26.690853000000001</v>
      </c>
      <c r="U175" s="149">
        <v>26.593793999999999</v>
      </c>
      <c r="V175" s="149">
        <v>26.782654999999998</v>
      </c>
      <c r="W175" s="1">
        <v>23.5</v>
      </c>
    </row>
    <row r="176" spans="1:23" x14ac:dyDescent="0.35">
      <c r="A176" s="1" t="s">
        <v>408</v>
      </c>
      <c r="B176" s="146" t="s">
        <v>409</v>
      </c>
      <c r="C176" s="149">
        <v>7.9395689999999997</v>
      </c>
      <c r="D176" s="149">
        <v>7.6939169999999999</v>
      </c>
      <c r="E176" s="149">
        <v>6.8195839999999999</v>
      </c>
      <c r="F176" s="149">
        <v>6.9042919999999999</v>
      </c>
      <c r="G176" s="149">
        <v>7.230696</v>
      </c>
      <c r="H176" s="149">
        <v>7.5680699999999996</v>
      </c>
      <c r="I176" s="149">
        <v>7.8398479999999999</v>
      </c>
      <c r="J176" s="149">
        <v>7.906428</v>
      </c>
      <c r="K176" s="149">
        <v>8.1994760000000007</v>
      </c>
      <c r="L176" s="149">
        <v>8.8715910000000004</v>
      </c>
      <c r="M176" s="149">
        <v>9.9689549999999993</v>
      </c>
      <c r="N176" s="149">
        <v>10.272387</v>
      </c>
      <c r="O176" s="149">
        <v>10.244073999999999</v>
      </c>
      <c r="P176" s="149">
        <v>10.218166</v>
      </c>
      <c r="Q176" s="149">
        <v>10.256311999999999</v>
      </c>
      <c r="R176" s="149">
        <v>10.319492</v>
      </c>
      <c r="S176" s="149">
        <v>10.409867999999999</v>
      </c>
      <c r="T176" s="149">
        <v>10.648242</v>
      </c>
      <c r="U176" s="149">
        <v>10.704798</v>
      </c>
      <c r="V176" s="149">
        <v>10.760759999999999</v>
      </c>
      <c r="W176" s="1">
        <v>10.199999999999999</v>
      </c>
    </row>
    <row r="177" spans="1:23" x14ac:dyDescent="0.35">
      <c r="A177" s="1" t="s">
        <v>410</v>
      </c>
      <c r="B177" s="146" t="s">
        <v>411</v>
      </c>
      <c r="C177" s="149">
        <v>5.821421</v>
      </c>
      <c r="D177" s="149">
        <v>5.7999960000000002</v>
      </c>
      <c r="E177" s="149">
        <v>5.8614579999999998</v>
      </c>
      <c r="F177" s="149">
        <v>5.9647139999999998</v>
      </c>
      <c r="G177" s="149">
        <v>6.4149079999999996</v>
      </c>
      <c r="H177" s="149">
        <v>6.4841870000000004</v>
      </c>
      <c r="I177" s="149">
        <v>6.8993510000000002</v>
      </c>
      <c r="J177" s="149">
        <v>7.2284699999999997</v>
      </c>
      <c r="K177" s="149">
        <v>7.5259080000000003</v>
      </c>
      <c r="L177" s="149">
        <v>6.5538990000000004</v>
      </c>
      <c r="M177" s="149">
        <v>5.8475659999999996</v>
      </c>
      <c r="N177" s="149">
        <v>5.7386650000000001</v>
      </c>
      <c r="O177" s="149">
        <v>5.6209530000000001</v>
      </c>
      <c r="P177" s="149">
        <v>5.2551680000000003</v>
      </c>
      <c r="Q177" s="149">
        <v>5.0298949999999998</v>
      </c>
      <c r="R177" s="149">
        <v>4.6120349999999997</v>
      </c>
      <c r="S177" s="149">
        <v>4.5117469999999997</v>
      </c>
      <c r="T177" s="149">
        <v>4.7489910000000002</v>
      </c>
      <c r="U177" s="149">
        <v>4.6549329999999998</v>
      </c>
      <c r="V177" s="149">
        <v>4.6540819999999998</v>
      </c>
      <c r="W177" s="1">
        <v>4.2</v>
      </c>
    </row>
    <row r="178" spans="1:23" x14ac:dyDescent="0.35">
      <c r="A178" s="1" t="s">
        <v>412</v>
      </c>
      <c r="B178" s="146" t="s">
        <v>413</v>
      </c>
      <c r="C178" s="149">
        <v>11.869624999999999</v>
      </c>
      <c r="D178" s="149">
        <v>12.344707</v>
      </c>
      <c r="E178" s="149">
        <v>12.461074</v>
      </c>
      <c r="F178" s="149">
        <v>12.379871</v>
      </c>
      <c r="G178" s="149">
        <v>12.566651999999999</v>
      </c>
      <c r="H178" s="149">
        <v>12.401244</v>
      </c>
      <c r="I178" s="149">
        <v>12.591317</v>
      </c>
      <c r="J178" s="149">
        <v>12.878017</v>
      </c>
      <c r="K178" s="149">
        <v>12.914604000000001</v>
      </c>
      <c r="L178" s="149">
        <v>12.559141</v>
      </c>
      <c r="M178" s="149">
        <v>12.906025</v>
      </c>
      <c r="N178" s="149">
        <v>11.994987999999999</v>
      </c>
      <c r="O178" s="149">
        <v>12.326226</v>
      </c>
      <c r="P178" s="149">
        <v>12.360141</v>
      </c>
      <c r="Q178" s="149">
        <v>12.188813</v>
      </c>
      <c r="R178" s="149">
        <v>11.772126</v>
      </c>
      <c r="S178" s="149">
        <v>11.609786</v>
      </c>
      <c r="T178" s="149">
        <v>11.293810000000001</v>
      </c>
      <c r="U178" s="149">
        <v>11.237798</v>
      </c>
      <c r="V178" s="149">
        <v>11.371221999999999</v>
      </c>
      <c r="W178" s="1">
        <v>9.1999999999999993</v>
      </c>
    </row>
    <row r="179" spans="1:23" x14ac:dyDescent="0.35">
      <c r="A179" s="1" t="s">
        <v>210</v>
      </c>
      <c r="B179" s="146" t="s">
        <v>414</v>
      </c>
      <c r="C179" s="149">
        <v>3.5362130000000001</v>
      </c>
      <c r="D179" s="149">
        <v>3.5740569999999998</v>
      </c>
      <c r="E179" s="149">
        <v>3.7888440000000001</v>
      </c>
      <c r="F179" s="149">
        <v>3.9649969999999999</v>
      </c>
      <c r="G179" s="149">
        <v>4.050351</v>
      </c>
      <c r="H179" s="149">
        <v>4.0165430000000004</v>
      </c>
      <c r="I179" s="149">
        <v>4.0245410000000001</v>
      </c>
      <c r="J179" s="149">
        <v>4.0350239999999999</v>
      </c>
      <c r="K179" s="149">
        <v>4.1594930000000003</v>
      </c>
      <c r="L179" s="149">
        <v>4.1420209999999997</v>
      </c>
      <c r="M179" s="149">
        <v>4.1555400000000002</v>
      </c>
      <c r="N179" s="149">
        <v>4.0399339999999997</v>
      </c>
      <c r="O179" s="149">
        <v>3.90144</v>
      </c>
      <c r="P179" s="149">
        <v>3.7180219999999999</v>
      </c>
      <c r="Q179" s="149">
        <v>3.6030000000000002</v>
      </c>
      <c r="R179" s="149">
        <v>3.5139999999999998</v>
      </c>
      <c r="S179" s="149">
        <v>3.5656469999999998</v>
      </c>
      <c r="T179" s="149">
        <v>3.5540289999999999</v>
      </c>
      <c r="U179" s="149">
        <v>3.4331429999999998</v>
      </c>
      <c r="V179" s="149">
        <v>3.3653550000000001</v>
      </c>
      <c r="W179" s="1">
        <v>3</v>
      </c>
    </row>
    <row r="180" spans="1:23" x14ac:dyDescent="0.35">
      <c r="A180" s="1" t="s">
        <v>415</v>
      </c>
      <c r="B180" s="146" t="s">
        <v>416</v>
      </c>
      <c r="C180" s="149">
        <v>3.5362130000000001</v>
      </c>
      <c r="D180" s="149">
        <v>3.5740569999999998</v>
      </c>
      <c r="E180" s="149">
        <v>3.7888440000000001</v>
      </c>
      <c r="F180" s="149">
        <v>3.9649969999999999</v>
      </c>
      <c r="G180" s="149">
        <v>4.050351</v>
      </c>
      <c r="H180" s="149">
        <v>4.0165430000000004</v>
      </c>
      <c r="I180" s="149">
        <v>4.0245410000000001</v>
      </c>
      <c r="J180" s="149">
        <v>4.0350239999999999</v>
      </c>
      <c r="K180" s="149">
        <v>4.1594930000000003</v>
      </c>
      <c r="L180" s="149">
        <v>4.1420209999999997</v>
      </c>
      <c r="M180" s="149">
        <v>4.1555400000000002</v>
      </c>
      <c r="N180" s="149">
        <v>4.0399339999999997</v>
      </c>
      <c r="O180" s="149">
        <v>3.90144</v>
      </c>
      <c r="P180" s="149">
        <v>3.7180219999999999</v>
      </c>
      <c r="Q180" s="149">
        <v>3.6030000000000002</v>
      </c>
      <c r="R180" s="149">
        <v>3.5139999999999998</v>
      </c>
      <c r="S180" s="149">
        <v>3.5656469999999998</v>
      </c>
      <c r="T180" s="149">
        <v>3.5540289999999999</v>
      </c>
      <c r="U180" s="149">
        <v>3.4331429999999998</v>
      </c>
      <c r="V180" s="149">
        <v>3.3653550000000001</v>
      </c>
      <c r="W180" s="1">
        <v>3</v>
      </c>
    </row>
    <row r="181" spans="1:23" x14ac:dyDescent="0.35">
      <c r="A181" s="1" t="s">
        <v>85</v>
      </c>
      <c r="B181" s="146" t="s">
        <v>222</v>
      </c>
      <c r="C181" s="149">
        <v>1621.24485</v>
      </c>
      <c r="D181" s="149">
        <v>1653.4222569999999</v>
      </c>
      <c r="E181" s="149">
        <v>1671.8504760000001</v>
      </c>
      <c r="F181" s="149">
        <v>1683.7657730000001</v>
      </c>
      <c r="G181" s="149">
        <v>1734.7976839999999</v>
      </c>
      <c r="H181" s="149">
        <v>1760.5171069999999</v>
      </c>
      <c r="I181" s="149">
        <v>1804.1312479999999</v>
      </c>
      <c r="J181" s="149">
        <v>1850.186553</v>
      </c>
      <c r="K181" s="149">
        <v>1859.7010210000001</v>
      </c>
      <c r="L181" s="149">
        <v>1810.8865269999999</v>
      </c>
      <c r="M181" s="149">
        <v>1842.4244630000001</v>
      </c>
      <c r="N181" s="149">
        <v>1883.6692270000001</v>
      </c>
      <c r="O181" s="149">
        <v>1894.309037</v>
      </c>
      <c r="P181" s="149">
        <v>1906.042506</v>
      </c>
      <c r="Q181" s="149">
        <v>1927.230012</v>
      </c>
      <c r="R181" s="149">
        <v>1944.632926</v>
      </c>
      <c r="S181" s="149">
        <v>1963.4609029999999</v>
      </c>
      <c r="T181" s="149">
        <v>2006.1782390000001</v>
      </c>
      <c r="U181" s="149">
        <v>2043.9846809999999</v>
      </c>
      <c r="V181" s="149">
        <v>2082.657815</v>
      </c>
      <c r="W181" s="1">
        <v>1918.7</v>
      </c>
    </row>
    <row r="182" spans="1:23" x14ac:dyDescent="0.35">
      <c r="B182" s="146"/>
    </row>
    <row r="183" spans="1:23" x14ac:dyDescent="0.35">
      <c r="B183" s="146" t="s">
        <v>223</v>
      </c>
    </row>
    <row r="184" spans="1:23" x14ac:dyDescent="0.35">
      <c r="B184" s="146"/>
    </row>
    <row r="185" spans="1:23" x14ac:dyDescent="0.35">
      <c r="B185" s="146" t="s">
        <v>224</v>
      </c>
    </row>
    <row r="188" spans="1:23" ht="23" x14ac:dyDescent="0.35">
      <c r="B188" s="133" t="s">
        <v>417</v>
      </c>
    </row>
    <row r="189" spans="1:23" x14ac:dyDescent="0.35">
      <c r="H189" s="38" t="s">
        <v>418</v>
      </c>
    </row>
    <row r="190" spans="1:23" x14ac:dyDescent="0.35">
      <c r="B190" s="1" t="s">
        <v>419</v>
      </c>
      <c r="C190" s="134">
        <v>2015</v>
      </c>
      <c r="D190" s="158">
        <v>2016</v>
      </c>
      <c r="E190" s="158">
        <v>2017</v>
      </c>
      <c r="F190" s="158">
        <v>2018</v>
      </c>
      <c r="G190" s="158">
        <v>2019</v>
      </c>
      <c r="H190" s="158">
        <v>2020</v>
      </c>
    </row>
    <row r="191" spans="1:23" x14ac:dyDescent="0.35">
      <c r="B191" s="136" t="s">
        <v>24</v>
      </c>
      <c r="C191" s="138">
        <v>25.624379000000001</v>
      </c>
      <c r="D191" s="30">
        <v>26.013804</v>
      </c>
      <c r="E191" s="30">
        <v>26.657764</v>
      </c>
      <c r="F191" s="30">
        <v>25.460822</v>
      </c>
      <c r="G191" s="30">
        <v>25.805907999999999</v>
      </c>
      <c r="H191" s="159">
        <f>G191*0.905</f>
        <v>23.35434674</v>
      </c>
    </row>
    <row r="192" spans="1:23" x14ac:dyDescent="0.35">
      <c r="B192" s="140" t="s">
        <v>25</v>
      </c>
      <c r="C192" s="138">
        <v>41.415126000000001</v>
      </c>
      <c r="D192" s="30">
        <v>42.558777999999997</v>
      </c>
      <c r="E192" s="30">
        <v>43.825743000000003</v>
      </c>
      <c r="F192" s="30">
        <v>45.192982999999998</v>
      </c>
      <c r="G192" s="30">
        <v>47.173411999999999</v>
      </c>
      <c r="H192" s="30">
        <v>34.146974</v>
      </c>
    </row>
    <row r="193" spans="2:16" x14ac:dyDescent="0.35">
      <c r="B193" s="141" t="s">
        <v>26</v>
      </c>
      <c r="C193" s="138">
        <v>8.0230730000000001</v>
      </c>
      <c r="D193" s="30">
        <v>8.0998359999999998</v>
      </c>
      <c r="E193" s="30">
        <v>8.2923500000000008</v>
      </c>
      <c r="F193" s="30">
        <v>8.2701740000000008</v>
      </c>
      <c r="G193" s="30">
        <v>8.3584969999999998</v>
      </c>
      <c r="H193" s="159">
        <f>G193*0.905</f>
        <v>7.5644397850000002</v>
      </c>
    </row>
    <row r="194" spans="2:16" x14ac:dyDescent="0.35">
      <c r="B194" s="142" t="s">
        <v>125</v>
      </c>
      <c r="C194" s="138">
        <v>43.507950999999998</v>
      </c>
      <c r="D194" s="30">
        <v>44.673572</v>
      </c>
      <c r="E194" s="30">
        <v>45.485210000000002</v>
      </c>
      <c r="F194" s="30">
        <v>45.279347999999999</v>
      </c>
      <c r="G194" s="30">
        <v>45.598266000000002</v>
      </c>
      <c r="H194" s="30">
        <v>44.167665</v>
      </c>
    </row>
    <row r="195" spans="2:16" x14ac:dyDescent="0.35">
      <c r="B195" s="143" t="s">
        <v>126</v>
      </c>
      <c r="C195" s="138">
        <v>60.173127999999998</v>
      </c>
      <c r="D195" s="30">
        <v>59.026021</v>
      </c>
      <c r="E195" s="30">
        <v>60.473291000000003</v>
      </c>
      <c r="F195" s="30">
        <v>63.185554000000003</v>
      </c>
      <c r="G195" s="30">
        <v>63.615234000000001</v>
      </c>
      <c r="H195" s="159">
        <f>G195*0.905</f>
        <v>57.571786770000003</v>
      </c>
    </row>
    <row r="196" spans="2:16" x14ac:dyDescent="0.35">
      <c r="B196" s="144" t="s">
        <v>31</v>
      </c>
      <c r="C196" s="138">
        <v>109.505257</v>
      </c>
      <c r="D196" s="30">
        <v>108.449133</v>
      </c>
      <c r="E196" s="30">
        <v>110.800995</v>
      </c>
      <c r="F196" s="30">
        <v>111.94245100000001</v>
      </c>
      <c r="G196" s="30">
        <v>114.881552</v>
      </c>
      <c r="H196" s="30">
        <v>96.546553000000003</v>
      </c>
    </row>
    <row r="197" spans="2:16" x14ac:dyDescent="0.35">
      <c r="B197" s="145" t="s">
        <v>29</v>
      </c>
      <c r="C197" s="138">
        <v>23.294343000000001</v>
      </c>
      <c r="D197" s="30">
        <v>23.04682</v>
      </c>
      <c r="E197" s="30">
        <v>23.307596</v>
      </c>
      <c r="F197" s="30">
        <v>23.241423999999999</v>
      </c>
      <c r="G197" s="30">
        <v>23.721858999999998</v>
      </c>
      <c r="H197" s="159">
        <f>G197*0.905</f>
        <v>21.468282394999999</v>
      </c>
    </row>
    <row r="198" spans="2:16" x14ac:dyDescent="0.35">
      <c r="B198" s="158" t="s">
        <v>420</v>
      </c>
      <c r="C198" s="160">
        <f t="shared" ref="C198:H198" si="8">SUM(C191:C195,C197)</f>
        <v>202.03799999999998</v>
      </c>
      <c r="D198" s="160">
        <f t="shared" si="8"/>
        <v>203.41883099999998</v>
      </c>
      <c r="E198" s="160">
        <f t="shared" si="8"/>
        <v>208.04195399999998</v>
      </c>
      <c r="F198" s="160">
        <f t="shared" si="8"/>
        <v>210.63030499999999</v>
      </c>
      <c r="G198" s="160">
        <f t="shared" si="8"/>
        <v>214.27317599999998</v>
      </c>
      <c r="H198" s="160">
        <f t="shared" si="8"/>
        <v>188.27349468999998</v>
      </c>
    </row>
    <row r="199" spans="2:16" x14ac:dyDescent="0.35">
      <c r="B199" s="1" t="s">
        <v>421</v>
      </c>
      <c r="C199" s="127">
        <f t="shared" ref="C199:H199" si="9">C198+C196</f>
        <v>311.54325699999998</v>
      </c>
      <c r="D199" s="127">
        <f t="shared" si="9"/>
        <v>311.86796399999997</v>
      </c>
      <c r="E199" s="127">
        <f t="shared" si="9"/>
        <v>318.84294899999998</v>
      </c>
      <c r="F199" s="127">
        <f t="shared" si="9"/>
        <v>322.57275600000003</v>
      </c>
      <c r="G199" s="127">
        <f t="shared" si="9"/>
        <v>329.15472799999998</v>
      </c>
      <c r="H199" s="127">
        <f t="shared" si="9"/>
        <v>284.82004768999997</v>
      </c>
    </row>
    <row r="201" spans="2:16" x14ac:dyDescent="0.35">
      <c r="C201" s="425" t="s">
        <v>422</v>
      </c>
      <c r="D201" s="425"/>
      <c r="E201" s="425"/>
      <c r="F201" s="425"/>
      <c r="G201" s="425"/>
      <c r="H201" s="425"/>
      <c r="I201" s="425" t="s">
        <v>423</v>
      </c>
      <c r="J201" s="425"/>
      <c r="K201" s="425"/>
      <c r="L201" s="425"/>
      <c r="M201" s="425"/>
      <c r="N201" s="425"/>
      <c r="O201" s="425" t="s">
        <v>424</v>
      </c>
      <c r="P201" s="425"/>
    </row>
    <row r="202" spans="2:16" x14ac:dyDescent="0.35">
      <c r="C202" s="134">
        <v>2015</v>
      </c>
      <c r="D202" s="158">
        <v>2016</v>
      </c>
      <c r="E202" s="158">
        <v>2017</v>
      </c>
      <c r="F202" s="158">
        <v>2018</v>
      </c>
      <c r="G202" s="158">
        <v>2019</v>
      </c>
      <c r="H202" s="158">
        <v>2020</v>
      </c>
      <c r="I202" s="134">
        <v>2015</v>
      </c>
      <c r="J202" s="158">
        <v>2016</v>
      </c>
      <c r="K202" s="158">
        <v>2017</v>
      </c>
      <c r="L202" s="158">
        <v>2018</v>
      </c>
      <c r="M202" s="158">
        <v>2019</v>
      </c>
      <c r="N202" s="158">
        <v>2020</v>
      </c>
      <c r="O202" s="158">
        <v>2015</v>
      </c>
      <c r="P202" s="158">
        <v>2020</v>
      </c>
    </row>
    <row r="203" spans="2:16" x14ac:dyDescent="0.35">
      <c r="B203" s="5" t="s">
        <v>425</v>
      </c>
      <c r="C203" s="9">
        <v>280.8</v>
      </c>
      <c r="D203" s="9">
        <v>281.10000000000002</v>
      </c>
      <c r="E203" s="9">
        <v>282.89999999999998</v>
      </c>
      <c r="F203" s="9">
        <v>288.8</v>
      </c>
      <c r="G203" s="9">
        <v>300.60000000000002</v>
      </c>
      <c r="H203" s="9">
        <v>272</v>
      </c>
      <c r="I203" s="9">
        <f t="shared" ref="I203:N203" si="10">C203*(1-C206)</f>
        <v>279.39600000000002</v>
      </c>
      <c r="J203" s="9">
        <f t="shared" si="10"/>
        <v>279.13230000000004</v>
      </c>
      <c r="K203" s="9">
        <f t="shared" si="10"/>
        <v>277.80779999999999</v>
      </c>
      <c r="L203" s="9">
        <f t="shared" si="10"/>
        <v>278.40320000000003</v>
      </c>
      <c r="M203" s="9">
        <f t="shared" si="10"/>
        <v>286.1712</v>
      </c>
      <c r="N203" s="9">
        <f t="shared" si="10"/>
        <v>257.584</v>
      </c>
      <c r="O203" s="9">
        <v>266.65699999999998</v>
      </c>
      <c r="P203" s="9">
        <v>249.76707351702399</v>
      </c>
    </row>
    <row r="204" spans="2:16" x14ac:dyDescent="0.35">
      <c r="B204" s="5" t="s">
        <v>426</v>
      </c>
      <c r="C204" s="426"/>
      <c r="D204" s="426"/>
      <c r="E204" s="426"/>
      <c r="F204" s="426"/>
      <c r="G204" s="426"/>
      <c r="H204" s="426"/>
      <c r="I204" s="426"/>
      <c r="J204" s="426"/>
      <c r="K204" s="426"/>
      <c r="L204" s="426"/>
      <c r="M204" s="426"/>
      <c r="N204" s="426"/>
      <c r="O204" s="9">
        <v>228.45824189336599</v>
      </c>
      <c r="P204" s="9">
        <v>215.980157747688</v>
      </c>
    </row>
    <row r="205" spans="2:16" x14ac:dyDescent="0.35">
      <c r="B205" s="5" t="s">
        <v>427</v>
      </c>
      <c r="C205" s="9">
        <v>107.9</v>
      </c>
      <c r="D205" s="9">
        <v>108.4</v>
      </c>
      <c r="E205" s="9">
        <v>113.1</v>
      </c>
      <c r="F205" s="9">
        <v>117.4</v>
      </c>
      <c r="G205" s="9">
        <v>124.1</v>
      </c>
      <c r="H205" s="9">
        <v>106.7</v>
      </c>
      <c r="I205" s="9">
        <f t="shared" ref="I205:N205" si="11">C205*(1-C206)</f>
        <v>107.3605</v>
      </c>
      <c r="J205" s="9">
        <f t="shared" si="11"/>
        <v>107.64120000000001</v>
      </c>
      <c r="K205" s="9">
        <f t="shared" si="11"/>
        <v>111.0642</v>
      </c>
      <c r="L205" s="9">
        <f t="shared" si="11"/>
        <v>113.17360000000001</v>
      </c>
      <c r="M205" s="9">
        <f t="shared" si="11"/>
        <v>118.14319999999999</v>
      </c>
      <c r="N205" s="9">
        <f t="shared" si="11"/>
        <v>101.0449</v>
      </c>
      <c r="O205" s="9">
        <v>107.884</v>
      </c>
      <c r="P205" s="9">
        <v>90.720938362229006</v>
      </c>
    </row>
    <row r="206" spans="2:16" x14ac:dyDescent="0.35">
      <c r="B206" s="1" t="s">
        <v>428</v>
      </c>
      <c r="C206" s="26">
        <v>5.0000000000000001E-3</v>
      </c>
      <c r="D206" s="26">
        <v>7.0000000000000001E-3</v>
      </c>
      <c r="E206" s="26">
        <v>1.7999999999999999E-2</v>
      </c>
      <c r="F206" s="26">
        <v>3.5999999999999997E-2</v>
      </c>
      <c r="G206" s="26">
        <v>4.8000000000000001E-2</v>
      </c>
      <c r="H206" s="26">
        <v>5.2999999999999999E-2</v>
      </c>
    </row>
    <row r="207" spans="2:16" hidden="1" x14ac:dyDescent="0.35"/>
    <row r="208" spans="2:16" hidden="1" x14ac:dyDescent="0.35">
      <c r="B208" s="158" t="s">
        <v>429</v>
      </c>
      <c r="C208" s="161">
        <f>AVERAGE(C198/O204,H198/P204)</f>
        <v>0.87803540111441558</v>
      </c>
      <c r="D208" s="26"/>
    </row>
    <row r="209" spans="2:19" hidden="1" x14ac:dyDescent="0.35">
      <c r="B209" s="162" t="s">
        <v>430</v>
      </c>
    </row>
    <row r="210" spans="2:19" hidden="1" x14ac:dyDescent="0.35">
      <c r="C210" s="424" t="s">
        <v>21</v>
      </c>
      <c r="D210" s="424"/>
      <c r="E210" s="424"/>
      <c r="F210" s="424"/>
      <c r="G210" s="424"/>
      <c r="H210" s="424"/>
      <c r="I210" s="424"/>
      <c r="J210" s="424"/>
      <c r="K210" s="424" t="s">
        <v>22</v>
      </c>
      <c r="L210" s="424"/>
      <c r="M210" s="424"/>
      <c r="N210" s="424"/>
      <c r="O210" s="424"/>
      <c r="P210" s="424"/>
      <c r="Q210" s="424"/>
      <c r="R210" s="424"/>
    </row>
    <row r="211" spans="2:19" hidden="1" x14ac:dyDescent="0.35">
      <c r="B211" s="5" t="s">
        <v>102</v>
      </c>
      <c r="C211" s="163">
        <v>2019</v>
      </c>
      <c r="D211" s="163">
        <v>2020</v>
      </c>
      <c r="E211" s="163">
        <v>2025</v>
      </c>
      <c r="F211" s="163">
        <v>2030</v>
      </c>
      <c r="G211" s="163">
        <v>2035</v>
      </c>
      <c r="H211" s="163">
        <v>2040</v>
      </c>
      <c r="I211" s="163">
        <v>2045</v>
      </c>
      <c r="J211" s="163">
        <v>2050</v>
      </c>
      <c r="K211" s="163">
        <v>2019</v>
      </c>
      <c r="L211" s="163">
        <v>2020</v>
      </c>
      <c r="M211" s="163">
        <v>2025</v>
      </c>
      <c r="N211" s="163">
        <v>2030</v>
      </c>
      <c r="O211" s="163">
        <v>2035</v>
      </c>
      <c r="P211" s="163">
        <v>2040</v>
      </c>
      <c r="Q211" s="163">
        <v>2045</v>
      </c>
      <c r="R211" s="163">
        <v>2050</v>
      </c>
    </row>
    <row r="212" spans="2:19" hidden="1" x14ac:dyDescent="0.35">
      <c r="B212" s="5" t="s">
        <v>431</v>
      </c>
      <c r="C212" s="9">
        <v>263.79228045364903</v>
      </c>
      <c r="D212" s="9">
        <v>235.2055540394</v>
      </c>
      <c r="E212" s="9">
        <v>239.72749600556401</v>
      </c>
      <c r="F212" s="9">
        <v>244.929728371327</v>
      </c>
      <c r="G212" s="9">
        <v>253.551684281391</v>
      </c>
      <c r="H212" s="9">
        <v>268.05452538604999</v>
      </c>
      <c r="I212" s="9">
        <v>286.30709288620301</v>
      </c>
      <c r="J212" s="9">
        <v>305.76299601141397</v>
      </c>
      <c r="K212" s="9">
        <v>263.79228045364903</v>
      </c>
      <c r="L212" s="9">
        <v>235.205554039399</v>
      </c>
      <c r="M212" s="9">
        <v>253.79982776162501</v>
      </c>
      <c r="N212" s="9">
        <v>263.91920734506499</v>
      </c>
      <c r="O212" s="9">
        <v>277.19107422381597</v>
      </c>
      <c r="P212" s="9">
        <v>297.87313484072303</v>
      </c>
      <c r="Q212" s="9">
        <v>322.67523786659001</v>
      </c>
      <c r="R212" s="9">
        <v>348.33878171553903</v>
      </c>
      <c r="S212" s="1" t="s">
        <v>432</v>
      </c>
    </row>
    <row r="213" spans="2:19" hidden="1" x14ac:dyDescent="0.35">
      <c r="B213" s="5" t="s">
        <v>433</v>
      </c>
      <c r="C213" s="9">
        <f t="shared" ref="C213:R213" si="12">C212*$C208</f>
        <v>231.61896077900613</v>
      </c>
      <c r="D213" s="9">
        <f t="shared" si="12"/>
        <v>206.51880298532294</v>
      </c>
      <c r="E213" s="9">
        <f t="shared" si="12"/>
        <v>210.48922811339986</v>
      </c>
      <c r="F213" s="9">
        <f t="shared" si="12"/>
        <v>215.05697229536295</v>
      </c>
      <c r="G213" s="9">
        <f t="shared" si="12"/>
        <v>222.62735481124682</v>
      </c>
      <c r="H213" s="9">
        <f t="shared" si="12"/>
        <v>235.3613627178747</v>
      </c>
      <c r="I213" s="9">
        <f t="shared" si="12"/>
        <v>251.3877631442395</v>
      </c>
      <c r="J213" s="9">
        <f t="shared" si="12"/>
        <v>268.47073484882731</v>
      </c>
      <c r="K213" s="9">
        <f t="shared" si="12"/>
        <v>231.61896077900613</v>
      </c>
      <c r="L213" s="9">
        <f t="shared" si="12"/>
        <v>206.51880298532205</v>
      </c>
      <c r="M213" s="9">
        <f t="shared" si="12"/>
        <v>222.84523357144801</v>
      </c>
      <c r="N213" s="9">
        <f t="shared" si="12"/>
        <v>231.73040708302275</v>
      </c>
      <c r="O213" s="9">
        <f t="shared" si="12"/>
        <v>243.383576041444</v>
      </c>
      <c r="P213" s="9">
        <f t="shared" si="12"/>
        <v>261.54315743108265</v>
      </c>
      <c r="Q213" s="9">
        <f t="shared" si="12"/>
        <v>283.3202819098808</v>
      </c>
      <c r="R213" s="9">
        <f t="shared" si="12"/>
        <v>305.85378192731014</v>
      </c>
    </row>
    <row r="214" spans="2:19" hidden="1" x14ac:dyDescent="0.35">
      <c r="B214" s="5" t="s">
        <v>434</v>
      </c>
      <c r="C214" s="9">
        <v>124.1</v>
      </c>
      <c r="D214" s="9">
        <v>106.7</v>
      </c>
      <c r="E214" s="9">
        <v>113.993023633184</v>
      </c>
      <c r="F214" s="9">
        <v>116.16592190119</v>
      </c>
      <c r="G214" s="9">
        <v>119.77244944755</v>
      </c>
      <c r="H214" s="9">
        <v>124.913474627238</v>
      </c>
      <c r="I214" s="9">
        <v>131.700686828946</v>
      </c>
      <c r="J214" s="9">
        <v>139.093521731273</v>
      </c>
      <c r="K214" s="9">
        <v>124.1</v>
      </c>
      <c r="L214" s="9">
        <v>106.7</v>
      </c>
      <c r="M214" s="9">
        <v>113.993023633183</v>
      </c>
      <c r="N214" s="9">
        <v>116.16592190119</v>
      </c>
      <c r="O214" s="9">
        <v>119.772449447551</v>
      </c>
      <c r="P214" s="9">
        <v>124.913474627238</v>
      </c>
      <c r="Q214" s="9">
        <v>131.700686828946</v>
      </c>
      <c r="R214" s="9">
        <v>139.093521731273</v>
      </c>
    </row>
    <row r="215" spans="2:19" ht="15" hidden="1" customHeight="1" x14ac:dyDescent="0.35"/>
    <row r="216" spans="2:19" hidden="1" x14ac:dyDescent="0.35"/>
  </sheetData>
  <mergeCells count="7">
    <mergeCell ref="C210:J210"/>
    <mergeCell ref="K210:R210"/>
    <mergeCell ref="C201:H201"/>
    <mergeCell ref="I201:N201"/>
    <mergeCell ref="O201:P201"/>
    <mergeCell ref="C204:H204"/>
    <mergeCell ref="I204:N204"/>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597"/>
  </sheetPr>
  <dimension ref="A1:AMK214"/>
  <sheetViews>
    <sheetView topLeftCell="S91" zoomScale="53" zoomScaleNormal="53" workbookViewId="0">
      <selection activeCell="V126" sqref="V126"/>
    </sheetView>
  </sheetViews>
  <sheetFormatPr baseColWidth="10" defaultColWidth="8.7265625" defaultRowHeight="14.5" x14ac:dyDescent="0.35"/>
  <cols>
    <col min="1" max="1" width="8.7265625" style="45" customWidth="1"/>
    <col min="2" max="2" width="10.453125" style="1" customWidth="1"/>
    <col min="3" max="3" width="40.26953125" style="1" customWidth="1"/>
    <col min="4" max="18" width="10.453125" style="1" customWidth="1"/>
    <col min="19" max="19" width="45.453125" style="1" customWidth="1"/>
    <col min="20" max="20" width="10.453125" style="1" customWidth="1"/>
    <col min="21" max="21" width="23" style="1" customWidth="1"/>
    <col min="22" max="22" width="53.26953125" style="1" customWidth="1"/>
    <col min="23" max="40" width="10.453125" style="1" customWidth="1"/>
    <col min="41" max="41" width="31.26953125" style="1" customWidth="1"/>
    <col min="42" max="42" width="37.54296875" style="1" customWidth="1"/>
    <col min="43" max="43" width="6.54296875" style="1" customWidth="1"/>
    <col min="44" max="1025" width="10.453125" style="1" customWidth="1"/>
  </cols>
  <sheetData>
    <row r="1" spans="3:47" x14ac:dyDescent="0.35">
      <c r="U1" s="164"/>
    </row>
    <row r="2" spans="3:47" x14ac:dyDescent="0.35">
      <c r="C2" s="427" t="s">
        <v>435</v>
      </c>
      <c r="D2" s="427"/>
      <c r="E2" s="427"/>
      <c r="F2" s="427"/>
      <c r="G2" s="427"/>
      <c r="H2" s="427"/>
      <c r="I2" s="427"/>
      <c r="J2" s="427"/>
      <c r="K2" s="427"/>
      <c r="L2" s="427"/>
      <c r="M2" s="427"/>
      <c r="N2" s="427"/>
      <c r="O2" s="427"/>
      <c r="P2" s="427"/>
      <c r="Q2" s="427"/>
      <c r="R2" s="427"/>
      <c r="S2" s="427"/>
      <c r="T2" s="427"/>
      <c r="U2" s="427"/>
      <c r="V2" s="427"/>
      <c r="W2" s="427"/>
      <c r="X2" s="427"/>
      <c r="Y2" s="427"/>
      <c r="Z2" s="427"/>
      <c r="AA2" s="427"/>
      <c r="AB2" s="427"/>
      <c r="AC2" s="427"/>
      <c r="AD2" s="427"/>
      <c r="AE2" s="427"/>
      <c r="AF2" s="427"/>
      <c r="AG2" s="427"/>
      <c r="AH2" s="427"/>
      <c r="AI2" s="427"/>
      <c r="AJ2" s="427"/>
      <c r="AK2" s="427"/>
      <c r="AL2" s="427"/>
      <c r="AM2" s="427"/>
    </row>
    <row r="4" spans="3:47" x14ac:dyDescent="0.35">
      <c r="C4" s="165" t="s">
        <v>436</v>
      </c>
      <c r="U4" s="165" t="s">
        <v>437</v>
      </c>
      <c r="V4" s="165"/>
      <c r="W4" s="165"/>
      <c r="X4" s="165"/>
      <c r="Y4" s="165"/>
      <c r="Z4" s="165"/>
      <c r="AA4" s="165"/>
      <c r="AB4" s="165"/>
      <c r="AC4" s="165"/>
      <c r="AD4" s="165"/>
      <c r="AE4" s="165"/>
      <c r="AF4" s="165"/>
      <c r="AG4" s="165"/>
      <c r="AH4" s="165"/>
      <c r="AI4" s="165"/>
      <c r="AJ4" s="165"/>
      <c r="AK4" s="165"/>
      <c r="AL4" s="165"/>
    </row>
    <row r="8" spans="3:47" x14ac:dyDescent="0.35">
      <c r="C8" s="428">
        <v>2019</v>
      </c>
      <c r="D8" s="428"/>
      <c r="E8" s="428"/>
      <c r="F8" s="428"/>
      <c r="G8" s="428"/>
      <c r="H8" s="428"/>
      <c r="I8" s="428"/>
      <c r="J8" s="428"/>
      <c r="K8" s="428"/>
      <c r="L8" s="428"/>
      <c r="M8" s="428"/>
      <c r="N8" s="428"/>
      <c r="O8" s="428"/>
      <c r="P8" s="428"/>
      <c r="Q8" s="428"/>
      <c r="R8" s="428"/>
      <c r="V8" s="429">
        <v>2019</v>
      </c>
      <c r="W8" s="429"/>
      <c r="X8" s="429"/>
      <c r="Y8" s="429"/>
      <c r="Z8" s="429"/>
      <c r="AA8" s="429"/>
      <c r="AB8" s="429"/>
      <c r="AC8" s="429"/>
      <c r="AD8" s="429"/>
      <c r="AE8" s="429"/>
      <c r="AF8" s="429"/>
      <c r="AG8" s="429"/>
      <c r="AH8" s="429"/>
      <c r="AI8" s="429"/>
      <c r="AJ8" s="429"/>
      <c r="AK8" s="429"/>
      <c r="AL8" s="429"/>
    </row>
    <row r="9" spans="3:47" ht="30" customHeight="1" x14ac:dyDescent="0.35">
      <c r="C9" s="430" t="s">
        <v>438</v>
      </c>
      <c r="D9" s="430"/>
      <c r="E9" s="431" t="s">
        <v>439</v>
      </c>
      <c r="F9" s="431" t="s">
        <v>440</v>
      </c>
      <c r="G9" s="431" t="s">
        <v>441</v>
      </c>
      <c r="H9" s="431" t="s">
        <v>442</v>
      </c>
      <c r="I9" s="431" t="s">
        <v>443</v>
      </c>
      <c r="J9" s="431"/>
      <c r="K9" s="431"/>
      <c r="L9" s="431"/>
      <c r="M9" s="431" t="s">
        <v>444</v>
      </c>
      <c r="N9" s="431" t="s">
        <v>445</v>
      </c>
      <c r="O9" s="431" t="s">
        <v>446</v>
      </c>
      <c r="P9" s="431" t="s">
        <v>447</v>
      </c>
      <c r="Q9" s="167" t="s">
        <v>448</v>
      </c>
      <c r="R9" s="431" t="s">
        <v>52</v>
      </c>
      <c r="V9" s="430" t="s">
        <v>438</v>
      </c>
      <c r="W9" s="430"/>
      <c r="X9" s="431" t="s">
        <v>439</v>
      </c>
      <c r="Y9" s="166"/>
      <c r="Z9" s="431" t="s">
        <v>441</v>
      </c>
      <c r="AA9" s="431" t="s">
        <v>442</v>
      </c>
      <c r="AB9" s="431" t="s">
        <v>443</v>
      </c>
      <c r="AC9" s="431"/>
      <c r="AD9" s="431"/>
      <c r="AE9" s="431"/>
      <c r="AF9" s="431" t="s">
        <v>444</v>
      </c>
      <c r="AG9" s="431" t="s">
        <v>445</v>
      </c>
      <c r="AH9" s="431" t="s">
        <v>446</v>
      </c>
      <c r="AI9" s="168"/>
      <c r="AJ9" s="431" t="s">
        <v>447</v>
      </c>
      <c r="AK9" s="167" t="s">
        <v>448</v>
      </c>
      <c r="AL9" s="431" t="s">
        <v>52</v>
      </c>
      <c r="AR9" s="425" t="s">
        <v>449</v>
      </c>
      <c r="AS9" s="425"/>
      <c r="AT9" s="425" t="s">
        <v>450</v>
      </c>
      <c r="AU9" s="425"/>
    </row>
    <row r="10" spans="3:47" ht="43.5" x14ac:dyDescent="0.35">
      <c r="C10" s="430"/>
      <c r="D10" s="430"/>
      <c r="E10" s="431"/>
      <c r="F10" s="431"/>
      <c r="G10" s="431"/>
      <c r="H10" s="431"/>
      <c r="I10" s="167" t="s">
        <v>451</v>
      </c>
      <c r="J10" s="167" t="s">
        <v>452</v>
      </c>
      <c r="K10" s="167" t="s">
        <v>453</v>
      </c>
      <c r="L10" s="167" t="s">
        <v>454</v>
      </c>
      <c r="M10" s="431"/>
      <c r="N10" s="431"/>
      <c r="O10" s="431"/>
      <c r="P10" s="431"/>
      <c r="Q10" s="167" t="s">
        <v>448</v>
      </c>
      <c r="R10" s="431"/>
      <c r="V10" s="430"/>
      <c r="W10" s="430"/>
      <c r="X10" s="431"/>
      <c r="Y10" s="166" t="s">
        <v>455</v>
      </c>
      <c r="Z10" s="431"/>
      <c r="AA10" s="431"/>
      <c r="AB10" s="167" t="s">
        <v>451</v>
      </c>
      <c r="AC10" s="167" t="s">
        <v>452</v>
      </c>
      <c r="AD10" s="167" t="s">
        <v>453</v>
      </c>
      <c r="AE10" s="167" t="s">
        <v>454</v>
      </c>
      <c r="AF10" s="431"/>
      <c r="AG10" s="431"/>
      <c r="AH10" s="431"/>
      <c r="AI10" s="169" t="s">
        <v>456</v>
      </c>
      <c r="AJ10" s="431"/>
      <c r="AK10" s="167" t="s">
        <v>448</v>
      </c>
      <c r="AL10" s="431"/>
      <c r="AO10" s="148"/>
      <c r="AR10" s="1" t="s">
        <v>457</v>
      </c>
      <c r="AS10" s="1" t="s">
        <v>458</v>
      </c>
      <c r="AT10" s="1" t="s">
        <v>457</v>
      </c>
      <c r="AU10" s="1" t="s">
        <v>458</v>
      </c>
    </row>
    <row r="11" spans="3:47" x14ac:dyDescent="0.35">
      <c r="C11" s="432" t="s">
        <v>24</v>
      </c>
      <c r="D11" s="432"/>
      <c r="E11" s="170">
        <v>24190.062730000001</v>
      </c>
      <c r="F11" s="170"/>
      <c r="G11" s="170">
        <v>1324.6569999999999</v>
      </c>
      <c r="H11" s="170">
        <v>17579.52421</v>
      </c>
      <c r="I11" s="170">
        <v>6.9779999999999998</v>
      </c>
      <c r="J11" s="170">
        <v>0</v>
      </c>
      <c r="K11" s="170">
        <v>0</v>
      </c>
      <c r="L11" s="170">
        <v>0</v>
      </c>
      <c r="M11" s="170"/>
      <c r="N11" s="170">
        <v>0</v>
      </c>
      <c r="O11" s="170">
        <v>20853.753000000001</v>
      </c>
      <c r="P11" s="170">
        <v>117.46299999999999</v>
      </c>
      <c r="Q11" s="170">
        <v>0</v>
      </c>
      <c r="R11" s="170">
        <v>64072.437940000003</v>
      </c>
      <c r="U11" s="171"/>
      <c r="V11" s="432" t="s">
        <v>24</v>
      </c>
      <c r="W11" s="432"/>
      <c r="X11" s="170">
        <v>19671.074860000001</v>
      </c>
      <c r="Y11" s="170">
        <v>27950.379000000001</v>
      </c>
      <c r="Z11" s="170">
        <v>1324.6569999999999</v>
      </c>
      <c r="AA11" s="170">
        <v>9299.348</v>
      </c>
      <c r="AB11" s="170">
        <v>6.9779999999999998</v>
      </c>
      <c r="AC11" s="170">
        <v>0</v>
      </c>
      <c r="AD11" s="170">
        <v>0</v>
      </c>
      <c r="AE11" s="170">
        <v>0</v>
      </c>
      <c r="AF11" s="170"/>
      <c r="AG11" s="170">
        <v>0</v>
      </c>
      <c r="AH11" s="170">
        <v>20853.753000000001</v>
      </c>
      <c r="AI11" s="170">
        <v>0</v>
      </c>
      <c r="AJ11" s="170">
        <v>117.46299999999999</v>
      </c>
      <c r="AK11" s="170">
        <v>0</v>
      </c>
      <c r="AL11" s="170">
        <v>79223.652860000002</v>
      </c>
      <c r="AM11" s="148" t="s">
        <v>459</v>
      </c>
      <c r="AO11" s="148" t="s">
        <v>460</v>
      </c>
      <c r="AP11" s="432" t="s">
        <v>24</v>
      </c>
      <c r="AQ11" s="432"/>
    </row>
    <row r="12" spans="3:47" x14ac:dyDescent="0.35">
      <c r="C12" s="172" t="s">
        <v>461</v>
      </c>
      <c r="D12" s="172" t="s">
        <v>457</v>
      </c>
      <c r="E12" s="173">
        <v>29391.005140000001</v>
      </c>
      <c r="F12" s="173"/>
      <c r="G12" s="173">
        <v>221.4588</v>
      </c>
      <c r="H12" s="173">
        <v>14402.57315</v>
      </c>
      <c r="I12" s="173">
        <v>-50.812139999999999</v>
      </c>
      <c r="J12" s="173">
        <v>0</v>
      </c>
      <c r="K12" s="173">
        <v>0</v>
      </c>
      <c r="L12" s="173">
        <v>0</v>
      </c>
      <c r="M12" s="173"/>
      <c r="N12" s="173">
        <v>0</v>
      </c>
      <c r="O12" s="173">
        <v>11347.083500000001</v>
      </c>
      <c r="P12" s="173">
        <v>117.46299999999999</v>
      </c>
      <c r="Q12" s="173">
        <v>0</v>
      </c>
      <c r="R12" s="170">
        <v>55428.77145</v>
      </c>
      <c r="U12" s="171"/>
      <c r="V12" s="172" t="s">
        <v>461</v>
      </c>
      <c r="W12" s="172" t="s">
        <v>457</v>
      </c>
      <c r="X12" s="174">
        <v>18488.833859999999</v>
      </c>
      <c r="Y12" s="174">
        <v>27318.87</v>
      </c>
      <c r="Z12" s="174">
        <v>0</v>
      </c>
      <c r="AA12" s="174">
        <v>0</v>
      </c>
      <c r="AB12" s="174">
        <v>0</v>
      </c>
      <c r="AC12" s="174">
        <v>0</v>
      </c>
      <c r="AD12" s="174">
        <v>0</v>
      </c>
      <c r="AE12" s="174">
        <v>0</v>
      </c>
      <c r="AF12" s="174"/>
      <c r="AG12" s="174">
        <v>0</v>
      </c>
      <c r="AH12" s="174">
        <v>0</v>
      </c>
      <c r="AI12" s="174">
        <v>0</v>
      </c>
      <c r="AJ12" s="174">
        <v>0</v>
      </c>
      <c r="AK12" s="174">
        <v>0</v>
      </c>
      <c r="AL12" s="174">
        <v>45807.703860000001</v>
      </c>
      <c r="AM12" s="1" t="s">
        <v>462</v>
      </c>
      <c r="AO12" s="1" t="s">
        <v>463</v>
      </c>
      <c r="AP12" s="172" t="s">
        <v>461</v>
      </c>
      <c r="AQ12" s="172" t="s">
        <v>457</v>
      </c>
      <c r="AR12" s="1">
        <v>157.6</v>
      </c>
      <c r="AS12" s="175">
        <f>AR12/AL12</f>
        <v>3.4404693254581303E-3</v>
      </c>
      <c r="AT12" s="127">
        <v>2093.6669999999999</v>
      </c>
      <c r="AU12" s="175">
        <f>AT12/AL12</f>
        <v>4.5705565299644334E-2</v>
      </c>
    </row>
    <row r="13" spans="3:47" x14ac:dyDescent="0.35">
      <c r="C13" s="172" t="s">
        <v>464</v>
      </c>
      <c r="D13" s="172" t="s">
        <v>457</v>
      </c>
      <c r="E13" s="173">
        <v>68.343100000000007</v>
      </c>
      <c r="F13" s="173"/>
      <c r="G13" s="173">
        <v>39.053199999999997</v>
      </c>
      <c r="H13" s="173">
        <v>372.95805999999999</v>
      </c>
      <c r="I13" s="173">
        <v>56.627139999999997</v>
      </c>
      <c r="J13" s="173">
        <v>0</v>
      </c>
      <c r="K13" s="173">
        <v>0</v>
      </c>
      <c r="L13" s="173">
        <v>0</v>
      </c>
      <c r="M13" s="173"/>
      <c r="N13" s="173">
        <v>0</v>
      </c>
      <c r="O13" s="173">
        <v>1415.6785</v>
      </c>
      <c r="P13" s="173">
        <v>0</v>
      </c>
      <c r="Q13" s="173">
        <v>0</v>
      </c>
      <c r="R13" s="170">
        <v>1952.66</v>
      </c>
      <c r="U13" s="171"/>
      <c r="V13" s="172" t="s">
        <v>464</v>
      </c>
      <c r="W13" s="172" t="s">
        <v>457</v>
      </c>
      <c r="X13" s="176">
        <v>68.343100000000007</v>
      </c>
      <c r="Y13" s="174">
        <v>0</v>
      </c>
      <c r="Z13" s="176">
        <v>39.053199999999997</v>
      </c>
      <c r="AA13" s="176">
        <v>429.58519999999999</v>
      </c>
      <c r="AB13" s="174">
        <v>0</v>
      </c>
      <c r="AC13" s="174">
        <v>0</v>
      </c>
      <c r="AD13" s="174">
        <v>0</v>
      </c>
      <c r="AE13" s="174">
        <v>0</v>
      </c>
      <c r="AF13" s="174"/>
      <c r="AG13" s="174">
        <v>0</v>
      </c>
      <c r="AH13" s="176">
        <v>1415.6785</v>
      </c>
      <c r="AI13" s="174">
        <v>0</v>
      </c>
      <c r="AJ13" s="174">
        <v>0</v>
      </c>
      <c r="AK13" s="174">
        <v>0</v>
      </c>
      <c r="AL13" s="176">
        <v>1952.66</v>
      </c>
      <c r="AM13" s="177" t="s">
        <v>465</v>
      </c>
      <c r="AO13" s="177"/>
      <c r="AP13" s="172" t="s">
        <v>464</v>
      </c>
      <c r="AQ13" s="172" t="s">
        <v>457</v>
      </c>
      <c r="AS13" s="175"/>
      <c r="AU13" s="175"/>
    </row>
    <row r="14" spans="3:47" x14ac:dyDescent="0.35">
      <c r="C14" s="172" t="s">
        <v>466</v>
      </c>
      <c r="D14" s="172" t="s">
        <v>457</v>
      </c>
      <c r="E14" s="173">
        <v>0</v>
      </c>
      <c r="F14" s="173"/>
      <c r="G14" s="173">
        <v>0</v>
      </c>
      <c r="H14" s="173">
        <v>0</v>
      </c>
      <c r="I14" s="173">
        <v>0</v>
      </c>
      <c r="J14" s="173">
        <v>0</v>
      </c>
      <c r="K14" s="173">
        <v>0</v>
      </c>
      <c r="L14" s="173">
        <v>0</v>
      </c>
      <c r="M14" s="173"/>
      <c r="N14" s="173">
        <v>0</v>
      </c>
      <c r="O14" s="173">
        <v>0</v>
      </c>
      <c r="P14" s="173">
        <v>0</v>
      </c>
      <c r="Q14" s="173">
        <v>0</v>
      </c>
      <c r="R14" s="170">
        <v>0</v>
      </c>
      <c r="U14" s="171"/>
      <c r="V14" s="172" t="s">
        <v>466</v>
      </c>
      <c r="W14" s="172" t="s">
        <v>457</v>
      </c>
      <c r="X14" s="174">
        <v>0</v>
      </c>
      <c r="Y14" s="174">
        <v>0</v>
      </c>
      <c r="Z14" s="174">
        <v>0</v>
      </c>
      <c r="AA14" s="174">
        <v>0</v>
      </c>
      <c r="AB14" s="174">
        <v>0</v>
      </c>
      <c r="AC14" s="174">
        <v>0</v>
      </c>
      <c r="AD14" s="174">
        <v>0</v>
      </c>
      <c r="AE14" s="174">
        <v>0</v>
      </c>
      <c r="AF14" s="174"/>
      <c r="AG14" s="174">
        <v>0</v>
      </c>
      <c r="AH14" s="174">
        <v>0</v>
      </c>
      <c r="AI14" s="174">
        <v>0</v>
      </c>
      <c r="AJ14" s="174">
        <v>0</v>
      </c>
      <c r="AK14" s="174">
        <v>0</v>
      </c>
      <c r="AL14" s="174">
        <v>0</v>
      </c>
      <c r="AP14" s="172" t="s">
        <v>466</v>
      </c>
      <c r="AQ14" s="172" t="s">
        <v>457</v>
      </c>
      <c r="AS14" s="175"/>
      <c r="AU14" s="175"/>
    </row>
    <row r="15" spans="3:47" x14ac:dyDescent="0.35">
      <c r="C15" s="172"/>
      <c r="D15" s="172"/>
      <c r="E15" s="173"/>
      <c r="F15" s="173"/>
      <c r="G15" s="173"/>
      <c r="H15" s="173"/>
      <c r="I15" s="173"/>
      <c r="J15" s="173"/>
      <c r="K15" s="173"/>
      <c r="L15" s="173"/>
      <c r="M15" s="173"/>
      <c r="N15" s="173"/>
      <c r="O15" s="173"/>
      <c r="P15" s="173"/>
      <c r="Q15" s="173"/>
      <c r="R15" s="170"/>
      <c r="U15" s="171"/>
      <c r="V15" s="178" t="s">
        <v>467</v>
      </c>
      <c r="W15" s="172" t="s">
        <v>457</v>
      </c>
      <c r="X15" s="176">
        <v>1087.6789000000001</v>
      </c>
      <c r="Y15" s="174">
        <v>631.50900000000001</v>
      </c>
      <c r="Z15" s="176">
        <v>221.4588</v>
      </c>
      <c r="AA15" s="176">
        <v>6065.7698</v>
      </c>
      <c r="AB15" s="173">
        <v>5.8150000000000004</v>
      </c>
      <c r="AC15" s="174">
        <v>0</v>
      </c>
      <c r="AD15" s="174"/>
      <c r="AE15" s="174"/>
      <c r="AF15" s="174"/>
      <c r="AG15" s="174"/>
      <c r="AH15" s="176">
        <v>11347.083500000001</v>
      </c>
      <c r="AI15" s="174">
        <v>0</v>
      </c>
      <c r="AJ15" s="174">
        <v>117.46299999999999</v>
      </c>
      <c r="AK15" s="174">
        <v>0</v>
      </c>
      <c r="AL15" s="176">
        <v>19476.777999999998</v>
      </c>
      <c r="AM15" s="1" t="s">
        <v>468</v>
      </c>
      <c r="AN15" s="175"/>
      <c r="AO15" s="1" t="s">
        <v>463</v>
      </c>
      <c r="AP15" s="178" t="s">
        <v>467</v>
      </c>
      <c r="AQ15" s="172" t="s">
        <v>457</v>
      </c>
      <c r="AS15" s="175"/>
      <c r="AU15" s="175"/>
    </row>
    <row r="16" spans="3:47" x14ac:dyDescent="0.35">
      <c r="C16" s="172" t="s">
        <v>469</v>
      </c>
      <c r="D16" s="172" t="s">
        <v>457</v>
      </c>
      <c r="E16" s="173">
        <v>25.056000000000001</v>
      </c>
      <c r="F16" s="173"/>
      <c r="G16" s="173">
        <v>175.392</v>
      </c>
      <c r="H16" s="173">
        <v>1566</v>
      </c>
      <c r="I16" s="173">
        <v>0</v>
      </c>
      <c r="J16" s="173">
        <v>0</v>
      </c>
      <c r="K16" s="173">
        <v>0</v>
      </c>
      <c r="L16" s="173">
        <v>0</v>
      </c>
      <c r="M16" s="173"/>
      <c r="N16" s="173">
        <v>0</v>
      </c>
      <c r="O16" s="173">
        <v>4447.4399999999996</v>
      </c>
      <c r="P16" s="173">
        <v>50.112000000000002</v>
      </c>
      <c r="Q16" s="173">
        <v>0</v>
      </c>
      <c r="R16" s="170">
        <v>6264</v>
      </c>
      <c r="U16" s="171"/>
      <c r="V16" s="172" t="s">
        <v>469</v>
      </c>
      <c r="W16" s="172" t="s">
        <v>457</v>
      </c>
      <c r="X16" s="174">
        <v>25.056000000000001</v>
      </c>
      <c r="Y16" s="174">
        <v>0</v>
      </c>
      <c r="Z16" s="176">
        <v>175.392</v>
      </c>
      <c r="AA16" s="174">
        <v>1566</v>
      </c>
      <c r="AB16" s="174">
        <v>0</v>
      </c>
      <c r="AC16" s="174">
        <v>0</v>
      </c>
      <c r="AD16" s="174">
        <v>0</v>
      </c>
      <c r="AE16" s="174">
        <v>0</v>
      </c>
      <c r="AF16" s="174"/>
      <c r="AG16" s="174">
        <v>0</v>
      </c>
      <c r="AH16" s="174">
        <v>4447.4399999999996</v>
      </c>
      <c r="AI16" s="174">
        <v>0</v>
      </c>
      <c r="AJ16" s="174">
        <v>0</v>
      </c>
      <c r="AK16" s="174">
        <v>0</v>
      </c>
      <c r="AL16" s="176">
        <v>6264</v>
      </c>
      <c r="AM16" s="1" t="s">
        <v>470</v>
      </c>
      <c r="AP16" s="172" t="s">
        <v>469</v>
      </c>
      <c r="AQ16" s="172" t="s">
        <v>457</v>
      </c>
      <c r="AS16" s="175"/>
      <c r="AT16" s="127">
        <v>55.878</v>
      </c>
      <c r="AU16" s="175">
        <f>AT16/AL16</f>
        <v>8.9204980842911875E-3</v>
      </c>
    </row>
    <row r="17" spans="3:47" x14ac:dyDescent="0.35">
      <c r="C17" s="172" t="s">
        <v>471</v>
      </c>
      <c r="D17" s="172" t="s">
        <v>457</v>
      </c>
      <c r="E17" s="173">
        <v>0</v>
      </c>
      <c r="F17" s="173"/>
      <c r="G17" s="173">
        <v>0</v>
      </c>
      <c r="H17" s="179">
        <f>R17*0.9</f>
        <v>400.95</v>
      </c>
      <c r="I17" s="173">
        <v>0</v>
      </c>
      <c r="J17" s="173">
        <v>0</v>
      </c>
      <c r="K17" s="173">
        <v>0</v>
      </c>
      <c r="L17" s="173">
        <v>0</v>
      </c>
      <c r="M17" s="173"/>
      <c r="N17" s="173">
        <v>0</v>
      </c>
      <c r="O17" s="179">
        <f>445.5*0.1</f>
        <v>44.550000000000004</v>
      </c>
      <c r="P17" s="173">
        <v>0</v>
      </c>
      <c r="Q17" s="173">
        <v>0</v>
      </c>
      <c r="R17" s="170">
        <v>445.5</v>
      </c>
      <c r="U17" s="171"/>
      <c r="V17" s="172" t="s">
        <v>471</v>
      </c>
      <c r="W17" s="172" t="s">
        <v>457</v>
      </c>
      <c r="X17" s="174">
        <v>0</v>
      </c>
      <c r="Y17" s="174">
        <v>0</v>
      </c>
      <c r="Z17" s="176">
        <v>32.923333333333296</v>
      </c>
      <c r="AA17" s="176">
        <v>855.74222222222204</v>
      </c>
      <c r="AB17" s="174">
        <v>0</v>
      </c>
      <c r="AC17" s="174">
        <v>0</v>
      </c>
      <c r="AD17" s="174">
        <v>0</v>
      </c>
      <c r="AE17" s="174">
        <v>0</v>
      </c>
      <c r="AF17" s="174"/>
      <c r="AG17" s="174">
        <v>0</v>
      </c>
      <c r="AH17" s="176">
        <v>448.63</v>
      </c>
      <c r="AI17" s="174">
        <v>0</v>
      </c>
      <c r="AJ17" s="174">
        <v>0</v>
      </c>
      <c r="AK17" s="174">
        <v>0</v>
      </c>
      <c r="AL17" s="176">
        <v>1337.29555555556</v>
      </c>
      <c r="AM17" s="177" t="s">
        <v>472</v>
      </c>
      <c r="AP17" s="172" t="s">
        <v>471</v>
      </c>
      <c r="AQ17" s="172" t="s">
        <v>457</v>
      </c>
      <c r="AS17" s="175"/>
      <c r="AU17" s="175"/>
    </row>
    <row r="18" spans="3:47" x14ac:dyDescent="0.35">
      <c r="C18" s="172" t="s">
        <v>473</v>
      </c>
      <c r="D18" s="172" t="s">
        <v>457</v>
      </c>
      <c r="E18" s="173">
        <v>1.163</v>
      </c>
      <c r="F18" s="173"/>
      <c r="G18" s="173">
        <v>888.75300000000004</v>
      </c>
      <c r="H18" s="173">
        <v>1237.9929999999999</v>
      </c>
      <c r="I18" s="173">
        <v>1.163</v>
      </c>
      <c r="J18" s="173">
        <v>0</v>
      </c>
      <c r="K18" s="173">
        <v>0</v>
      </c>
      <c r="L18" s="173">
        <v>0</v>
      </c>
      <c r="M18" s="173"/>
      <c r="N18" s="173">
        <v>0</v>
      </c>
      <c r="O18" s="173">
        <v>3198.0509999999999</v>
      </c>
      <c r="P18" s="173">
        <v>-50.112000000000002</v>
      </c>
      <c r="Q18" s="173">
        <v>0</v>
      </c>
      <c r="R18" s="170">
        <v>5277.0110000000004</v>
      </c>
      <c r="U18" s="171"/>
      <c r="V18" s="172" t="s">
        <v>473</v>
      </c>
      <c r="W18" s="172" t="s">
        <v>457</v>
      </c>
      <c r="X18" s="174">
        <v>1.163</v>
      </c>
      <c r="Y18" s="174">
        <v>0</v>
      </c>
      <c r="Z18" s="176">
        <v>855.82966666666698</v>
      </c>
      <c r="AA18" s="176">
        <v>382.25077777777801</v>
      </c>
      <c r="AB18" s="174">
        <v>1.163</v>
      </c>
      <c r="AC18" s="174">
        <v>0</v>
      </c>
      <c r="AD18" s="174">
        <v>0</v>
      </c>
      <c r="AE18" s="174">
        <v>0</v>
      </c>
      <c r="AF18" s="174"/>
      <c r="AG18" s="174">
        <v>0</v>
      </c>
      <c r="AH18" s="176">
        <v>3194.9209999999998</v>
      </c>
      <c r="AI18" s="174">
        <v>0</v>
      </c>
      <c r="AJ18" s="174">
        <v>0</v>
      </c>
      <c r="AK18" s="174">
        <v>0</v>
      </c>
      <c r="AL18" s="176">
        <v>4385.2154444444404</v>
      </c>
      <c r="AM18" s="1" t="s">
        <v>468</v>
      </c>
      <c r="AN18" s="175"/>
      <c r="AP18" s="172" t="s">
        <v>473</v>
      </c>
      <c r="AQ18" s="172" t="s">
        <v>457</v>
      </c>
      <c r="AR18" s="1">
        <v>86.5</v>
      </c>
      <c r="AS18" s="175">
        <f>AR18/AL18</f>
        <v>1.9725370645035347E-2</v>
      </c>
      <c r="AT18" s="127">
        <v>82.619</v>
      </c>
      <c r="AU18" s="175">
        <f>AT18/AL18</f>
        <v>1.8840351414129194E-2</v>
      </c>
    </row>
    <row r="19" spans="3:47" x14ac:dyDescent="0.35">
      <c r="C19" s="432" t="s">
        <v>25</v>
      </c>
      <c r="D19" s="432"/>
      <c r="E19" s="170">
        <v>3728.8687500000001</v>
      </c>
      <c r="F19" s="170"/>
      <c r="G19" s="170">
        <v>4401.59447</v>
      </c>
      <c r="H19" s="170">
        <v>35658.52203</v>
      </c>
      <c r="I19" s="170">
        <v>1080.47352000001</v>
      </c>
      <c r="J19" s="170">
        <v>0</v>
      </c>
      <c r="K19" s="170">
        <v>0</v>
      </c>
      <c r="L19" s="170">
        <v>0</v>
      </c>
      <c r="M19" s="170"/>
      <c r="N19" s="170">
        <v>0</v>
      </c>
      <c r="O19" s="170">
        <v>19634.219570000001</v>
      </c>
      <c r="P19" s="170">
        <v>11362.64956</v>
      </c>
      <c r="Q19" s="170">
        <v>0</v>
      </c>
      <c r="R19" s="170">
        <v>75866.327900000004</v>
      </c>
      <c r="U19" s="171"/>
      <c r="V19" s="432" t="s">
        <v>25</v>
      </c>
      <c r="W19" s="432"/>
      <c r="X19" s="170">
        <v>3659.9609999999998</v>
      </c>
      <c r="Y19" s="170">
        <v>68.907749999999993</v>
      </c>
      <c r="Z19" s="170">
        <v>4401.59447</v>
      </c>
      <c r="AA19" s="170">
        <v>35658.52203</v>
      </c>
      <c r="AB19" s="170">
        <v>1080.47352000001</v>
      </c>
      <c r="AC19" s="170">
        <v>0</v>
      </c>
      <c r="AD19" s="170">
        <v>0</v>
      </c>
      <c r="AE19" s="170">
        <v>0</v>
      </c>
      <c r="AF19" s="170"/>
      <c r="AG19" s="170">
        <v>0</v>
      </c>
      <c r="AH19" s="170">
        <v>19634.219570000001</v>
      </c>
      <c r="AI19" s="170">
        <v>0</v>
      </c>
      <c r="AJ19" s="170">
        <v>11362.64956</v>
      </c>
      <c r="AK19" s="170">
        <v>0</v>
      </c>
      <c r="AL19" s="170">
        <v>75866.327900000004</v>
      </c>
      <c r="AM19" s="1" t="s">
        <v>474</v>
      </c>
      <c r="AP19" s="432" t="s">
        <v>25</v>
      </c>
      <c r="AQ19" s="432"/>
      <c r="AS19" s="175"/>
      <c r="AU19" s="175"/>
    </row>
    <row r="20" spans="3:47" x14ac:dyDescent="0.35">
      <c r="C20" s="172" t="s">
        <v>475</v>
      </c>
      <c r="D20" s="172" t="s">
        <v>457</v>
      </c>
      <c r="E20" s="173">
        <v>0</v>
      </c>
      <c r="F20" s="173"/>
      <c r="G20" s="173">
        <v>26.879492334423301</v>
      </c>
      <c r="H20" s="173">
        <v>4999.5855742027297</v>
      </c>
      <c r="I20" s="173">
        <v>26.879492334423301</v>
      </c>
      <c r="J20" s="173">
        <v>0</v>
      </c>
      <c r="K20" s="173">
        <v>0</v>
      </c>
      <c r="L20" s="173">
        <v>0</v>
      </c>
      <c r="M20" s="173"/>
      <c r="N20" s="173">
        <v>0</v>
      </c>
      <c r="O20" s="173">
        <v>322.55390801307902</v>
      </c>
      <c r="P20" s="173">
        <v>0</v>
      </c>
      <c r="Q20" s="173">
        <v>0</v>
      </c>
      <c r="R20" s="170">
        <v>5375.8984668846497</v>
      </c>
      <c r="U20" s="171"/>
      <c r="V20" s="172" t="s">
        <v>475</v>
      </c>
      <c r="W20" s="172" t="s">
        <v>457</v>
      </c>
      <c r="X20" s="173">
        <v>0</v>
      </c>
      <c r="Y20" s="173">
        <v>0</v>
      </c>
      <c r="Z20" s="173">
        <v>26.879492334423301</v>
      </c>
      <c r="AA20" s="173">
        <v>4999.5855742027297</v>
      </c>
      <c r="AB20" s="173">
        <v>26.879492334423301</v>
      </c>
      <c r="AC20" s="173">
        <v>0</v>
      </c>
      <c r="AD20" s="173">
        <v>0</v>
      </c>
      <c r="AE20" s="173">
        <v>0</v>
      </c>
      <c r="AF20" s="173"/>
      <c r="AG20" s="173">
        <v>0</v>
      </c>
      <c r="AH20" s="173">
        <v>322.55390801307902</v>
      </c>
      <c r="AI20" s="173">
        <v>0</v>
      </c>
      <c r="AJ20" s="173">
        <v>0</v>
      </c>
      <c r="AK20" s="173">
        <v>0</v>
      </c>
      <c r="AL20" s="173">
        <v>5375.8984668846497</v>
      </c>
      <c r="AM20" s="1" t="s">
        <v>470</v>
      </c>
      <c r="AP20" s="172" t="s">
        <v>475</v>
      </c>
      <c r="AQ20" s="172" t="s">
        <v>457</v>
      </c>
      <c r="AS20" s="175"/>
      <c r="AU20" s="175"/>
    </row>
    <row r="21" spans="3:47" x14ac:dyDescent="0.35">
      <c r="C21" s="172" t="s">
        <v>476</v>
      </c>
      <c r="D21" s="172" t="s">
        <v>457</v>
      </c>
      <c r="E21" s="173">
        <v>0</v>
      </c>
      <c r="F21" s="173"/>
      <c r="G21" s="173">
        <v>1703.6673708114899</v>
      </c>
      <c r="H21" s="173">
        <v>12328.079291392</v>
      </c>
      <c r="I21" s="173">
        <v>757.42589761749502</v>
      </c>
      <c r="J21" s="173">
        <v>0</v>
      </c>
      <c r="K21" s="173">
        <v>0</v>
      </c>
      <c r="L21" s="173">
        <v>0</v>
      </c>
      <c r="M21" s="173"/>
      <c r="N21" s="173">
        <v>0</v>
      </c>
      <c r="O21" s="173">
        <v>5680.6942321312099</v>
      </c>
      <c r="P21" s="173">
        <v>4436.3516860453301</v>
      </c>
      <c r="Q21" s="173">
        <v>0</v>
      </c>
      <c r="R21" s="170">
        <v>24906.2184779975</v>
      </c>
      <c r="U21" s="171"/>
      <c r="V21" s="172" t="s">
        <v>476</v>
      </c>
      <c r="W21" s="172" t="s">
        <v>457</v>
      </c>
      <c r="X21" s="174">
        <v>0</v>
      </c>
      <c r="Y21" s="174">
        <v>0</v>
      </c>
      <c r="Z21" s="174">
        <v>1618.41363305613</v>
      </c>
      <c r="AA21" s="174">
        <v>29131.4453950104</v>
      </c>
      <c r="AB21" s="174">
        <v>588.63274428274406</v>
      </c>
      <c r="AC21" s="174">
        <v>0</v>
      </c>
      <c r="AD21" s="174">
        <v>0</v>
      </c>
      <c r="AE21" s="174">
        <v>0</v>
      </c>
      <c r="AF21" s="174"/>
      <c r="AG21" s="174">
        <v>0</v>
      </c>
      <c r="AH21" s="174">
        <v>7108.8951993951996</v>
      </c>
      <c r="AI21" s="174">
        <v>0</v>
      </c>
      <c r="AJ21" s="174">
        <v>5861.8958703458702</v>
      </c>
      <c r="AK21" s="174">
        <v>0</v>
      </c>
      <c r="AL21" s="174">
        <v>44309.282842090397</v>
      </c>
      <c r="AM21" s="1" t="s">
        <v>477</v>
      </c>
      <c r="AN21" s="175"/>
      <c r="AO21" s="1" t="s">
        <v>478</v>
      </c>
      <c r="AP21" s="172" t="s">
        <v>476</v>
      </c>
      <c r="AQ21" s="172" t="s">
        <v>457</v>
      </c>
      <c r="AR21" s="1">
        <v>292.60000000000002</v>
      </c>
      <c r="AS21" s="175">
        <f>AR21/AL21</f>
        <v>6.6035823924925413E-3</v>
      </c>
      <c r="AT21" s="127">
        <v>287.28899999999999</v>
      </c>
      <c r="AU21" s="175">
        <f>AT21/AL21</f>
        <v>6.4837203757921718E-3</v>
      </c>
    </row>
    <row r="22" spans="3:47" x14ac:dyDescent="0.35">
      <c r="C22" s="172" t="s">
        <v>479</v>
      </c>
      <c r="D22" s="172" t="s">
        <v>457</v>
      </c>
      <c r="E22" s="173">
        <v>3728.8687500000001</v>
      </c>
      <c r="F22" s="173"/>
      <c r="G22" s="173">
        <v>2671.0476068540902</v>
      </c>
      <c r="H22" s="173">
        <v>18330.857164405301</v>
      </c>
      <c r="I22" s="173">
        <v>296.16813004808802</v>
      </c>
      <c r="J22" s="173">
        <v>0</v>
      </c>
      <c r="K22" s="173">
        <v>0</v>
      </c>
      <c r="L22" s="173">
        <v>0</v>
      </c>
      <c r="M22" s="173"/>
      <c r="N22" s="173">
        <v>0</v>
      </c>
      <c r="O22" s="173">
        <v>13630.971429855699</v>
      </c>
      <c r="P22" s="173">
        <v>6926.2978739546697</v>
      </c>
      <c r="Q22" s="173">
        <v>0</v>
      </c>
      <c r="R22" s="170">
        <v>45584.210955117902</v>
      </c>
      <c r="U22" s="171"/>
      <c r="V22" s="172" t="s">
        <v>479</v>
      </c>
      <c r="W22" s="172" t="s">
        <v>457</v>
      </c>
      <c r="X22" s="173">
        <v>3659.9609999999998</v>
      </c>
      <c r="Y22" s="173">
        <v>68.907749999999993</v>
      </c>
      <c r="Z22" s="173">
        <v>2756.3013446094401</v>
      </c>
      <c r="AA22" s="173">
        <v>1527.4910607868801</v>
      </c>
      <c r="AB22" s="173">
        <v>464.96128338283802</v>
      </c>
      <c r="AC22" s="173">
        <v>0</v>
      </c>
      <c r="AD22" s="173">
        <v>0</v>
      </c>
      <c r="AE22" s="173">
        <v>0</v>
      </c>
      <c r="AF22" s="173"/>
      <c r="AG22" s="173">
        <v>0</v>
      </c>
      <c r="AH22" s="173">
        <v>12202.770462591699</v>
      </c>
      <c r="AI22" s="173">
        <v>0</v>
      </c>
      <c r="AJ22" s="173">
        <v>5500.7536896541296</v>
      </c>
      <c r="AK22" s="173">
        <v>0</v>
      </c>
      <c r="AL22" s="173">
        <v>26181.146591025001</v>
      </c>
      <c r="AM22" s="1" t="s">
        <v>468</v>
      </c>
      <c r="AN22" s="180"/>
      <c r="AP22" s="172" t="s">
        <v>479</v>
      </c>
      <c r="AQ22" s="172" t="s">
        <v>457</v>
      </c>
      <c r="AR22" s="1">
        <v>932.6</v>
      </c>
      <c r="AS22" s="175">
        <f>AR22/AL22</f>
        <v>3.5621052605835792E-2</v>
      </c>
      <c r="AT22" s="127">
        <v>1014.828</v>
      </c>
      <c r="AU22" s="175">
        <f>AT22/AL22</f>
        <v>3.8761785946681455E-2</v>
      </c>
    </row>
    <row r="23" spans="3:47" x14ac:dyDescent="0.35">
      <c r="C23" s="432" t="s">
        <v>480</v>
      </c>
      <c r="D23" s="432"/>
      <c r="E23" s="170">
        <v>2938.9009999999998</v>
      </c>
      <c r="F23" s="170"/>
      <c r="G23" s="170">
        <v>6832.625</v>
      </c>
      <c r="H23" s="170">
        <v>19326.734</v>
      </c>
      <c r="I23" s="170">
        <v>5982.4719999999998</v>
      </c>
      <c r="J23" s="170">
        <v>0</v>
      </c>
      <c r="K23" s="170">
        <v>0</v>
      </c>
      <c r="L23" s="170">
        <v>0</v>
      </c>
      <c r="M23" s="170"/>
      <c r="N23" s="170">
        <v>0</v>
      </c>
      <c r="O23" s="170">
        <v>8314.2870000000003</v>
      </c>
      <c r="P23" s="170">
        <v>0</v>
      </c>
      <c r="Q23" s="170">
        <v>0</v>
      </c>
      <c r="R23" s="170">
        <v>43395.019</v>
      </c>
      <c r="U23" s="171"/>
      <c r="V23" s="432" t="s">
        <v>480</v>
      </c>
      <c r="W23" s="432"/>
      <c r="X23" s="170">
        <v>2556.2739999999999</v>
      </c>
      <c r="Y23" s="170">
        <v>382.62700000000001</v>
      </c>
      <c r="Z23" s="170">
        <v>6832.625</v>
      </c>
      <c r="AA23" s="170">
        <v>19326.734</v>
      </c>
      <c r="AB23" s="170">
        <v>2679.0324533571202</v>
      </c>
      <c r="AC23" s="170">
        <v>3417.3512551478002</v>
      </c>
      <c r="AD23" s="170">
        <v>0</v>
      </c>
      <c r="AE23" s="170">
        <v>0</v>
      </c>
      <c r="AF23" s="170"/>
      <c r="AG23" s="170">
        <v>0</v>
      </c>
      <c r="AH23" s="170">
        <v>8314.2870000000003</v>
      </c>
      <c r="AI23" s="170">
        <v>0</v>
      </c>
      <c r="AJ23" s="170">
        <v>0</v>
      </c>
      <c r="AK23" s="170">
        <v>0</v>
      </c>
      <c r="AL23" s="170">
        <f>SUM(AL24:AL26)</f>
        <v>43508.930708504937</v>
      </c>
      <c r="AM23" s="1" t="s">
        <v>474</v>
      </c>
      <c r="AP23" s="432" t="s">
        <v>480</v>
      </c>
      <c r="AQ23" s="432"/>
      <c r="AS23" s="175"/>
      <c r="AU23" s="175"/>
    </row>
    <row r="24" spans="3:47" x14ac:dyDescent="0.35">
      <c r="C24" s="172" t="s">
        <v>481</v>
      </c>
      <c r="D24" s="172" t="s">
        <v>457</v>
      </c>
      <c r="E24" s="173">
        <v>1876.1928459635001</v>
      </c>
      <c r="F24" s="173"/>
      <c r="G24" s="173">
        <v>5159.5303263996202</v>
      </c>
      <c r="H24" s="173">
        <v>268.02754942335702</v>
      </c>
      <c r="I24" s="173">
        <v>5695.5854252463396</v>
      </c>
      <c r="J24" s="173">
        <v>0</v>
      </c>
      <c r="K24" s="173">
        <v>0</v>
      </c>
      <c r="L24" s="173">
        <v>0</v>
      </c>
      <c r="M24" s="173"/>
      <c r="N24" s="173">
        <v>0</v>
      </c>
      <c r="O24" s="173">
        <v>402.04132413503601</v>
      </c>
      <c r="P24" s="173">
        <v>0</v>
      </c>
      <c r="Q24" s="173">
        <v>0</v>
      </c>
      <c r="R24" s="170">
        <v>13401.3774711679</v>
      </c>
      <c r="U24" s="171"/>
      <c r="V24" s="172" t="s">
        <v>481</v>
      </c>
      <c r="W24" s="172" t="s">
        <v>457</v>
      </c>
      <c r="X24" s="173">
        <v>1876.1928459635001</v>
      </c>
      <c r="Y24" s="173">
        <v>0</v>
      </c>
      <c r="Z24" s="173">
        <v>5159.5303263996202</v>
      </c>
      <c r="AA24" s="173">
        <v>268.02754942335702</v>
      </c>
      <c r="AB24" s="173">
        <v>2278.2341700985298</v>
      </c>
      <c r="AC24" s="173">
        <v>3417.3512551478002</v>
      </c>
      <c r="AD24" s="173">
        <v>0</v>
      </c>
      <c r="AE24" s="173">
        <v>0</v>
      </c>
      <c r="AF24" s="173"/>
      <c r="AG24" s="173">
        <v>0</v>
      </c>
      <c r="AH24" s="173">
        <v>1871.7831758505499</v>
      </c>
      <c r="AI24" s="173">
        <v>0</v>
      </c>
      <c r="AJ24" s="173">
        <v>0</v>
      </c>
      <c r="AK24" s="173">
        <v>0</v>
      </c>
      <c r="AL24" s="173">
        <f>SUM(X24:AK24)</f>
        <v>14871.119322883358</v>
      </c>
      <c r="AM24" s="1" t="s">
        <v>474</v>
      </c>
      <c r="AP24" s="172" t="s">
        <v>481</v>
      </c>
      <c r="AQ24" s="172" t="s">
        <v>457</v>
      </c>
      <c r="AS24" s="175"/>
      <c r="AT24" s="127">
        <v>995.96699999999998</v>
      </c>
      <c r="AU24" s="175">
        <f>AT24/AL24</f>
        <v>6.6973237076204978E-2</v>
      </c>
    </row>
    <row r="25" spans="3:47" x14ac:dyDescent="0.35">
      <c r="C25" s="172" t="s">
        <v>482</v>
      </c>
      <c r="D25" s="172" t="s">
        <v>457</v>
      </c>
      <c r="E25" s="173">
        <v>0</v>
      </c>
      <c r="F25" s="173"/>
      <c r="G25" s="173">
        <v>1376.6639035451999</v>
      </c>
      <c r="H25" s="173">
        <v>10248.4979486143</v>
      </c>
      <c r="I25" s="173">
        <v>0</v>
      </c>
      <c r="J25" s="173">
        <v>0</v>
      </c>
      <c r="K25" s="173">
        <v>0</v>
      </c>
      <c r="L25" s="173">
        <v>0</v>
      </c>
      <c r="M25" s="173"/>
      <c r="N25" s="173">
        <v>0</v>
      </c>
      <c r="O25" s="173">
        <v>3671.1037427872002</v>
      </c>
      <c r="P25" s="173">
        <v>0</v>
      </c>
      <c r="Q25" s="173">
        <v>0</v>
      </c>
      <c r="R25" s="170">
        <v>15296.265594946701</v>
      </c>
      <c r="U25" s="171"/>
      <c r="V25" s="172" t="s">
        <v>482</v>
      </c>
      <c r="W25" s="172" t="s">
        <v>457</v>
      </c>
      <c r="X25" s="173">
        <v>0</v>
      </c>
      <c r="Y25" s="173">
        <v>0</v>
      </c>
      <c r="Z25" s="173">
        <v>1376.6639035451999</v>
      </c>
      <c r="AA25" s="173">
        <v>10248.4979486143</v>
      </c>
      <c r="AB25" s="173">
        <v>0</v>
      </c>
      <c r="AC25" s="173">
        <v>0</v>
      </c>
      <c r="AD25" s="173">
        <v>0</v>
      </c>
      <c r="AE25" s="173">
        <v>0</v>
      </c>
      <c r="AF25" s="173"/>
      <c r="AG25" s="173">
        <v>0</v>
      </c>
      <c r="AH25" s="173">
        <v>3671.1037427872002</v>
      </c>
      <c r="AI25" s="173">
        <v>0</v>
      </c>
      <c r="AJ25" s="173">
        <v>0</v>
      </c>
      <c r="AK25" s="173">
        <v>0</v>
      </c>
      <c r="AL25" s="173">
        <f>SUM(X25:AK25)</f>
        <v>15296.265594946701</v>
      </c>
      <c r="AM25" s="1" t="s">
        <v>477</v>
      </c>
      <c r="AN25" s="175"/>
      <c r="AP25" s="172" t="s">
        <v>482</v>
      </c>
      <c r="AQ25" s="172" t="s">
        <v>457</v>
      </c>
      <c r="AR25" s="1">
        <v>65</v>
      </c>
      <c r="AS25" s="175">
        <f>AR25/AL25</f>
        <v>4.2494032021432411E-3</v>
      </c>
      <c r="AT25" s="127">
        <v>222.06700000000001</v>
      </c>
      <c r="AU25" s="175">
        <f>AT25/AL25</f>
        <v>1.4517726475236048E-2</v>
      </c>
    </row>
    <row r="26" spans="3:47" x14ac:dyDescent="0.35">
      <c r="C26" s="172" t="s">
        <v>483</v>
      </c>
      <c r="D26" s="172" t="s">
        <v>457</v>
      </c>
      <c r="E26" s="173">
        <v>1062.7081540365</v>
      </c>
      <c r="F26" s="173"/>
      <c r="G26" s="173">
        <v>296.43077005517603</v>
      </c>
      <c r="H26" s="173">
        <v>8810.2085019623592</v>
      </c>
      <c r="I26" s="173">
        <v>286.88657475366301</v>
      </c>
      <c r="J26" s="173">
        <v>0</v>
      </c>
      <c r="K26" s="173">
        <v>0</v>
      </c>
      <c r="L26" s="173">
        <v>0</v>
      </c>
      <c r="M26" s="173"/>
      <c r="N26" s="173">
        <v>0</v>
      </c>
      <c r="O26" s="173">
        <v>4241.1419330777599</v>
      </c>
      <c r="P26" s="173">
        <v>0</v>
      </c>
      <c r="Q26" s="173">
        <v>0</v>
      </c>
      <c r="R26" s="170">
        <v>14697.3759338855</v>
      </c>
      <c r="U26" s="171"/>
      <c r="V26" s="172" t="s">
        <v>483</v>
      </c>
      <c r="W26" s="172" t="s">
        <v>457</v>
      </c>
      <c r="X26" s="173">
        <v>680.08115403650095</v>
      </c>
      <c r="Y26" s="173">
        <v>382.62700000000001</v>
      </c>
      <c r="Z26" s="173">
        <v>296.43077005517603</v>
      </c>
      <c r="AA26" s="173">
        <v>8810.2085019623592</v>
      </c>
      <c r="AB26" s="173">
        <v>400.79828325859</v>
      </c>
      <c r="AC26" s="173">
        <v>0</v>
      </c>
      <c r="AD26" s="173">
        <v>0</v>
      </c>
      <c r="AE26" s="173">
        <v>0</v>
      </c>
      <c r="AF26" s="173"/>
      <c r="AG26" s="173">
        <v>0</v>
      </c>
      <c r="AH26" s="173">
        <v>2771.4000813622501</v>
      </c>
      <c r="AI26" s="173">
        <v>0</v>
      </c>
      <c r="AJ26" s="173">
        <v>0</v>
      </c>
      <c r="AK26" s="173">
        <v>0</v>
      </c>
      <c r="AL26" s="173">
        <f>SUM(X26:AK26)</f>
        <v>13341.545790674874</v>
      </c>
      <c r="AM26" s="1" t="s">
        <v>468</v>
      </c>
      <c r="AN26" s="180"/>
      <c r="AP26" s="172" t="s">
        <v>483</v>
      </c>
      <c r="AQ26" s="172" t="s">
        <v>457</v>
      </c>
      <c r="AR26" s="1">
        <v>132</v>
      </c>
      <c r="AS26" s="175">
        <f>AR26/AL26</f>
        <v>9.8939060039251164E-3</v>
      </c>
      <c r="AT26" s="127">
        <v>-64.718999999999994</v>
      </c>
      <c r="AU26" s="175">
        <f>AT26/AL26</f>
        <v>-4.8509371414244664E-3</v>
      </c>
    </row>
    <row r="27" spans="3:47" x14ac:dyDescent="0.35">
      <c r="C27" s="432" t="s">
        <v>484</v>
      </c>
      <c r="D27" s="432"/>
      <c r="E27" s="170">
        <v>2301.5770000000002</v>
      </c>
      <c r="F27" s="170"/>
      <c r="G27" s="170">
        <v>2944.7159999999999</v>
      </c>
      <c r="H27" s="170">
        <v>26382.654999999999</v>
      </c>
      <c r="I27" s="170">
        <v>2189.9290000000001</v>
      </c>
      <c r="J27" s="170">
        <v>0</v>
      </c>
      <c r="K27" s="170">
        <v>0</v>
      </c>
      <c r="L27" s="170">
        <v>0</v>
      </c>
      <c r="M27" s="170"/>
      <c r="N27" s="170">
        <v>0</v>
      </c>
      <c r="O27" s="170">
        <v>23015.77</v>
      </c>
      <c r="P27" s="170">
        <v>0</v>
      </c>
      <c r="Q27" s="170">
        <v>0</v>
      </c>
      <c r="R27" s="170">
        <v>56834.646999999997</v>
      </c>
      <c r="U27" s="171"/>
      <c r="V27" s="432" t="s">
        <v>484</v>
      </c>
      <c r="W27" s="432"/>
      <c r="X27" s="170">
        <v>2130.616</v>
      </c>
      <c r="Y27" s="170">
        <v>170.96100000000001</v>
      </c>
      <c r="Z27" s="170">
        <v>2944.7159999999999</v>
      </c>
      <c r="AA27" s="170">
        <v>26382.654999999999</v>
      </c>
      <c r="AB27" s="170">
        <v>2189.9290000000001</v>
      </c>
      <c r="AC27" s="170">
        <v>0</v>
      </c>
      <c r="AD27" s="170">
        <v>0</v>
      </c>
      <c r="AE27" s="170">
        <v>0</v>
      </c>
      <c r="AF27" s="170"/>
      <c r="AG27" s="170">
        <v>0</v>
      </c>
      <c r="AH27" s="170">
        <v>23015.77</v>
      </c>
      <c r="AI27" s="170">
        <v>0</v>
      </c>
      <c r="AJ27" s="170">
        <v>2752.0909999999999</v>
      </c>
      <c r="AK27" s="170">
        <v>0</v>
      </c>
      <c r="AL27" s="170">
        <v>59586.737999999998</v>
      </c>
      <c r="AM27" s="1" t="s">
        <v>474</v>
      </c>
      <c r="AP27" s="432" t="s">
        <v>484</v>
      </c>
      <c r="AQ27" s="432"/>
      <c r="AS27" s="175"/>
      <c r="AU27" s="175"/>
    </row>
    <row r="28" spans="3:47" x14ac:dyDescent="0.35">
      <c r="C28" s="172" t="s">
        <v>485</v>
      </c>
      <c r="D28" s="172" t="s">
        <v>457</v>
      </c>
      <c r="E28" s="173">
        <v>1906.6484837999999</v>
      </c>
      <c r="F28" s="173"/>
      <c r="G28" s="173">
        <v>922.57184700000005</v>
      </c>
      <c r="H28" s="173">
        <v>6868.0348610000001</v>
      </c>
      <c r="I28" s="173">
        <v>41.003193199999998</v>
      </c>
      <c r="J28" s="173">
        <v>0</v>
      </c>
      <c r="K28" s="173">
        <v>0</v>
      </c>
      <c r="L28" s="173">
        <v>0</v>
      </c>
      <c r="M28" s="173"/>
      <c r="N28" s="173">
        <v>0</v>
      </c>
      <c r="O28" s="173">
        <v>512.53991499999995</v>
      </c>
      <c r="P28" s="173">
        <v>0</v>
      </c>
      <c r="Q28" s="173">
        <v>0</v>
      </c>
      <c r="R28" s="170">
        <v>10250.7983</v>
      </c>
      <c r="U28" s="171"/>
      <c r="V28" s="172" t="s">
        <v>485</v>
      </c>
      <c r="W28" s="172" t="s">
        <v>457</v>
      </c>
      <c r="X28" s="173">
        <v>1906.6484837999999</v>
      </c>
      <c r="Y28" s="173">
        <v>0</v>
      </c>
      <c r="Z28" s="173">
        <v>922.57184700000005</v>
      </c>
      <c r="AA28" s="173">
        <v>6868.0348610000001</v>
      </c>
      <c r="AB28" s="173">
        <v>41.003193199999998</v>
      </c>
      <c r="AC28" s="173">
        <v>0</v>
      </c>
      <c r="AD28" s="173">
        <v>0</v>
      </c>
      <c r="AE28" s="173">
        <v>0</v>
      </c>
      <c r="AF28" s="173"/>
      <c r="AG28" s="173">
        <v>0</v>
      </c>
      <c r="AH28" s="173">
        <v>512.53991499999995</v>
      </c>
      <c r="AI28" s="173">
        <v>0</v>
      </c>
      <c r="AJ28" s="173">
        <v>0</v>
      </c>
      <c r="AK28" s="173">
        <v>0</v>
      </c>
      <c r="AL28" s="173">
        <v>10250.7983</v>
      </c>
      <c r="AM28" s="1" t="s">
        <v>477</v>
      </c>
      <c r="AN28" s="175"/>
      <c r="AP28" s="172" t="s">
        <v>485</v>
      </c>
      <c r="AQ28" s="172" t="s">
        <v>457</v>
      </c>
      <c r="AR28" s="1">
        <v>267.8</v>
      </c>
      <c r="AS28" s="175">
        <f>AR28/AL28</f>
        <v>2.6124794592826982E-2</v>
      </c>
      <c r="AT28" s="127">
        <v>356.88200000000001</v>
      </c>
      <c r="AU28" s="175">
        <f>AT28/AL28</f>
        <v>3.4815044599989839E-2</v>
      </c>
    </row>
    <row r="29" spans="3:47" x14ac:dyDescent="0.35">
      <c r="C29" s="172" t="s">
        <v>486</v>
      </c>
      <c r="D29" s="172" t="s">
        <v>457</v>
      </c>
      <c r="E29" s="173">
        <v>394.92851619999999</v>
      </c>
      <c r="F29" s="173"/>
      <c r="G29" s="173">
        <v>2022.144153</v>
      </c>
      <c r="H29" s="173">
        <v>19514.620138999999</v>
      </c>
      <c r="I29" s="173">
        <v>2148.9258067999999</v>
      </c>
      <c r="J29" s="173">
        <v>0</v>
      </c>
      <c r="K29" s="173">
        <v>0</v>
      </c>
      <c r="L29" s="173">
        <v>0</v>
      </c>
      <c r="M29" s="173"/>
      <c r="N29" s="173">
        <v>0</v>
      </c>
      <c r="O29" s="173">
        <v>22503.230084999999</v>
      </c>
      <c r="P29" s="173">
        <v>0</v>
      </c>
      <c r="Q29" s="173">
        <v>0</v>
      </c>
      <c r="R29" s="170">
        <v>46583.848700000002</v>
      </c>
      <c r="U29" s="171"/>
      <c r="V29" s="172" t="s">
        <v>486</v>
      </c>
      <c r="W29" s="172" t="s">
        <v>457</v>
      </c>
      <c r="X29" s="173">
        <v>223.96751620000001</v>
      </c>
      <c r="Y29" s="173">
        <v>170.96100000000001</v>
      </c>
      <c r="Z29" s="173">
        <v>2022.144153</v>
      </c>
      <c r="AA29" s="173">
        <v>19514.620138999999</v>
      </c>
      <c r="AB29" s="173">
        <v>2148.9258067999999</v>
      </c>
      <c r="AC29" s="173">
        <v>0</v>
      </c>
      <c r="AD29" s="173">
        <v>0</v>
      </c>
      <c r="AE29" s="173">
        <v>0</v>
      </c>
      <c r="AF29" s="173"/>
      <c r="AG29" s="173">
        <v>0</v>
      </c>
      <c r="AH29" s="173">
        <v>22503.230084999999</v>
      </c>
      <c r="AI29" s="173">
        <v>0</v>
      </c>
      <c r="AJ29" s="173">
        <v>2752.0909999999999</v>
      </c>
      <c r="AK29" s="173">
        <v>0</v>
      </c>
      <c r="AL29" s="173">
        <v>49335.939700000003</v>
      </c>
      <c r="AM29" s="1" t="s">
        <v>468</v>
      </c>
      <c r="AN29" s="175"/>
      <c r="AP29" s="172" t="s">
        <v>486</v>
      </c>
      <c r="AQ29" s="172" t="s">
        <v>457</v>
      </c>
      <c r="AR29" s="1">
        <v>49.1</v>
      </c>
      <c r="AS29" s="175">
        <f>AR29/AL29</f>
        <v>9.9521769117129019E-4</v>
      </c>
      <c r="AT29" s="127">
        <v>393.11799999999999</v>
      </c>
      <c r="AU29" s="175">
        <f>AT29/AL29</f>
        <v>7.9681871347836112E-3</v>
      </c>
    </row>
    <row r="30" spans="3:47" x14ac:dyDescent="0.35">
      <c r="C30" s="432" t="s">
        <v>487</v>
      </c>
      <c r="D30" s="432"/>
      <c r="E30" s="170">
        <v>319.82499999999999</v>
      </c>
      <c r="F30" s="170"/>
      <c r="G30" s="170">
        <v>1482.825</v>
      </c>
      <c r="H30" s="170">
        <v>11980.063</v>
      </c>
      <c r="I30" s="170">
        <v>111.648</v>
      </c>
      <c r="J30" s="170">
        <v>0</v>
      </c>
      <c r="K30" s="170">
        <v>0</v>
      </c>
      <c r="L30" s="170">
        <v>0</v>
      </c>
      <c r="M30" s="170"/>
      <c r="N30" s="170">
        <v>0</v>
      </c>
      <c r="O30" s="170">
        <v>18782.45</v>
      </c>
      <c r="P30" s="170">
        <v>36.052999999999997</v>
      </c>
      <c r="Q30" s="170">
        <v>0</v>
      </c>
      <c r="R30" s="170">
        <v>32712.864000000001</v>
      </c>
      <c r="U30" s="171"/>
      <c r="V30" s="432" t="s">
        <v>487</v>
      </c>
      <c r="W30" s="432"/>
      <c r="X30" s="170">
        <v>15.119</v>
      </c>
      <c r="Y30" s="170">
        <v>304.70600000000002</v>
      </c>
      <c r="Z30" s="170">
        <v>1482.825</v>
      </c>
      <c r="AA30" s="170">
        <v>11980.063</v>
      </c>
      <c r="AB30" s="170">
        <v>111.648</v>
      </c>
      <c r="AC30" s="170">
        <v>0</v>
      </c>
      <c r="AD30" s="170">
        <v>0</v>
      </c>
      <c r="AE30" s="170">
        <v>0</v>
      </c>
      <c r="AF30" s="170"/>
      <c r="AG30" s="170">
        <v>0</v>
      </c>
      <c r="AH30" s="170">
        <v>18782.45</v>
      </c>
      <c r="AI30" s="170">
        <v>0</v>
      </c>
      <c r="AJ30" s="170">
        <v>36.052999999999997</v>
      </c>
      <c r="AK30" s="170">
        <v>0</v>
      </c>
      <c r="AL30" s="170">
        <v>32712.864000000001</v>
      </c>
      <c r="AM30" s="1" t="s">
        <v>474</v>
      </c>
      <c r="AN30" s="175"/>
      <c r="AP30" s="432" t="s">
        <v>487</v>
      </c>
      <c r="AQ30" s="432"/>
      <c r="AR30" s="1">
        <v>22.7</v>
      </c>
      <c r="AS30" s="175">
        <f>AR30/AL30</f>
        <v>6.939166194681089E-4</v>
      </c>
      <c r="AT30" s="127">
        <v>110.557</v>
      </c>
      <c r="AU30" s="175">
        <f>AT30/AL30</f>
        <v>3.3796184889222781E-3</v>
      </c>
    </row>
    <row r="31" spans="3:47" x14ac:dyDescent="0.35">
      <c r="C31" s="432" t="s">
        <v>31</v>
      </c>
      <c r="D31" s="432"/>
      <c r="E31" s="170">
        <v>0</v>
      </c>
      <c r="F31" s="170"/>
      <c r="G31" s="170">
        <v>10781.01</v>
      </c>
      <c r="H31" s="170">
        <v>2224.819</v>
      </c>
      <c r="I31" s="170">
        <v>666.399</v>
      </c>
      <c r="J31" s="170">
        <v>0</v>
      </c>
      <c r="K31" s="170">
        <v>0</v>
      </c>
      <c r="L31" s="170">
        <v>0</v>
      </c>
      <c r="M31" s="170"/>
      <c r="N31" s="170">
        <v>0</v>
      </c>
      <c r="O31" s="170">
        <v>4133.3019999999997</v>
      </c>
      <c r="P31" s="170">
        <v>0</v>
      </c>
      <c r="Q31" s="170">
        <v>0</v>
      </c>
      <c r="R31" s="170">
        <v>17805.53</v>
      </c>
      <c r="U31" s="171"/>
      <c r="V31" s="432" t="s">
        <v>31</v>
      </c>
      <c r="W31" s="432"/>
      <c r="X31" s="170">
        <v>0</v>
      </c>
      <c r="Y31" s="170">
        <v>0</v>
      </c>
      <c r="Z31" s="170">
        <v>10781.01</v>
      </c>
      <c r="AA31" s="170">
        <v>2224.819</v>
      </c>
      <c r="AB31" s="170">
        <v>666.399</v>
      </c>
      <c r="AC31" s="170">
        <v>0</v>
      </c>
      <c r="AD31" s="170">
        <v>0</v>
      </c>
      <c r="AE31" s="170">
        <v>0</v>
      </c>
      <c r="AF31" s="170"/>
      <c r="AG31" s="170">
        <v>0</v>
      </c>
      <c r="AH31" s="170">
        <v>4133.3019999999997</v>
      </c>
      <c r="AI31" s="170">
        <v>0</v>
      </c>
      <c r="AJ31" s="170">
        <v>0</v>
      </c>
      <c r="AK31" s="170">
        <v>0</v>
      </c>
      <c r="AL31" s="170">
        <v>17805.53</v>
      </c>
      <c r="AM31" s="1" t="s">
        <v>474</v>
      </c>
      <c r="AP31" s="432" t="s">
        <v>31</v>
      </c>
      <c r="AQ31" s="432"/>
      <c r="AS31" s="175"/>
      <c r="AU31" s="175"/>
    </row>
    <row r="32" spans="3:47" x14ac:dyDescent="0.35">
      <c r="C32" s="432" t="s">
        <v>488</v>
      </c>
      <c r="D32" s="432"/>
      <c r="E32" s="170">
        <v>111.648</v>
      </c>
      <c r="F32" s="170"/>
      <c r="G32" s="170">
        <v>3732.067</v>
      </c>
      <c r="H32" s="170">
        <v>16468.614979999998</v>
      </c>
      <c r="I32" s="170">
        <v>7392.0280000000002</v>
      </c>
      <c r="J32" s="170">
        <v>0</v>
      </c>
      <c r="K32" s="170">
        <v>0</v>
      </c>
      <c r="L32" s="170">
        <v>0</v>
      </c>
      <c r="M32" s="170"/>
      <c r="N32" s="170">
        <v>0</v>
      </c>
      <c r="O32" s="170">
        <v>18501.004000000001</v>
      </c>
      <c r="P32" s="170">
        <v>532.02598</v>
      </c>
      <c r="Q32" s="170">
        <v>0</v>
      </c>
      <c r="R32" s="170">
        <v>46737.38796</v>
      </c>
      <c r="U32" s="171"/>
      <c r="V32" s="432" t="s">
        <v>488</v>
      </c>
      <c r="W32" s="432"/>
      <c r="X32" s="170">
        <v>111.648</v>
      </c>
      <c r="Y32" s="170">
        <v>0</v>
      </c>
      <c r="Z32" s="170">
        <v>3732.067</v>
      </c>
      <c r="AA32" s="170">
        <v>16468.614979999998</v>
      </c>
      <c r="AB32" s="170">
        <v>7392.0280000000002</v>
      </c>
      <c r="AC32" s="170">
        <v>0</v>
      </c>
      <c r="AD32" s="170">
        <v>0</v>
      </c>
      <c r="AE32" s="170">
        <v>0</v>
      </c>
      <c r="AF32" s="170"/>
      <c r="AG32" s="170">
        <v>0</v>
      </c>
      <c r="AH32" s="170">
        <v>18501.004000000001</v>
      </c>
      <c r="AI32" s="170">
        <v>0</v>
      </c>
      <c r="AJ32" s="170">
        <v>3599.4669800000001</v>
      </c>
      <c r="AK32" s="170">
        <v>0</v>
      </c>
      <c r="AL32" s="170">
        <v>49804.828959999999</v>
      </c>
      <c r="AM32" s="1" t="s">
        <v>474</v>
      </c>
      <c r="AP32" s="432" t="s">
        <v>488</v>
      </c>
      <c r="AQ32" s="432"/>
      <c r="AS32" s="175"/>
      <c r="AU32" s="175"/>
    </row>
    <row r="33" spans="2:47" x14ac:dyDescent="0.35">
      <c r="C33" s="172" t="s">
        <v>489</v>
      </c>
      <c r="D33" s="172" t="s">
        <v>457</v>
      </c>
      <c r="E33" s="173">
        <v>111.648</v>
      </c>
      <c r="F33" s="173"/>
      <c r="G33" s="173">
        <v>462.87400000000002</v>
      </c>
      <c r="H33" s="173">
        <v>8878.3420000000006</v>
      </c>
      <c r="I33" s="173">
        <v>6857.0479999999998</v>
      </c>
      <c r="J33" s="173">
        <v>0</v>
      </c>
      <c r="K33" s="173">
        <v>0</v>
      </c>
      <c r="L33" s="173">
        <v>0</v>
      </c>
      <c r="M33" s="173"/>
      <c r="N33" s="173">
        <v>0</v>
      </c>
      <c r="O33" s="173">
        <v>7509.491</v>
      </c>
      <c r="P33" s="173">
        <v>0</v>
      </c>
      <c r="Q33" s="173">
        <v>0</v>
      </c>
      <c r="R33" s="170">
        <v>23819.402999999998</v>
      </c>
      <c r="U33" s="171"/>
      <c r="V33" s="172" t="s">
        <v>489</v>
      </c>
      <c r="W33" s="172" t="s">
        <v>457</v>
      </c>
      <c r="X33" s="173">
        <v>111.648</v>
      </c>
      <c r="Y33" s="173">
        <v>0</v>
      </c>
      <c r="Z33" s="173">
        <v>462.87400000000002</v>
      </c>
      <c r="AA33" s="173">
        <v>8878.3420000000006</v>
      </c>
      <c r="AB33" s="173">
        <v>6857.0479999999998</v>
      </c>
      <c r="AC33" s="173">
        <v>0</v>
      </c>
      <c r="AD33" s="173">
        <v>0</v>
      </c>
      <c r="AE33" s="173">
        <v>0</v>
      </c>
      <c r="AF33" s="173"/>
      <c r="AG33" s="173">
        <v>0</v>
      </c>
      <c r="AH33" s="173">
        <v>7509.491</v>
      </c>
      <c r="AI33" s="173">
        <v>0</v>
      </c>
      <c r="AJ33" s="173">
        <v>3067.4409999999998</v>
      </c>
      <c r="AK33" s="173">
        <v>0</v>
      </c>
      <c r="AL33" s="173">
        <v>26886.844000000001</v>
      </c>
      <c r="AM33" s="1" t="s">
        <v>474</v>
      </c>
      <c r="AN33" s="175"/>
      <c r="AP33" s="172" t="s">
        <v>489</v>
      </c>
      <c r="AQ33" s="172" t="s">
        <v>457</v>
      </c>
      <c r="AR33" s="1">
        <v>108.6</v>
      </c>
      <c r="AS33" s="175">
        <f>AR33/AL33</f>
        <v>4.0391501509065173E-3</v>
      </c>
      <c r="AT33" s="127">
        <v>2412.0079999999998</v>
      </c>
      <c r="AU33" s="175">
        <f>AT33/AL33</f>
        <v>8.9709599237456042E-2</v>
      </c>
    </row>
    <row r="34" spans="2:47" x14ac:dyDescent="0.35">
      <c r="C34" s="172" t="s">
        <v>490</v>
      </c>
      <c r="D34" s="172" t="s">
        <v>457</v>
      </c>
      <c r="E34" s="173">
        <v>0</v>
      </c>
      <c r="F34" s="173"/>
      <c r="G34" s="173">
        <v>3269.1930000000002</v>
      </c>
      <c r="H34" s="173">
        <v>7590.2729799999997</v>
      </c>
      <c r="I34" s="173">
        <v>534.98</v>
      </c>
      <c r="J34" s="173">
        <v>0</v>
      </c>
      <c r="K34" s="173">
        <v>0</v>
      </c>
      <c r="L34" s="173">
        <v>0</v>
      </c>
      <c r="M34" s="173"/>
      <c r="N34" s="173">
        <v>0</v>
      </c>
      <c r="O34" s="173">
        <v>10991.513000000001</v>
      </c>
      <c r="P34" s="173">
        <v>532.02598</v>
      </c>
      <c r="Q34" s="173">
        <v>0</v>
      </c>
      <c r="R34" s="170">
        <v>22917.984960000002</v>
      </c>
      <c r="U34" s="171"/>
      <c r="V34" s="172" t="s">
        <v>490</v>
      </c>
      <c r="W34" s="172" t="s">
        <v>457</v>
      </c>
      <c r="X34" s="173">
        <v>0</v>
      </c>
      <c r="Y34" s="173">
        <v>0</v>
      </c>
      <c r="Z34" s="173">
        <v>3269.1930000000002</v>
      </c>
      <c r="AA34" s="173">
        <v>7590.2729799999997</v>
      </c>
      <c r="AB34" s="173">
        <v>534.98</v>
      </c>
      <c r="AC34" s="173">
        <v>0</v>
      </c>
      <c r="AD34" s="173">
        <v>0</v>
      </c>
      <c r="AE34" s="173">
        <v>0</v>
      </c>
      <c r="AF34" s="173"/>
      <c r="AG34" s="173">
        <v>0</v>
      </c>
      <c r="AH34" s="173">
        <v>10991.513000000001</v>
      </c>
      <c r="AI34" s="173">
        <v>0</v>
      </c>
      <c r="AJ34" s="173">
        <v>532.02598</v>
      </c>
      <c r="AK34" s="173">
        <v>0</v>
      </c>
      <c r="AL34" s="173">
        <v>22917.984960000002</v>
      </c>
      <c r="AM34" s="1" t="s">
        <v>468</v>
      </c>
      <c r="AP34" s="172" t="s">
        <v>490</v>
      </c>
      <c r="AQ34" s="172" t="s">
        <v>457</v>
      </c>
      <c r="AR34" s="1">
        <v>22.5</v>
      </c>
      <c r="AS34" s="175">
        <f>AR34/AL34</f>
        <v>9.8176170545841916E-4</v>
      </c>
      <c r="AT34" s="127">
        <v>143.74</v>
      </c>
      <c r="AU34" s="175">
        <f>AT34/AL34</f>
        <v>6.271930113004141E-3</v>
      </c>
    </row>
    <row r="35" spans="2:47" x14ac:dyDescent="0.35">
      <c r="C35" s="432" t="s">
        <v>491</v>
      </c>
      <c r="D35" s="432"/>
      <c r="E35" s="170">
        <v>33590.88248</v>
      </c>
      <c r="F35" s="170"/>
      <c r="G35" s="170">
        <v>31499.494470000001</v>
      </c>
      <c r="H35" s="170">
        <v>129620.93222</v>
      </c>
      <c r="I35" s="170">
        <v>17429.927520000001</v>
      </c>
      <c r="J35" s="170">
        <v>0</v>
      </c>
      <c r="K35" s="170">
        <v>0</v>
      </c>
      <c r="L35" s="170">
        <v>0</v>
      </c>
      <c r="M35" s="170"/>
      <c r="N35" s="170">
        <v>0</v>
      </c>
      <c r="O35" s="170">
        <v>113234.78556999999</v>
      </c>
      <c r="P35" s="170">
        <v>12048.19154</v>
      </c>
      <c r="Q35" s="170">
        <v>0</v>
      </c>
      <c r="R35" s="170">
        <v>337424.21380000003</v>
      </c>
      <c r="U35" s="171"/>
      <c r="V35" s="432" t="s">
        <v>492</v>
      </c>
      <c r="W35" s="432"/>
      <c r="X35" s="170">
        <v>9655.8590000000004</v>
      </c>
      <c r="Y35" s="170">
        <v>1558.71075</v>
      </c>
      <c r="Z35" s="170">
        <v>31499.494470000001</v>
      </c>
      <c r="AA35" s="170">
        <v>121340.75601</v>
      </c>
      <c r="AB35" s="170">
        <v>14126.4879733571</v>
      </c>
      <c r="AC35" s="170">
        <v>3417.3512551478002</v>
      </c>
      <c r="AD35" s="170">
        <v>0</v>
      </c>
      <c r="AE35" s="170">
        <v>0</v>
      </c>
      <c r="AF35" s="170"/>
      <c r="AG35" s="170">
        <v>0</v>
      </c>
      <c r="AH35" s="170">
        <v>113234.78556999999</v>
      </c>
      <c r="AI35" s="170">
        <v>0</v>
      </c>
      <c r="AJ35" s="170">
        <v>17867.723539999999</v>
      </c>
      <c r="AK35" s="170">
        <v>0</v>
      </c>
      <c r="AL35" s="170">
        <v>312587.25686000002</v>
      </c>
      <c r="AP35" s="432" t="s">
        <v>492</v>
      </c>
      <c r="AQ35" s="432"/>
      <c r="AS35" s="175"/>
    </row>
    <row r="36" spans="2:47" x14ac:dyDescent="0.35">
      <c r="E36" s="164" t="s">
        <v>493</v>
      </c>
      <c r="P36" s="1" t="s">
        <v>494</v>
      </c>
      <c r="X36" s="171">
        <f t="shared" ref="X36:AL36" si="0">SUM(X13:X18,X20:X22,X24:X26,X28:X29,X30:X31,X33:X34)</f>
        <v>9655.8590000000022</v>
      </c>
      <c r="Y36" s="171">
        <f t="shared" si="0"/>
        <v>1558.7107500000002</v>
      </c>
      <c r="Z36" s="171">
        <f t="shared" si="0"/>
        <v>31499.494469999987</v>
      </c>
      <c r="AA36" s="171">
        <f t="shared" si="0"/>
        <v>121340.75601000001</v>
      </c>
      <c r="AB36" s="171">
        <f t="shared" si="0"/>
        <v>14126.487973357125</v>
      </c>
      <c r="AC36" s="171">
        <f t="shared" si="0"/>
        <v>3417.3512551478002</v>
      </c>
      <c r="AD36" s="171">
        <f t="shared" si="0"/>
        <v>0</v>
      </c>
      <c r="AE36" s="171">
        <f t="shared" si="0"/>
        <v>0</v>
      </c>
      <c r="AF36" s="171">
        <f t="shared" si="0"/>
        <v>0</v>
      </c>
      <c r="AG36" s="171">
        <f t="shared" si="0"/>
        <v>0</v>
      </c>
      <c r="AH36" s="171">
        <f t="shared" si="0"/>
        <v>113234.78556999998</v>
      </c>
      <c r="AI36" s="171">
        <f t="shared" si="0"/>
        <v>0</v>
      </c>
      <c r="AJ36" s="171">
        <f t="shared" si="0"/>
        <v>17867.723539999999</v>
      </c>
      <c r="AK36" s="171">
        <f t="shared" si="0"/>
        <v>0</v>
      </c>
      <c r="AL36" s="171">
        <f t="shared" si="0"/>
        <v>312701.16856850497</v>
      </c>
    </row>
    <row r="39" spans="2:47" x14ac:dyDescent="0.35">
      <c r="C39" s="427" t="s">
        <v>4</v>
      </c>
      <c r="D39" s="427"/>
      <c r="E39" s="427"/>
      <c r="F39" s="427"/>
      <c r="G39" s="427"/>
      <c r="H39" s="427"/>
      <c r="I39" s="427"/>
      <c r="J39" s="427"/>
      <c r="K39" s="427"/>
      <c r="L39" s="427"/>
      <c r="M39" s="427"/>
      <c r="N39" s="427"/>
      <c r="O39" s="427"/>
      <c r="P39" s="427"/>
      <c r="Q39" s="427"/>
      <c r="R39" s="427"/>
      <c r="S39" s="427"/>
      <c r="T39" s="427"/>
      <c r="U39" s="427"/>
      <c r="V39" s="427"/>
      <c r="W39" s="427"/>
      <c r="X39" s="427"/>
      <c r="Y39" s="427"/>
      <c r="Z39" s="427"/>
      <c r="AA39" s="427"/>
      <c r="AB39" s="427"/>
      <c r="AC39" s="427"/>
      <c r="AD39" s="427"/>
      <c r="AE39" s="427"/>
      <c r="AF39" s="427"/>
      <c r="AG39" s="427"/>
      <c r="AH39" s="427"/>
      <c r="AI39" s="427"/>
      <c r="AJ39" s="427"/>
      <c r="AK39" s="427"/>
      <c r="AL39" s="427"/>
      <c r="AM39" s="427"/>
    </row>
    <row r="41" spans="2:47" x14ac:dyDescent="0.35">
      <c r="C41" s="165" t="s">
        <v>436</v>
      </c>
      <c r="V41" s="165" t="s">
        <v>437</v>
      </c>
      <c r="W41" s="165"/>
      <c r="X41" s="165"/>
      <c r="Y41" s="165"/>
      <c r="Z41" s="165"/>
      <c r="AA41" s="165"/>
      <c r="AB41" s="165"/>
      <c r="AC41" s="165"/>
      <c r="AD41" s="165"/>
      <c r="AE41" s="165"/>
      <c r="AF41" s="165"/>
      <c r="AG41" s="165"/>
      <c r="AH41" s="165"/>
      <c r="AI41" s="165"/>
      <c r="AJ41" s="165"/>
      <c r="AK41" s="165"/>
      <c r="AL41" s="165"/>
      <c r="AM41" s="165"/>
    </row>
    <row r="43" spans="2:47" ht="70.5" x14ac:dyDescent="0.35">
      <c r="C43" s="433" t="s">
        <v>495</v>
      </c>
      <c r="D43" s="433"/>
      <c r="E43" s="181" t="s">
        <v>439</v>
      </c>
      <c r="F43" s="181" t="s">
        <v>455</v>
      </c>
      <c r="G43" s="181" t="s">
        <v>441</v>
      </c>
      <c r="H43" s="181" t="s">
        <v>442</v>
      </c>
      <c r="I43" s="182" t="s">
        <v>451</v>
      </c>
      <c r="J43" s="182" t="s">
        <v>452</v>
      </c>
      <c r="K43" s="182" t="s">
        <v>453</v>
      </c>
      <c r="L43" s="182" t="s">
        <v>454</v>
      </c>
      <c r="M43" s="182" t="s">
        <v>444</v>
      </c>
      <c r="N43" s="182" t="s">
        <v>445</v>
      </c>
      <c r="O43" s="181" t="s">
        <v>496</v>
      </c>
      <c r="P43" s="181" t="s">
        <v>456</v>
      </c>
      <c r="Q43" s="181" t="s">
        <v>447</v>
      </c>
      <c r="R43" s="181" t="s">
        <v>448</v>
      </c>
      <c r="S43" s="181" t="s">
        <v>52</v>
      </c>
      <c r="V43" s="434" t="s">
        <v>495</v>
      </c>
      <c r="W43" s="434"/>
      <c r="X43" s="434"/>
      <c r="Y43" s="183" t="s">
        <v>439</v>
      </c>
      <c r="Z43" s="183" t="s">
        <v>455</v>
      </c>
      <c r="AA43" s="183" t="s">
        <v>441</v>
      </c>
      <c r="AB43" s="183" t="s">
        <v>497</v>
      </c>
      <c r="AC43" s="183" t="s">
        <v>451</v>
      </c>
      <c r="AD43" s="183" t="s">
        <v>452</v>
      </c>
      <c r="AE43" s="183" t="s">
        <v>453</v>
      </c>
      <c r="AF43" s="183" t="s">
        <v>454</v>
      </c>
      <c r="AG43" s="183" t="s">
        <v>444</v>
      </c>
      <c r="AH43" s="183" t="s">
        <v>445</v>
      </c>
      <c r="AI43" s="183" t="s">
        <v>496</v>
      </c>
      <c r="AJ43" s="183" t="s">
        <v>456</v>
      </c>
      <c r="AK43" s="183" t="s">
        <v>447</v>
      </c>
      <c r="AL43" s="183" t="s">
        <v>448</v>
      </c>
      <c r="AM43" s="183" t="s">
        <v>52</v>
      </c>
    </row>
    <row r="44" spans="2:47" x14ac:dyDescent="0.35">
      <c r="C44" s="184" t="s">
        <v>24</v>
      </c>
      <c r="D44" s="184"/>
      <c r="E44" s="185"/>
      <c r="F44" s="185"/>
      <c r="G44" s="185"/>
      <c r="H44" s="185"/>
      <c r="I44" s="185"/>
      <c r="J44" s="185"/>
      <c r="K44" s="185"/>
      <c r="L44" s="185"/>
      <c r="M44" s="185"/>
      <c r="N44" s="185"/>
      <c r="O44" s="185"/>
      <c r="P44" s="185"/>
      <c r="Q44" s="185"/>
      <c r="R44" s="185"/>
      <c r="S44" s="186"/>
      <c r="V44" s="435" t="s">
        <v>24</v>
      </c>
      <c r="W44" s="435"/>
      <c r="X44" s="435"/>
      <c r="Y44" s="185"/>
      <c r="Z44" s="185"/>
      <c r="AA44" s="185"/>
      <c r="AB44" s="185"/>
      <c r="AC44" s="185"/>
      <c r="AD44" s="185"/>
      <c r="AE44" s="185"/>
      <c r="AF44" s="185"/>
      <c r="AG44" s="185"/>
      <c r="AH44" s="185"/>
      <c r="AI44" s="185"/>
      <c r="AJ44" s="185"/>
      <c r="AK44" s="185"/>
      <c r="AL44" s="185"/>
      <c r="AM44" s="186"/>
      <c r="AP44" s="188" t="s">
        <v>460</v>
      </c>
    </row>
    <row r="45" spans="2:47" x14ac:dyDescent="0.35">
      <c r="B45" s="189">
        <v>2019</v>
      </c>
      <c r="C45" s="189" t="s">
        <v>461</v>
      </c>
      <c r="D45" s="190" t="s">
        <v>498</v>
      </c>
      <c r="E45" s="191">
        <v>0.480388367208748</v>
      </c>
      <c r="F45" s="191"/>
      <c r="G45" s="191">
        <v>3.9953763037986296E-3</v>
      </c>
      <c r="H45" s="191">
        <v>0.28681843011004698</v>
      </c>
      <c r="I45" s="191">
        <v>0</v>
      </c>
      <c r="J45" s="191">
        <v>0</v>
      </c>
      <c r="K45" s="191">
        <v>0</v>
      </c>
      <c r="L45" s="191">
        <v>0</v>
      </c>
      <c r="M45" s="191">
        <v>0</v>
      </c>
      <c r="N45" s="191">
        <v>0</v>
      </c>
      <c r="O45" s="191">
        <v>0.22597022364698899</v>
      </c>
      <c r="P45" s="191">
        <v>0</v>
      </c>
      <c r="Q45" s="191">
        <v>2.1191701877419102E-3</v>
      </c>
      <c r="R45" s="191">
        <v>0</v>
      </c>
      <c r="S45" s="192">
        <v>0.99929156745732495</v>
      </c>
      <c r="V45" s="189" t="s">
        <v>461</v>
      </c>
      <c r="W45" s="189">
        <v>2019</v>
      </c>
      <c r="X45" s="190" t="s">
        <v>498</v>
      </c>
      <c r="Y45" s="193">
        <f t="shared" ref="Y45:AM45" si="1">INDEX(X$11:X$35,MATCH($V45,$V$11:$V$35,0))/INDEX($AL$11:$AL$35,MATCH($V45,$V$11:$V$35,0))</f>
        <v>0.40361843755597487</v>
      </c>
      <c r="Z45" s="193">
        <f t="shared" si="1"/>
        <v>0.59638156244402507</v>
      </c>
      <c r="AA45" s="193">
        <f t="shared" si="1"/>
        <v>0</v>
      </c>
      <c r="AB45" s="193">
        <f t="shared" si="1"/>
        <v>0</v>
      </c>
      <c r="AC45" s="193">
        <f t="shared" si="1"/>
        <v>0</v>
      </c>
      <c r="AD45" s="193">
        <f t="shared" si="1"/>
        <v>0</v>
      </c>
      <c r="AE45" s="193">
        <f t="shared" si="1"/>
        <v>0</v>
      </c>
      <c r="AF45" s="193">
        <f t="shared" si="1"/>
        <v>0</v>
      </c>
      <c r="AG45" s="193">
        <f t="shared" si="1"/>
        <v>0</v>
      </c>
      <c r="AH45" s="193">
        <f t="shared" si="1"/>
        <v>0</v>
      </c>
      <c r="AI45" s="193">
        <f t="shared" si="1"/>
        <v>0</v>
      </c>
      <c r="AJ45" s="193">
        <f t="shared" si="1"/>
        <v>0</v>
      </c>
      <c r="AK45" s="193">
        <f t="shared" si="1"/>
        <v>0</v>
      </c>
      <c r="AL45" s="193">
        <f t="shared" si="1"/>
        <v>0</v>
      </c>
      <c r="AM45" s="186">
        <f t="shared" si="1"/>
        <v>1</v>
      </c>
      <c r="AP45" s="56" t="s">
        <v>499</v>
      </c>
    </row>
    <row r="46" spans="2:47" x14ac:dyDescent="0.35">
      <c r="B46" s="189">
        <v>2030</v>
      </c>
      <c r="C46" s="189" t="s">
        <v>461</v>
      </c>
      <c r="D46" s="190" t="s">
        <v>498</v>
      </c>
      <c r="E46" s="191">
        <v>0.32921269353559501</v>
      </c>
      <c r="F46" s="191"/>
      <c r="G46" s="191">
        <v>0</v>
      </c>
      <c r="H46" s="191">
        <v>0.33790467496737397</v>
      </c>
      <c r="I46" s="191">
        <v>0.08</v>
      </c>
      <c r="J46" s="191">
        <v>0</v>
      </c>
      <c r="K46" s="191">
        <v>0</v>
      </c>
      <c r="L46" s="191">
        <v>0</v>
      </c>
      <c r="M46" s="191">
        <v>0</v>
      </c>
      <c r="N46" s="191">
        <v>0</v>
      </c>
      <c r="O46" s="191">
        <v>0.252882631497031</v>
      </c>
      <c r="P46" s="191">
        <v>0</v>
      </c>
      <c r="Q46" s="191">
        <v>0</v>
      </c>
      <c r="R46" s="191">
        <v>0</v>
      </c>
      <c r="S46" s="192">
        <v>1</v>
      </c>
      <c r="V46" s="189" t="s">
        <v>461</v>
      </c>
      <c r="W46" s="189">
        <v>2030</v>
      </c>
      <c r="X46" s="190" t="s">
        <v>498</v>
      </c>
      <c r="Y46" s="193">
        <f>Y45*(1-SUM(AA46:AL46))</f>
        <v>0.37940133130261638</v>
      </c>
      <c r="Z46" s="193">
        <f>Z45*(1-SUM(AA46:AL46))</f>
        <v>0.56059866869738351</v>
      </c>
      <c r="AA46" s="193">
        <v>0</v>
      </c>
      <c r="AB46" s="193">
        <v>0</v>
      </c>
      <c r="AC46" s="193">
        <v>0.03</v>
      </c>
      <c r="AD46" s="193">
        <f>AD47/4</f>
        <v>0.03</v>
      </c>
      <c r="AE46" s="193">
        <v>0</v>
      </c>
      <c r="AF46" s="193">
        <v>0</v>
      </c>
      <c r="AG46" s="193">
        <v>0</v>
      </c>
      <c r="AH46" s="193">
        <v>0</v>
      </c>
      <c r="AI46" s="193">
        <v>0</v>
      </c>
      <c r="AJ46" s="193">
        <v>0</v>
      </c>
      <c r="AK46" s="193">
        <v>0</v>
      </c>
      <c r="AL46" s="193">
        <v>0</v>
      </c>
      <c r="AM46" s="186">
        <f>SUM(Y46:AL46)</f>
        <v>1</v>
      </c>
      <c r="AO46" s="194"/>
      <c r="AP46" s="56" t="s">
        <v>500</v>
      </c>
    </row>
    <row r="47" spans="2:47" x14ac:dyDescent="0.35">
      <c r="B47" s="189">
        <v>2050</v>
      </c>
      <c r="C47" s="189" t="s">
        <v>461</v>
      </c>
      <c r="D47" s="190" t="s">
        <v>498</v>
      </c>
      <c r="E47" s="191">
        <v>0.161635061772858</v>
      </c>
      <c r="F47" s="191"/>
      <c r="G47" s="191">
        <v>0</v>
      </c>
      <c r="H47" s="191">
        <v>0.38847880683545799</v>
      </c>
      <c r="I47" s="191">
        <v>0.173010449959066</v>
      </c>
      <c r="J47" s="191">
        <v>0</v>
      </c>
      <c r="K47" s="191">
        <v>0</v>
      </c>
      <c r="L47" s="191">
        <v>0</v>
      </c>
      <c r="M47" s="191">
        <v>0</v>
      </c>
      <c r="N47" s="191">
        <v>0</v>
      </c>
      <c r="O47" s="191">
        <v>0.27687568143261798</v>
      </c>
      <c r="P47" s="191">
        <v>0</v>
      </c>
      <c r="Q47" s="191">
        <v>0</v>
      </c>
      <c r="R47" s="191">
        <v>0</v>
      </c>
      <c r="S47" s="192">
        <v>1</v>
      </c>
      <c r="V47" s="189" t="s">
        <v>461</v>
      </c>
      <c r="W47" s="189">
        <v>2050</v>
      </c>
      <c r="X47" s="190" t="s">
        <v>498</v>
      </c>
      <c r="Y47" s="193">
        <f>Y45*(1-SUM(AA47:AL47))</f>
        <v>0.33500330317145915</v>
      </c>
      <c r="Z47" s="193">
        <f>Z45*(1-SUM(AA47:AL47))</f>
        <v>0.49499669682854086</v>
      </c>
      <c r="AA47" s="193">
        <v>0</v>
      </c>
      <c r="AB47" s="193">
        <v>0</v>
      </c>
      <c r="AC47" s="193">
        <v>0.05</v>
      </c>
      <c r="AD47" s="193">
        <v>0.12</v>
      </c>
      <c r="AE47" s="193">
        <v>0</v>
      </c>
      <c r="AF47" s="193">
        <v>0</v>
      </c>
      <c r="AG47" s="193">
        <v>0</v>
      </c>
      <c r="AH47" s="193">
        <v>0</v>
      </c>
      <c r="AI47" s="193">
        <v>0</v>
      </c>
      <c r="AJ47" s="193">
        <v>0</v>
      </c>
      <c r="AK47" s="193">
        <v>0</v>
      </c>
      <c r="AL47" s="193">
        <v>0</v>
      </c>
      <c r="AM47" s="186">
        <f>SUM(Y47:AL47)</f>
        <v>1</v>
      </c>
      <c r="AP47" s="56" t="s">
        <v>501</v>
      </c>
    </row>
    <row r="48" spans="2:47" x14ac:dyDescent="0.35">
      <c r="C48" s="195"/>
      <c r="D48" s="196"/>
      <c r="E48" s="197"/>
      <c r="F48" s="197"/>
      <c r="G48" s="197"/>
      <c r="H48" s="197"/>
      <c r="I48" s="197"/>
      <c r="J48" s="197"/>
      <c r="K48" s="197"/>
      <c r="L48" s="197"/>
      <c r="M48" s="197"/>
      <c r="N48" s="197"/>
      <c r="O48" s="197"/>
      <c r="P48" s="197"/>
      <c r="Q48" s="197"/>
      <c r="R48" s="197"/>
      <c r="S48" s="198"/>
      <c r="V48" s="195"/>
      <c r="W48" s="195"/>
      <c r="X48" s="196"/>
      <c r="Y48" s="199"/>
      <c r="Z48" s="199"/>
      <c r="AA48" s="199"/>
      <c r="AB48" s="199"/>
      <c r="AC48" s="199"/>
      <c r="AD48" s="199"/>
      <c r="AE48" s="199"/>
      <c r="AF48" s="199"/>
      <c r="AG48" s="199"/>
      <c r="AH48" s="199"/>
      <c r="AI48" s="199"/>
      <c r="AJ48" s="199"/>
      <c r="AK48" s="199"/>
      <c r="AL48" s="199"/>
      <c r="AM48" s="200"/>
      <c r="AP48" s="56"/>
    </row>
    <row r="49" spans="2:42" x14ac:dyDescent="0.35">
      <c r="B49" s="189">
        <v>2019</v>
      </c>
      <c r="C49" s="189" t="s">
        <v>464</v>
      </c>
      <c r="D49" s="190" t="s">
        <v>498</v>
      </c>
      <c r="E49" s="191">
        <v>3.5000000000000003E-2</v>
      </c>
      <c r="F49" s="191"/>
      <c r="G49" s="191">
        <v>0.02</v>
      </c>
      <c r="H49" s="191">
        <v>0.191</v>
      </c>
      <c r="I49" s="191">
        <v>2.9000000000000001E-2</v>
      </c>
      <c r="J49" s="191">
        <v>0</v>
      </c>
      <c r="K49" s="191">
        <v>0</v>
      </c>
      <c r="L49" s="191">
        <v>0</v>
      </c>
      <c r="M49" s="191"/>
      <c r="N49" s="191">
        <v>0</v>
      </c>
      <c r="O49" s="191">
        <v>0.72499999999999998</v>
      </c>
      <c r="P49" s="191">
        <v>0</v>
      </c>
      <c r="Q49" s="191">
        <v>0</v>
      </c>
      <c r="R49" s="191">
        <v>0</v>
      </c>
      <c r="S49" s="192">
        <v>1</v>
      </c>
      <c r="V49" s="189" t="s">
        <v>464</v>
      </c>
      <c r="W49" s="189">
        <v>2019</v>
      </c>
      <c r="X49" s="190" t="s">
        <v>498</v>
      </c>
      <c r="Y49" s="201">
        <f t="shared" ref="Y49:AM49" si="2">INDEX(X$11:X$35,MATCH($V49,$V$11:$V$35,0))/INDEX($AL$11:$AL$35,MATCH($V49,$V$11:$V$35,0))</f>
        <v>3.5000000000000003E-2</v>
      </c>
      <c r="Z49" s="201">
        <f t="shared" si="2"/>
        <v>0</v>
      </c>
      <c r="AA49" s="201">
        <f t="shared" si="2"/>
        <v>1.9999999999999997E-2</v>
      </c>
      <c r="AB49" s="201">
        <f t="shared" si="2"/>
        <v>0.21999999999999997</v>
      </c>
      <c r="AC49" s="201">
        <f t="shared" si="2"/>
        <v>0</v>
      </c>
      <c r="AD49" s="201">
        <f t="shared" si="2"/>
        <v>0</v>
      </c>
      <c r="AE49" s="201">
        <f t="shared" si="2"/>
        <v>0</v>
      </c>
      <c r="AF49" s="201">
        <f t="shared" si="2"/>
        <v>0</v>
      </c>
      <c r="AG49" s="201">
        <f t="shared" si="2"/>
        <v>0</v>
      </c>
      <c r="AH49" s="201">
        <f t="shared" si="2"/>
        <v>0</v>
      </c>
      <c r="AI49" s="201">
        <f t="shared" si="2"/>
        <v>0.72499999999999998</v>
      </c>
      <c r="AJ49" s="201">
        <f t="shared" si="2"/>
        <v>0</v>
      </c>
      <c r="AK49" s="201">
        <f t="shared" si="2"/>
        <v>0</v>
      </c>
      <c r="AL49" s="201">
        <f t="shared" si="2"/>
        <v>0</v>
      </c>
      <c r="AM49" s="186">
        <f t="shared" si="2"/>
        <v>1</v>
      </c>
      <c r="AP49" s="56" t="s">
        <v>502</v>
      </c>
    </row>
    <row r="50" spans="2:42" x14ac:dyDescent="0.35">
      <c r="B50" s="189">
        <v>2030</v>
      </c>
      <c r="C50" s="189" t="s">
        <v>464</v>
      </c>
      <c r="D50" s="190" t="s">
        <v>498</v>
      </c>
      <c r="E50" s="191">
        <v>0.02</v>
      </c>
      <c r="F50" s="191"/>
      <c r="G50" s="191">
        <v>0.02</v>
      </c>
      <c r="H50" s="191">
        <v>0.18</v>
      </c>
      <c r="I50" s="191">
        <v>0.03</v>
      </c>
      <c r="J50" s="191">
        <v>0</v>
      </c>
      <c r="K50" s="191">
        <v>0</v>
      </c>
      <c r="L50" s="191">
        <v>0</v>
      </c>
      <c r="M50" s="191">
        <v>0</v>
      </c>
      <c r="N50" s="191">
        <v>0</v>
      </c>
      <c r="O50" s="191">
        <v>0.75</v>
      </c>
      <c r="P50" s="191">
        <v>0</v>
      </c>
      <c r="Q50" s="191">
        <v>0</v>
      </c>
      <c r="R50" s="191">
        <v>0</v>
      </c>
      <c r="S50" s="192">
        <v>1</v>
      </c>
      <c r="V50" s="189" t="s">
        <v>464</v>
      </c>
      <c r="W50" s="189">
        <v>2030</v>
      </c>
      <c r="X50" s="190" t="s">
        <v>498</v>
      </c>
      <c r="Y50" s="201">
        <f>E50</f>
        <v>0.02</v>
      </c>
      <c r="Z50" s="201"/>
      <c r="AA50" s="201">
        <f>G50</f>
        <v>0.02</v>
      </c>
      <c r="AB50" s="201">
        <v>0.2</v>
      </c>
      <c r="AC50" s="201">
        <f>1%</f>
        <v>0.01</v>
      </c>
      <c r="AD50" s="201">
        <f t="shared" ref="AD50:AL51" si="3">J50</f>
        <v>0</v>
      </c>
      <c r="AE50" s="201">
        <f t="shared" si="3"/>
        <v>0</v>
      </c>
      <c r="AF50" s="201">
        <f t="shared" si="3"/>
        <v>0</v>
      </c>
      <c r="AG50" s="201">
        <f t="shared" si="3"/>
        <v>0</v>
      </c>
      <c r="AH50" s="201">
        <f t="shared" si="3"/>
        <v>0</v>
      </c>
      <c r="AI50" s="201">
        <f t="shared" si="3"/>
        <v>0.75</v>
      </c>
      <c r="AJ50" s="201">
        <f t="shared" si="3"/>
        <v>0</v>
      </c>
      <c r="AK50" s="201">
        <f t="shared" si="3"/>
        <v>0</v>
      </c>
      <c r="AL50" s="201">
        <f t="shared" si="3"/>
        <v>0</v>
      </c>
      <c r="AM50" s="186">
        <f>SUM(Y50:AL50)</f>
        <v>1</v>
      </c>
      <c r="AP50" s="56"/>
    </row>
    <row r="51" spans="2:42" x14ac:dyDescent="0.35">
      <c r="B51" s="189">
        <v>2050</v>
      </c>
      <c r="C51" s="189" t="s">
        <v>464</v>
      </c>
      <c r="D51" s="190" t="s">
        <v>498</v>
      </c>
      <c r="E51" s="191">
        <v>1.0514067876993801E-2</v>
      </c>
      <c r="F51" s="191"/>
      <c r="G51" s="191">
        <v>1.60951739582194E-2</v>
      </c>
      <c r="H51" s="191">
        <v>0.14413969617456701</v>
      </c>
      <c r="I51" s="191">
        <v>2.19855996537811E-2</v>
      </c>
      <c r="J51" s="191">
        <v>0</v>
      </c>
      <c r="K51" s="191">
        <v>0</v>
      </c>
      <c r="L51" s="191">
        <v>0</v>
      </c>
      <c r="M51" s="191">
        <v>0</v>
      </c>
      <c r="N51" s="191">
        <v>0</v>
      </c>
      <c r="O51" s="191">
        <v>0.80726546233643903</v>
      </c>
      <c r="P51" s="191">
        <v>0</v>
      </c>
      <c r="Q51" s="191">
        <v>0</v>
      </c>
      <c r="R51" s="191">
        <v>0</v>
      </c>
      <c r="S51" s="192">
        <v>1</v>
      </c>
      <c r="V51" s="189" t="s">
        <v>464</v>
      </c>
      <c r="W51" s="189">
        <v>2050</v>
      </c>
      <c r="X51" s="190" t="s">
        <v>498</v>
      </c>
      <c r="Y51" s="201">
        <f>E51</f>
        <v>1.0514067876993801E-2</v>
      </c>
      <c r="Z51" s="201"/>
      <c r="AA51" s="201">
        <f>G51</f>
        <v>1.60951739582194E-2</v>
      </c>
      <c r="AB51" s="201">
        <f>H51</f>
        <v>0.14413969617456701</v>
      </c>
      <c r="AC51" s="201">
        <f>I51</f>
        <v>2.19855996537811E-2</v>
      </c>
      <c r="AD51" s="201">
        <f t="shared" si="3"/>
        <v>0</v>
      </c>
      <c r="AE51" s="201">
        <f t="shared" si="3"/>
        <v>0</v>
      </c>
      <c r="AF51" s="201">
        <f t="shared" si="3"/>
        <v>0</v>
      </c>
      <c r="AG51" s="201">
        <f t="shared" si="3"/>
        <v>0</v>
      </c>
      <c r="AH51" s="201">
        <f t="shared" si="3"/>
        <v>0</v>
      </c>
      <c r="AI51" s="201">
        <f t="shared" si="3"/>
        <v>0.80726546233643903</v>
      </c>
      <c r="AJ51" s="201">
        <f t="shared" si="3"/>
        <v>0</v>
      </c>
      <c r="AK51" s="201">
        <f t="shared" si="3"/>
        <v>0</v>
      </c>
      <c r="AL51" s="201">
        <f t="shared" si="3"/>
        <v>0</v>
      </c>
      <c r="AM51" s="186">
        <f>SUM(Y51:AL51)</f>
        <v>1.0000000000000004</v>
      </c>
      <c r="AP51" s="56"/>
    </row>
    <row r="52" spans="2:42" x14ac:dyDescent="0.35">
      <c r="C52" s="195"/>
      <c r="D52" s="196"/>
      <c r="E52" s="197"/>
      <c r="F52" s="197"/>
      <c r="G52" s="197"/>
      <c r="H52" s="197"/>
      <c r="I52" s="197"/>
      <c r="J52" s="197"/>
      <c r="K52" s="197"/>
      <c r="L52" s="197"/>
      <c r="M52" s="197"/>
      <c r="N52" s="197"/>
      <c r="O52" s="197"/>
      <c r="P52" s="197"/>
      <c r="Q52" s="197"/>
      <c r="R52" s="197"/>
      <c r="S52" s="198"/>
      <c r="V52" s="195"/>
      <c r="W52" s="195"/>
      <c r="X52" s="196"/>
      <c r="Y52" s="199"/>
      <c r="Z52" s="199"/>
      <c r="AA52" s="199"/>
      <c r="AB52" s="199"/>
      <c r="AC52" s="199"/>
      <c r="AD52" s="199"/>
      <c r="AE52" s="199"/>
      <c r="AF52" s="199"/>
      <c r="AG52" s="199"/>
      <c r="AH52" s="199"/>
      <c r="AI52" s="199"/>
      <c r="AJ52" s="199"/>
      <c r="AK52" s="199"/>
      <c r="AL52" s="199"/>
      <c r="AM52" s="200"/>
      <c r="AP52" s="56"/>
    </row>
    <row r="53" spans="2:42" x14ac:dyDescent="0.35">
      <c r="B53" s="189">
        <v>2019</v>
      </c>
      <c r="C53" s="189" t="s">
        <v>466</v>
      </c>
      <c r="D53" s="190" t="s">
        <v>498</v>
      </c>
      <c r="E53" s="191">
        <v>0</v>
      </c>
      <c r="F53" s="191"/>
      <c r="G53" s="191">
        <v>0</v>
      </c>
      <c r="H53" s="191">
        <v>0.15207756232687</v>
      </c>
      <c r="I53" s="191">
        <v>0</v>
      </c>
      <c r="J53" s="191">
        <v>0</v>
      </c>
      <c r="K53" s="191">
        <v>0</v>
      </c>
      <c r="L53" s="191">
        <v>0</v>
      </c>
      <c r="M53" s="191">
        <v>0</v>
      </c>
      <c r="N53" s="191">
        <v>0</v>
      </c>
      <c r="O53" s="191">
        <v>0.13767313019390601</v>
      </c>
      <c r="P53" s="191">
        <v>0</v>
      </c>
      <c r="Q53" s="191">
        <v>0</v>
      </c>
      <c r="R53" s="191">
        <v>0.71024930747922399</v>
      </c>
      <c r="S53" s="192">
        <v>1</v>
      </c>
      <c r="V53" s="189" t="s">
        <v>466</v>
      </c>
      <c r="W53" s="189">
        <v>2019</v>
      </c>
      <c r="X53" s="190" t="s">
        <v>498</v>
      </c>
      <c r="Y53" s="201">
        <v>0</v>
      </c>
      <c r="Z53" s="201">
        <v>0</v>
      </c>
      <c r="AA53" s="201">
        <v>0</v>
      </c>
      <c r="AB53" s="201">
        <v>0</v>
      </c>
      <c r="AC53" s="201">
        <v>0</v>
      </c>
      <c r="AD53" s="201">
        <v>0</v>
      </c>
      <c r="AE53" s="201">
        <v>0</v>
      </c>
      <c r="AF53" s="201">
        <v>0</v>
      </c>
      <c r="AG53" s="201">
        <v>0</v>
      </c>
      <c r="AH53" s="201">
        <v>0</v>
      </c>
      <c r="AI53" s="201">
        <v>0</v>
      </c>
      <c r="AJ53" s="201">
        <v>0</v>
      </c>
      <c r="AK53" s="201">
        <v>0</v>
      </c>
      <c r="AL53" s="201">
        <v>0</v>
      </c>
      <c r="AM53" s="186">
        <v>0</v>
      </c>
      <c r="AP53" s="56" t="s">
        <v>503</v>
      </c>
    </row>
    <row r="54" spans="2:42" x14ac:dyDescent="0.35">
      <c r="B54" s="189">
        <v>2030</v>
      </c>
      <c r="C54" s="189" t="s">
        <v>466</v>
      </c>
      <c r="D54" s="190" t="s">
        <v>498</v>
      </c>
      <c r="E54" s="191">
        <v>0</v>
      </c>
      <c r="F54" s="191"/>
      <c r="G54" s="191">
        <v>0</v>
      </c>
      <c r="H54" s="191">
        <v>0</v>
      </c>
      <c r="I54" s="191">
        <v>0</v>
      </c>
      <c r="J54" s="191">
        <v>0</v>
      </c>
      <c r="K54" s="191">
        <v>0</v>
      </c>
      <c r="L54" s="191">
        <v>0</v>
      </c>
      <c r="M54" s="191">
        <v>0</v>
      </c>
      <c r="N54" s="191">
        <v>0</v>
      </c>
      <c r="O54" s="191">
        <v>0</v>
      </c>
      <c r="P54" s="191">
        <v>0</v>
      </c>
      <c r="Q54" s="191">
        <v>0</v>
      </c>
      <c r="R54" s="191">
        <v>0</v>
      </c>
      <c r="S54" s="192">
        <v>0</v>
      </c>
      <c r="V54" s="189" t="s">
        <v>466</v>
      </c>
      <c r="W54" s="189">
        <v>2030</v>
      </c>
      <c r="X54" s="190" t="s">
        <v>498</v>
      </c>
      <c r="Y54" s="201">
        <f>E54</f>
        <v>0</v>
      </c>
      <c r="Z54" s="201"/>
      <c r="AA54" s="201">
        <f t="shared" ref="AA54:AL55" si="4">G54</f>
        <v>0</v>
      </c>
      <c r="AB54" s="201">
        <f t="shared" si="4"/>
        <v>0</v>
      </c>
      <c r="AC54" s="201">
        <f t="shared" si="4"/>
        <v>0</v>
      </c>
      <c r="AD54" s="201">
        <f t="shared" si="4"/>
        <v>0</v>
      </c>
      <c r="AE54" s="201">
        <f t="shared" si="4"/>
        <v>0</v>
      </c>
      <c r="AF54" s="201">
        <f t="shared" si="4"/>
        <v>0</v>
      </c>
      <c r="AG54" s="201">
        <f t="shared" si="4"/>
        <v>0</v>
      </c>
      <c r="AH54" s="201">
        <f t="shared" si="4"/>
        <v>0</v>
      </c>
      <c r="AI54" s="201">
        <f t="shared" si="4"/>
        <v>0</v>
      </c>
      <c r="AJ54" s="201">
        <f t="shared" si="4"/>
        <v>0</v>
      </c>
      <c r="AK54" s="201">
        <f t="shared" si="4"/>
        <v>0</v>
      </c>
      <c r="AL54" s="201">
        <f t="shared" si="4"/>
        <v>0</v>
      </c>
      <c r="AM54" s="186">
        <f>SUM(Y54:AL54)</f>
        <v>0</v>
      </c>
      <c r="AP54" s="56"/>
    </row>
    <row r="55" spans="2:42" x14ac:dyDescent="0.35">
      <c r="B55" s="189">
        <v>2050</v>
      </c>
      <c r="C55" s="189" t="s">
        <v>466</v>
      </c>
      <c r="D55" s="190" t="s">
        <v>498</v>
      </c>
      <c r="E55" s="191">
        <v>0</v>
      </c>
      <c r="F55" s="191"/>
      <c r="G55" s="191">
        <v>0</v>
      </c>
      <c r="H55" s="191">
        <v>0.15207756232687</v>
      </c>
      <c r="I55" s="191">
        <v>0</v>
      </c>
      <c r="J55" s="191">
        <v>0</v>
      </c>
      <c r="K55" s="191">
        <v>0</v>
      </c>
      <c r="L55" s="191">
        <v>0</v>
      </c>
      <c r="M55" s="191">
        <v>0</v>
      </c>
      <c r="N55" s="191">
        <v>0</v>
      </c>
      <c r="O55" s="191">
        <v>0.13767313019390601</v>
      </c>
      <c r="P55" s="191">
        <v>0</v>
      </c>
      <c r="Q55" s="191">
        <v>0</v>
      </c>
      <c r="R55" s="191">
        <v>0.71024930747922399</v>
      </c>
      <c r="S55" s="192">
        <v>1</v>
      </c>
      <c r="V55" s="189" t="s">
        <v>466</v>
      </c>
      <c r="W55" s="189">
        <v>2050</v>
      </c>
      <c r="X55" s="190" t="s">
        <v>498</v>
      </c>
      <c r="Y55" s="201">
        <f>E55</f>
        <v>0</v>
      </c>
      <c r="Z55" s="201"/>
      <c r="AA55" s="201">
        <f t="shared" si="4"/>
        <v>0</v>
      </c>
      <c r="AB55" s="201">
        <f t="shared" si="4"/>
        <v>0.15207756232687</v>
      </c>
      <c r="AC55" s="201">
        <f t="shared" si="4"/>
        <v>0</v>
      </c>
      <c r="AD55" s="201">
        <f t="shared" si="4"/>
        <v>0</v>
      </c>
      <c r="AE55" s="201">
        <f t="shared" si="4"/>
        <v>0</v>
      </c>
      <c r="AF55" s="201">
        <f t="shared" si="4"/>
        <v>0</v>
      </c>
      <c r="AG55" s="201">
        <f t="shared" si="4"/>
        <v>0</v>
      </c>
      <c r="AH55" s="201">
        <f t="shared" si="4"/>
        <v>0</v>
      </c>
      <c r="AI55" s="201">
        <f t="shared" si="4"/>
        <v>0.13767313019390601</v>
      </c>
      <c r="AJ55" s="201">
        <f t="shared" si="4"/>
        <v>0</v>
      </c>
      <c r="AK55" s="201">
        <f t="shared" si="4"/>
        <v>0</v>
      </c>
      <c r="AL55" s="201">
        <f t="shared" si="4"/>
        <v>0.71024930747922399</v>
      </c>
      <c r="AM55" s="186">
        <f>SUM(Y55:AL55)</f>
        <v>1</v>
      </c>
      <c r="AP55" s="56"/>
    </row>
    <row r="56" spans="2:42" x14ac:dyDescent="0.35">
      <c r="C56" s="195"/>
      <c r="D56" s="196"/>
      <c r="E56" s="197"/>
      <c r="F56" s="197"/>
      <c r="G56" s="197"/>
      <c r="H56" s="197"/>
      <c r="I56" s="197"/>
      <c r="J56" s="197"/>
      <c r="K56" s="197"/>
      <c r="L56" s="197"/>
      <c r="M56" s="197"/>
      <c r="N56" s="197"/>
      <c r="O56" s="197"/>
      <c r="P56" s="197"/>
      <c r="Q56" s="197"/>
      <c r="R56" s="197"/>
      <c r="S56" s="198"/>
      <c r="V56" s="195"/>
      <c r="W56" s="195"/>
      <c r="X56" s="196"/>
      <c r="Y56" s="199"/>
      <c r="Z56" s="199"/>
      <c r="AA56" s="199"/>
      <c r="AB56" s="199"/>
      <c r="AC56" s="199"/>
      <c r="AD56" s="199"/>
      <c r="AE56" s="199"/>
      <c r="AF56" s="199"/>
      <c r="AG56" s="199"/>
      <c r="AH56" s="199"/>
      <c r="AI56" s="199"/>
      <c r="AJ56" s="199"/>
      <c r="AK56" s="199"/>
      <c r="AL56" s="199"/>
      <c r="AM56" s="200"/>
      <c r="AP56" s="56"/>
    </row>
    <row r="57" spans="2:42" x14ac:dyDescent="0.35">
      <c r="B57" s="189">
        <v>2019</v>
      </c>
      <c r="C57" s="189" t="s">
        <v>504</v>
      </c>
      <c r="D57" s="190"/>
      <c r="E57" s="191"/>
      <c r="F57" s="191"/>
      <c r="G57" s="191"/>
      <c r="H57" s="191"/>
      <c r="I57" s="191"/>
      <c r="J57" s="191"/>
      <c r="K57" s="191"/>
      <c r="L57" s="191"/>
      <c r="M57" s="191"/>
      <c r="N57" s="191"/>
      <c r="O57" s="191"/>
      <c r="P57" s="191"/>
      <c r="Q57" s="191"/>
      <c r="R57" s="191"/>
      <c r="S57" s="192"/>
      <c r="V57" s="189" t="s">
        <v>467</v>
      </c>
      <c r="W57" s="189">
        <v>2019</v>
      </c>
      <c r="X57" s="190"/>
      <c r="Y57" s="193">
        <f t="shared" ref="Y57:AM57" si="5">INDEX(X$11:X$35,MATCH($V57,$V$11:$V$35,0))/INDEX($AL$11:$AL$35,MATCH($V57,$V$11:$V$35,0))</f>
        <v>5.5844909255524718E-2</v>
      </c>
      <c r="Z57" s="193">
        <f t="shared" si="5"/>
        <v>3.2423689380245542E-2</v>
      </c>
      <c r="AA57" s="193">
        <f t="shared" si="5"/>
        <v>1.1370402229773324E-2</v>
      </c>
      <c r="AB57" s="193">
        <f t="shared" si="5"/>
        <v>0.31143599829499524</v>
      </c>
      <c r="AC57" s="193">
        <f t="shared" si="5"/>
        <v>2.9856067569286875E-4</v>
      </c>
      <c r="AD57" s="193">
        <f t="shared" si="5"/>
        <v>0</v>
      </c>
      <c r="AE57" s="193">
        <f t="shared" si="5"/>
        <v>0</v>
      </c>
      <c r="AF57" s="193">
        <f t="shared" si="5"/>
        <v>0</v>
      </c>
      <c r="AG57" s="193">
        <f t="shared" si="5"/>
        <v>0</v>
      </c>
      <c r="AH57" s="193">
        <f t="shared" si="5"/>
        <v>0</v>
      </c>
      <c r="AI57" s="193">
        <f t="shared" si="5"/>
        <v>0.58259551451477254</v>
      </c>
      <c r="AJ57" s="193">
        <f t="shared" si="5"/>
        <v>0</v>
      </c>
      <c r="AK57" s="193">
        <f t="shared" si="5"/>
        <v>6.0309256489959485E-3</v>
      </c>
      <c r="AL57" s="193">
        <f t="shared" si="5"/>
        <v>0</v>
      </c>
      <c r="AM57" s="186">
        <f t="shared" si="5"/>
        <v>1</v>
      </c>
      <c r="AP57" s="56" t="s">
        <v>505</v>
      </c>
    </row>
    <row r="58" spans="2:42" x14ac:dyDescent="0.35">
      <c r="B58" s="189">
        <v>2030</v>
      </c>
      <c r="C58" s="189" t="s">
        <v>504</v>
      </c>
      <c r="D58" s="190"/>
      <c r="E58" s="191"/>
      <c r="F58" s="191"/>
      <c r="G58" s="191"/>
      <c r="H58" s="191"/>
      <c r="I58" s="191"/>
      <c r="J58" s="191"/>
      <c r="K58" s="191"/>
      <c r="L58" s="191"/>
      <c r="M58" s="191"/>
      <c r="N58" s="191"/>
      <c r="O58" s="191"/>
      <c r="P58" s="191"/>
      <c r="Q58" s="191"/>
      <c r="R58" s="191"/>
      <c r="S58" s="192"/>
      <c r="V58" s="189" t="s">
        <v>467</v>
      </c>
      <c r="W58" s="189">
        <v>2030</v>
      </c>
      <c r="X58" s="190"/>
      <c r="Y58" s="193">
        <v>7.0000000000000007E-2</v>
      </c>
      <c r="Z58" s="193"/>
      <c r="AA58" s="193">
        <v>0.01</v>
      </c>
      <c r="AB58" s="193">
        <f>1-SUM(Y58:AA58,AC58:AL58)</f>
        <v>0.28000000000000003</v>
      </c>
      <c r="AC58" s="193">
        <v>0.03</v>
      </c>
      <c r="AD58" s="193">
        <v>0</v>
      </c>
      <c r="AE58" s="193">
        <v>0</v>
      </c>
      <c r="AF58" s="193">
        <v>0</v>
      </c>
      <c r="AG58" s="193">
        <v>0</v>
      </c>
      <c r="AH58" s="193">
        <v>0</v>
      </c>
      <c r="AI58" s="193">
        <v>0.6</v>
      </c>
      <c r="AJ58" s="193">
        <v>0</v>
      </c>
      <c r="AK58" s="193">
        <v>0.01</v>
      </c>
      <c r="AL58" s="193">
        <v>0</v>
      </c>
      <c r="AM58" s="186">
        <f>SUM(Y58:AL58)</f>
        <v>1</v>
      </c>
      <c r="AO58" s="194"/>
      <c r="AP58" s="56" t="s">
        <v>500</v>
      </c>
    </row>
    <row r="59" spans="2:42" x14ac:dyDescent="0.35">
      <c r="B59" s="189">
        <v>2050</v>
      </c>
      <c r="C59" s="189" t="s">
        <v>504</v>
      </c>
      <c r="D59" s="190"/>
      <c r="E59" s="191"/>
      <c r="F59" s="191"/>
      <c r="G59" s="191"/>
      <c r="H59" s="191"/>
      <c r="I59" s="191"/>
      <c r="J59" s="191"/>
      <c r="K59" s="191"/>
      <c r="L59" s="191"/>
      <c r="M59" s="191"/>
      <c r="N59" s="191"/>
      <c r="O59" s="191"/>
      <c r="P59" s="191"/>
      <c r="Q59" s="191"/>
      <c r="R59" s="191"/>
      <c r="S59" s="192"/>
      <c r="V59" s="189" t="s">
        <v>467</v>
      </c>
      <c r="W59" s="189">
        <v>2050</v>
      </c>
      <c r="X59" s="190"/>
      <c r="Y59" s="193">
        <v>0.03</v>
      </c>
      <c r="Z59" s="193"/>
      <c r="AA59" s="193">
        <v>0.01</v>
      </c>
      <c r="AB59" s="193">
        <f>1-SUM(Y59:AA59,AC59:AL59)</f>
        <v>0.20000000000000007</v>
      </c>
      <c r="AC59" s="193">
        <v>0.05</v>
      </c>
      <c r="AD59" s="193">
        <v>0</v>
      </c>
      <c r="AE59" s="193">
        <v>0</v>
      </c>
      <c r="AF59" s="193">
        <v>0</v>
      </c>
      <c r="AG59" s="193">
        <v>0</v>
      </c>
      <c r="AH59" s="193">
        <v>0</v>
      </c>
      <c r="AI59" s="193">
        <v>0.7</v>
      </c>
      <c r="AJ59" s="193">
        <v>0</v>
      </c>
      <c r="AK59" s="193">
        <v>0.01</v>
      </c>
      <c r="AL59" s="193">
        <v>0</v>
      </c>
      <c r="AM59" s="186">
        <f>SUM(Y59:AL59)</f>
        <v>1</v>
      </c>
      <c r="AP59" s="56"/>
    </row>
    <row r="60" spans="2:42" x14ac:dyDescent="0.35">
      <c r="C60" s="195"/>
      <c r="D60" s="196"/>
      <c r="E60" s="197"/>
      <c r="F60" s="197"/>
      <c r="G60" s="197"/>
      <c r="H60" s="197"/>
      <c r="I60" s="197"/>
      <c r="J60" s="197"/>
      <c r="K60" s="197"/>
      <c r="L60" s="197"/>
      <c r="M60" s="197"/>
      <c r="N60" s="197"/>
      <c r="O60" s="197"/>
      <c r="P60" s="197"/>
      <c r="Q60" s="197"/>
      <c r="R60" s="197"/>
      <c r="S60" s="198"/>
      <c r="V60" s="195"/>
      <c r="W60" s="195"/>
      <c r="X60" s="196"/>
      <c r="Y60" s="199"/>
      <c r="Z60" s="199"/>
      <c r="AA60" s="199"/>
      <c r="AB60" s="199"/>
      <c r="AC60" s="199"/>
      <c r="AD60" s="199"/>
      <c r="AE60" s="199"/>
      <c r="AF60" s="199"/>
      <c r="AG60" s="199"/>
      <c r="AH60" s="199"/>
      <c r="AI60" s="199"/>
      <c r="AJ60" s="199"/>
      <c r="AK60" s="199"/>
      <c r="AL60" s="199"/>
      <c r="AM60" s="200"/>
      <c r="AP60" s="56"/>
    </row>
    <row r="61" spans="2:42" x14ac:dyDescent="0.35">
      <c r="B61" s="189">
        <v>2019</v>
      </c>
      <c r="C61" s="189" t="s">
        <v>469</v>
      </c>
      <c r="D61" s="190" t="s">
        <v>498</v>
      </c>
      <c r="E61" s="191">
        <v>4.0000000000000001E-3</v>
      </c>
      <c r="F61" s="191"/>
      <c r="G61" s="191">
        <v>2.8000000000000001E-2</v>
      </c>
      <c r="H61" s="191">
        <v>0.25</v>
      </c>
      <c r="I61" s="191">
        <v>0</v>
      </c>
      <c r="J61" s="191">
        <v>0</v>
      </c>
      <c r="K61" s="191">
        <v>0</v>
      </c>
      <c r="L61" s="191">
        <v>0</v>
      </c>
      <c r="M61" s="191"/>
      <c r="N61" s="191">
        <v>0</v>
      </c>
      <c r="O61" s="191">
        <v>0.71</v>
      </c>
      <c r="P61" s="191">
        <v>0</v>
      </c>
      <c r="Q61" s="191">
        <v>8.0000000000000002E-3</v>
      </c>
      <c r="R61" s="191">
        <v>0</v>
      </c>
      <c r="S61" s="192">
        <v>1</v>
      </c>
      <c r="V61" s="189" t="s">
        <v>469</v>
      </c>
      <c r="W61" s="189">
        <v>2019</v>
      </c>
      <c r="X61" s="190" t="s">
        <v>498</v>
      </c>
      <c r="Y61" s="201">
        <f t="shared" ref="Y61:AM61" si="6">INDEX(X$11:X$35,MATCH($V61,$V$11:$V$35,0))/INDEX($AL$11:$AL$35,MATCH($V61,$V$11:$V$35,0))</f>
        <v>4.0000000000000001E-3</v>
      </c>
      <c r="Z61" s="201">
        <f t="shared" si="6"/>
        <v>0</v>
      </c>
      <c r="AA61" s="201">
        <f t="shared" si="6"/>
        <v>2.8000000000000001E-2</v>
      </c>
      <c r="AB61" s="201">
        <f t="shared" si="6"/>
        <v>0.25</v>
      </c>
      <c r="AC61" s="201">
        <f t="shared" si="6"/>
        <v>0</v>
      </c>
      <c r="AD61" s="201">
        <f t="shared" si="6"/>
        <v>0</v>
      </c>
      <c r="AE61" s="201">
        <f t="shared" si="6"/>
        <v>0</v>
      </c>
      <c r="AF61" s="201">
        <f t="shared" si="6"/>
        <v>0</v>
      </c>
      <c r="AG61" s="201">
        <f t="shared" si="6"/>
        <v>0</v>
      </c>
      <c r="AH61" s="201">
        <f t="shared" si="6"/>
        <v>0</v>
      </c>
      <c r="AI61" s="201">
        <f t="shared" si="6"/>
        <v>0.71</v>
      </c>
      <c r="AJ61" s="201">
        <f t="shared" si="6"/>
        <v>0</v>
      </c>
      <c r="AK61" s="201">
        <f t="shared" si="6"/>
        <v>0</v>
      </c>
      <c r="AL61" s="201">
        <f t="shared" si="6"/>
        <v>0</v>
      </c>
      <c r="AM61" s="186">
        <f t="shared" si="6"/>
        <v>1</v>
      </c>
      <c r="AP61" s="56" t="s">
        <v>506</v>
      </c>
    </row>
    <row r="62" spans="2:42" x14ac:dyDescent="0.35">
      <c r="B62" s="189">
        <v>2030</v>
      </c>
      <c r="C62" s="189" t="s">
        <v>469</v>
      </c>
      <c r="D62" s="190" t="s">
        <v>498</v>
      </c>
      <c r="E62" s="191">
        <v>0</v>
      </c>
      <c r="F62" s="191"/>
      <c r="G62" s="191">
        <v>0.01</v>
      </c>
      <c r="H62" s="191">
        <v>0.19</v>
      </c>
      <c r="I62" s="191">
        <v>0</v>
      </c>
      <c r="J62" s="191">
        <v>0</v>
      </c>
      <c r="K62" s="191">
        <v>0</v>
      </c>
      <c r="L62" s="191">
        <v>0</v>
      </c>
      <c r="M62" s="191">
        <v>0</v>
      </c>
      <c r="N62" s="191">
        <v>0</v>
      </c>
      <c r="O62" s="191">
        <v>0.79</v>
      </c>
      <c r="P62" s="191">
        <v>0</v>
      </c>
      <c r="Q62" s="191">
        <v>0.01</v>
      </c>
      <c r="R62" s="191">
        <v>0</v>
      </c>
      <c r="S62" s="192">
        <v>1</v>
      </c>
      <c r="V62" s="189" t="s">
        <v>469</v>
      </c>
      <c r="W62" s="189">
        <v>2030</v>
      </c>
      <c r="X62" s="190" t="s">
        <v>498</v>
      </c>
      <c r="Y62" s="201">
        <f>E62</f>
        <v>0</v>
      </c>
      <c r="Z62" s="201"/>
      <c r="AA62" s="201">
        <f t="shared" ref="AA62:AL62" si="7">G62</f>
        <v>0.01</v>
      </c>
      <c r="AB62" s="201">
        <f t="shared" si="7"/>
        <v>0.19</v>
      </c>
      <c r="AC62" s="201">
        <f t="shared" si="7"/>
        <v>0</v>
      </c>
      <c r="AD62" s="201">
        <f t="shared" si="7"/>
        <v>0</v>
      </c>
      <c r="AE62" s="201">
        <f t="shared" si="7"/>
        <v>0</v>
      </c>
      <c r="AF62" s="201">
        <f t="shared" si="7"/>
        <v>0</v>
      </c>
      <c r="AG62" s="201">
        <f t="shared" si="7"/>
        <v>0</v>
      </c>
      <c r="AH62" s="201">
        <f t="shared" si="7"/>
        <v>0</v>
      </c>
      <c r="AI62" s="201">
        <f t="shared" si="7"/>
        <v>0.79</v>
      </c>
      <c r="AJ62" s="201">
        <f t="shared" si="7"/>
        <v>0</v>
      </c>
      <c r="AK62" s="201">
        <f t="shared" si="7"/>
        <v>0.01</v>
      </c>
      <c r="AL62" s="201">
        <f t="shared" si="7"/>
        <v>0</v>
      </c>
      <c r="AM62" s="186">
        <f>SUM(Y62:AL62)</f>
        <v>1</v>
      </c>
      <c r="AP62" s="56"/>
    </row>
    <row r="63" spans="2:42" x14ac:dyDescent="0.35">
      <c r="B63" s="189">
        <v>2050</v>
      </c>
      <c r="C63" s="189" t="s">
        <v>469</v>
      </c>
      <c r="D63" s="190" t="s">
        <v>498</v>
      </c>
      <c r="E63" s="191">
        <v>0</v>
      </c>
      <c r="F63" s="191"/>
      <c r="G63" s="191">
        <v>0</v>
      </c>
      <c r="H63" s="191">
        <v>0.120723236835815</v>
      </c>
      <c r="I63" s="191">
        <v>0</v>
      </c>
      <c r="J63" s="191">
        <v>0</v>
      </c>
      <c r="K63" s="191">
        <v>0</v>
      </c>
      <c r="L63" s="191">
        <v>0</v>
      </c>
      <c r="M63" s="191">
        <v>0</v>
      </c>
      <c r="N63" s="191">
        <v>0</v>
      </c>
      <c r="O63" s="191">
        <v>0.87111370424531198</v>
      </c>
      <c r="P63" s="191">
        <v>0</v>
      </c>
      <c r="Q63" s="191">
        <v>0.01</v>
      </c>
      <c r="R63" s="191">
        <v>0</v>
      </c>
      <c r="S63" s="192">
        <v>1.0018369410811301</v>
      </c>
      <c r="V63" s="189" t="s">
        <v>469</v>
      </c>
      <c r="W63" s="189">
        <v>2050</v>
      </c>
      <c r="X63" s="190" t="s">
        <v>498</v>
      </c>
      <c r="Y63" s="201">
        <f>E63</f>
        <v>0</v>
      </c>
      <c r="Z63" s="201"/>
      <c r="AA63" s="201">
        <f>G63</f>
        <v>0</v>
      </c>
      <c r="AB63" s="201">
        <v>0.12</v>
      </c>
      <c r="AC63" s="201">
        <f t="shared" ref="AC63:AH63" si="8">I63</f>
        <v>0</v>
      </c>
      <c r="AD63" s="201">
        <f t="shared" si="8"/>
        <v>0</v>
      </c>
      <c r="AE63" s="201">
        <f t="shared" si="8"/>
        <v>0</v>
      </c>
      <c r="AF63" s="201">
        <f t="shared" si="8"/>
        <v>0</v>
      </c>
      <c r="AG63" s="201">
        <f t="shared" si="8"/>
        <v>0</v>
      </c>
      <c r="AH63" s="201">
        <f t="shared" si="8"/>
        <v>0</v>
      </c>
      <c r="AI63" s="201">
        <v>0.87</v>
      </c>
      <c r="AJ63" s="201">
        <f>P63</f>
        <v>0</v>
      </c>
      <c r="AK63" s="201">
        <f>Q63</f>
        <v>0.01</v>
      </c>
      <c r="AL63" s="201">
        <f>R63</f>
        <v>0</v>
      </c>
      <c r="AM63" s="186">
        <f>SUM(Y63:AL63)</f>
        <v>1</v>
      </c>
      <c r="AP63" s="56"/>
    </row>
    <row r="64" spans="2:42" x14ac:dyDescent="0.35">
      <c r="C64" s="195"/>
      <c r="D64" s="196"/>
      <c r="E64" s="197"/>
      <c r="F64" s="197"/>
      <c r="G64" s="197"/>
      <c r="H64" s="197"/>
      <c r="I64" s="197"/>
      <c r="J64" s="197"/>
      <c r="K64" s="197"/>
      <c r="L64" s="197"/>
      <c r="M64" s="197"/>
      <c r="N64" s="197"/>
      <c r="O64" s="197"/>
      <c r="P64" s="197"/>
      <c r="Q64" s="197"/>
      <c r="R64" s="197"/>
      <c r="S64" s="198"/>
      <c r="V64" s="195"/>
      <c r="W64" s="195"/>
      <c r="X64" s="196"/>
      <c r="Y64" s="199"/>
      <c r="Z64" s="199"/>
      <c r="AA64" s="199"/>
      <c r="AB64" s="199"/>
      <c r="AC64" s="199"/>
      <c r="AD64" s="199"/>
      <c r="AE64" s="199"/>
      <c r="AF64" s="199"/>
      <c r="AG64" s="199"/>
      <c r="AH64" s="199"/>
      <c r="AI64" s="199"/>
      <c r="AJ64" s="199"/>
      <c r="AK64" s="199"/>
      <c r="AL64" s="199"/>
      <c r="AM64" s="200"/>
      <c r="AP64" s="56"/>
    </row>
    <row r="65" spans="2:44" x14ac:dyDescent="0.35">
      <c r="B65" s="189">
        <v>2019</v>
      </c>
      <c r="C65" s="189" t="s">
        <v>471</v>
      </c>
      <c r="D65" s="190" t="s">
        <v>498</v>
      </c>
      <c r="E65" s="191">
        <v>0</v>
      </c>
      <c r="F65" s="191"/>
      <c r="G65" s="191">
        <v>0</v>
      </c>
      <c r="H65" s="202">
        <v>0.9</v>
      </c>
      <c r="I65" s="191">
        <v>0</v>
      </c>
      <c r="J65" s="191">
        <v>0</v>
      </c>
      <c r="K65" s="191">
        <v>0</v>
      </c>
      <c r="L65" s="191">
        <v>0</v>
      </c>
      <c r="M65" s="191"/>
      <c r="N65" s="191">
        <v>0</v>
      </c>
      <c r="O65" s="202">
        <v>0.1</v>
      </c>
      <c r="P65" s="191">
        <v>0</v>
      </c>
      <c r="Q65" s="191">
        <v>0</v>
      </c>
      <c r="R65" s="191">
        <v>0</v>
      </c>
      <c r="S65" s="192">
        <v>1</v>
      </c>
      <c r="V65" s="189" t="s">
        <v>471</v>
      </c>
      <c r="W65" s="189">
        <v>2019</v>
      </c>
      <c r="X65" s="190" t="s">
        <v>498</v>
      </c>
      <c r="Y65" s="193">
        <f t="shared" ref="Y65:AM65" si="9">INDEX(X$11:X$35,MATCH($V65,$V$11:$V$35,0))/INDEX($AL$11:$AL$35,MATCH($V65,$V$11:$V$35,0))</f>
        <v>0</v>
      </c>
      <c r="Z65" s="193">
        <f t="shared" si="9"/>
        <v>0</v>
      </c>
      <c r="AA65" s="193">
        <f t="shared" si="9"/>
        <v>2.4619339529365129E-2</v>
      </c>
      <c r="AB65" s="193">
        <f t="shared" si="9"/>
        <v>0.63990508206446284</v>
      </c>
      <c r="AC65" s="193">
        <f t="shared" si="9"/>
        <v>0</v>
      </c>
      <c r="AD65" s="193">
        <f t="shared" si="9"/>
        <v>0</v>
      </c>
      <c r="AE65" s="193">
        <f t="shared" si="9"/>
        <v>0</v>
      </c>
      <c r="AF65" s="193">
        <f t="shared" si="9"/>
        <v>0</v>
      </c>
      <c r="AG65" s="193">
        <f t="shared" si="9"/>
        <v>0</v>
      </c>
      <c r="AH65" s="193">
        <f t="shared" si="9"/>
        <v>0</v>
      </c>
      <c r="AI65" s="193">
        <f t="shared" si="9"/>
        <v>0.33547557840616854</v>
      </c>
      <c r="AJ65" s="193">
        <f t="shared" si="9"/>
        <v>0</v>
      </c>
      <c r="AK65" s="193">
        <f t="shared" si="9"/>
        <v>0</v>
      </c>
      <c r="AL65" s="193">
        <f t="shared" si="9"/>
        <v>0</v>
      </c>
      <c r="AM65" s="186">
        <f t="shared" si="9"/>
        <v>1</v>
      </c>
      <c r="AP65" s="56" t="s">
        <v>507</v>
      </c>
    </row>
    <row r="66" spans="2:44" x14ac:dyDescent="0.35">
      <c r="B66" s="189">
        <v>2030</v>
      </c>
      <c r="C66" s="189" t="s">
        <v>471</v>
      </c>
      <c r="D66" s="190" t="s">
        <v>498</v>
      </c>
      <c r="E66" s="191">
        <v>0</v>
      </c>
      <c r="F66" s="191"/>
      <c r="G66" s="191">
        <v>0</v>
      </c>
      <c r="H66" s="191">
        <v>0.82784299151006202</v>
      </c>
      <c r="I66" s="191">
        <v>0</v>
      </c>
      <c r="J66" s="191">
        <v>0</v>
      </c>
      <c r="K66" s="191">
        <v>0</v>
      </c>
      <c r="L66" s="191">
        <v>0</v>
      </c>
      <c r="M66" s="191">
        <v>0</v>
      </c>
      <c r="N66" s="191">
        <v>0</v>
      </c>
      <c r="O66" s="191">
        <v>0.17215700848993801</v>
      </c>
      <c r="P66" s="191">
        <v>0</v>
      </c>
      <c r="Q66" s="191">
        <v>0</v>
      </c>
      <c r="R66" s="191">
        <v>0</v>
      </c>
      <c r="S66" s="192">
        <v>1</v>
      </c>
      <c r="V66" s="189" t="s">
        <v>471</v>
      </c>
      <c r="W66" s="189">
        <v>2030</v>
      </c>
      <c r="X66" s="190" t="s">
        <v>498</v>
      </c>
      <c r="Y66" s="193">
        <f>E66</f>
        <v>0</v>
      </c>
      <c r="Z66" s="193"/>
      <c r="AA66" s="193">
        <f>G66</f>
        <v>0</v>
      </c>
      <c r="AB66" s="193">
        <v>0.5</v>
      </c>
      <c r="AC66" s="193">
        <f t="shared" ref="AC66:AH67" si="10">I66</f>
        <v>0</v>
      </c>
      <c r="AD66" s="193">
        <f t="shared" si="10"/>
        <v>0</v>
      </c>
      <c r="AE66" s="193">
        <f t="shared" si="10"/>
        <v>0</v>
      </c>
      <c r="AF66" s="193">
        <f t="shared" si="10"/>
        <v>0</v>
      </c>
      <c r="AG66" s="193">
        <f t="shared" si="10"/>
        <v>0</v>
      </c>
      <c r="AH66" s="193">
        <f t="shared" si="10"/>
        <v>0</v>
      </c>
      <c r="AI66" s="193">
        <v>0.5</v>
      </c>
      <c r="AJ66" s="193">
        <f t="shared" ref="AJ66:AL67" si="11">P66</f>
        <v>0</v>
      </c>
      <c r="AK66" s="193">
        <f t="shared" si="11"/>
        <v>0</v>
      </c>
      <c r="AL66" s="193">
        <f t="shared" si="11"/>
        <v>0</v>
      </c>
      <c r="AM66" s="186">
        <f>SUM(Y66:AL66)</f>
        <v>1</v>
      </c>
      <c r="AP66" s="56" t="s">
        <v>508</v>
      </c>
    </row>
    <row r="67" spans="2:44" x14ac:dyDescent="0.35">
      <c r="B67" s="189">
        <v>2050</v>
      </c>
      <c r="C67" s="189" t="s">
        <v>471</v>
      </c>
      <c r="D67" s="190" t="s">
        <v>498</v>
      </c>
      <c r="E67" s="191">
        <v>0</v>
      </c>
      <c r="F67" s="191"/>
      <c r="G67" s="191">
        <v>0</v>
      </c>
      <c r="H67" s="191">
        <v>0.75856622834587695</v>
      </c>
      <c r="I67" s="191">
        <v>0</v>
      </c>
      <c r="J67" s="191">
        <v>0</v>
      </c>
      <c r="K67" s="191">
        <v>0</v>
      </c>
      <c r="L67" s="191">
        <v>0</v>
      </c>
      <c r="M67" s="191">
        <v>0</v>
      </c>
      <c r="N67" s="191">
        <v>0</v>
      </c>
      <c r="O67" s="191">
        <v>0.241433771654123</v>
      </c>
      <c r="P67" s="191">
        <v>0</v>
      </c>
      <c r="Q67" s="191">
        <v>0</v>
      </c>
      <c r="R67" s="191">
        <v>0</v>
      </c>
      <c r="S67" s="192">
        <v>1</v>
      </c>
      <c r="V67" s="189" t="s">
        <v>471</v>
      </c>
      <c r="W67" s="189">
        <v>2050</v>
      </c>
      <c r="X67" s="190" t="s">
        <v>498</v>
      </c>
      <c r="Y67" s="193">
        <f>E67</f>
        <v>0</v>
      </c>
      <c r="Z67" s="193"/>
      <c r="AA67" s="193">
        <f>G67</f>
        <v>0</v>
      </c>
      <c r="AB67" s="193">
        <v>0.25</v>
      </c>
      <c r="AC67" s="193">
        <f t="shared" si="10"/>
        <v>0</v>
      </c>
      <c r="AD67" s="193">
        <f t="shared" si="10"/>
        <v>0</v>
      </c>
      <c r="AE67" s="193">
        <f t="shared" si="10"/>
        <v>0</v>
      </c>
      <c r="AF67" s="193">
        <f t="shared" si="10"/>
        <v>0</v>
      </c>
      <c r="AG67" s="193">
        <f t="shared" si="10"/>
        <v>0</v>
      </c>
      <c r="AH67" s="193">
        <f t="shared" si="10"/>
        <v>0</v>
      </c>
      <c r="AI67" s="193">
        <f>75%</f>
        <v>0.75</v>
      </c>
      <c r="AJ67" s="193">
        <f t="shared" si="11"/>
        <v>0</v>
      </c>
      <c r="AK67" s="193">
        <f t="shared" si="11"/>
        <v>0</v>
      </c>
      <c r="AL67" s="193">
        <f t="shared" si="11"/>
        <v>0</v>
      </c>
      <c r="AM67" s="186">
        <f>SUM(Y67:AL67)</f>
        <v>1</v>
      </c>
      <c r="AP67" s="56"/>
    </row>
    <row r="68" spans="2:44" x14ac:dyDescent="0.35">
      <c r="C68" s="195"/>
      <c r="D68" s="196"/>
      <c r="E68" s="197"/>
      <c r="F68" s="197"/>
      <c r="G68" s="197"/>
      <c r="H68" s="197"/>
      <c r="I68" s="197"/>
      <c r="J68" s="197"/>
      <c r="K68" s="197"/>
      <c r="L68" s="197"/>
      <c r="M68" s="197"/>
      <c r="N68" s="197"/>
      <c r="O68" s="197"/>
      <c r="P68" s="197"/>
      <c r="Q68" s="197"/>
      <c r="R68" s="197"/>
      <c r="S68" s="198"/>
      <c r="V68" s="195"/>
      <c r="W68" s="195"/>
      <c r="X68" s="196"/>
      <c r="Y68" s="199"/>
      <c r="Z68" s="199"/>
      <c r="AA68" s="199"/>
      <c r="AB68" s="199"/>
      <c r="AC68" s="199"/>
      <c r="AD68" s="199"/>
      <c r="AE68" s="199"/>
      <c r="AF68" s="199"/>
      <c r="AG68" s="199"/>
      <c r="AH68" s="199"/>
      <c r="AI68" s="199"/>
      <c r="AJ68" s="199"/>
      <c r="AK68" s="199"/>
      <c r="AL68" s="199"/>
      <c r="AM68" s="200"/>
      <c r="AP68" s="56"/>
    </row>
    <row r="69" spans="2:44" x14ac:dyDescent="0.35">
      <c r="B69" s="189">
        <v>2019</v>
      </c>
      <c r="C69" s="189" t="s">
        <v>473</v>
      </c>
      <c r="D69" s="190" t="s">
        <v>498</v>
      </c>
      <c r="E69" s="191">
        <v>2.2038991391149301E-4</v>
      </c>
      <c r="F69" s="191"/>
      <c r="G69" s="191">
        <v>0.166835456962417</v>
      </c>
      <c r="H69" s="191">
        <v>0.15712852885131401</v>
      </c>
      <c r="I69" s="191">
        <v>2.2038991391149301E-4</v>
      </c>
      <c r="J69" s="191">
        <v>0</v>
      </c>
      <c r="K69" s="191">
        <v>0</v>
      </c>
      <c r="L69" s="191">
        <v>0</v>
      </c>
      <c r="M69" s="191"/>
      <c r="N69" s="191">
        <v>0</v>
      </c>
      <c r="O69" s="191">
        <v>0.675599380753927</v>
      </c>
      <c r="P69" s="191">
        <v>0</v>
      </c>
      <c r="Q69" s="191">
        <v>0</v>
      </c>
      <c r="R69" s="191">
        <v>0</v>
      </c>
      <c r="S69" s="192">
        <v>1.0000041463954801</v>
      </c>
      <c r="V69" s="189" t="s">
        <v>473</v>
      </c>
      <c r="W69" s="189">
        <v>2019</v>
      </c>
      <c r="X69" s="190" t="s">
        <v>498</v>
      </c>
      <c r="Y69" s="193">
        <f t="shared" ref="Y69:AM69" si="12">INDEX(X$11:X$35,MATCH($V69,$V$11:$V$35,0))/INDEX($AL$11:$AL$35,MATCH($V69,$V$11:$V$35,0))</f>
        <v>2.6520931861475272E-4</v>
      </c>
      <c r="Z69" s="193">
        <f t="shared" si="12"/>
        <v>0</v>
      </c>
      <c r="AA69" s="193">
        <f t="shared" si="12"/>
        <v>0.19516251311002381</v>
      </c>
      <c r="AB69" s="193">
        <f t="shared" si="12"/>
        <v>8.7168072497337712E-2</v>
      </c>
      <c r="AC69" s="193">
        <f t="shared" si="12"/>
        <v>2.6520931861475272E-4</v>
      </c>
      <c r="AD69" s="193">
        <f t="shared" si="12"/>
        <v>0</v>
      </c>
      <c r="AE69" s="193">
        <f t="shared" si="12"/>
        <v>0</v>
      </c>
      <c r="AF69" s="193">
        <f t="shared" si="12"/>
        <v>0</v>
      </c>
      <c r="AG69" s="193">
        <f t="shared" si="12"/>
        <v>0</v>
      </c>
      <c r="AH69" s="193">
        <f t="shared" si="12"/>
        <v>0</v>
      </c>
      <c r="AI69" s="193">
        <f t="shared" si="12"/>
        <v>0.72856648446944483</v>
      </c>
      <c r="AJ69" s="193">
        <f t="shared" si="12"/>
        <v>0</v>
      </c>
      <c r="AK69" s="193">
        <f t="shared" si="12"/>
        <v>0</v>
      </c>
      <c r="AL69" s="193">
        <f t="shared" si="12"/>
        <v>0</v>
      </c>
      <c r="AM69" s="186">
        <f t="shared" si="12"/>
        <v>1</v>
      </c>
      <c r="AP69" s="56" t="s">
        <v>509</v>
      </c>
    </row>
    <row r="70" spans="2:44" x14ac:dyDescent="0.35">
      <c r="B70" s="189">
        <v>2030</v>
      </c>
      <c r="C70" s="189" t="s">
        <v>473</v>
      </c>
      <c r="D70" s="190" t="s">
        <v>498</v>
      </c>
      <c r="E70" s="191">
        <v>0</v>
      </c>
      <c r="F70" s="191"/>
      <c r="G70" s="191">
        <v>0.08</v>
      </c>
      <c r="H70" s="191">
        <v>0.1</v>
      </c>
      <c r="I70" s="191">
        <v>0</v>
      </c>
      <c r="J70" s="191">
        <v>0</v>
      </c>
      <c r="K70" s="191">
        <v>0</v>
      </c>
      <c r="L70" s="191">
        <v>0</v>
      </c>
      <c r="M70" s="191">
        <v>0</v>
      </c>
      <c r="N70" s="191">
        <v>0</v>
      </c>
      <c r="O70" s="191">
        <v>0.69</v>
      </c>
      <c r="P70" s="191">
        <v>0</v>
      </c>
      <c r="Q70" s="191">
        <v>0</v>
      </c>
      <c r="R70" s="191">
        <v>0.13</v>
      </c>
      <c r="S70" s="192">
        <v>1</v>
      </c>
      <c r="V70" s="189" t="s">
        <v>473</v>
      </c>
      <c r="W70" s="189">
        <v>2030</v>
      </c>
      <c r="X70" s="190" t="s">
        <v>498</v>
      </c>
      <c r="Y70" s="193">
        <f>E70</f>
        <v>0</v>
      </c>
      <c r="Z70" s="193"/>
      <c r="AA70" s="193">
        <f>10%</f>
        <v>0.1</v>
      </c>
      <c r="AB70" s="193">
        <f>AB69</f>
        <v>8.7168072497337712E-2</v>
      </c>
      <c r="AC70" s="193">
        <v>0.03</v>
      </c>
      <c r="AD70" s="193">
        <f t="shared" ref="AD70:AH71" si="13">J70</f>
        <v>0</v>
      </c>
      <c r="AE70" s="193">
        <f t="shared" si="13"/>
        <v>0</v>
      </c>
      <c r="AF70" s="193">
        <f t="shared" si="13"/>
        <v>0</v>
      </c>
      <c r="AG70" s="193">
        <f t="shared" si="13"/>
        <v>0</v>
      </c>
      <c r="AH70" s="193">
        <f t="shared" si="13"/>
        <v>0</v>
      </c>
      <c r="AI70" s="193">
        <f>1-SUM(Y70:AH70,AJ70:AL70)</f>
        <v>0.75283192750266226</v>
      </c>
      <c r="AJ70" s="193">
        <f>P70</f>
        <v>0</v>
      </c>
      <c r="AK70" s="193">
        <f>Q70</f>
        <v>0</v>
      </c>
      <c r="AL70" s="193">
        <v>0.03</v>
      </c>
      <c r="AM70" s="186">
        <f>SUM(Y70:AL70)</f>
        <v>1</v>
      </c>
      <c r="AO70" s="194"/>
      <c r="AP70" s="56" t="s">
        <v>500</v>
      </c>
    </row>
    <row r="71" spans="2:44" x14ac:dyDescent="0.35">
      <c r="B71" s="189">
        <v>2050</v>
      </c>
      <c r="C71" s="189" t="s">
        <v>473</v>
      </c>
      <c r="D71" s="190" t="s">
        <v>498</v>
      </c>
      <c r="E71" s="191">
        <v>0</v>
      </c>
      <c r="F71" s="191"/>
      <c r="G71" s="191">
        <v>0</v>
      </c>
      <c r="H71" s="191">
        <v>0.05</v>
      </c>
      <c r="I71" s="191">
        <v>0.02</v>
      </c>
      <c r="J71" s="191">
        <v>0</v>
      </c>
      <c r="K71" s="191">
        <v>0</v>
      </c>
      <c r="L71" s="191">
        <v>0</v>
      </c>
      <c r="M71" s="191">
        <v>0</v>
      </c>
      <c r="N71" s="191">
        <v>0</v>
      </c>
      <c r="O71" s="191">
        <v>0.67509256676624396</v>
      </c>
      <c r="P71" s="191">
        <v>0</v>
      </c>
      <c r="Q71" s="191">
        <v>0</v>
      </c>
      <c r="R71" s="191">
        <v>0.25490743323375598</v>
      </c>
      <c r="S71" s="192">
        <v>1</v>
      </c>
      <c r="V71" s="189" t="s">
        <v>473</v>
      </c>
      <c r="W71" s="189">
        <v>2050</v>
      </c>
      <c r="X71" s="190" t="s">
        <v>498</v>
      </c>
      <c r="Y71" s="193">
        <f>E71</f>
        <v>0</v>
      </c>
      <c r="Z71" s="193"/>
      <c r="AA71" s="193">
        <f>G71</f>
        <v>0</v>
      </c>
      <c r="AB71" s="193">
        <f>8%</f>
        <v>0.08</v>
      </c>
      <c r="AC71" s="193">
        <v>0.05</v>
      </c>
      <c r="AD71" s="193">
        <f t="shared" si="13"/>
        <v>0</v>
      </c>
      <c r="AE71" s="193">
        <f t="shared" si="13"/>
        <v>0</v>
      </c>
      <c r="AF71" s="193">
        <f t="shared" si="13"/>
        <v>0</v>
      </c>
      <c r="AG71" s="193">
        <f t="shared" si="13"/>
        <v>0</v>
      </c>
      <c r="AH71" s="193">
        <f t="shared" si="13"/>
        <v>0</v>
      </c>
      <c r="AI71" s="193">
        <f>1-SUM(Y71:AH71,AJ71:AL71)</f>
        <v>0.79</v>
      </c>
      <c r="AJ71" s="193">
        <f>P71</f>
        <v>0</v>
      </c>
      <c r="AK71" s="193">
        <f>Q71</f>
        <v>0</v>
      </c>
      <c r="AL71" s="193">
        <v>0.08</v>
      </c>
      <c r="AM71" s="186">
        <f>SUM(Y71:AL71)</f>
        <v>1</v>
      </c>
      <c r="AP71" s="56"/>
    </row>
    <row r="72" spans="2:44" x14ac:dyDescent="0.35">
      <c r="C72" s="195"/>
      <c r="D72" s="196"/>
      <c r="E72" s="197"/>
      <c r="F72" s="197"/>
      <c r="G72" s="197"/>
      <c r="H72" s="197"/>
      <c r="I72" s="197"/>
      <c r="J72" s="197"/>
      <c r="K72" s="197"/>
      <c r="L72" s="197"/>
      <c r="M72" s="197"/>
      <c r="N72" s="197"/>
      <c r="O72" s="197"/>
      <c r="P72" s="197"/>
      <c r="Q72" s="197"/>
      <c r="R72" s="197"/>
      <c r="S72" s="198"/>
      <c r="V72" s="195"/>
      <c r="W72" s="195"/>
      <c r="X72" s="196"/>
      <c r="Y72" s="199"/>
      <c r="Z72" s="199"/>
      <c r="AA72" s="199"/>
      <c r="AB72" s="199"/>
      <c r="AC72" s="199"/>
      <c r="AD72" s="199"/>
      <c r="AE72" s="199"/>
      <c r="AF72" s="199"/>
      <c r="AG72" s="199"/>
      <c r="AH72" s="199"/>
      <c r="AI72" s="199"/>
      <c r="AJ72" s="199"/>
      <c r="AK72" s="199"/>
      <c r="AL72" s="199"/>
      <c r="AM72" s="200"/>
      <c r="AP72" s="56"/>
    </row>
    <row r="73" spans="2:44" x14ac:dyDescent="0.35">
      <c r="C73" s="184" t="s">
        <v>25</v>
      </c>
      <c r="D73" s="184"/>
      <c r="E73" s="203"/>
      <c r="F73" s="203"/>
      <c r="G73" s="203"/>
      <c r="H73" s="203"/>
      <c r="I73" s="203"/>
      <c r="J73" s="203"/>
      <c r="K73" s="203"/>
      <c r="L73" s="203"/>
      <c r="M73" s="203"/>
      <c r="N73" s="203"/>
      <c r="O73" s="203"/>
      <c r="P73" s="203"/>
      <c r="Q73" s="203"/>
      <c r="R73" s="203"/>
      <c r="S73" s="192"/>
      <c r="V73" s="435" t="s">
        <v>25</v>
      </c>
      <c r="W73" s="435"/>
      <c r="X73" s="435"/>
      <c r="Y73" s="185" t="s">
        <v>439</v>
      </c>
      <c r="Z73" s="185" t="s">
        <v>455</v>
      </c>
      <c r="AA73" s="185" t="s">
        <v>441</v>
      </c>
      <c r="AB73" s="185" t="s">
        <v>442</v>
      </c>
      <c r="AC73" s="185" t="s">
        <v>451</v>
      </c>
      <c r="AD73" s="185" t="s">
        <v>452</v>
      </c>
      <c r="AE73" s="185" t="s">
        <v>453</v>
      </c>
      <c r="AF73" s="185" t="s">
        <v>454</v>
      </c>
      <c r="AG73" s="185" t="s">
        <v>444</v>
      </c>
      <c r="AH73" s="185" t="s">
        <v>445</v>
      </c>
      <c r="AI73" s="185" t="s">
        <v>496</v>
      </c>
      <c r="AJ73" s="185" t="s">
        <v>456</v>
      </c>
      <c r="AK73" s="185" t="s">
        <v>447</v>
      </c>
      <c r="AL73" s="185" t="s">
        <v>448</v>
      </c>
      <c r="AM73" s="186" t="s">
        <v>52</v>
      </c>
      <c r="AP73" s="56"/>
    </row>
    <row r="74" spans="2:44" x14ac:dyDescent="0.35">
      <c r="B74" s="189">
        <v>2019</v>
      </c>
      <c r="C74" s="189" t="s">
        <v>475</v>
      </c>
      <c r="D74" s="190" t="s">
        <v>498</v>
      </c>
      <c r="E74" s="191">
        <v>0</v>
      </c>
      <c r="F74" s="191"/>
      <c r="G74" s="191">
        <v>5.0000000000000001E-3</v>
      </c>
      <c r="H74" s="191">
        <v>0.93</v>
      </c>
      <c r="I74" s="191">
        <v>5.0000000000000001E-3</v>
      </c>
      <c r="J74" s="191">
        <v>0</v>
      </c>
      <c r="K74" s="191">
        <v>0</v>
      </c>
      <c r="L74" s="191">
        <v>0</v>
      </c>
      <c r="M74" s="191"/>
      <c r="N74" s="191">
        <v>0</v>
      </c>
      <c r="O74" s="191">
        <v>0.06</v>
      </c>
      <c r="P74" s="191">
        <v>0</v>
      </c>
      <c r="Q74" s="191">
        <v>0</v>
      </c>
      <c r="R74" s="191">
        <v>0</v>
      </c>
      <c r="S74" s="192">
        <v>1</v>
      </c>
      <c r="V74" s="189" t="s">
        <v>475</v>
      </c>
      <c r="W74" s="189">
        <v>2019</v>
      </c>
      <c r="X74" s="190" t="s">
        <v>498</v>
      </c>
      <c r="Y74" s="201">
        <f t="shared" ref="Y74:AM74" si="14">INDEX(X$11:X$35,MATCH($V74,$V$11:$V$35,0))/INDEX($AL$11:$AL$35,MATCH($V74,$V$11:$V$35,0))</f>
        <v>0</v>
      </c>
      <c r="Z74" s="201">
        <f t="shared" si="14"/>
        <v>0</v>
      </c>
      <c r="AA74" s="201">
        <f t="shared" si="14"/>
        <v>5.0000000000000096E-3</v>
      </c>
      <c r="AB74" s="201">
        <f t="shared" si="14"/>
        <v>0.93000000000000105</v>
      </c>
      <c r="AC74" s="201">
        <f t="shared" si="14"/>
        <v>5.0000000000000096E-3</v>
      </c>
      <c r="AD74" s="201">
        <f t="shared" si="14"/>
        <v>0</v>
      </c>
      <c r="AE74" s="201">
        <f t="shared" si="14"/>
        <v>0</v>
      </c>
      <c r="AF74" s="201">
        <f t="shared" si="14"/>
        <v>0</v>
      </c>
      <c r="AG74" s="201">
        <f t="shared" si="14"/>
        <v>0</v>
      </c>
      <c r="AH74" s="201">
        <f t="shared" si="14"/>
        <v>0</v>
      </c>
      <c r="AI74" s="201">
        <f t="shared" si="14"/>
        <v>6.0000000000000005E-2</v>
      </c>
      <c r="AJ74" s="201">
        <f t="shared" si="14"/>
        <v>0</v>
      </c>
      <c r="AK74" s="201">
        <f t="shared" si="14"/>
        <v>0</v>
      </c>
      <c r="AL74" s="201">
        <f t="shared" si="14"/>
        <v>0</v>
      </c>
      <c r="AM74" s="186">
        <f t="shared" si="14"/>
        <v>1</v>
      </c>
      <c r="AP74" s="56" t="s">
        <v>510</v>
      </c>
    </row>
    <row r="75" spans="2:44" x14ac:dyDescent="0.35">
      <c r="B75" s="189">
        <v>2030</v>
      </c>
      <c r="C75" s="189" t="s">
        <v>475</v>
      </c>
      <c r="D75" s="190" t="s">
        <v>498</v>
      </c>
      <c r="E75" s="191">
        <v>0</v>
      </c>
      <c r="F75" s="191"/>
      <c r="G75" s="191">
        <v>0</v>
      </c>
      <c r="H75" s="191">
        <v>0.21</v>
      </c>
      <c r="I75" s="191">
        <v>0</v>
      </c>
      <c r="J75" s="191">
        <v>0</v>
      </c>
      <c r="K75" s="191">
        <v>0</v>
      </c>
      <c r="L75" s="191">
        <v>0</v>
      </c>
      <c r="M75" s="191">
        <v>0</v>
      </c>
      <c r="N75" s="191">
        <v>0</v>
      </c>
      <c r="O75" s="191">
        <v>0.79</v>
      </c>
      <c r="P75" s="191">
        <v>0</v>
      </c>
      <c r="Q75" s="191">
        <v>0</v>
      </c>
      <c r="R75" s="191">
        <v>0</v>
      </c>
      <c r="S75" s="192">
        <v>1</v>
      </c>
      <c r="V75" s="189" t="s">
        <v>475</v>
      </c>
      <c r="W75" s="189">
        <v>2030</v>
      </c>
      <c r="X75" s="190" t="s">
        <v>498</v>
      </c>
      <c r="Y75" s="193">
        <f>E75</f>
        <v>0</v>
      </c>
      <c r="Z75" s="193"/>
      <c r="AA75" s="193">
        <f>G75</f>
        <v>0</v>
      </c>
      <c r="AB75" s="193">
        <f>1-SUM(Y75:AA75,AC75:AL75)</f>
        <v>0.65</v>
      </c>
      <c r="AC75" s="193">
        <f t="shared" ref="AC75:AH76" si="15">I75</f>
        <v>0</v>
      </c>
      <c r="AD75" s="193">
        <f t="shared" si="15"/>
        <v>0</v>
      </c>
      <c r="AE75" s="193">
        <f t="shared" si="15"/>
        <v>0</v>
      </c>
      <c r="AF75" s="193">
        <f t="shared" si="15"/>
        <v>0</v>
      </c>
      <c r="AG75" s="193">
        <f t="shared" si="15"/>
        <v>0</v>
      </c>
      <c r="AH75" s="193">
        <f t="shared" si="15"/>
        <v>0</v>
      </c>
      <c r="AI75" s="193">
        <v>0.35</v>
      </c>
      <c r="AJ75" s="193">
        <f t="shared" ref="AJ75:AL76" si="16">P75</f>
        <v>0</v>
      </c>
      <c r="AK75" s="193">
        <f t="shared" si="16"/>
        <v>0</v>
      </c>
      <c r="AL75" s="193">
        <f t="shared" si="16"/>
        <v>0</v>
      </c>
      <c r="AM75" s="186">
        <f>SUM(Y75:AL75)</f>
        <v>1</v>
      </c>
      <c r="AP75" s="56"/>
    </row>
    <row r="76" spans="2:44" x14ac:dyDescent="0.35">
      <c r="B76" s="189">
        <v>2050</v>
      </c>
      <c r="C76" s="189" t="s">
        <v>475</v>
      </c>
      <c r="D76" s="190" t="s">
        <v>498</v>
      </c>
      <c r="E76" s="191">
        <v>0</v>
      </c>
      <c r="F76" s="191"/>
      <c r="G76" s="191">
        <v>0</v>
      </c>
      <c r="H76" s="191">
        <v>0.18437935446393</v>
      </c>
      <c r="I76" s="191">
        <v>0</v>
      </c>
      <c r="J76" s="191">
        <v>0</v>
      </c>
      <c r="K76" s="191">
        <v>0</v>
      </c>
      <c r="L76" s="191">
        <v>0</v>
      </c>
      <c r="M76" s="191">
        <v>0</v>
      </c>
      <c r="N76" s="191">
        <v>0</v>
      </c>
      <c r="O76" s="191">
        <v>0.81562064553607005</v>
      </c>
      <c r="P76" s="191">
        <v>0</v>
      </c>
      <c r="Q76" s="191">
        <v>0</v>
      </c>
      <c r="R76" s="191">
        <v>0</v>
      </c>
      <c r="S76" s="192">
        <v>1</v>
      </c>
      <c r="V76" s="189" t="s">
        <v>475</v>
      </c>
      <c r="W76" s="189">
        <v>2050</v>
      </c>
      <c r="X76" s="190" t="s">
        <v>498</v>
      </c>
      <c r="Y76" s="193">
        <f>E76</f>
        <v>0</v>
      </c>
      <c r="Z76" s="193"/>
      <c r="AA76" s="193">
        <f>G76</f>
        <v>0</v>
      </c>
      <c r="AB76" s="193">
        <f>1-SUM(Y76:AA76,AC76:AL76)</f>
        <v>0.25</v>
      </c>
      <c r="AC76" s="193">
        <f t="shared" si="15"/>
        <v>0</v>
      </c>
      <c r="AD76" s="193">
        <f t="shared" si="15"/>
        <v>0</v>
      </c>
      <c r="AE76" s="193">
        <f t="shared" si="15"/>
        <v>0</v>
      </c>
      <c r="AF76" s="193">
        <f t="shared" si="15"/>
        <v>0</v>
      </c>
      <c r="AG76" s="193">
        <f t="shared" si="15"/>
        <v>0</v>
      </c>
      <c r="AH76" s="193">
        <f t="shared" si="15"/>
        <v>0</v>
      </c>
      <c r="AI76" s="193">
        <v>0.75</v>
      </c>
      <c r="AJ76" s="193">
        <f t="shared" si="16"/>
        <v>0</v>
      </c>
      <c r="AK76" s="193">
        <f t="shared" si="16"/>
        <v>0</v>
      </c>
      <c r="AL76" s="193">
        <f t="shared" si="16"/>
        <v>0</v>
      </c>
      <c r="AM76" s="186">
        <f>SUM(Y76:AL76)</f>
        <v>1</v>
      </c>
      <c r="AP76" s="56"/>
    </row>
    <row r="77" spans="2:44" x14ac:dyDescent="0.35">
      <c r="C77" s="195"/>
      <c r="D77" s="196"/>
      <c r="E77" s="197"/>
      <c r="F77" s="197"/>
      <c r="G77" s="197"/>
      <c r="H77" s="197"/>
      <c r="I77" s="197"/>
      <c r="J77" s="197"/>
      <c r="K77" s="197"/>
      <c r="L77" s="197"/>
      <c r="M77" s="197"/>
      <c r="N77" s="197"/>
      <c r="O77" s="197"/>
      <c r="P77" s="197"/>
      <c r="Q77" s="197"/>
      <c r="R77" s="197"/>
      <c r="S77" s="198"/>
      <c r="V77" s="195"/>
      <c r="W77" s="195"/>
      <c r="X77" s="196"/>
      <c r="Y77" s="199"/>
      <c r="Z77" s="199"/>
      <c r="AA77" s="199"/>
      <c r="AB77" s="199"/>
      <c r="AC77" s="199"/>
      <c r="AD77" s="199"/>
      <c r="AE77" s="199"/>
      <c r="AF77" s="199"/>
      <c r="AG77" s="199"/>
      <c r="AH77" s="199"/>
      <c r="AI77" s="199"/>
      <c r="AJ77" s="199"/>
      <c r="AK77" s="199"/>
      <c r="AL77" s="199"/>
      <c r="AM77" s="200"/>
      <c r="AP77" s="56"/>
    </row>
    <row r="78" spans="2:44" x14ac:dyDescent="0.35">
      <c r="B78" s="189">
        <v>2019</v>
      </c>
      <c r="C78" s="189" t="s">
        <v>476</v>
      </c>
      <c r="D78" s="190" t="s">
        <v>498</v>
      </c>
      <c r="E78" s="191">
        <v>0</v>
      </c>
      <c r="F78" s="191"/>
      <c r="G78" s="191">
        <v>6.8403293431177806E-2</v>
      </c>
      <c r="H78" s="191">
        <v>0.494979970656034</v>
      </c>
      <c r="I78" s="191">
        <v>3.0411115934223999E-2</v>
      </c>
      <c r="J78" s="191">
        <v>0</v>
      </c>
      <c r="K78" s="191">
        <v>0</v>
      </c>
      <c r="L78" s="191">
        <v>0</v>
      </c>
      <c r="M78" s="191"/>
      <c r="N78" s="191">
        <v>0</v>
      </c>
      <c r="O78" s="191">
        <v>0.22808336950668001</v>
      </c>
      <c r="P78" s="191">
        <v>0</v>
      </c>
      <c r="Q78" s="191">
        <v>0.17812225047188401</v>
      </c>
      <c r="R78" s="191">
        <v>0</v>
      </c>
      <c r="S78" s="192">
        <v>1</v>
      </c>
      <c r="V78" s="189" t="s">
        <v>476</v>
      </c>
      <c r="W78" s="189">
        <v>2019</v>
      </c>
      <c r="X78" s="190" t="s">
        <v>498</v>
      </c>
      <c r="Y78" s="201">
        <f t="shared" ref="Y78:AM78" si="17">INDEX(X$11:X$35,MATCH($V78,$V$11:$V$35,0))/INDEX($AL$11:$AL$35,MATCH($V78,$V$11:$V$35,0))</f>
        <v>0</v>
      </c>
      <c r="Z78" s="201">
        <f t="shared" si="17"/>
        <v>0</v>
      </c>
      <c r="AA78" s="201">
        <f t="shared" si="17"/>
        <v>3.6525385410182312E-2</v>
      </c>
      <c r="AB78" s="201">
        <f t="shared" si="17"/>
        <v>0.65745693738328292</v>
      </c>
      <c r="AC78" s="201">
        <f t="shared" si="17"/>
        <v>1.3284637135304488E-2</v>
      </c>
      <c r="AD78" s="201">
        <f t="shared" si="17"/>
        <v>0</v>
      </c>
      <c r="AE78" s="201">
        <f t="shared" si="17"/>
        <v>0</v>
      </c>
      <c r="AF78" s="201">
        <f t="shared" si="17"/>
        <v>0</v>
      </c>
      <c r="AG78" s="201">
        <f t="shared" si="17"/>
        <v>0</v>
      </c>
      <c r="AH78" s="201">
        <f t="shared" si="17"/>
        <v>0</v>
      </c>
      <c r="AI78" s="201">
        <f t="shared" si="17"/>
        <v>0.16043805594258678</v>
      </c>
      <c r="AJ78" s="201">
        <f t="shared" si="17"/>
        <v>0</v>
      </c>
      <c r="AK78" s="201">
        <f t="shared" si="17"/>
        <v>0.13229498412864227</v>
      </c>
      <c r="AL78" s="201">
        <f t="shared" si="17"/>
        <v>0</v>
      </c>
      <c r="AM78" s="186">
        <f t="shared" si="17"/>
        <v>1</v>
      </c>
      <c r="AP78" s="56" t="s">
        <v>511</v>
      </c>
    </row>
    <row r="79" spans="2:44" x14ac:dyDescent="0.35">
      <c r="B79" s="189">
        <v>2030</v>
      </c>
      <c r="C79" s="189" t="s">
        <v>476</v>
      </c>
      <c r="D79" s="190" t="s">
        <v>498</v>
      </c>
      <c r="E79" s="191">
        <v>0</v>
      </c>
      <c r="F79" s="191"/>
      <c r="G79" s="191">
        <v>0.05</v>
      </c>
      <c r="H79" s="191">
        <v>0.38773860579796099</v>
      </c>
      <c r="I79" s="191">
        <v>3.0411115934223999E-2</v>
      </c>
      <c r="J79" s="191">
        <v>0</v>
      </c>
      <c r="K79" s="191">
        <v>0</v>
      </c>
      <c r="L79" s="191">
        <v>0</v>
      </c>
      <c r="M79" s="191">
        <v>0</v>
      </c>
      <c r="N79" s="191">
        <v>0</v>
      </c>
      <c r="O79" s="191">
        <v>0.35185027826781501</v>
      </c>
      <c r="P79" s="191">
        <v>0</v>
      </c>
      <c r="Q79" s="191">
        <v>0.18</v>
      </c>
      <c r="R79" s="191">
        <v>0</v>
      </c>
      <c r="S79" s="192">
        <v>1</v>
      </c>
      <c r="V79" s="189" t="s">
        <v>476</v>
      </c>
      <c r="W79" s="189">
        <v>2030</v>
      </c>
      <c r="X79" s="190" t="s">
        <v>498</v>
      </c>
      <c r="Y79" s="193">
        <f>(Y80-Y78)/3+Y78</f>
        <v>0</v>
      </c>
      <c r="Z79" s="193">
        <f>(Z80-Z78)/3+Z78</f>
        <v>0</v>
      </c>
      <c r="AA79" s="193">
        <v>0.02</v>
      </c>
      <c r="AB79" s="193">
        <v>0.54200000000000004</v>
      </c>
      <c r="AC79" s="193">
        <v>0.08</v>
      </c>
      <c r="AD79" s="193">
        <f>(AD80-AD78)/3+AD78</f>
        <v>0</v>
      </c>
      <c r="AE79" s="193">
        <f>(AE80-AE78)/3+AE78</f>
        <v>0</v>
      </c>
      <c r="AF79" s="193">
        <f>(AF80-AF78)/3+AF78</f>
        <v>0</v>
      </c>
      <c r="AG79" s="193">
        <f>(AG80-AG78)/3+AG78</f>
        <v>0</v>
      </c>
      <c r="AH79" s="193">
        <f>(AH80-AH78)/3+AH78</f>
        <v>0</v>
      </c>
      <c r="AI79" s="193">
        <v>0.22</v>
      </c>
      <c r="AJ79" s="193">
        <f>(AJ80-AJ78)/3+AJ78</f>
        <v>0</v>
      </c>
      <c r="AK79" s="193">
        <f>(AK80-AK78)/3+AK78</f>
        <v>0.13819665608576151</v>
      </c>
      <c r="AL79" s="193">
        <f>(AL80-AL78)/3+AL78</f>
        <v>0</v>
      </c>
      <c r="AM79" s="186">
        <f>SUM(Y79:AL79)</f>
        <v>1.0001966560857616</v>
      </c>
      <c r="AP79" s="56" t="s">
        <v>500</v>
      </c>
      <c r="AR79" s="194"/>
    </row>
    <row r="80" spans="2:44" x14ac:dyDescent="0.35">
      <c r="B80" s="189">
        <v>2050</v>
      </c>
      <c r="C80" s="189" t="s">
        <v>476</v>
      </c>
      <c r="D80" s="190" t="s">
        <v>498</v>
      </c>
      <c r="E80" s="191">
        <v>0</v>
      </c>
      <c r="F80" s="191"/>
      <c r="G80" s="191">
        <v>0</v>
      </c>
      <c r="H80" s="191">
        <v>0.30017784015294602</v>
      </c>
      <c r="I80" s="191">
        <v>3.0411115934223999E-2</v>
      </c>
      <c r="J80" s="191">
        <v>0</v>
      </c>
      <c r="K80" s="191">
        <v>0</v>
      </c>
      <c r="L80" s="191">
        <v>0</v>
      </c>
      <c r="M80" s="191">
        <v>0</v>
      </c>
      <c r="N80" s="191">
        <v>0</v>
      </c>
      <c r="O80" s="191">
        <v>0.491288793440946</v>
      </c>
      <c r="P80" s="191">
        <v>0</v>
      </c>
      <c r="Q80" s="191">
        <v>0.17812225047188401</v>
      </c>
      <c r="R80" s="191">
        <v>0</v>
      </c>
      <c r="S80" s="192">
        <v>1</v>
      </c>
      <c r="V80" s="189" t="s">
        <v>476</v>
      </c>
      <c r="W80" s="189">
        <v>2050</v>
      </c>
      <c r="X80" s="190" t="s">
        <v>498</v>
      </c>
      <c r="Y80" s="193">
        <f>E80</f>
        <v>0</v>
      </c>
      <c r="Z80" s="193"/>
      <c r="AA80" s="193">
        <v>0</v>
      </c>
      <c r="AB80" s="193">
        <f>1-SUM(AC80:AL80,Y80:AA80)</f>
        <v>0.41000000000000003</v>
      </c>
      <c r="AC80" s="193">
        <v>0.12</v>
      </c>
      <c r="AD80" s="193">
        <f>J80</f>
        <v>0</v>
      </c>
      <c r="AE80" s="193">
        <f>K80</f>
        <v>0</v>
      </c>
      <c r="AF80" s="193">
        <f>L80</f>
        <v>0</v>
      </c>
      <c r="AG80" s="193">
        <f>M80</f>
        <v>0</v>
      </c>
      <c r="AH80" s="193">
        <f>N80</f>
        <v>0</v>
      </c>
      <c r="AI80" s="193">
        <v>0.32</v>
      </c>
      <c r="AJ80" s="193">
        <f>P80</f>
        <v>0</v>
      </c>
      <c r="AK80" s="193">
        <v>0.15</v>
      </c>
      <c r="AL80" s="193">
        <f>R80</f>
        <v>0</v>
      </c>
      <c r="AM80" s="186">
        <f>SUM(Y80:AL80)</f>
        <v>1</v>
      </c>
      <c r="AP80" s="56"/>
    </row>
    <row r="81" spans="2:42" x14ac:dyDescent="0.35">
      <c r="C81" s="195"/>
      <c r="D81" s="196"/>
      <c r="E81" s="197"/>
      <c r="F81" s="197"/>
      <c r="G81" s="197"/>
      <c r="H81" s="197"/>
      <c r="I81" s="197"/>
      <c r="J81" s="197"/>
      <c r="K81" s="197"/>
      <c r="L81" s="197"/>
      <c r="M81" s="197"/>
      <c r="N81" s="197"/>
      <c r="O81" s="197"/>
      <c r="P81" s="197"/>
      <c r="Q81" s="197"/>
      <c r="R81" s="197"/>
      <c r="S81" s="198"/>
      <c r="V81" s="195"/>
      <c r="W81" s="195"/>
      <c r="X81" s="196"/>
      <c r="Y81" s="199"/>
      <c r="Z81" s="199"/>
      <c r="AA81" s="199"/>
      <c r="AB81" s="199"/>
      <c r="AC81" s="199"/>
      <c r="AD81" s="199"/>
      <c r="AE81" s="199"/>
      <c r="AF81" s="199"/>
      <c r="AG81" s="199"/>
      <c r="AH81" s="199"/>
      <c r="AI81" s="199"/>
      <c r="AJ81" s="199"/>
      <c r="AK81" s="199"/>
      <c r="AL81" s="199"/>
      <c r="AM81" s="200"/>
      <c r="AP81" s="56"/>
    </row>
    <row r="82" spans="2:42" x14ac:dyDescent="0.35">
      <c r="B82" s="189">
        <v>2019</v>
      </c>
      <c r="C82" s="189" t="s">
        <v>479</v>
      </c>
      <c r="D82" s="190" t="s">
        <v>498</v>
      </c>
      <c r="E82" s="191">
        <v>8.1790103158823804E-2</v>
      </c>
      <c r="F82" s="191"/>
      <c r="G82" s="191">
        <v>5.8595894299541498E-2</v>
      </c>
      <c r="H82" s="191">
        <v>0.40213172017946802</v>
      </c>
      <c r="I82" s="191">
        <v>6.4971647823342804E-3</v>
      </c>
      <c r="J82" s="191">
        <v>0</v>
      </c>
      <c r="K82" s="191">
        <v>0</v>
      </c>
      <c r="L82" s="191">
        <v>0</v>
      </c>
      <c r="M82" s="191"/>
      <c r="N82" s="191">
        <v>0</v>
      </c>
      <c r="O82" s="191">
        <v>0.29902835091906599</v>
      </c>
      <c r="P82" s="191">
        <v>0</v>
      </c>
      <c r="Q82" s="191">
        <v>0.15194510837917699</v>
      </c>
      <c r="R82" s="191">
        <v>0</v>
      </c>
      <c r="S82" s="192">
        <v>0.999988341718411</v>
      </c>
      <c r="U82" s="1" t="s">
        <v>512</v>
      </c>
      <c r="V82" s="189" t="s">
        <v>479</v>
      </c>
      <c r="W82" s="189">
        <v>2019</v>
      </c>
      <c r="X82" s="190" t="s">
        <v>498</v>
      </c>
      <c r="Y82" s="193">
        <f t="shared" ref="Y82:AM82" si="18">INDEX(X$11:X$35,MATCH($V82,$V$11:$V$35,0))/INDEX($AL$11:$AL$35,MATCH($V82,$V$11:$V$35,0))</f>
        <v>0.1397937629383523</v>
      </c>
      <c r="Z82" s="193">
        <f t="shared" si="18"/>
        <v>2.6319607416896646E-3</v>
      </c>
      <c r="AA82" s="193">
        <f t="shared" si="18"/>
        <v>0.10527809907127257</v>
      </c>
      <c r="AB82" s="193">
        <f t="shared" si="18"/>
        <v>5.8343169023411294E-2</v>
      </c>
      <c r="AC82" s="193">
        <f t="shared" si="18"/>
        <v>1.7759393453846233E-2</v>
      </c>
      <c r="AD82" s="193">
        <f t="shared" si="18"/>
        <v>0</v>
      </c>
      <c r="AE82" s="193">
        <f t="shared" si="18"/>
        <v>0</v>
      </c>
      <c r="AF82" s="193">
        <f t="shared" si="18"/>
        <v>0</v>
      </c>
      <c r="AG82" s="193">
        <f t="shared" si="18"/>
        <v>0</v>
      </c>
      <c r="AH82" s="193">
        <f t="shared" si="18"/>
        <v>0</v>
      </c>
      <c r="AI82" s="193">
        <f t="shared" si="18"/>
        <v>0.46608999419356434</v>
      </c>
      <c r="AJ82" s="193">
        <f t="shared" si="18"/>
        <v>0</v>
      </c>
      <c r="AK82" s="193">
        <f t="shared" si="18"/>
        <v>0.21010362057786305</v>
      </c>
      <c r="AL82" s="193">
        <f t="shared" si="18"/>
        <v>0</v>
      </c>
      <c r="AM82" s="186">
        <f t="shared" si="18"/>
        <v>1</v>
      </c>
      <c r="AN82" s="3"/>
      <c r="AP82" s="56" t="s">
        <v>513</v>
      </c>
    </row>
    <row r="83" spans="2:42" x14ac:dyDescent="0.35">
      <c r="B83" s="189">
        <v>2030</v>
      </c>
      <c r="C83" s="189" t="s">
        <v>479</v>
      </c>
      <c r="D83" s="190" t="s">
        <v>498</v>
      </c>
      <c r="E83" s="191">
        <v>0</v>
      </c>
      <c r="F83" s="191"/>
      <c r="G83" s="191">
        <v>0.02</v>
      </c>
      <c r="H83" s="191">
        <v>0.38017303490005899</v>
      </c>
      <c r="I83" s="191">
        <v>0.01</v>
      </c>
      <c r="J83" s="191">
        <v>0</v>
      </c>
      <c r="K83" s="191">
        <v>0</v>
      </c>
      <c r="L83" s="191">
        <v>0</v>
      </c>
      <c r="M83" s="191">
        <v>0</v>
      </c>
      <c r="N83" s="191">
        <v>0</v>
      </c>
      <c r="O83" s="191">
        <v>0.35</v>
      </c>
      <c r="P83" s="191">
        <v>0</v>
      </c>
      <c r="Q83" s="191">
        <v>0.239826965099941</v>
      </c>
      <c r="R83" s="191">
        <v>0</v>
      </c>
      <c r="S83" s="192">
        <v>1</v>
      </c>
      <c r="V83" s="189" t="s">
        <v>479</v>
      </c>
      <c r="W83" s="189">
        <v>2030</v>
      </c>
      <c r="X83" s="190" t="s">
        <v>498</v>
      </c>
      <c r="Y83" s="193">
        <v>0</v>
      </c>
      <c r="Z83" s="193"/>
      <c r="AA83" s="193">
        <v>0.09</v>
      </c>
      <c r="AB83" s="193">
        <v>0.06</v>
      </c>
      <c r="AC83" s="193">
        <v>0.04</v>
      </c>
      <c r="AD83" s="193">
        <f t="shared" ref="AD83:AF84" si="19">J83</f>
        <v>0</v>
      </c>
      <c r="AE83" s="193">
        <f t="shared" si="19"/>
        <v>0</v>
      </c>
      <c r="AF83" s="193">
        <f t="shared" si="19"/>
        <v>0</v>
      </c>
      <c r="AG83" s="193">
        <f>AJ83*2</f>
        <v>0.04</v>
      </c>
      <c r="AH83" s="193">
        <f>N83</f>
        <v>0</v>
      </c>
      <c r="AI83" s="193">
        <v>0.5</v>
      </c>
      <c r="AJ83" s="193">
        <v>0.02</v>
      </c>
      <c r="AK83" s="193">
        <v>0.25</v>
      </c>
      <c r="AL83" s="193">
        <f>R83</f>
        <v>0</v>
      </c>
      <c r="AM83" s="186">
        <f>SUM(Y83:AL83)</f>
        <v>1</v>
      </c>
      <c r="AO83" s="194"/>
      <c r="AP83" s="56" t="s">
        <v>514</v>
      </c>
    </row>
    <row r="84" spans="2:42" x14ac:dyDescent="0.35">
      <c r="B84" s="189">
        <v>2050</v>
      </c>
      <c r="C84" s="189" t="s">
        <v>479</v>
      </c>
      <c r="D84" s="190" t="s">
        <v>498</v>
      </c>
      <c r="E84" s="191">
        <v>0</v>
      </c>
      <c r="F84" s="191"/>
      <c r="G84" s="191">
        <v>0</v>
      </c>
      <c r="H84" s="191">
        <v>0.2</v>
      </c>
      <c r="I84" s="191">
        <v>0.01</v>
      </c>
      <c r="J84" s="191">
        <v>0</v>
      </c>
      <c r="K84" s="191">
        <v>0</v>
      </c>
      <c r="L84" s="191">
        <v>0</v>
      </c>
      <c r="M84" s="191">
        <v>0</v>
      </c>
      <c r="N84" s="191">
        <v>0</v>
      </c>
      <c r="O84" s="191">
        <v>0.38453372443584799</v>
      </c>
      <c r="P84" s="191">
        <v>0</v>
      </c>
      <c r="Q84" s="191">
        <v>0.40546627556415199</v>
      </c>
      <c r="R84" s="191">
        <v>0</v>
      </c>
      <c r="S84" s="192">
        <v>1</v>
      </c>
      <c r="V84" s="189" t="s">
        <v>479</v>
      </c>
      <c r="W84" s="189">
        <v>2050</v>
      </c>
      <c r="X84" s="190" t="s">
        <v>498</v>
      </c>
      <c r="Y84" s="193">
        <f>E84</f>
        <v>0</v>
      </c>
      <c r="Z84" s="193"/>
      <c r="AA84" s="193">
        <f>G84</f>
        <v>0</v>
      </c>
      <c r="AB84" s="193">
        <v>0.02</v>
      </c>
      <c r="AC84" s="193">
        <v>0.05</v>
      </c>
      <c r="AD84" s="193">
        <f t="shared" si="19"/>
        <v>0</v>
      </c>
      <c r="AE84" s="193">
        <f t="shared" si="19"/>
        <v>0</v>
      </c>
      <c r="AF84" s="193">
        <f t="shared" si="19"/>
        <v>0</v>
      </c>
      <c r="AG84" s="193">
        <v>0.1</v>
      </c>
      <c r="AH84" s="193">
        <v>0.01</v>
      </c>
      <c r="AI84" s="193">
        <f>AI83+2%</f>
        <v>0.52</v>
      </c>
      <c r="AJ84" s="193">
        <f>AG84/2</f>
        <v>0.05</v>
      </c>
      <c r="AK84" s="193">
        <v>0.25</v>
      </c>
      <c r="AL84" s="193">
        <f>R84</f>
        <v>0</v>
      </c>
      <c r="AM84" s="186">
        <f>SUM(Y84:AL84)</f>
        <v>1</v>
      </c>
      <c r="AP84" s="56"/>
    </row>
    <row r="85" spans="2:42" x14ac:dyDescent="0.35">
      <c r="C85" s="195"/>
      <c r="D85" s="196"/>
      <c r="E85" s="197"/>
      <c r="F85" s="197"/>
      <c r="G85" s="197"/>
      <c r="H85" s="197"/>
      <c r="I85" s="197"/>
      <c r="J85" s="197"/>
      <c r="K85" s="197"/>
      <c r="L85" s="197"/>
      <c r="M85" s="197"/>
      <c r="N85" s="197"/>
      <c r="O85" s="197"/>
      <c r="P85" s="197"/>
      <c r="Q85" s="197"/>
      <c r="R85" s="197"/>
      <c r="S85" s="198"/>
      <c r="V85" s="195"/>
      <c r="W85" s="195"/>
      <c r="X85" s="196"/>
      <c r="Y85" s="199"/>
      <c r="Z85" s="199"/>
      <c r="AA85" s="199"/>
      <c r="AB85" s="199"/>
      <c r="AC85" s="199"/>
      <c r="AD85" s="199"/>
      <c r="AE85" s="199"/>
      <c r="AF85" s="199"/>
      <c r="AG85" s="199"/>
      <c r="AH85" s="199"/>
      <c r="AI85" s="199"/>
      <c r="AJ85" s="199"/>
      <c r="AK85" s="199"/>
      <c r="AL85" s="199"/>
      <c r="AM85" s="200"/>
      <c r="AP85" s="56"/>
    </row>
    <row r="86" spans="2:42" x14ac:dyDescent="0.35">
      <c r="C86" s="184" t="s">
        <v>480</v>
      </c>
      <c r="D86" s="184"/>
      <c r="E86" s="203"/>
      <c r="F86" s="203"/>
      <c r="G86" s="203"/>
      <c r="H86" s="203"/>
      <c r="I86" s="203"/>
      <c r="J86" s="203"/>
      <c r="K86" s="203"/>
      <c r="L86" s="203"/>
      <c r="M86" s="203"/>
      <c r="N86" s="203"/>
      <c r="O86" s="203"/>
      <c r="P86" s="203"/>
      <c r="Q86" s="203"/>
      <c r="R86" s="203"/>
      <c r="S86" s="192"/>
      <c r="V86" s="435" t="s">
        <v>480</v>
      </c>
      <c r="W86" s="435"/>
      <c r="X86" s="435"/>
      <c r="Y86" s="185" t="s">
        <v>439</v>
      </c>
      <c r="Z86" s="185" t="s">
        <v>455</v>
      </c>
      <c r="AA86" s="185" t="s">
        <v>441</v>
      </c>
      <c r="AB86" s="185" t="s">
        <v>442</v>
      </c>
      <c r="AC86" s="185" t="s">
        <v>451</v>
      </c>
      <c r="AD86" s="185" t="s">
        <v>452</v>
      </c>
      <c r="AE86" s="185" t="s">
        <v>453</v>
      </c>
      <c r="AF86" s="185" t="s">
        <v>454</v>
      </c>
      <c r="AG86" s="185" t="s">
        <v>444</v>
      </c>
      <c r="AH86" s="185" t="s">
        <v>445</v>
      </c>
      <c r="AI86" s="185" t="s">
        <v>496</v>
      </c>
      <c r="AJ86" s="185" t="s">
        <v>456</v>
      </c>
      <c r="AK86" s="185" t="s">
        <v>447</v>
      </c>
      <c r="AL86" s="185" t="s">
        <v>448</v>
      </c>
      <c r="AM86" s="186" t="s">
        <v>52</v>
      </c>
      <c r="AP86" s="56" t="s">
        <v>515</v>
      </c>
    </row>
    <row r="87" spans="2:42" x14ac:dyDescent="0.35">
      <c r="B87" s="189">
        <v>2019</v>
      </c>
      <c r="C87" s="189" t="s">
        <v>481</v>
      </c>
      <c r="D87" s="190" t="s">
        <v>498</v>
      </c>
      <c r="E87" s="191">
        <v>0.14000000000000001</v>
      </c>
      <c r="F87" s="191"/>
      <c r="G87" s="191">
        <v>0.38500000000000001</v>
      </c>
      <c r="H87" s="191">
        <v>0.02</v>
      </c>
      <c r="I87" s="191">
        <v>0.42499999999999999</v>
      </c>
      <c r="J87" s="191">
        <v>0</v>
      </c>
      <c r="K87" s="191">
        <v>0</v>
      </c>
      <c r="L87" s="191">
        <v>0</v>
      </c>
      <c r="M87" s="191"/>
      <c r="N87" s="191">
        <v>0</v>
      </c>
      <c r="O87" s="191">
        <v>0.03</v>
      </c>
      <c r="P87" s="191">
        <v>0</v>
      </c>
      <c r="Q87" s="191">
        <v>0</v>
      </c>
      <c r="R87" s="191">
        <v>0</v>
      </c>
      <c r="S87" s="192">
        <v>1</v>
      </c>
      <c r="V87" s="189" t="s">
        <v>481</v>
      </c>
      <c r="W87" s="189">
        <v>2019</v>
      </c>
      <c r="X87" s="190" t="s">
        <v>498</v>
      </c>
      <c r="Y87" s="193">
        <f t="shared" ref="Y87:AM87" si="20">INDEX(X$11:X$35,MATCH($V87,$V$11:$V$35,0))/INDEX($AL$11:$AL$35,MATCH($V87,$V$11:$V$35,0))</f>
        <v>0.12616352577283507</v>
      </c>
      <c r="Z87" s="193">
        <f t="shared" si="20"/>
        <v>0</v>
      </c>
      <c r="AA87" s="193">
        <f t="shared" si="20"/>
        <v>0.34694969587529612</v>
      </c>
      <c r="AB87" s="193">
        <f t="shared" si="20"/>
        <v>1.8023360824690714E-2</v>
      </c>
      <c r="AC87" s="193">
        <f t="shared" si="20"/>
        <v>0.15319856700987075</v>
      </c>
      <c r="AD87" s="193">
        <f t="shared" si="20"/>
        <v>0.2297978505148065</v>
      </c>
      <c r="AE87" s="193">
        <f t="shared" si="20"/>
        <v>0</v>
      </c>
      <c r="AF87" s="193">
        <f t="shared" si="20"/>
        <v>0</v>
      </c>
      <c r="AG87" s="193">
        <f t="shared" si="20"/>
        <v>0</v>
      </c>
      <c r="AH87" s="193">
        <f t="shared" si="20"/>
        <v>0</v>
      </c>
      <c r="AI87" s="193">
        <f t="shared" si="20"/>
        <v>0.12586700000250084</v>
      </c>
      <c r="AJ87" s="193">
        <f t="shared" si="20"/>
        <v>0</v>
      </c>
      <c r="AK87" s="193">
        <f t="shared" si="20"/>
        <v>0</v>
      </c>
      <c r="AL87" s="193">
        <f t="shared" si="20"/>
        <v>0</v>
      </c>
      <c r="AM87" s="186">
        <f t="shared" si="20"/>
        <v>1</v>
      </c>
      <c r="AO87" s="180"/>
      <c r="AP87" s="56"/>
    </row>
    <row r="88" spans="2:42" x14ac:dyDescent="0.35">
      <c r="B88" s="189">
        <v>2030</v>
      </c>
      <c r="C88" s="189" t="s">
        <v>481</v>
      </c>
      <c r="D88" s="190" t="s">
        <v>498</v>
      </c>
      <c r="E88" s="191">
        <v>0</v>
      </c>
      <c r="F88" s="191"/>
      <c r="G88" s="191">
        <v>0.23</v>
      </c>
      <c r="H88" s="191">
        <v>0.02</v>
      </c>
      <c r="I88" s="191">
        <v>0.6</v>
      </c>
      <c r="J88" s="191">
        <v>0</v>
      </c>
      <c r="K88" s="191">
        <v>0</v>
      </c>
      <c r="L88" s="191">
        <v>0</v>
      </c>
      <c r="M88" s="191">
        <v>0</v>
      </c>
      <c r="N88" s="191">
        <v>0</v>
      </c>
      <c r="O88" s="191">
        <v>0.15</v>
      </c>
      <c r="P88" s="191">
        <v>0</v>
      </c>
      <c r="Q88" s="191">
        <v>0</v>
      </c>
      <c r="R88" s="191">
        <v>0</v>
      </c>
      <c r="S88" s="192">
        <v>1</v>
      </c>
      <c r="V88" s="189" t="s">
        <v>481</v>
      </c>
      <c r="W88" s="189">
        <v>2030</v>
      </c>
      <c r="X88" s="190" t="s">
        <v>498</v>
      </c>
      <c r="Y88" s="193">
        <v>0.04</v>
      </c>
      <c r="Z88" s="193"/>
      <c r="AA88" s="193">
        <v>0.15</v>
      </c>
      <c r="AB88" s="193">
        <v>0.01</v>
      </c>
      <c r="AC88" s="193">
        <v>0.29249999999999998</v>
      </c>
      <c r="AD88" s="193">
        <v>0.35749999999999998</v>
      </c>
      <c r="AE88" s="193">
        <f t="shared" ref="AE88:AH89" si="21">K88</f>
        <v>0</v>
      </c>
      <c r="AF88" s="193">
        <f t="shared" si="21"/>
        <v>0</v>
      </c>
      <c r="AG88" s="193">
        <f t="shared" si="21"/>
        <v>0</v>
      </c>
      <c r="AH88" s="193">
        <f t="shared" si="21"/>
        <v>0</v>
      </c>
      <c r="AI88" s="193">
        <v>0.14000000000000001</v>
      </c>
      <c r="AJ88" s="193">
        <f>P88</f>
        <v>0</v>
      </c>
      <c r="AK88" s="193">
        <v>0.01</v>
      </c>
      <c r="AL88" s="193">
        <f>R88</f>
        <v>0</v>
      </c>
      <c r="AM88" s="186">
        <f>SUM(Y88:AL88)</f>
        <v>1</v>
      </c>
      <c r="AO88" s="180"/>
      <c r="AP88" s="56"/>
    </row>
    <row r="89" spans="2:42" x14ac:dyDescent="0.35">
      <c r="B89" s="189">
        <v>2050</v>
      </c>
      <c r="C89" s="189" t="s">
        <v>481</v>
      </c>
      <c r="D89" s="190" t="s">
        <v>498</v>
      </c>
      <c r="E89" s="191">
        <v>0</v>
      </c>
      <c r="F89" s="191"/>
      <c r="G89" s="191">
        <v>0</v>
      </c>
      <c r="H89" s="191">
        <v>0.02</v>
      </c>
      <c r="I89" s="191">
        <v>0.77376433898308705</v>
      </c>
      <c r="J89" s="191">
        <v>0</v>
      </c>
      <c r="K89" s="191">
        <v>0</v>
      </c>
      <c r="L89" s="191">
        <v>0</v>
      </c>
      <c r="M89" s="191">
        <v>0</v>
      </c>
      <c r="N89" s="191">
        <v>0</v>
      </c>
      <c r="O89" s="191">
        <v>0.2</v>
      </c>
      <c r="P89" s="191">
        <v>0</v>
      </c>
      <c r="Q89" s="191">
        <v>6.2356610169135799E-3</v>
      </c>
      <c r="R89" s="191">
        <v>0</v>
      </c>
      <c r="S89" s="192">
        <v>1</v>
      </c>
      <c r="V89" s="189" t="s">
        <v>481</v>
      </c>
      <c r="W89" s="189">
        <v>2050</v>
      </c>
      <c r="X89" s="190" t="s">
        <v>498</v>
      </c>
      <c r="Y89" s="193">
        <f>E89</f>
        <v>0</v>
      </c>
      <c r="Z89" s="193"/>
      <c r="AA89" s="193">
        <v>7.0000000000000007E-2</v>
      </c>
      <c r="AB89" s="193">
        <v>0.01</v>
      </c>
      <c r="AC89" s="193">
        <v>0.36</v>
      </c>
      <c r="AD89" s="193">
        <v>0.36</v>
      </c>
      <c r="AE89" s="193">
        <f t="shared" si="21"/>
        <v>0</v>
      </c>
      <c r="AF89" s="193">
        <f t="shared" si="21"/>
        <v>0</v>
      </c>
      <c r="AG89" s="193">
        <f t="shared" si="21"/>
        <v>0</v>
      </c>
      <c r="AH89" s="193">
        <f t="shared" si="21"/>
        <v>0</v>
      </c>
      <c r="AI89" s="193">
        <v>0.18</v>
      </c>
      <c r="AJ89" s="193">
        <f>P89</f>
        <v>0</v>
      </c>
      <c r="AK89" s="193">
        <v>0.02</v>
      </c>
      <c r="AL89" s="193">
        <f>R89</f>
        <v>0</v>
      </c>
      <c r="AM89" s="186">
        <f>SUM(Y89:AL89)</f>
        <v>1</v>
      </c>
      <c r="AO89" s="180"/>
      <c r="AP89" s="56"/>
    </row>
    <row r="90" spans="2:42" x14ac:dyDescent="0.35">
      <c r="C90" s="195"/>
      <c r="D90" s="196"/>
      <c r="E90" s="197"/>
      <c r="F90" s="197"/>
      <c r="G90" s="197"/>
      <c r="H90" s="197"/>
      <c r="I90" s="197"/>
      <c r="J90" s="197"/>
      <c r="K90" s="197"/>
      <c r="L90" s="197"/>
      <c r="M90" s="197"/>
      <c r="N90" s="197"/>
      <c r="O90" s="197"/>
      <c r="P90" s="197"/>
      <c r="Q90" s="197"/>
      <c r="R90" s="197"/>
      <c r="S90" s="198"/>
      <c r="V90" s="195"/>
      <c r="W90" s="195"/>
      <c r="X90" s="196"/>
      <c r="Y90" s="199"/>
      <c r="Z90" s="199"/>
      <c r="AA90" s="199"/>
      <c r="AB90" s="199"/>
      <c r="AC90" s="199"/>
      <c r="AD90" s="199"/>
      <c r="AE90" s="199"/>
      <c r="AF90" s="199"/>
      <c r="AG90" s="199"/>
      <c r="AH90" s="199"/>
      <c r="AI90" s="199"/>
      <c r="AJ90" s="199"/>
      <c r="AK90" s="199"/>
      <c r="AL90" s="199"/>
      <c r="AM90" s="200"/>
      <c r="AP90" s="56"/>
    </row>
    <row r="91" spans="2:42" x14ac:dyDescent="0.35">
      <c r="B91" s="189">
        <v>2019</v>
      </c>
      <c r="C91" s="189" t="s">
        <v>482</v>
      </c>
      <c r="D91" s="190" t="s">
        <v>498</v>
      </c>
      <c r="E91" s="191">
        <v>0</v>
      </c>
      <c r="F91" s="191"/>
      <c r="G91" s="191">
        <v>0.09</v>
      </c>
      <c r="H91" s="191">
        <v>0.67</v>
      </c>
      <c r="I91" s="191">
        <v>0</v>
      </c>
      <c r="J91" s="191">
        <v>0</v>
      </c>
      <c r="K91" s="191">
        <v>0</v>
      </c>
      <c r="L91" s="191">
        <v>0</v>
      </c>
      <c r="M91" s="191"/>
      <c r="N91" s="191">
        <v>0</v>
      </c>
      <c r="O91" s="191">
        <v>0.24</v>
      </c>
      <c r="P91" s="191">
        <v>0</v>
      </c>
      <c r="Q91" s="191">
        <v>0</v>
      </c>
      <c r="R91" s="191">
        <v>0</v>
      </c>
      <c r="S91" s="192">
        <v>1</v>
      </c>
      <c r="V91" s="189" t="s">
        <v>482</v>
      </c>
      <c r="W91" s="189">
        <v>2019</v>
      </c>
      <c r="X91" s="190" t="s">
        <v>498</v>
      </c>
      <c r="Y91" s="201">
        <f t="shared" ref="Y91:AM91" si="22">INDEX(X$11:X$35,MATCH($V91,$V$11:$V$35,0))/INDEX($AL$11:$AL$35,MATCH($V91,$V$11:$V$35,0))</f>
        <v>0</v>
      </c>
      <c r="Z91" s="201">
        <f t="shared" si="22"/>
        <v>0</v>
      </c>
      <c r="AA91" s="201">
        <f t="shared" si="22"/>
        <v>8.9999999999999789E-2</v>
      </c>
      <c r="AB91" s="201">
        <f t="shared" si="22"/>
        <v>0.67000000000000071</v>
      </c>
      <c r="AC91" s="201">
        <f t="shared" si="22"/>
        <v>0</v>
      </c>
      <c r="AD91" s="201">
        <f t="shared" si="22"/>
        <v>0</v>
      </c>
      <c r="AE91" s="201">
        <f t="shared" si="22"/>
        <v>0</v>
      </c>
      <c r="AF91" s="201">
        <f t="shared" si="22"/>
        <v>0</v>
      </c>
      <c r="AG91" s="201">
        <f t="shared" si="22"/>
        <v>0</v>
      </c>
      <c r="AH91" s="201">
        <f t="shared" si="22"/>
        <v>0</v>
      </c>
      <c r="AI91" s="201">
        <f t="shared" si="22"/>
        <v>0.23999999999999949</v>
      </c>
      <c r="AJ91" s="201">
        <f t="shared" si="22"/>
        <v>0</v>
      </c>
      <c r="AK91" s="201">
        <f t="shared" si="22"/>
        <v>0</v>
      </c>
      <c r="AL91" s="201">
        <f t="shared" si="22"/>
        <v>0</v>
      </c>
      <c r="AM91" s="186">
        <f t="shared" si="22"/>
        <v>1</v>
      </c>
      <c r="AP91" s="56" t="s">
        <v>506</v>
      </c>
    </row>
    <row r="92" spans="2:42" x14ac:dyDescent="0.35">
      <c r="B92" s="189">
        <v>2030</v>
      </c>
      <c r="C92" s="189" t="s">
        <v>482</v>
      </c>
      <c r="D92" s="190" t="s">
        <v>498</v>
      </c>
      <c r="E92" s="191">
        <v>0</v>
      </c>
      <c r="F92" s="191"/>
      <c r="G92" s="191">
        <v>0.03</v>
      </c>
      <c r="H92" s="191">
        <v>0.50119397890568995</v>
      </c>
      <c r="I92" s="191">
        <v>0</v>
      </c>
      <c r="J92" s="191">
        <v>0</v>
      </c>
      <c r="K92" s="191">
        <v>0</v>
      </c>
      <c r="L92" s="191">
        <v>0</v>
      </c>
      <c r="M92" s="191">
        <v>0</v>
      </c>
      <c r="N92" s="191">
        <v>0</v>
      </c>
      <c r="O92" s="191">
        <v>0.46880602109431002</v>
      </c>
      <c r="P92" s="191">
        <v>0</v>
      </c>
      <c r="Q92" s="191">
        <v>0</v>
      </c>
      <c r="R92" s="191">
        <v>0</v>
      </c>
      <c r="S92" s="192">
        <v>1</v>
      </c>
      <c r="V92" s="189" t="s">
        <v>482</v>
      </c>
      <c r="W92" s="189">
        <v>2030</v>
      </c>
      <c r="X92" s="190" t="s">
        <v>498</v>
      </c>
      <c r="Y92" s="201">
        <f>E92</f>
        <v>0</v>
      </c>
      <c r="Z92" s="201"/>
      <c r="AA92" s="201">
        <f t="shared" ref="AA92:AL93" si="23">G92</f>
        <v>0.03</v>
      </c>
      <c r="AB92" s="201">
        <f t="shared" si="23"/>
        <v>0.50119397890568995</v>
      </c>
      <c r="AC92" s="201">
        <f t="shared" si="23"/>
        <v>0</v>
      </c>
      <c r="AD92" s="201">
        <f t="shared" si="23"/>
        <v>0</v>
      </c>
      <c r="AE92" s="201">
        <f t="shared" si="23"/>
        <v>0</v>
      </c>
      <c r="AF92" s="201">
        <f t="shared" si="23"/>
        <v>0</v>
      </c>
      <c r="AG92" s="201">
        <f t="shared" si="23"/>
        <v>0</v>
      </c>
      <c r="AH92" s="201">
        <f t="shared" si="23"/>
        <v>0</v>
      </c>
      <c r="AI92" s="201">
        <f t="shared" si="23"/>
        <v>0.46880602109431002</v>
      </c>
      <c r="AJ92" s="201">
        <f t="shared" si="23"/>
        <v>0</v>
      </c>
      <c r="AK92" s="201">
        <f t="shared" si="23"/>
        <v>0</v>
      </c>
      <c r="AL92" s="201">
        <f t="shared" si="23"/>
        <v>0</v>
      </c>
      <c r="AM92" s="186">
        <f>SUM(Y92:AL92)</f>
        <v>1</v>
      </c>
      <c r="AP92" s="56"/>
    </row>
    <row r="93" spans="2:42" x14ac:dyDescent="0.35">
      <c r="B93" s="189">
        <v>2050</v>
      </c>
      <c r="C93" s="189" t="s">
        <v>482</v>
      </c>
      <c r="D93" s="190" t="s">
        <v>498</v>
      </c>
      <c r="E93" s="191">
        <v>0</v>
      </c>
      <c r="F93" s="191"/>
      <c r="G93" s="191">
        <v>0</v>
      </c>
      <c r="H93" s="191">
        <v>0.15407598863227701</v>
      </c>
      <c r="I93" s="191">
        <v>0</v>
      </c>
      <c r="J93" s="191">
        <v>0</v>
      </c>
      <c r="K93" s="191">
        <v>0</v>
      </c>
      <c r="L93" s="191">
        <v>0</v>
      </c>
      <c r="M93" s="191">
        <v>0</v>
      </c>
      <c r="N93" s="191">
        <v>0</v>
      </c>
      <c r="O93" s="191">
        <v>0.84592401136772299</v>
      </c>
      <c r="P93" s="191">
        <v>0</v>
      </c>
      <c r="Q93" s="191">
        <v>0</v>
      </c>
      <c r="R93" s="191">
        <v>0</v>
      </c>
      <c r="S93" s="192">
        <v>1</v>
      </c>
      <c r="V93" s="189" t="s">
        <v>482</v>
      </c>
      <c r="W93" s="189">
        <v>2050</v>
      </c>
      <c r="X93" s="190" t="s">
        <v>498</v>
      </c>
      <c r="Y93" s="201">
        <f>E93</f>
        <v>0</v>
      </c>
      <c r="Z93" s="201"/>
      <c r="AA93" s="201">
        <f t="shared" si="23"/>
        <v>0</v>
      </c>
      <c r="AB93" s="201">
        <f t="shared" si="23"/>
        <v>0.15407598863227701</v>
      </c>
      <c r="AC93" s="201">
        <f t="shared" si="23"/>
        <v>0</v>
      </c>
      <c r="AD93" s="201">
        <f t="shared" si="23"/>
        <v>0</v>
      </c>
      <c r="AE93" s="201">
        <f t="shared" si="23"/>
        <v>0</v>
      </c>
      <c r="AF93" s="201">
        <f t="shared" si="23"/>
        <v>0</v>
      </c>
      <c r="AG93" s="201">
        <f t="shared" si="23"/>
        <v>0</v>
      </c>
      <c r="AH93" s="201">
        <f t="shared" si="23"/>
        <v>0</v>
      </c>
      <c r="AI93" s="201">
        <f t="shared" si="23"/>
        <v>0.84592401136772299</v>
      </c>
      <c r="AJ93" s="201">
        <f t="shared" si="23"/>
        <v>0</v>
      </c>
      <c r="AK93" s="201">
        <f t="shared" si="23"/>
        <v>0</v>
      </c>
      <c r="AL93" s="201">
        <f t="shared" si="23"/>
        <v>0</v>
      </c>
      <c r="AM93" s="186">
        <f>SUM(Y93:AL93)</f>
        <v>1</v>
      </c>
      <c r="AP93" s="56"/>
    </row>
    <row r="94" spans="2:42" x14ac:dyDescent="0.35">
      <c r="C94" s="195"/>
      <c r="D94" s="196"/>
      <c r="E94" s="197"/>
      <c r="F94" s="197"/>
      <c r="G94" s="197"/>
      <c r="H94" s="197"/>
      <c r="I94" s="197"/>
      <c r="J94" s="197"/>
      <c r="K94" s="197"/>
      <c r="L94" s="197"/>
      <c r="M94" s="197"/>
      <c r="N94" s="197"/>
      <c r="O94" s="197"/>
      <c r="P94" s="197"/>
      <c r="Q94" s="197"/>
      <c r="R94" s="197"/>
      <c r="S94" s="198"/>
      <c r="V94" s="195"/>
      <c r="W94" s="195"/>
      <c r="X94" s="196"/>
      <c r="Y94" s="199"/>
      <c r="Z94" s="199"/>
      <c r="AA94" s="199"/>
      <c r="AB94" s="199"/>
      <c r="AC94" s="199"/>
      <c r="AD94" s="199"/>
      <c r="AE94" s="199"/>
      <c r="AF94" s="199"/>
      <c r="AG94" s="199"/>
      <c r="AH94" s="199"/>
      <c r="AI94" s="199"/>
      <c r="AJ94" s="199"/>
      <c r="AK94" s="199"/>
      <c r="AL94" s="199"/>
      <c r="AM94" s="200"/>
      <c r="AP94" s="56"/>
    </row>
    <row r="95" spans="2:42" x14ac:dyDescent="0.35">
      <c r="B95" s="189">
        <v>2019</v>
      </c>
      <c r="C95" s="189" t="s">
        <v>483</v>
      </c>
      <c r="D95" s="190" t="s">
        <v>498</v>
      </c>
      <c r="E95" s="191">
        <v>7.2272284052321403E-2</v>
      </c>
      <c r="F95" s="191"/>
      <c r="G95" s="191">
        <v>2.01689588256188E-2</v>
      </c>
      <c r="H95" s="191">
        <v>0.59944091663669197</v>
      </c>
      <c r="I95" s="191">
        <v>1.9519577919500101E-2</v>
      </c>
      <c r="J95" s="191">
        <v>0</v>
      </c>
      <c r="K95" s="191">
        <v>0</v>
      </c>
      <c r="L95" s="191">
        <v>0</v>
      </c>
      <c r="M95" s="191"/>
      <c r="N95" s="191">
        <v>0</v>
      </c>
      <c r="O95" s="191">
        <v>0.28856456772665201</v>
      </c>
      <c r="P95" s="191">
        <v>0</v>
      </c>
      <c r="Q95" s="191">
        <v>0</v>
      </c>
      <c r="R95" s="191">
        <v>0</v>
      </c>
      <c r="S95" s="192">
        <v>0.999966305160784</v>
      </c>
      <c r="V95" s="189" t="s">
        <v>483</v>
      </c>
      <c r="W95" s="189">
        <v>2019</v>
      </c>
      <c r="X95" s="190" t="s">
        <v>498</v>
      </c>
      <c r="Y95" s="201">
        <f t="shared" ref="Y95:AM95" si="24">INDEX(X$11:X$35,MATCH($V95,$V$11:$V$35,0))/INDEX($AL$11:$AL$35,MATCH($V95,$V$11:$V$35,0))</f>
        <v>5.0974689493015597E-2</v>
      </c>
      <c r="Z95" s="201">
        <f t="shared" si="24"/>
        <v>2.8679360398211028E-2</v>
      </c>
      <c r="AA95" s="201">
        <f t="shared" si="24"/>
        <v>2.2218622542401905E-2</v>
      </c>
      <c r="AB95" s="201">
        <f t="shared" si="24"/>
        <v>0.66035889994998098</v>
      </c>
      <c r="AC95" s="201">
        <f t="shared" si="24"/>
        <v>3.0041367735568508E-2</v>
      </c>
      <c r="AD95" s="201">
        <f t="shared" si="24"/>
        <v>0</v>
      </c>
      <c r="AE95" s="201">
        <f t="shared" si="24"/>
        <v>0</v>
      </c>
      <c r="AF95" s="201">
        <f t="shared" si="24"/>
        <v>0</v>
      </c>
      <c r="AG95" s="201">
        <f t="shared" si="24"/>
        <v>0</v>
      </c>
      <c r="AH95" s="201">
        <f t="shared" si="24"/>
        <v>0</v>
      </c>
      <c r="AI95" s="201">
        <f t="shared" si="24"/>
        <v>0.20772705988082213</v>
      </c>
      <c r="AJ95" s="201">
        <f t="shared" si="24"/>
        <v>0</v>
      </c>
      <c r="AK95" s="201">
        <f t="shared" si="24"/>
        <v>0</v>
      </c>
      <c r="AL95" s="201">
        <f t="shared" si="24"/>
        <v>0</v>
      </c>
      <c r="AM95" s="186">
        <f t="shared" si="24"/>
        <v>1</v>
      </c>
      <c r="AP95" s="56" t="s">
        <v>516</v>
      </c>
    </row>
    <row r="96" spans="2:42" x14ac:dyDescent="0.35">
      <c r="B96" s="189">
        <v>2030</v>
      </c>
      <c r="C96" s="189" t="s">
        <v>483</v>
      </c>
      <c r="D96" s="190" t="s">
        <v>498</v>
      </c>
      <c r="E96" s="191">
        <v>0</v>
      </c>
      <c r="F96" s="191"/>
      <c r="G96" s="191">
        <v>0.01</v>
      </c>
      <c r="H96" s="191">
        <v>0.55000000000000004</v>
      </c>
      <c r="I96" s="191">
        <v>1.9519577919500101E-2</v>
      </c>
      <c r="J96" s="191">
        <v>0</v>
      </c>
      <c r="K96" s="191">
        <v>0</v>
      </c>
      <c r="L96" s="191">
        <v>0</v>
      </c>
      <c r="M96" s="191">
        <v>0</v>
      </c>
      <c r="N96" s="191">
        <v>0</v>
      </c>
      <c r="O96" s="191">
        <v>0.42048042208050002</v>
      </c>
      <c r="P96" s="191">
        <v>0</v>
      </c>
      <c r="Q96" s="191">
        <v>0</v>
      </c>
      <c r="R96" s="191">
        <v>0</v>
      </c>
      <c r="S96" s="192">
        <v>1</v>
      </c>
      <c r="V96" s="189" t="s">
        <v>483</v>
      </c>
      <c r="W96" s="189">
        <v>2030</v>
      </c>
      <c r="X96" s="190" t="s">
        <v>498</v>
      </c>
      <c r="Y96" s="201">
        <f>E96</f>
        <v>0</v>
      </c>
      <c r="Z96" s="201"/>
      <c r="AA96" s="201">
        <f>G96</f>
        <v>0.01</v>
      </c>
      <c r="AB96" s="193">
        <f>1-SUM(AC96:AL96,Y96:AA96)</f>
        <v>0.5295195779195</v>
      </c>
      <c r="AC96" s="193">
        <v>0.04</v>
      </c>
      <c r="AD96" s="201">
        <f t="shared" ref="AD96:AL97" si="25">J96</f>
        <v>0</v>
      </c>
      <c r="AE96" s="201">
        <f t="shared" si="25"/>
        <v>0</v>
      </c>
      <c r="AF96" s="201">
        <f t="shared" si="25"/>
        <v>0</v>
      </c>
      <c r="AG96" s="201">
        <f t="shared" si="25"/>
        <v>0</v>
      </c>
      <c r="AH96" s="201">
        <f t="shared" si="25"/>
        <v>0</v>
      </c>
      <c r="AI96" s="201">
        <f t="shared" si="25"/>
        <v>0.42048042208050002</v>
      </c>
      <c r="AJ96" s="201">
        <f t="shared" si="25"/>
        <v>0</v>
      </c>
      <c r="AK96" s="201">
        <f t="shared" si="25"/>
        <v>0</v>
      </c>
      <c r="AL96" s="201">
        <f t="shared" si="25"/>
        <v>0</v>
      </c>
      <c r="AM96" s="186">
        <f>SUM(Y96:AL96)</f>
        <v>1</v>
      </c>
      <c r="AO96" s="194"/>
      <c r="AP96" s="56" t="s">
        <v>517</v>
      </c>
    </row>
    <row r="97" spans="2:42" x14ac:dyDescent="0.35">
      <c r="B97" s="189">
        <v>2050</v>
      </c>
      <c r="C97" s="189" t="s">
        <v>483</v>
      </c>
      <c r="D97" s="190" t="s">
        <v>498</v>
      </c>
      <c r="E97" s="191">
        <v>0</v>
      </c>
      <c r="F97" s="191"/>
      <c r="G97" s="191">
        <v>0</v>
      </c>
      <c r="H97" s="191">
        <v>0.42</v>
      </c>
      <c r="I97" s="191">
        <v>1.9519577919500101E-2</v>
      </c>
      <c r="J97" s="191">
        <v>0</v>
      </c>
      <c r="K97" s="191">
        <v>0</v>
      </c>
      <c r="L97" s="191">
        <v>0</v>
      </c>
      <c r="M97" s="191">
        <v>0</v>
      </c>
      <c r="N97" s="191">
        <v>0</v>
      </c>
      <c r="O97" s="191">
        <v>0.56048042208049997</v>
      </c>
      <c r="P97" s="191">
        <v>0</v>
      </c>
      <c r="Q97" s="191">
        <v>0</v>
      </c>
      <c r="R97" s="191">
        <v>0</v>
      </c>
      <c r="S97" s="192">
        <v>1</v>
      </c>
      <c r="V97" s="189" t="s">
        <v>483</v>
      </c>
      <c r="W97" s="189">
        <v>2050</v>
      </c>
      <c r="X97" s="190" t="s">
        <v>498</v>
      </c>
      <c r="Y97" s="201">
        <f>E97</f>
        <v>0</v>
      </c>
      <c r="Z97" s="201"/>
      <c r="AA97" s="201">
        <f>G97</f>
        <v>0</v>
      </c>
      <c r="AB97" s="193">
        <f>1-SUM(AC97:AL97,Y97:AA97)</f>
        <v>0.38951957791949998</v>
      </c>
      <c r="AC97" s="193">
        <f>5%</f>
        <v>0.05</v>
      </c>
      <c r="AD97" s="201">
        <f t="shared" si="25"/>
        <v>0</v>
      </c>
      <c r="AE97" s="201">
        <f t="shared" si="25"/>
        <v>0</v>
      </c>
      <c r="AF97" s="201">
        <f t="shared" si="25"/>
        <v>0</v>
      </c>
      <c r="AG97" s="201">
        <f t="shared" si="25"/>
        <v>0</v>
      </c>
      <c r="AH97" s="201">
        <f t="shared" si="25"/>
        <v>0</v>
      </c>
      <c r="AI97" s="201">
        <f t="shared" si="25"/>
        <v>0.56048042208049997</v>
      </c>
      <c r="AJ97" s="201">
        <f t="shared" si="25"/>
        <v>0</v>
      </c>
      <c r="AK97" s="201">
        <f t="shared" si="25"/>
        <v>0</v>
      </c>
      <c r="AL97" s="201">
        <f t="shared" si="25"/>
        <v>0</v>
      </c>
      <c r="AM97" s="186">
        <f>SUM(Y97:AL97)</f>
        <v>1</v>
      </c>
      <c r="AP97" s="56"/>
    </row>
    <row r="98" spans="2:42" x14ac:dyDescent="0.35">
      <c r="C98" s="195"/>
      <c r="D98" s="196"/>
      <c r="E98" s="197"/>
      <c r="F98" s="197"/>
      <c r="G98" s="197"/>
      <c r="H98" s="197"/>
      <c r="I98" s="197"/>
      <c r="J98" s="197"/>
      <c r="K98" s="197"/>
      <c r="L98" s="197"/>
      <c r="M98" s="197"/>
      <c r="N98" s="197"/>
      <c r="O98" s="197"/>
      <c r="P98" s="197"/>
      <c r="Q98" s="197"/>
      <c r="R98" s="197"/>
      <c r="S98" s="198"/>
      <c r="V98" s="195"/>
      <c r="W98" s="195"/>
      <c r="X98" s="196"/>
      <c r="Y98" s="199"/>
      <c r="Z98" s="199"/>
      <c r="AA98" s="199"/>
      <c r="AB98" s="199"/>
      <c r="AC98" s="199"/>
      <c r="AD98" s="199"/>
      <c r="AE98" s="199"/>
      <c r="AF98" s="199"/>
      <c r="AG98" s="199"/>
      <c r="AH98" s="199"/>
      <c r="AI98" s="199"/>
      <c r="AJ98" s="199"/>
      <c r="AK98" s="199"/>
      <c r="AL98" s="199"/>
      <c r="AM98" s="200"/>
      <c r="AP98" s="56"/>
    </row>
    <row r="99" spans="2:42" x14ac:dyDescent="0.35">
      <c r="C99" s="184" t="s">
        <v>484</v>
      </c>
      <c r="D99" s="184"/>
      <c r="E99" s="203"/>
      <c r="F99" s="203"/>
      <c r="G99" s="203"/>
      <c r="H99" s="203"/>
      <c r="I99" s="203"/>
      <c r="J99" s="203"/>
      <c r="K99" s="203"/>
      <c r="L99" s="203"/>
      <c r="M99" s="203"/>
      <c r="N99" s="203"/>
      <c r="O99" s="203"/>
      <c r="P99" s="203"/>
      <c r="Q99" s="203"/>
      <c r="R99" s="203"/>
      <c r="S99" s="192"/>
      <c r="V99" s="435" t="s">
        <v>484</v>
      </c>
      <c r="W99" s="435"/>
      <c r="X99" s="435"/>
      <c r="Y99" s="185" t="s">
        <v>439</v>
      </c>
      <c r="Z99" s="185" t="s">
        <v>455</v>
      </c>
      <c r="AA99" s="185" t="s">
        <v>441</v>
      </c>
      <c r="AB99" s="185" t="s">
        <v>442</v>
      </c>
      <c r="AC99" s="185" t="s">
        <v>451</v>
      </c>
      <c r="AD99" s="185" t="s">
        <v>452</v>
      </c>
      <c r="AE99" s="185" t="s">
        <v>453</v>
      </c>
      <c r="AF99" s="185" t="s">
        <v>454</v>
      </c>
      <c r="AG99" s="185" t="s">
        <v>444</v>
      </c>
      <c r="AH99" s="185" t="s">
        <v>445</v>
      </c>
      <c r="AI99" s="185" t="s">
        <v>496</v>
      </c>
      <c r="AJ99" s="185" t="s">
        <v>456</v>
      </c>
      <c r="AK99" s="185" t="s">
        <v>447</v>
      </c>
      <c r="AL99" s="185" t="s">
        <v>448</v>
      </c>
      <c r="AM99" s="186"/>
      <c r="AP99" s="56"/>
    </row>
    <row r="100" spans="2:42" x14ac:dyDescent="0.35">
      <c r="B100" s="189">
        <v>2019</v>
      </c>
      <c r="C100" s="189" t="s">
        <v>485</v>
      </c>
      <c r="D100" s="190" t="s">
        <v>498</v>
      </c>
      <c r="E100" s="191">
        <v>0.186</v>
      </c>
      <c r="F100" s="191"/>
      <c r="G100" s="191">
        <v>0.09</v>
      </c>
      <c r="H100" s="191">
        <v>0.67</v>
      </c>
      <c r="I100" s="191">
        <v>4.0000000000000001E-3</v>
      </c>
      <c r="J100" s="191">
        <v>0</v>
      </c>
      <c r="K100" s="191">
        <v>0</v>
      </c>
      <c r="L100" s="191">
        <v>0</v>
      </c>
      <c r="M100" s="191"/>
      <c r="N100" s="191">
        <v>0</v>
      </c>
      <c r="O100" s="191">
        <v>0.05</v>
      </c>
      <c r="P100" s="191">
        <v>0</v>
      </c>
      <c r="Q100" s="191">
        <v>0</v>
      </c>
      <c r="R100" s="191">
        <v>0</v>
      </c>
      <c r="S100" s="192">
        <v>1</v>
      </c>
      <c r="V100" s="189" t="s">
        <v>485</v>
      </c>
      <c r="W100" s="189">
        <v>2019</v>
      </c>
      <c r="X100" s="190" t="s">
        <v>498</v>
      </c>
      <c r="Y100" s="201">
        <f t="shared" ref="Y100:AM100" si="26">INDEX(X$11:X$35,MATCH($V100,$V$11:$V$35,0))/INDEX($AL$11:$AL$35,MATCH($V100,$V$11:$V$35,0))</f>
        <v>0.18599999999999997</v>
      </c>
      <c r="Z100" s="201">
        <f t="shared" si="26"/>
        <v>0</v>
      </c>
      <c r="AA100" s="201">
        <f t="shared" si="26"/>
        <v>0.09</v>
      </c>
      <c r="AB100" s="201">
        <f t="shared" si="26"/>
        <v>0.66999999999999993</v>
      </c>
      <c r="AC100" s="201">
        <f t="shared" si="26"/>
        <v>4.0000000000000001E-3</v>
      </c>
      <c r="AD100" s="201">
        <f t="shared" si="26"/>
        <v>0</v>
      </c>
      <c r="AE100" s="201">
        <f t="shared" si="26"/>
        <v>0</v>
      </c>
      <c r="AF100" s="201">
        <f t="shared" si="26"/>
        <v>0</v>
      </c>
      <c r="AG100" s="201">
        <f t="shared" si="26"/>
        <v>0</v>
      </c>
      <c r="AH100" s="201">
        <f t="shared" si="26"/>
        <v>0</v>
      </c>
      <c r="AI100" s="201">
        <f t="shared" si="26"/>
        <v>4.9999999999999996E-2</v>
      </c>
      <c r="AJ100" s="201">
        <f t="shared" si="26"/>
        <v>0</v>
      </c>
      <c r="AK100" s="201">
        <f t="shared" si="26"/>
        <v>0</v>
      </c>
      <c r="AL100" s="201">
        <f t="shared" si="26"/>
        <v>0</v>
      </c>
      <c r="AM100" s="186">
        <f t="shared" si="26"/>
        <v>1</v>
      </c>
      <c r="AP100" s="56" t="s">
        <v>506</v>
      </c>
    </row>
    <row r="101" spans="2:42" x14ac:dyDescent="0.35">
      <c r="B101" s="189">
        <v>2030</v>
      </c>
      <c r="C101" s="189" t="s">
        <v>485</v>
      </c>
      <c r="D101" s="190" t="s">
        <v>498</v>
      </c>
      <c r="E101" s="191">
        <v>0.05</v>
      </c>
      <c r="F101" s="191"/>
      <c r="G101" s="191">
        <v>0.03</v>
      </c>
      <c r="H101" s="191">
        <v>0.51</v>
      </c>
      <c r="I101" s="191">
        <v>0.04</v>
      </c>
      <c r="J101" s="191">
        <v>0</v>
      </c>
      <c r="K101" s="191">
        <v>0</v>
      </c>
      <c r="L101" s="191">
        <v>0</v>
      </c>
      <c r="M101" s="191">
        <v>0</v>
      </c>
      <c r="N101" s="191">
        <v>0</v>
      </c>
      <c r="O101" s="191">
        <v>0.37</v>
      </c>
      <c r="P101" s="191">
        <v>0</v>
      </c>
      <c r="Q101" s="191">
        <v>0</v>
      </c>
      <c r="R101" s="191">
        <v>0</v>
      </c>
      <c r="S101" s="192">
        <v>1</v>
      </c>
      <c r="V101" s="189" t="s">
        <v>485</v>
      </c>
      <c r="W101" s="189">
        <v>2030</v>
      </c>
      <c r="X101" s="190" t="s">
        <v>498</v>
      </c>
      <c r="Y101" s="201">
        <f>E101</f>
        <v>0.05</v>
      </c>
      <c r="Z101" s="201"/>
      <c r="AA101" s="201">
        <f t="shared" ref="AA101:AL102" si="27">G101</f>
        <v>0.03</v>
      </c>
      <c r="AB101" s="201">
        <f t="shared" si="27"/>
        <v>0.51</v>
      </c>
      <c r="AC101" s="201">
        <f t="shared" si="27"/>
        <v>0.04</v>
      </c>
      <c r="AD101" s="201">
        <f t="shared" si="27"/>
        <v>0</v>
      </c>
      <c r="AE101" s="201">
        <f t="shared" si="27"/>
        <v>0</v>
      </c>
      <c r="AF101" s="201">
        <f t="shared" si="27"/>
        <v>0</v>
      </c>
      <c r="AG101" s="201">
        <f t="shared" si="27"/>
        <v>0</v>
      </c>
      <c r="AH101" s="201">
        <f t="shared" si="27"/>
        <v>0</v>
      </c>
      <c r="AI101" s="201">
        <f t="shared" si="27"/>
        <v>0.37</v>
      </c>
      <c r="AJ101" s="201">
        <f t="shared" si="27"/>
        <v>0</v>
      </c>
      <c r="AK101" s="201">
        <f t="shared" si="27"/>
        <v>0</v>
      </c>
      <c r="AL101" s="201">
        <f t="shared" si="27"/>
        <v>0</v>
      </c>
      <c r="AM101" s="186">
        <f>SUM(Y101:AL101)</f>
        <v>1</v>
      </c>
      <c r="AP101" s="56"/>
    </row>
    <row r="102" spans="2:42" x14ac:dyDescent="0.35">
      <c r="B102" s="189">
        <v>2050</v>
      </c>
      <c r="C102" s="189" t="s">
        <v>485</v>
      </c>
      <c r="D102" s="190" t="s">
        <v>498</v>
      </c>
      <c r="E102" s="191">
        <v>0</v>
      </c>
      <c r="F102" s="191"/>
      <c r="G102" s="191">
        <v>0</v>
      </c>
      <c r="H102" s="191">
        <v>0.18338693975415299</v>
      </c>
      <c r="I102" s="191">
        <v>6.3286288026882603E-2</v>
      </c>
      <c r="J102" s="191">
        <v>0</v>
      </c>
      <c r="K102" s="191">
        <v>0</v>
      </c>
      <c r="L102" s="191">
        <v>0</v>
      </c>
      <c r="M102" s="191">
        <v>0</v>
      </c>
      <c r="N102" s="191">
        <v>0</v>
      </c>
      <c r="O102" s="191">
        <v>0.75332677221896405</v>
      </c>
      <c r="P102" s="191">
        <v>0</v>
      </c>
      <c r="Q102" s="191">
        <v>0</v>
      </c>
      <c r="R102" s="191">
        <v>0</v>
      </c>
      <c r="S102" s="192">
        <v>1</v>
      </c>
      <c r="V102" s="189" t="s">
        <v>485</v>
      </c>
      <c r="W102" s="189">
        <v>2050</v>
      </c>
      <c r="X102" s="190" t="s">
        <v>498</v>
      </c>
      <c r="Y102" s="201">
        <f>E102</f>
        <v>0</v>
      </c>
      <c r="Z102" s="201"/>
      <c r="AA102" s="201">
        <f t="shared" si="27"/>
        <v>0</v>
      </c>
      <c r="AB102" s="201">
        <f t="shared" si="27"/>
        <v>0.18338693975415299</v>
      </c>
      <c r="AC102" s="201">
        <f t="shared" si="27"/>
        <v>6.3286288026882603E-2</v>
      </c>
      <c r="AD102" s="201">
        <f t="shared" si="27"/>
        <v>0</v>
      </c>
      <c r="AE102" s="201">
        <f t="shared" si="27"/>
        <v>0</v>
      </c>
      <c r="AF102" s="201">
        <f t="shared" si="27"/>
        <v>0</v>
      </c>
      <c r="AG102" s="201">
        <f t="shared" si="27"/>
        <v>0</v>
      </c>
      <c r="AH102" s="201">
        <f t="shared" si="27"/>
        <v>0</v>
      </c>
      <c r="AI102" s="201">
        <f t="shared" si="27"/>
        <v>0.75332677221896405</v>
      </c>
      <c r="AJ102" s="201">
        <f t="shared" si="27"/>
        <v>0</v>
      </c>
      <c r="AK102" s="201">
        <f t="shared" si="27"/>
        <v>0</v>
      </c>
      <c r="AL102" s="201">
        <f t="shared" si="27"/>
        <v>0</v>
      </c>
      <c r="AM102" s="186">
        <f>SUM(Y102:AL102)</f>
        <v>0.99999999999999967</v>
      </c>
      <c r="AP102" s="56"/>
    </row>
    <row r="103" spans="2:42" x14ac:dyDescent="0.35">
      <c r="C103" s="195"/>
      <c r="D103" s="196"/>
      <c r="E103" s="197"/>
      <c r="F103" s="197"/>
      <c r="G103" s="197"/>
      <c r="H103" s="197"/>
      <c r="I103" s="197"/>
      <c r="J103" s="197"/>
      <c r="K103" s="197"/>
      <c r="L103" s="197"/>
      <c r="M103" s="197"/>
      <c r="N103" s="197"/>
      <c r="O103" s="197"/>
      <c r="P103" s="197"/>
      <c r="Q103" s="197"/>
      <c r="R103" s="197"/>
      <c r="S103" s="198"/>
      <c r="V103" s="195"/>
      <c r="W103" s="195"/>
      <c r="X103" s="196"/>
      <c r="Y103" s="199"/>
      <c r="Z103" s="199"/>
      <c r="AA103" s="199"/>
      <c r="AB103" s="199"/>
      <c r="AC103" s="199"/>
      <c r="AD103" s="199"/>
      <c r="AE103" s="199"/>
      <c r="AF103" s="199"/>
      <c r="AG103" s="199"/>
      <c r="AH103" s="199"/>
      <c r="AI103" s="199"/>
      <c r="AJ103" s="199"/>
      <c r="AK103" s="199"/>
      <c r="AL103" s="199"/>
      <c r="AM103" s="200"/>
      <c r="AP103" s="56"/>
    </row>
    <row r="104" spans="2:42" x14ac:dyDescent="0.35">
      <c r="B104" s="189">
        <v>2019</v>
      </c>
      <c r="C104" s="189" t="s">
        <v>486</v>
      </c>
      <c r="D104" s="190" t="s">
        <v>498</v>
      </c>
      <c r="E104" s="191">
        <v>8.0396422478601296E-3</v>
      </c>
      <c r="F104" s="191"/>
      <c r="G104" s="191">
        <v>4.0987243078700303E-2</v>
      </c>
      <c r="H104" s="191">
        <v>0.39554572706355101</v>
      </c>
      <c r="I104" s="191">
        <v>4.3557005701464299E-2</v>
      </c>
      <c r="J104" s="191">
        <v>0</v>
      </c>
      <c r="K104" s="191">
        <v>0</v>
      </c>
      <c r="L104" s="191">
        <v>0</v>
      </c>
      <c r="M104" s="191"/>
      <c r="N104" s="191">
        <v>0</v>
      </c>
      <c r="O104" s="191">
        <v>0.45612245802627299</v>
      </c>
      <c r="P104" s="191">
        <v>0</v>
      </c>
      <c r="Q104" s="191">
        <v>5.5782681281329703E-2</v>
      </c>
      <c r="R104" s="191">
        <v>0</v>
      </c>
      <c r="S104" s="192">
        <v>1.0000347573991799</v>
      </c>
      <c r="U104" s="1" t="s">
        <v>518</v>
      </c>
      <c r="V104" s="189" t="s">
        <v>486</v>
      </c>
      <c r="W104" s="189">
        <v>2019</v>
      </c>
      <c r="X104" s="190" t="s">
        <v>498</v>
      </c>
      <c r="Y104" s="201">
        <f t="shared" ref="Y104:AM104" si="28">INDEX(X$11:X$35,MATCH($V104,$V$11:$V$35,0))/INDEX($AL$11:$AL$35,MATCH($V104,$V$11:$V$35,0))</f>
        <v>4.5396422478601334E-3</v>
      </c>
      <c r="Z104" s="201">
        <f t="shared" si="28"/>
        <v>3.4652426008214862E-3</v>
      </c>
      <c r="AA104" s="201">
        <f t="shared" si="28"/>
        <v>4.0987243078700289E-2</v>
      </c>
      <c r="AB104" s="201">
        <f t="shared" si="28"/>
        <v>0.39554572706355073</v>
      </c>
      <c r="AC104" s="201">
        <f t="shared" si="28"/>
        <v>4.355700570146432E-2</v>
      </c>
      <c r="AD104" s="201">
        <f t="shared" si="28"/>
        <v>0</v>
      </c>
      <c r="AE104" s="201">
        <f t="shared" si="28"/>
        <v>0</v>
      </c>
      <c r="AF104" s="201">
        <f t="shared" si="28"/>
        <v>0</v>
      </c>
      <c r="AG104" s="201">
        <f t="shared" si="28"/>
        <v>0</v>
      </c>
      <c r="AH104" s="201">
        <f t="shared" si="28"/>
        <v>0</v>
      </c>
      <c r="AI104" s="201">
        <f t="shared" si="28"/>
        <v>0.45612245802627327</v>
      </c>
      <c r="AJ104" s="201">
        <f t="shared" si="28"/>
        <v>0</v>
      </c>
      <c r="AK104" s="201">
        <f t="shared" si="28"/>
        <v>5.5782681281329675E-2</v>
      </c>
      <c r="AL104" s="201">
        <f t="shared" si="28"/>
        <v>0</v>
      </c>
      <c r="AM104" s="186">
        <f t="shared" si="28"/>
        <v>1</v>
      </c>
      <c r="AP104" s="56" t="s">
        <v>519</v>
      </c>
    </row>
    <row r="105" spans="2:42" x14ac:dyDescent="0.35">
      <c r="B105" s="189">
        <v>2030</v>
      </c>
      <c r="C105" s="189" t="s">
        <v>486</v>
      </c>
      <c r="D105" s="190" t="s">
        <v>498</v>
      </c>
      <c r="E105" s="191">
        <v>0</v>
      </c>
      <c r="F105" s="191"/>
      <c r="G105" s="191">
        <v>0.02</v>
      </c>
      <c r="H105" s="191">
        <v>0.36</v>
      </c>
      <c r="I105" s="191">
        <v>5.3557005701464301E-2</v>
      </c>
      <c r="J105" s="191">
        <v>0</v>
      </c>
      <c r="K105" s="191">
        <v>0</v>
      </c>
      <c r="L105" s="191">
        <v>0</v>
      </c>
      <c r="M105" s="191">
        <v>0</v>
      </c>
      <c r="N105" s="191">
        <v>0</v>
      </c>
      <c r="O105" s="191">
        <v>0.49830341301132902</v>
      </c>
      <c r="P105" s="191">
        <v>0</v>
      </c>
      <c r="Q105" s="191">
        <v>6.8139581287206499E-2</v>
      </c>
      <c r="R105" s="191">
        <v>0</v>
      </c>
      <c r="S105" s="192">
        <v>1</v>
      </c>
      <c r="V105" s="189" t="s">
        <v>486</v>
      </c>
      <c r="W105" s="189">
        <v>2030</v>
      </c>
      <c r="X105" s="190" t="s">
        <v>498</v>
      </c>
      <c r="Y105" s="201">
        <f>E105</f>
        <v>0</v>
      </c>
      <c r="Z105" s="201"/>
      <c r="AA105" s="201">
        <v>0</v>
      </c>
      <c r="AB105" s="204">
        <f>1-SUM(Y105:AA105,AC105:AL105)</f>
        <v>0.33830341301132916</v>
      </c>
      <c r="AC105" s="201">
        <f t="shared" ref="AC105:AF106" si="29">I105</f>
        <v>5.3557005701464301E-2</v>
      </c>
      <c r="AD105" s="201">
        <f t="shared" si="29"/>
        <v>0</v>
      </c>
      <c r="AE105" s="201">
        <f t="shared" si="29"/>
        <v>0</v>
      </c>
      <c r="AF105" s="201">
        <f t="shared" si="29"/>
        <v>0</v>
      </c>
      <c r="AG105" s="204">
        <f>AJ105*2</f>
        <v>0.04</v>
      </c>
      <c r="AH105" s="201">
        <f>N105</f>
        <v>0</v>
      </c>
      <c r="AI105" s="204">
        <f>48%</f>
        <v>0.48</v>
      </c>
      <c r="AJ105" s="204">
        <v>0.02</v>
      </c>
      <c r="AK105" s="201">
        <f>Q105</f>
        <v>6.8139581287206499E-2</v>
      </c>
      <c r="AL105" s="201">
        <f>R105</f>
        <v>0</v>
      </c>
      <c r="AM105" s="186">
        <f>SUM(Y105:AL105)</f>
        <v>1</v>
      </c>
      <c r="AP105" s="56"/>
    </row>
    <row r="106" spans="2:42" x14ac:dyDescent="0.35">
      <c r="B106" s="189">
        <v>2050</v>
      </c>
      <c r="C106" s="189" t="s">
        <v>486</v>
      </c>
      <c r="D106" s="190" t="s">
        <v>498</v>
      </c>
      <c r="E106" s="191">
        <v>0</v>
      </c>
      <c r="F106" s="191"/>
      <c r="G106" s="191">
        <v>0</v>
      </c>
      <c r="H106" s="191">
        <v>0.244406489242222</v>
      </c>
      <c r="I106" s="191">
        <v>7.3557005701464298E-2</v>
      </c>
      <c r="J106" s="191">
        <v>0</v>
      </c>
      <c r="K106" s="191">
        <v>0</v>
      </c>
      <c r="L106" s="191">
        <v>0</v>
      </c>
      <c r="M106" s="191">
        <v>0</v>
      </c>
      <c r="N106" s="191">
        <v>0</v>
      </c>
      <c r="O106" s="191">
        <v>0.60232587444257901</v>
      </c>
      <c r="P106" s="191">
        <v>0</v>
      </c>
      <c r="Q106" s="191">
        <v>7.9710630613734401E-2</v>
      </c>
      <c r="R106" s="191">
        <v>0</v>
      </c>
      <c r="S106" s="192">
        <v>1</v>
      </c>
      <c r="V106" s="189" t="s">
        <v>486</v>
      </c>
      <c r="W106" s="189">
        <v>2050</v>
      </c>
      <c r="X106" s="190" t="s">
        <v>498</v>
      </c>
      <c r="Y106" s="201">
        <f>E106</f>
        <v>0</v>
      </c>
      <c r="Z106" s="201"/>
      <c r="AA106" s="201">
        <f>G106</f>
        <v>0</v>
      </c>
      <c r="AB106" s="204">
        <f>1-SUM(Y106:AA106,AC106:AL106)</f>
        <v>8.1732363684801301E-2</v>
      </c>
      <c r="AC106" s="201">
        <f t="shared" si="29"/>
        <v>7.3557005701464298E-2</v>
      </c>
      <c r="AD106" s="201">
        <f t="shared" si="29"/>
        <v>0</v>
      </c>
      <c r="AE106" s="201">
        <f t="shared" si="29"/>
        <v>0</v>
      </c>
      <c r="AF106" s="201">
        <f t="shared" si="29"/>
        <v>0</v>
      </c>
      <c r="AG106" s="204">
        <v>0.17</v>
      </c>
      <c r="AH106" s="201">
        <f>N106</f>
        <v>0</v>
      </c>
      <c r="AI106" s="204">
        <v>0.51</v>
      </c>
      <c r="AJ106" s="204">
        <f>AG106/2</f>
        <v>8.5000000000000006E-2</v>
      </c>
      <c r="AK106" s="201">
        <f>Q106</f>
        <v>7.9710630613734401E-2</v>
      </c>
      <c r="AL106" s="201">
        <f>R106</f>
        <v>0</v>
      </c>
      <c r="AM106" s="186">
        <f>SUM(Y106:AL106)</f>
        <v>1</v>
      </c>
      <c r="AP106" s="56"/>
    </row>
    <row r="107" spans="2:42" x14ac:dyDescent="0.35">
      <c r="C107" s="195"/>
      <c r="D107" s="196"/>
      <c r="E107" s="197"/>
      <c r="F107" s="197"/>
      <c r="G107" s="197"/>
      <c r="H107" s="197"/>
      <c r="I107" s="197"/>
      <c r="J107" s="197"/>
      <c r="K107" s="197"/>
      <c r="L107" s="197"/>
      <c r="M107" s="197"/>
      <c r="N107" s="197"/>
      <c r="O107" s="197"/>
      <c r="P107" s="197"/>
      <c r="Q107" s="197"/>
      <c r="R107" s="197"/>
      <c r="S107" s="198"/>
      <c r="V107" s="195"/>
      <c r="W107" s="195"/>
      <c r="X107" s="196"/>
      <c r="Y107" s="199"/>
      <c r="Z107" s="199"/>
      <c r="AA107" s="199"/>
      <c r="AB107" s="199"/>
      <c r="AC107" s="199"/>
      <c r="AD107" s="199"/>
      <c r="AE107" s="199"/>
      <c r="AF107" s="199"/>
      <c r="AG107" s="199"/>
      <c r="AH107" s="199"/>
      <c r="AI107" s="199"/>
      <c r="AJ107" s="199"/>
      <c r="AK107" s="199"/>
      <c r="AL107" s="199"/>
      <c r="AM107" s="200"/>
      <c r="AP107" s="56" t="s">
        <v>519</v>
      </c>
    </row>
    <row r="108" spans="2:42" x14ac:dyDescent="0.35">
      <c r="B108" s="189">
        <v>2019</v>
      </c>
      <c r="C108" s="184" t="s">
        <v>487</v>
      </c>
      <c r="D108" s="184"/>
      <c r="E108" s="191">
        <v>9.7767349260523308E-3</v>
      </c>
      <c r="F108" s="191"/>
      <c r="G108" s="191">
        <v>4.5328498293515401E-2</v>
      </c>
      <c r="H108" s="191">
        <v>0.366218714448237</v>
      </c>
      <c r="I108" s="191">
        <v>3.4129692832764501E-3</v>
      </c>
      <c r="J108" s="191">
        <v>0</v>
      </c>
      <c r="K108" s="191">
        <v>0</v>
      </c>
      <c r="L108" s="191">
        <v>0</v>
      </c>
      <c r="M108" s="191"/>
      <c r="N108" s="191">
        <v>0</v>
      </c>
      <c r="O108" s="191">
        <v>0.57416097838452795</v>
      </c>
      <c r="P108" s="191">
        <v>0</v>
      </c>
      <c r="Q108" s="191">
        <v>1.1021046643913499E-3</v>
      </c>
      <c r="R108" s="191">
        <v>0</v>
      </c>
      <c r="S108" s="192">
        <v>1</v>
      </c>
      <c r="U108" s="1" t="s">
        <v>520</v>
      </c>
      <c r="V108" s="184" t="s">
        <v>487</v>
      </c>
      <c r="W108" s="205">
        <v>2019</v>
      </c>
      <c r="X108" s="184"/>
      <c r="Y108" s="201">
        <f t="shared" ref="Y108:AM108" si="30">INDEX(X$11:X$35,MATCH($V108,$V$11:$V$35,0))/INDEX($AL$11:$AL$35,MATCH($V108,$V$11:$V$35,0))</f>
        <v>4.621729237770193E-4</v>
      </c>
      <c r="Z108" s="201">
        <f t="shared" si="30"/>
        <v>9.3145620022753138E-3</v>
      </c>
      <c r="AA108" s="201">
        <f t="shared" si="30"/>
        <v>4.532849829351536E-2</v>
      </c>
      <c r="AB108" s="201">
        <f t="shared" si="30"/>
        <v>0.36621871444823662</v>
      </c>
      <c r="AC108" s="201">
        <f t="shared" si="30"/>
        <v>3.4129692832764501E-3</v>
      </c>
      <c r="AD108" s="201">
        <f t="shared" si="30"/>
        <v>0</v>
      </c>
      <c r="AE108" s="201">
        <f t="shared" si="30"/>
        <v>0</v>
      </c>
      <c r="AF108" s="201">
        <f t="shared" si="30"/>
        <v>0</v>
      </c>
      <c r="AG108" s="201">
        <f t="shared" si="30"/>
        <v>0</v>
      </c>
      <c r="AH108" s="201">
        <f t="shared" si="30"/>
        <v>0</v>
      </c>
      <c r="AI108" s="201">
        <f t="shared" si="30"/>
        <v>0.57416097838452784</v>
      </c>
      <c r="AJ108" s="201">
        <f t="shared" si="30"/>
        <v>0</v>
      </c>
      <c r="AK108" s="201">
        <f t="shared" si="30"/>
        <v>1.1021046643913536E-3</v>
      </c>
      <c r="AL108" s="201">
        <f t="shared" si="30"/>
        <v>0</v>
      </c>
      <c r="AM108" s="186">
        <f t="shared" si="30"/>
        <v>1</v>
      </c>
      <c r="AP108" s="56"/>
    </row>
    <row r="109" spans="2:42" x14ac:dyDescent="0.35">
      <c r="B109" s="189">
        <v>2030</v>
      </c>
      <c r="C109" s="184" t="s">
        <v>487</v>
      </c>
      <c r="D109" s="184"/>
      <c r="E109" s="191">
        <v>0</v>
      </c>
      <c r="F109" s="191"/>
      <c r="G109" s="191">
        <v>0</v>
      </c>
      <c r="H109" s="191">
        <v>0.3</v>
      </c>
      <c r="I109" s="191">
        <v>0</v>
      </c>
      <c r="J109" s="191">
        <v>0</v>
      </c>
      <c r="K109" s="191">
        <v>0</v>
      </c>
      <c r="L109" s="191">
        <v>0</v>
      </c>
      <c r="M109" s="191">
        <v>0</v>
      </c>
      <c r="N109" s="191">
        <v>0</v>
      </c>
      <c r="O109" s="191">
        <v>0.7</v>
      </c>
      <c r="P109" s="191">
        <v>0</v>
      </c>
      <c r="Q109" s="191">
        <v>0</v>
      </c>
      <c r="R109" s="191">
        <v>0</v>
      </c>
      <c r="S109" s="192">
        <v>1</v>
      </c>
      <c r="V109" s="184" t="s">
        <v>487</v>
      </c>
      <c r="W109" s="205">
        <v>2030</v>
      </c>
      <c r="X109" s="184"/>
      <c r="Y109" s="201">
        <f>E109</f>
        <v>0</v>
      </c>
      <c r="Z109" s="201"/>
      <c r="AA109" s="201">
        <f>G109</f>
        <v>0</v>
      </c>
      <c r="AB109" s="193">
        <f>1-SUM(Y109:AA109,AC109:AL109)</f>
        <v>0.27999999999999992</v>
      </c>
      <c r="AC109" s="201">
        <f t="shared" ref="AC109:AF110" si="31">I109</f>
        <v>0</v>
      </c>
      <c r="AD109" s="201">
        <f t="shared" si="31"/>
        <v>0</v>
      </c>
      <c r="AE109" s="201">
        <f t="shared" si="31"/>
        <v>0</v>
      </c>
      <c r="AF109" s="201">
        <f t="shared" si="31"/>
        <v>0</v>
      </c>
      <c r="AG109" s="204">
        <f>AJ109*2</f>
        <v>0.02</v>
      </c>
      <c r="AH109" s="201">
        <f>N109</f>
        <v>0</v>
      </c>
      <c r="AI109" s="204">
        <v>0.68</v>
      </c>
      <c r="AJ109" s="204">
        <v>0.01</v>
      </c>
      <c r="AK109" s="206">
        <v>0.01</v>
      </c>
      <c r="AL109" s="201">
        <f>R109</f>
        <v>0</v>
      </c>
      <c r="AM109" s="186">
        <f>SUM(Y109:AL109)</f>
        <v>1</v>
      </c>
      <c r="AO109" s="194"/>
      <c r="AP109" s="56" t="s">
        <v>521</v>
      </c>
    </row>
    <row r="110" spans="2:42" x14ac:dyDescent="0.35">
      <c r="B110" s="189">
        <v>2050</v>
      </c>
      <c r="C110" s="184" t="s">
        <v>487</v>
      </c>
      <c r="D110" s="184"/>
      <c r="E110" s="191">
        <v>0</v>
      </c>
      <c r="F110" s="191"/>
      <c r="G110" s="191">
        <v>0</v>
      </c>
      <c r="H110" s="191">
        <v>0.20003824417180099</v>
      </c>
      <c r="I110" s="191">
        <v>0</v>
      </c>
      <c r="J110" s="191">
        <v>0</v>
      </c>
      <c r="K110" s="191">
        <v>0</v>
      </c>
      <c r="L110" s="191">
        <v>0</v>
      </c>
      <c r="M110" s="191">
        <v>0</v>
      </c>
      <c r="N110" s="191">
        <v>0</v>
      </c>
      <c r="O110" s="191">
        <v>0.79581058384167702</v>
      </c>
      <c r="P110" s="191">
        <v>0</v>
      </c>
      <c r="Q110" s="191">
        <v>0</v>
      </c>
      <c r="R110" s="191">
        <v>0</v>
      </c>
      <c r="S110" s="192">
        <v>0.99584882801347796</v>
      </c>
      <c r="V110" s="184" t="s">
        <v>487</v>
      </c>
      <c r="W110" s="205">
        <v>2050</v>
      </c>
      <c r="X110" s="184"/>
      <c r="Y110" s="201">
        <f>E110</f>
        <v>0</v>
      </c>
      <c r="Z110" s="201"/>
      <c r="AA110" s="201">
        <f>G110</f>
        <v>0</v>
      </c>
      <c r="AB110" s="193">
        <f>1-SUM(Y110:AA110,AC110:AL110)</f>
        <v>0.13918941615832292</v>
      </c>
      <c r="AC110" s="201">
        <f t="shared" si="31"/>
        <v>0</v>
      </c>
      <c r="AD110" s="201">
        <f t="shared" si="31"/>
        <v>0</v>
      </c>
      <c r="AE110" s="201">
        <f t="shared" si="31"/>
        <v>0</v>
      </c>
      <c r="AF110" s="201">
        <f t="shared" si="31"/>
        <v>0</v>
      </c>
      <c r="AG110" s="204">
        <f>9%</f>
        <v>0.09</v>
      </c>
      <c r="AH110" s="201">
        <f>N110</f>
        <v>0</v>
      </c>
      <c r="AI110" s="204">
        <f>+O110-AJ110*2</f>
        <v>0.70581058384167705</v>
      </c>
      <c r="AJ110" s="204">
        <f>AG110/2</f>
        <v>4.4999999999999998E-2</v>
      </c>
      <c r="AK110" s="206">
        <v>0.02</v>
      </c>
      <c r="AL110" s="201">
        <f>R110</f>
        <v>0</v>
      </c>
      <c r="AM110" s="186">
        <f>SUM(Y110:AL110)</f>
        <v>1</v>
      </c>
      <c r="AP110" s="56"/>
    </row>
    <row r="111" spans="2:42" x14ac:dyDescent="0.35">
      <c r="C111" s="195"/>
      <c r="D111" s="196"/>
      <c r="E111" s="197"/>
      <c r="F111" s="197"/>
      <c r="G111" s="197"/>
      <c r="H111" s="197"/>
      <c r="I111" s="197"/>
      <c r="J111" s="197"/>
      <c r="K111" s="197"/>
      <c r="L111" s="197"/>
      <c r="M111" s="197"/>
      <c r="N111" s="197"/>
      <c r="O111" s="197"/>
      <c r="P111" s="197"/>
      <c r="Q111" s="197"/>
      <c r="R111" s="197"/>
      <c r="S111" s="198"/>
      <c r="V111" s="195"/>
      <c r="W111" s="195"/>
      <c r="X111" s="196"/>
      <c r="Y111" s="199"/>
      <c r="Z111" s="199"/>
      <c r="AA111" s="199"/>
      <c r="AB111" s="199"/>
      <c r="AC111" s="199"/>
      <c r="AD111" s="199"/>
      <c r="AE111" s="199"/>
      <c r="AF111" s="199"/>
      <c r="AG111" s="199"/>
      <c r="AH111" s="199"/>
      <c r="AI111" s="199"/>
      <c r="AJ111" s="199"/>
      <c r="AK111" s="199"/>
      <c r="AL111" s="199"/>
      <c r="AM111" s="200"/>
      <c r="AP111" s="56" t="s">
        <v>506</v>
      </c>
    </row>
    <row r="112" spans="2:42" x14ac:dyDescent="0.35">
      <c r="B112" s="189">
        <v>2019</v>
      </c>
      <c r="C112" s="184" t="s">
        <v>31</v>
      </c>
      <c r="D112" s="207"/>
      <c r="E112" s="191">
        <v>0</v>
      </c>
      <c r="F112" s="191"/>
      <c r="G112" s="191">
        <v>0.60548661005878501</v>
      </c>
      <c r="H112" s="191">
        <v>0.12495101241018899</v>
      </c>
      <c r="I112" s="191">
        <v>3.74265186152841E-2</v>
      </c>
      <c r="J112" s="191">
        <v>0</v>
      </c>
      <c r="K112" s="191">
        <v>0</v>
      </c>
      <c r="L112" s="191">
        <v>0</v>
      </c>
      <c r="M112" s="191"/>
      <c r="N112" s="191">
        <v>0</v>
      </c>
      <c r="O112" s="191">
        <v>0.23213585891574101</v>
      </c>
      <c r="P112" s="191">
        <v>0</v>
      </c>
      <c r="Q112" s="191">
        <v>0</v>
      </c>
      <c r="R112" s="191">
        <v>0</v>
      </c>
      <c r="S112" s="192">
        <v>0.999999999999999</v>
      </c>
      <c r="V112" s="184" t="s">
        <v>31</v>
      </c>
      <c r="W112" s="205">
        <v>2019</v>
      </c>
      <c r="X112" s="207"/>
      <c r="Y112" s="201">
        <f t="shared" ref="Y112:AM112" si="32">INDEX(X$11:X$35,MATCH($V112,$V$11:$V$35,0))/INDEX($AL$11:$AL$35,MATCH($V112,$V$11:$V$35,0))</f>
        <v>0</v>
      </c>
      <c r="Z112" s="201">
        <f t="shared" si="32"/>
        <v>0</v>
      </c>
      <c r="AA112" s="208">
        <f t="shared" si="32"/>
        <v>0.60548661005878512</v>
      </c>
      <c r="AB112" s="201">
        <f t="shared" si="32"/>
        <v>0.12495101241018942</v>
      </c>
      <c r="AC112" s="201">
        <f t="shared" si="32"/>
        <v>3.7426518615284128E-2</v>
      </c>
      <c r="AD112" s="201">
        <f t="shared" si="32"/>
        <v>0</v>
      </c>
      <c r="AE112" s="201">
        <f t="shared" si="32"/>
        <v>0</v>
      </c>
      <c r="AF112" s="201">
        <f t="shared" si="32"/>
        <v>0</v>
      </c>
      <c r="AG112" s="201">
        <f t="shared" si="32"/>
        <v>0</v>
      </c>
      <c r="AH112" s="201">
        <f t="shared" si="32"/>
        <v>0</v>
      </c>
      <c r="AI112" s="208">
        <f t="shared" si="32"/>
        <v>0.23213585891574134</v>
      </c>
      <c r="AJ112" s="201">
        <f t="shared" si="32"/>
        <v>0</v>
      </c>
      <c r="AK112" s="201">
        <f t="shared" si="32"/>
        <v>0</v>
      </c>
      <c r="AL112" s="208">
        <f t="shared" si="32"/>
        <v>0</v>
      </c>
      <c r="AM112" s="186">
        <f t="shared" si="32"/>
        <v>1</v>
      </c>
      <c r="AP112" s="56"/>
    </row>
    <row r="113" spans="2:42" x14ac:dyDescent="0.35">
      <c r="B113" s="189">
        <v>2030</v>
      </c>
      <c r="C113" s="184" t="s">
        <v>31</v>
      </c>
      <c r="D113" s="207"/>
      <c r="E113" s="191">
        <v>0</v>
      </c>
      <c r="F113" s="191"/>
      <c r="G113" s="191">
        <v>0.57952756765901603</v>
      </c>
      <c r="H113" s="191">
        <v>0.12495101241018899</v>
      </c>
      <c r="I113" s="191">
        <v>3.74265186152841E-2</v>
      </c>
      <c r="J113" s="191">
        <v>2.5959042399769299E-2</v>
      </c>
      <c r="K113" s="191">
        <v>0</v>
      </c>
      <c r="L113" s="191">
        <v>0</v>
      </c>
      <c r="M113" s="191">
        <v>0</v>
      </c>
      <c r="N113" s="191">
        <v>0</v>
      </c>
      <c r="O113" s="191">
        <v>0.23213585891574101</v>
      </c>
      <c r="P113" s="191">
        <v>0</v>
      </c>
      <c r="Q113" s="191">
        <v>0</v>
      </c>
      <c r="R113" s="191">
        <v>0</v>
      </c>
      <c r="S113" s="192">
        <v>1</v>
      </c>
      <c r="V113" s="184" t="s">
        <v>31</v>
      </c>
      <c r="W113" s="205">
        <v>2030</v>
      </c>
      <c r="X113" s="207"/>
      <c r="Y113" s="201">
        <f>E113</f>
        <v>0</v>
      </c>
      <c r="Z113" s="201"/>
      <c r="AA113" s="208">
        <v>0.45</v>
      </c>
      <c r="AB113" s="201">
        <f t="shared" ref="AB113:AH114" si="33">H113</f>
        <v>0.12495101241018899</v>
      </c>
      <c r="AC113" s="201">
        <f t="shared" si="33"/>
        <v>3.74265186152841E-2</v>
      </c>
      <c r="AD113" s="201">
        <f t="shared" si="33"/>
        <v>2.5959042399769299E-2</v>
      </c>
      <c r="AE113" s="201">
        <f t="shared" si="33"/>
        <v>0</v>
      </c>
      <c r="AF113" s="201">
        <f t="shared" si="33"/>
        <v>0</v>
      </c>
      <c r="AG113" s="201">
        <f t="shared" si="33"/>
        <v>0</v>
      </c>
      <c r="AH113" s="201">
        <f t="shared" si="33"/>
        <v>0</v>
      </c>
      <c r="AI113" s="208">
        <f>23.2%+11%</f>
        <v>0.34199999999999997</v>
      </c>
      <c r="AJ113" s="201">
        <f>P113</f>
        <v>0</v>
      </c>
      <c r="AK113" s="201">
        <f>Q113</f>
        <v>0</v>
      </c>
      <c r="AL113" s="208">
        <v>0.02</v>
      </c>
      <c r="AM113" s="186">
        <f>SUM(Y113:AL113)</f>
        <v>1.0003365734252423</v>
      </c>
      <c r="AP113" s="56" t="s">
        <v>522</v>
      </c>
    </row>
    <row r="114" spans="2:42" x14ac:dyDescent="0.35">
      <c r="B114" s="189">
        <v>2050</v>
      </c>
      <c r="C114" s="184" t="s">
        <v>31</v>
      </c>
      <c r="D114" s="207"/>
      <c r="E114" s="191">
        <v>0</v>
      </c>
      <c r="F114" s="191"/>
      <c r="G114" s="191">
        <v>0.53376104990830098</v>
      </c>
      <c r="H114" s="191">
        <v>0.11</v>
      </c>
      <c r="I114" s="191">
        <v>3.74265186152841E-2</v>
      </c>
      <c r="J114" s="191">
        <v>8.6676572560673598E-2</v>
      </c>
      <c r="K114" s="191">
        <v>0</v>
      </c>
      <c r="L114" s="191">
        <v>0</v>
      </c>
      <c r="M114" s="191">
        <v>0</v>
      </c>
      <c r="N114" s="191">
        <v>0</v>
      </c>
      <c r="O114" s="191">
        <v>0.23213585891574101</v>
      </c>
      <c r="P114" s="191">
        <v>0</v>
      </c>
      <c r="Q114" s="191">
        <v>0</v>
      </c>
      <c r="R114" s="191">
        <v>0</v>
      </c>
      <c r="S114" s="192">
        <v>1</v>
      </c>
      <c r="V114" s="184" t="s">
        <v>31</v>
      </c>
      <c r="W114" s="205">
        <v>2050</v>
      </c>
      <c r="X114" s="207"/>
      <c r="Y114" s="201">
        <f>E114</f>
        <v>0</v>
      </c>
      <c r="Z114" s="201"/>
      <c r="AA114" s="208">
        <v>0.1</v>
      </c>
      <c r="AB114" s="201">
        <f t="shared" si="33"/>
        <v>0.11</v>
      </c>
      <c r="AC114" s="201">
        <f t="shared" si="33"/>
        <v>3.74265186152841E-2</v>
      </c>
      <c r="AD114" s="201">
        <f t="shared" si="33"/>
        <v>8.6676572560673598E-2</v>
      </c>
      <c r="AE114" s="201">
        <f t="shared" si="33"/>
        <v>0</v>
      </c>
      <c r="AF114" s="201">
        <f t="shared" si="33"/>
        <v>0</v>
      </c>
      <c r="AG114" s="201">
        <f t="shared" si="33"/>
        <v>0</v>
      </c>
      <c r="AH114" s="201">
        <f t="shared" si="33"/>
        <v>0</v>
      </c>
      <c r="AI114" s="208">
        <f>23.2%+36.4%</f>
        <v>0.59599999999999997</v>
      </c>
      <c r="AJ114" s="201">
        <f>P114</f>
        <v>0</v>
      </c>
      <c r="AK114" s="201">
        <f>Q114</f>
        <v>0</v>
      </c>
      <c r="AL114" s="208">
        <v>7.0000000000000007E-2</v>
      </c>
      <c r="AM114" s="186">
        <f>SUM(Y114:AL114)</f>
        <v>1.0001030911759576</v>
      </c>
      <c r="AP114" s="56"/>
    </row>
    <row r="115" spans="2:42" x14ac:dyDescent="0.35">
      <c r="C115" s="195"/>
      <c r="D115" s="196"/>
      <c r="E115" s="197"/>
      <c r="F115" s="197"/>
      <c r="G115" s="197"/>
      <c r="H115" s="197"/>
      <c r="I115" s="197"/>
      <c r="J115" s="197"/>
      <c r="K115" s="197"/>
      <c r="L115" s="197"/>
      <c r="M115" s="197"/>
      <c r="N115" s="197"/>
      <c r="O115" s="197"/>
      <c r="P115" s="197"/>
      <c r="Q115" s="197"/>
      <c r="R115" s="197"/>
      <c r="S115" s="198"/>
      <c r="V115" s="195"/>
      <c r="W115" s="195"/>
      <c r="X115" s="196"/>
      <c r="Y115" s="199"/>
      <c r="Z115" s="199"/>
      <c r="AA115" s="199"/>
      <c r="AB115" s="199"/>
      <c r="AC115" s="199"/>
      <c r="AD115" s="199"/>
      <c r="AE115" s="199"/>
      <c r="AF115" s="199"/>
      <c r="AG115" s="199"/>
      <c r="AH115" s="199"/>
      <c r="AI115" s="199"/>
      <c r="AJ115" s="199"/>
      <c r="AK115" s="199"/>
      <c r="AL115" s="199"/>
      <c r="AM115" s="200"/>
      <c r="AP115" s="56"/>
    </row>
    <row r="116" spans="2:42" x14ac:dyDescent="0.35">
      <c r="C116" s="184" t="s">
        <v>488</v>
      </c>
      <c r="D116" s="184"/>
      <c r="E116" s="203"/>
      <c r="F116" s="203"/>
      <c r="G116" s="203"/>
      <c r="H116" s="203"/>
      <c r="I116" s="203"/>
      <c r="J116" s="203"/>
      <c r="K116" s="203"/>
      <c r="L116" s="203"/>
      <c r="M116" s="203"/>
      <c r="N116" s="203"/>
      <c r="O116" s="203"/>
      <c r="P116" s="203"/>
      <c r="Q116" s="203"/>
      <c r="R116" s="203"/>
      <c r="S116" s="192"/>
      <c r="V116" s="184" t="s">
        <v>488</v>
      </c>
      <c r="W116" s="184"/>
      <c r="X116" s="184"/>
      <c r="Y116" s="185"/>
      <c r="Z116" s="185"/>
      <c r="AA116" s="185"/>
      <c r="AB116" s="185"/>
      <c r="AC116" s="185"/>
      <c r="AD116" s="185"/>
      <c r="AE116" s="185"/>
      <c r="AF116" s="185"/>
      <c r="AG116" s="185"/>
      <c r="AH116" s="185"/>
      <c r="AI116" s="185"/>
      <c r="AJ116" s="185"/>
      <c r="AK116" s="185"/>
      <c r="AL116" s="185"/>
      <c r="AM116" s="186"/>
      <c r="AP116" s="56"/>
    </row>
    <row r="117" spans="2:42" x14ac:dyDescent="0.35">
      <c r="B117" s="189">
        <v>2019</v>
      </c>
      <c r="C117" s="189" t="s">
        <v>489</v>
      </c>
      <c r="D117" s="190" t="s">
        <v>498</v>
      </c>
      <c r="E117" s="191">
        <v>4.1525141440921804E-3</v>
      </c>
      <c r="F117" s="191"/>
      <c r="G117" s="191">
        <v>1.72156315557155E-2</v>
      </c>
      <c r="H117" s="191">
        <v>0.33021138516666398</v>
      </c>
      <c r="I117" s="191">
        <v>0.25503357701632801</v>
      </c>
      <c r="J117" s="191">
        <v>0</v>
      </c>
      <c r="K117" s="191">
        <v>0</v>
      </c>
      <c r="L117" s="191">
        <v>0</v>
      </c>
      <c r="M117" s="191"/>
      <c r="N117" s="191">
        <v>0</v>
      </c>
      <c r="O117" s="191">
        <v>0.27929983154586702</v>
      </c>
      <c r="P117" s="191">
        <v>0</v>
      </c>
      <c r="Q117" s="191">
        <v>0.114087060571334</v>
      </c>
      <c r="R117" s="191">
        <v>0</v>
      </c>
      <c r="S117" s="192">
        <v>1</v>
      </c>
      <c r="U117" s="164" t="s">
        <v>523</v>
      </c>
      <c r="V117" s="189" t="s">
        <v>489</v>
      </c>
      <c r="W117" s="189">
        <v>2019</v>
      </c>
      <c r="X117" s="190" t="s">
        <v>498</v>
      </c>
      <c r="Y117" s="201">
        <f t="shared" ref="Y117:AM117" si="34">INDEX(X$11:X$35,MATCH($V117,$V$11:$V$35,0))/INDEX($AL$11:$AL$35,MATCH($V117,$V$11:$V$35,0))</f>
        <v>4.1525141440921813E-3</v>
      </c>
      <c r="Z117" s="201">
        <f t="shared" si="34"/>
        <v>0</v>
      </c>
      <c r="AA117" s="201">
        <f t="shared" si="34"/>
        <v>1.7215631555715503E-2</v>
      </c>
      <c r="AB117" s="201">
        <f t="shared" si="34"/>
        <v>0.33021138516666365</v>
      </c>
      <c r="AC117" s="201">
        <f t="shared" si="34"/>
        <v>0.25503357701632812</v>
      </c>
      <c r="AD117" s="201">
        <f t="shared" si="34"/>
        <v>0</v>
      </c>
      <c r="AE117" s="201">
        <f t="shared" si="34"/>
        <v>0</v>
      </c>
      <c r="AF117" s="201">
        <f t="shared" si="34"/>
        <v>0</v>
      </c>
      <c r="AG117" s="201">
        <f t="shared" si="34"/>
        <v>0</v>
      </c>
      <c r="AH117" s="201">
        <f t="shared" si="34"/>
        <v>0</v>
      </c>
      <c r="AI117" s="201">
        <f t="shared" si="34"/>
        <v>0.27929983154586679</v>
      </c>
      <c r="AJ117" s="201">
        <f t="shared" si="34"/>
        <v>0</v>
      </c>
      <c r="AK117" s="201">
        <f t="shared" si="34"/>
        <v>0.11408706057133369</v>
      </c>
      <c r="AL117" s="201">
        <f t="shared" si="34"/>
        <v>0</v>
      </c>
      <c r="AM117" s="186">
        <f t="shared" si="34"/>
        <v>1</v>
      </c>
      <c r="AP117" s="56"/>
    </row>
    <row r="118" spans="2:42" x14ac:dyDescent="0.35">
      <c r="B118" s="189">
        <v>2030</v>
      </c>
      <c r="C118" s="189" t="s">
        <v>489</v>
      </c>
      <c r="D118" s="190" t="s">
        <v>498</v>
      </c>
      <c r="E118" s="191">
        <v>0</v>
      </c>
      <c r="F118" s="191"/>
      <c r="G118" s="191">
        <v>0</v>
      </c>
      <c r="H118" s="191">
        <v>0.24</v>
      </c>
      <c r="I118" s="191">
        <v>0.25</v>
      </c>
      <c r="J118" s="191">
        <v>0</v>
      </c>
      <c r="K118" s="191">
        <v>0</v>
      </c>
      <c r="L118" s="191">
        <v>0</v>
      </c>
      <c r="M118" s="191">
        <v>0</v>
      </c>
      <c r="N118" s="191">
        <v>0</v>
      </c>
      <c r="O118" s="191">
        <v>0.36591293942866598</v>
      </c>
      <c r="P118" s="191">
        <v>0</v>
      </c>
      <c r="Q118" s="191">
        <v>0.144087060571334</v>
      </c>
      <c r="R118" s="191">
        <v>0</v>
      </c>
      <c r="S118" s="192">
        <v>1</v>
      </c>
      <c r="V118" s="189" t="s">
        <v>489</v>
      </c>
      <c r="W118" s="189">
        <v>2030</v>
      </c>
      <c r="X118" s="190" t="s">
        <v>498</v>
      </c>
      <c r="Y118" s="201">
        <f>E118</f>
        <v>0</v>
      </c>
      <c r="Z118" s="201">
        <f>Y118</f>
        <v>0</v>
      </c>
      <c r="AA118" s="201">
        <f>G118</f>
        <v>0</v>
      </c>
      <c r="AB118" s="201">
        <f>1-SUM(AC118:AL118)</f>
        <v>0.20091293942866595</v>
      </c>
      <c r="AC118" s="201">
        <v>0.3</v>
      </c>
      <c r="AD118" s="201">
        <f t="shared" ref="AD118:AF119" si="35">J118</f>
        <v>0</v>
      </c>
      <c r="AE118" s="201">
        <f t="shared" si="35"/>
        <v>0</v>
      </c>
      <c r="AF118" s="201">
        <f t="shared" si="35"/>
        <v>0</v>
      </c>
      <c r="AG118" s="201">
        <v>0.05</v>
      </c>
      <c r="AH118" s="201">
        <f>N118</f>
        <v>0</v>
      </c>
      <c r="AI118" s="193">
        <v>0.28000000000000003</v>
      </c>
      <c r="AJ118" s="201">
        <f>AG118/2</f>
        <v>2.5000000000000001E-2</v>
      </c>
      <c r="AK118" s="201">
        <f>Q118</f>
        <v>0.144087060571334</v>
      </c>
      <c r="AL118" s="201">
        <f>R118</f>
        <v>0</v>
      </c>
      <c r="AM118" s="186">
        <f>SUM(Y118:AL118)</f>
        <v>1</v>
      </c>
      <c r="AP118" s="56"/>
    </row>
    <row r="119" spans="2:42" x14ac:dyDescent="0.35">
      <c r="B119" s="189">
        <v>2050</v>
      </c>
      <c r="C119" s="189" t="s">
        <v>489</v>
      </c>
      <c r="D119" s="190" t="s">
        <v>498</v>
      </c>
      <c r="E119" s="191">
        <v>0</v>
      </c>
      <c r="F119" s="191"/>
      <c r="G119" s="191">
        <v>0</v>
      </c>
      <c r="H119" s="191">
        <v>0.175292644587171</v>
      </c>
      <c r="I119" s="191">
        <v>0.18850442553567701</v>
      </c>
      <c r="J119" s="191">
        <v>0</v>
      </c>
      <c r="K119" s="191">
        <v>0</v>
      </c>
      <c r="L119" s="191">
        <v>0</v>
      </c>
      <c r="M119" s="191">
        <v>0</v>
      </c>
      <c r="N119" s="191">
        <v>0</v>
      </c>
      <c r="O119" s="191">
        <v>0.48620292987715202</v>
      </c>
      <c r="P119" s="191">
        <v>0</v>
      </c>
      <c r="Q119" s="191">
        <v>0.15</v>
      </c>
      <c r="R119" s="191">
        <v>0</v>
      </c>
      <c r="S119" s="192">
        <v>1</v>
      </c>
      <c r="V119" s="189" t="s">
        <v>489</v>
      </c>
      <c r="W119" s="189">
        <v>2050</v>
      </c>
      <c r="X119" s="190" t="s">
        <v>498</v>
      </c>
      <c r="Y119" s="201">
        <f>E119</f>
        <v>0</v>
      </c>
      <c r="Z119" s="201">
        <f>Y119</f>
        <v>0</v>
      </c>
      <c r="AA119" s="201">
        <f>G119</f>
        <v>0</v>
      </c>
      <c r="AB119" s="193">
        <f>1-SUM(AC119:AL119)</f>
        <v>4.0000000000000036E-2</v>
      </c>
      <c r="AC119" s="193">
        <v>0.24</v>
      </c>
      <c r="AD119" s="201">
        <f t="shared" si="35"/>
        <v>0</v>
      </c>
      <c r="AE119" s="201">
        <f t="shared" si="35"/>
        <v>0</v>
      </c>
      <c r="AF119" s="201">
        <f t="shared" si="35"/>
        <v>0</v>
      </c>
      <c r="AG119" s="201">
        <v>0.18</v>
      </c>
      <c r="AH119" s="201">
        <f>N119</f>
        <v>0</v>
      </c>
      <c r="AI119" s="193">
        <v>0.25</v>
      </c>
      <c r="AJ119" s="201">
        <f>AG119/2</f>
        <v>0.09</v>
      </c>
      <c r="AK119" s="193">
        <v>0.2</v>
      </c>
      <c r="AL119" s="201">
        <f>R119</f>
        <v>0</v>
      </c>
      <c r="AM119" s="186">
        <f>SUM(Y119:AL119)</f>
        <v>1</v>
      </c>
      <c r="AP119" s="56"/>
    </row>
    <row r="120" spans="2:42" x14ac:dyDescent="0.35">
      <c r="C120" s="195"/>
      <c r="D120" s="196"/>
      <c r="E120" s="197"/>
      <c r="F120" s="197"/>
      <c r="G120" s="197"/>
      <c r="H120" s="197"/>
      <c r="I120" s="197"/>
      <c r="J120" s="197"/>
      <c r="K120" s="197"/>
      <c r="L120" s="197"/>
      <c r="M120" s="197"/>
      <c r="N120" s="197"/>
      <c r="O120" s="197"/>
      <c r="P120" s="197"/>
      <c r="Q120" s="197"/>
      <c r="R120" s="197"/>
      <c r="S120" s="198"/>
      <c r="V120" s="195"/>
      <c r="W120" s="195"/>
      <c r="X120" s="196"/>
      <c r="Y120" s="199"/>
      <c r="Z120" s="199"/>
      <c r="AA120" s="199"/>
      <c r="AB120" s="199"/>
      <c r="AC120" s="199"/>
      <c r="AD120" s="199"/>
      <c r="AE120" s="199"/>
      <c r="AF120" s="199"/>
      <c r="AG120" s="199"/>
      <c r="AH120" s="199"/>
      <c r="AI120" s="199"/>
      <c r="AJ120" s="199"/>
      <c r="AK120" s="199"/>
      <c r="AL120" s="199"/>
      <c r="AM120" s="200"/>
      <c r="AP120" s="56"/>
    </row>
    <row r="121" spans="2:42" x14ac:dyDescent="0.35">
      <c r="B121" s="189">
        <v>2019</v>
      </c>
      <c r="C121" s="189" t="s">
        <v>490</v>
      </c>
      <c r="D121" s="190" t="s">
        <v>498</v>
      </c>
      <c r="E121" s="191">
        <v>0</v>
      </c>
      <c r="F121" s="191"/>
      <c r="G121" s="191">
        <v>0.142647488673455</v>
      </c>
      <c r="H121" s="191">
        <v>0.33119285981065599</v>
      </c>
      <c r="I121" s="191">
        <v>2.3343238986050899E-2</v>
      </c>
      <c r="J121" s="191">
        <v>0</v>
      </c>
      <c r="K121" s="191">
        <v>0</v>
      </c>
      <c r="L121" s="191">
        <v>0</v>
      </c>
      <c r="M121" s="191"/>
      <c r="N121" s="191">
        <v>0</v>
      </c>
      <c r="O121" s="191">
        <v>0.47960206881992801</v>
      </c>
      <c r="P121" s="191">
        <v>0</v>
      </c>
      <c r="Q121" s="191">
        <v>2.32143437099105E-2</v>
      </c>
      <c r="R121" s="191">
        <v>0</v>
      </c>
      <c r="S121" s="192">
        <v>1</v>
      </c>
      <c r="U121" s="1" t="s">
        <v>524</v>
      </c>
      <c r="V121" s="189" t="s">
        <v>490</v>
      </c>
      <c r="W121" s="189">
        <v>2019</v>
      </c>
      <c r="X121" s="190" t="s">
        <v>498</v>
      </c>
      <c r="Y121" s="201">
        <f t="shared" ref="Y121:AM121" si="36">INDEX(X$11:X$35,MATCH($V121,$V$11:$V$35,0))/INDEX($AL$11:$AL$35,MATCH($V121,$V$11:$V$35,0))</f>
        <v>0</v>
      </c>
      <c r="Z121" s="201">
        <f t="shared" si="36"/>
        <v>0</v>
      </c>
      <c r="AA121" s="201">
        <f t="shared" si="36"/>
        <v>0.14264748867345448</v>
      </c>
      <c r="AB121" s="201">
        <f t="shared" si="36"/>
        <v>0.33119285981065583</v>
      </c>
      <c r="AC121" s="201">
        <f t="shared" si="36"/>
        <v>2.3343238986050893E-2</v>
      </c>
      <c r="AD121" s="201">
        <f t="shared" si="36"/>
        <v>0</v>
      </c>
      <c r="AE121" s="201">
        <f t="shared" si="36"/>
        <v>0</v>
      </c>
      <c r="AF121" s="201">
        <f t="shared" si="36"/>
        <v>0</v>
      </c>
      <c r="AG121" s="201">
        <f t="shared" si="36"/>
        <v>0</v>
      </c>
      <c r="AH121" s="201">
        <f t="shared" si="36"/>
        <v>0</v>
      </c>
      <c r="AI121" s="201">
        <f t="shared" si="36"/>
        <v>0.47960206881992823</v>
      </c>
      <c r="AJ121" s="201">
        <f t="shared" si="36"/>
        <v>0</v>
      </c>
      <c r="AK121" s="201">
        <f t="shared" si="36"/>
        <v>2.3214343709910525E-2</v>
      </c>
      <c r="AL121" s="201">
        <f t="shared" si="36"/>
        <v>0</v>
      </c>
      <c r="AM121" s="186">
        <f t="shared" si="36"/>
        <v>1</v>
      </c>
      <c r="AP121" s="56" t="s">
        <v>519</v>
      </c>
    </row>
    <row r="122" spans="2:42" x14ac:dyDescent="0.35">
      <c r="B122" s="189">
        <v>2030</v>
      </c>
      <c r="C122" s="189" t="s">
        <v>490</v>
      </c>
      <c r="D122" s="190" t="s">
        <v>498</v>
      </c>
      <c r="E122" s="191">
        <v>0</v>
      </c>
      <c r="F122" s="191"/>
      <c r="G122" s="191">
        <v>0.04</v>
      </c>
      <c r="H122" s="191">
        <v>0.301490724374404</v>
      </c>
      <c r="I122" s="191">
        <v>0.02</v>
      </c>
      <c r="J122" s="191">
        <v>0</v>
      </c>
      <c r="K122" s="191">
        <v>0</v>
      </c>
      <c r="L122" s="191">
        <v>0</v>
      </c>
      <c r="M122" s="191">
        <v>0</v>
      </c>
      <c r="N122" s="191">
        <v>0</v>
      </c>
      <c r="O122" s="191">
        <v>0.61850927562559599</v>
      </c>
      <c r="P122" s="191">
        <v>0</v>
      </c>
      <c r="Q122" s="191">
        <v>0.02</v>
      </c>
      <c r="R122" s="191">
        <v>0</v>
      </c>
      <c r="S122" s="192">
        <v>1</v>
      </c>
      <c r="V122" s="189" t="s">
        <v>490</v>
      </c>
      <c r="W122" s="189">
        <v>2030</v>
      </c>
      <c r="X122" s="190" t="s">
        <v>498</v>
      </c>
      <c r="Y122" s="201">
        <f>E122</f>
        <v>0</v>
      </c>
      <c r="Z122" s="201"/>
      <c r="AA122" s="201">
        <f>G122</f>
        <v>0.04</v>
      </c>
      <c r="AB122" s="204">
        <f>1-SUM(Y122:AA122,AC122:AL122)</f>
        <v>0.30999999999999994</v>
      </c>
      <c r="AC122" s="201">
        <f t="shared" ref="AC122:AF123" si="37">I122</f>
        <v>0.02</v>
      </c>
      <c r="AD122" s="201">
        <f t="shared" si="37"/>
        <v>0</v>
      </c>
      <c r="AE122" s="201">
        <f t="shared" si="37"/>
        <v>0</v>
      </c>
      <c r="AF122" s="201">
        <f t="shared" si="37"/>
        <v>0</v>
      </c>
      <c r="AG122" s="204">
        <v>0.06</v>
      </c>
      <c r="AH122" s="201">
        <f>N122</f>
        <v>0</v>
      </c>
      <c r="AI122" s="204">
        <f>52%</f>
        <v>0.52</v>
      </c>
      <c r="AJ122" s="204">
        <f>AG122/2</f>
        <v>0.03</v>
      </c>
      <c r="AK122" s="201">
        <f>Q122</f>
        <v>0.02</v>
      </c>
      <c r="AL122" s="201">
        <f>R122</f>
        <v>0</v>
      </c>
      <c r="AM122" s="186">
        <f>SUM(Y122:AL122)</f>
        <v>1</v>
      </c>
      <c r="AP122" s="56"/>
    </row>
    <row r="123" spans="2:42" x14ac:dyDescent="0.35">
      <c r="B123" s="189">
        <v>2050</v>
      </c>
      <c r="C123" s="189" t="s">
        <v>490</v>
      </c>
      <c r="D123" s="190" t="s">
        <v>498</v>
      </c>
      <c r="E123" s="191">
        <v>0</v>
      </c>
      <c r="F123" s="191"/>
      <c r="G123" s="191">
        <v>0</v>
      </c>
      <c r="H123" s="191">
        <v>0.28459406562273099</v>
      </c>
      <c r="I123" s="191">
        <v>0.02</v>
      </c>
      <c r="J123" s="191">
        <v>0</v>
      </c>
      <c r="K123" s="191">
        <v>0</v>
      </c>
      <c r="L123" s="191">
        <v>0</v>
      </c>
      <c r="M123" s="191">
        <v>0</v>
      </c>
      <c r="N123" s="191">
        <v>0</v>
      </c>
      <c r="O123" s="191">
        <v>0.66925741556336904</v>
      </c>
      <c r="P123" s="191">
        <v>0</v>
      </c>
      <c r="Q123" s="191">
        <v>2.6148518813899999E-2</v>
      </c>
      <c r="R123" s="191">
        <v>0</v>
      </c>
      <c r="S123" s="192">
        <v>1</v>
      </c>
      <c r="V123" s="189" t="s">
        <v>490</v>
      </c>
      <c r="W123" s="189">
        <v>2050</v>
      </c>
      <c r="X123" s="190" t="s">
        <v>498</v>
      </c>
      <c r="Y123" s="201">
        <f>E123</f>
        <v>0</v>
      </c>
      <c r="Z123" s="201"/>
      <c r="AA123" s="201">
        <f>G123</f>
        <v>0</v>
      </c>
      <c r="AB123" s="204">
        <f>1-SUM(Y123:AA123,AC123:AL123)</f>
        <v>8.3851481186099974E-2</v>
      </c>
      <c r="AC123" s="201">
        <f t="shared" si="37"/>
        <v>0.02</v>
      </c>
      <c r="AD123" s="201">
        <f t="shared" si="37"/>
        <v>0</v>
      </c>
      <c r="AE123" s="201">
        <f t="shared" si="37"/>
        <v>0</v>
      </c>
      <c r="AF123" s="201">
        <f t="shared" si="37"/>
        <v>0</v>
      </c>
      <c r="AG123" s="204">
        <f>22%</f>
        <v>0.22</v>
      </c>
      <c r="AH123" s="201">
        <f>N123</f>
        <v>0</v>
      </c>
      <c r="AI123" s="204">
        <f>54%</f>
        <v>0.54</v>
      </c>
      <c r="AJ123" s="204">
        <f>AG123/2</f>
        <v>0.11</v>
      </c>
      <c r="AK123" s="201">
        <f>Q123</f>
        <v>2.6148518813899999E-2</v>
      </c>
      <c r="AL123" s="201">
        <f>R123</f>
        <v>0</v>
      </c>
      <c r="AM123" s="186">
        <f>SUM(Y123:AL123)</f>
        <v>1</v>
      </c>
      <c r="AP123" s="56"/>
    </row>
    <row r="127" spans="2:42" x14ac:dyDescent="0.35">
      <c r="C127" s="427" t="s">
        <v>3</v>
      </c>
      <c r="D127" s="427"/>
      <c r="E127" s="427"/>
      <c r="F127" s="427"/>
      <c r="G127" s="427"/>
      <c r="H127" s="427"/>
      <c r="I127" s="427"/>
      <c r="J127" s="427"/>
      <c r="K127" s="427"/>
      <c r="L127" s="427"/>
      <c r="M127" s="427"/>
      <c r="N127" s="427"/>
      <c r="O127" s="427"/>
      <c r="P127" s="427"/>
      <c r="Q127" s="427"/>
      <c r="R127" s="427"/>
      <c r="S127" s="427"/>
      <c r="T127" s="427"/>
      <c r="U127" s="427"/>
      <c r="V127" s="427"/>
      <c r="W127" s="427"/>
      <c r="X127" s="427"/>
      <c r="Y127" s="427"/>
      <c r="Z127" s="427"/>
      <c r="AA127" s="427"/>
      <c r="AB127" s="427"/>
      <c r="AC127" s="427"/>
      <c r="AD127" s="427"/>
      <c r="AE127" s="427"/>
      <c r="AF127" s="427"/>
      <c r="AG127" s="427"/>
      <c r="AH127" s="427"/>
      <c r="AI127" s="427"/>
      <c r="AJ127" s="427"/>
      <c r="AK127" s="427"/>
      <c r="AL127" s="427"/>
      <c r="AM127" s="427"/>
    </row>
    <row r="129" spans="2:42" x14ac:dyDescent="0.35">
      <c r="C129" s="165" t="s">
        <v>436</v>
      </c>
      <c r="U129" s="165" t="s">
        <v>437</v>
      </c>
      <c r="V129" s="165"/>
      <c r="W129" s="165"/>
      <c r="X129" s="165"/>
      <c r="Y129" s="165"/>
      <c r="Z129" s="165"/>
      <c r="AA129" s="165"/>
      <c r="AB129" s="165"/>
      <c r="AC129" s="165"/>
      <c r="AD129" s="165"/>
      <c r="AE129" s="165"/>
      <c r="AF129" s="165"/>
      <c r="AG129" s="165"/>
      <c r="AH129" s="165"/>
      <c r="AI129" s="165"/>
      <c r="AJ129" s="165"/>
      <c r="AK129" s="165"/>
      <c r="AL129" s="165"/>
    </row>
    <row r="132" spans="2:42" ht="70.5" x14ac:dyDescent="0.35">
      <c r="C132" s="433" t="s">
        <v>495</v>
      </c>
      <c r="D132" s="433"/>
      <c r="E132" s="181" t="s">
        <v>439</v>
      </c>
      <c r="F132" s="181" t="s">
        <v>455</v>
      </c>
      <c r="G132" s="181" t="s">
        <v>441</v>
      </c>
      <c r="H132" s="181" t="s">
        <v>442</v>
      </c>
      <c r="I132" s="182" t="s">
        <v>451</v>
      </c>
      <c r="J132" s="182" t="s">
        <v>452</v>
      </c>
      <c r="K132" s="182" t="s">
        <v>453</v>
      </c>
      <c r="L132" s="182" t="s">
        <v>454</v>
      </c>
      <c r="M132" s="182" t="s">
        <v>444</v>
      </c>
      <c r="N132" s="182" t="s">
        <v>445</v>
      </c>
      <c r="O132" s="181" t="s">
        <v>496</v>
      </c>
      <c r="P132" s="181" t="s">
        <v>456</v>
      </c>
      <c r="Q132" s="181" t="s">
        <v>447</v>
      </c>
      <c r="R132" s="181" t="s">
        <v>448</v>
      </c>
      <c r="S132" s="181" t="s">
        <v>52</v>
      </c>
      <c r="V132" s="434" t="s">
        <v>495</v>
      </c>
      <c r="W132" s="434"/>
      <c r="X132" s="434"/>
      <c r="Y132" s="183" t="s">
        <v>439</v>
      </c>
      <c r="Z132" s="183" t="s">
        <v>455</v>
      </c>
      <c r="AA132" s="183" t="s">
        <v>441</v>
      </c>
      <c r="AB132" s="183" t="s">
        <v>497</v>
      </c>
      <c r="AC132" s="183" t="s">
        <v>451</v>
      </c>
      <c r="AD132" s="183" t="s">
        <v>452</v>
      </c>
      <c r="AE132" s="183" t="s">
        <v>453</v>
      </c>
      <c r="AF132" s="183" t="s">
        <v>454</v>
      </c>
      <c r="AG132" s="183" t="s">
        <v>444</v>
      </c>
      <c r="AH132" s="183" t="s">
        <v>445</v>
      </c>
      <c r="AI132" s="183" t="s">
        <v>496</v>
      </c>
      <c r="AJ132" s="183" t="s">
        <v>456</v>
      </c>
      <c r="AK132" s="183" t="s">
        <v>447</v>
      </c>
      <c r="AL132" s="183" t="s">
        <v>448</v>
      </c>
      <c r="AM132" s="183" t="s">
        <v>52</v>
      </c>
    </row>
    <row r="133" spans="2:42" x14ac:dyDescent="0.35">
      <c r="B133" s="184"/>
      <c r="C133" s="184" t="s">
        <v>24</v>
      </c>
      <c r="D133" s="184"/>
      <c r="E133" s="185"/>
      <c r="F133" s="185"/>
      <c r="G133" s="185"/>
      <c r="H133" s="185"/>
      <c r="I133" s="185"/>
      <c r="J133" s="185"/>
      <c r="K133" s="185"/>
      <c r="L133" s="185"/>
      <c r="M133" s="185"/>
      <c r="N133" s="185"/>
      <c r="O133" s="185"/>
      <c r="P133" s="185"/>
      <c r="Q133" s="185"/>
      <c r="R133" s="185"/>
      <c r="S133" s="186"/>
      <c r="U133" s="184"/>
      <c r="V133" s="435" t="s">
        <v>24</v>
      </c>
      <c r="W133" s="435"/>
      <c r="X133" s="435"/>
      <c r="Y133" s="185"/>
      <c r="Z133" s="185"/>
      <c r="AA133" s="185"/>
      <c r="AB133" s="185"/>
      <c r="AC133" s="185"/>
      <c r="AD133" s="185"/>
      <c r="AE133" s="185"/>
      <c r="AF133" s="185"/>
      <c r="AG133" s="185"/>
      <c r="AH133" s="185"/>
      <c r="AI133" s="209"/>
      <c r="AJ133" s="209"/>
      <c r="AK133" s="185"/>
      <c r="AL133" s="185"/>
      <c r="AM133" s="186"/>
      <c r="AO133" s="56"/>
    </row>
    <row r="134" spans="2:42" x14ac:dyDescent="0.35">
      <c r="B134" s="189">
        <v>2019</v>
      </c>
      <c r="C134" s="189" t="s">
        <v>461</v>
      </c>
      <c r="D134" s="190" t="s">
        <v>498</v>
      </c>
      <c r="E134" s="191">
        <v>0.480388367208748</v>
      </c>
      <c r="F134" s="191"/>
      <c r="G134" s="191">
        <v>3.9953763037986296E-3</v>
      </c>
      <c r="H134" s="191">
        <v>0.28681843011004698</v>
      </c>
      <c r="I134" s="191">
        <v>0</v>
      </c>
      <c r="J134" s="191">
        <v>0</v>
      </c>
      <c r="K134" s="191">
        <v>0</v>
      </c>
      <c r="L134" s="191">
        <v>0</v>
      </c>
      <c r="M134" s="191">
        <v>0</v>
      </c>
      <c r="N134" s="191">
        <v>0</v>
      </c>
      <c r="O134" s="191">
        <v>0.22597022364698899</v>
      </c>
      <c r="P134" s="191">
        <v>0</v>
      </c>
      <c r="Q134" s="191">
        <v>2.1191701877419102E-3</v>
      </c>
      <c r="R134" s="191">
        <v>0</v>
      </c>
      <c r="S134" s="192">
        <f>SUM(E134:R134)</f>
        <v>0.99929156745732439</v>
      </c>
      <c r="U134" s="189">
        <v>2019</v>
      </c>
      <c r="V134" s="189" t="s">
        <v>461</v>
      </c>
      <c r="W134" s="189">
        <v>2019</v>
      </c>
      <c r="X134" s="190" t="s">
        <v>498</v>
      </c>
      <c r="Y134" s="193">
        <f t="shared" ref="Y134:AH134" si="38">INDEX(X$11:X$35,MATCH($V134,$V$11:$V$35,0))/INDEX($AL$11:$AL$35,MATCH($V134,$V$11:$V$35,0))</f>
        <v>0.40361843755597487</v>
      </c>
      <c r="Z134" s="193">
        <f t="shared" si="38"/>
        <v>0.59638156244402507</v>
      </c>
      <c r="AA134" s="193">
        <f t="shared" si="38"/>
        <v>0</v>
      </c>
      <c r="AB134" s="193">
        <f t="shared" si="38"/>
        <v>0</v>
      </c>
      <c r="AC134" s="193">
        <f t="shared" si="38"/>
        <v>0</v>
      </c>
      <c r="AD134" s="193">
        <f t="shared" si="38"/>
        <v>0</v>
      </c>
      <c r="AE134" s="193">
        <f t="shared" si="38"/>
        <v>0</v>
      </c>
      <c r="AF134" s="193">
        <f t="shared" si="38"/>
        <v>0</v>
      </c>
      <c r="AG134" s="193">
        <f t="shared" si="38"/>
        <v>0</v>
      </c>
      <c r="AH134" s="193">
        <f t="shared" si="38"/>
        <v>0</v>
      </c>
      <c r="AI134" s="193">
        <v>0</v>
      </c>
      <c r="AJ134" s="193">
        <f>INDEX(AI$11:AI$35,MATCH($V134,$V$11:$V$35,0))/INDEX($AL$11:$AL$35,MATCH($V134,$V$11:$V$35,0))</f>
        <v>0</v>
      </c>
      <c r="AK134" s="193">
        <f>INDEX(AJ$11:AJ$35,MATCH($V134,$V$11:$V$35,0))/INDEX($AL$11:$AL$35,MATCH($V134,$V$11:$V$35,0))</f>
        <v>0</v>
      </c>
      <c r="AL134" s="193">
        <f>INDEX(AK$11:AK$35,MATCH($V134,$V$11:$V$35,0))/INDEX($AL$11:$AL$35,MATCH($V134,$V$11:$V$35,0))</f>
        <v>0</v>
      </c>
      <c r="AM134" s="186">
        <f>INDEX(AL$11:AL$35,MATCH($V134,$V$11:$V$35,0))/INDEX($AL$11:$AL$35,MATCH($V134,$V$11:$V$35,0))</f>
        <v>1</v>
      </c>
      <c r="AO134" s="56" t="s">
        <v>525</v>
      </c>
    </row>
    <row r="135" spans="2:42" x14ac:dyDescent="0.35">
      <c r="B135" s="189">
        <v>2025</v>
      </c>
      <c r="C135" s="189" t="s">
        <v>461</v>
      </c>
      <c r="D135" s="190" t="s">
        <v>498</v>
      </c>
      <c r="E135" s="191">
        <v>0.48043184302947001</v>
      </c>
      <c r="F135" s="191">
        <v>0</v>
      </c>
      <c r="G135" s="191">
        <v>4.4107272440989404E-3</v>
      </c>
      <c r="H135" s="191">
        <v>0.28564589346437302</v>
      </c>
      <c r="I135" s="191">
        <v>0</v>
      </c>
      <c r="J135" s="191">
        <v>0</v>
      </c>
      <c r="K135" s="191">
        <v>0</v>
      </c>
      <c r="L135" s="191">
        <v>0</v>
      </c>
      <c r="M135" s="191">
        <v>0</v>
      </c>
      <c r="N135" s="191">
        <v>0</v>
      </c>
      <c r="O135" s="191">
        <v>0.226845961035822</v>
      </c>
      <c r="P135" s="191">
        <v>0</v>
      </c>
      <c r="Q135" s="191">
        <v>2.6956628466980599E-3</v>
      </c>
      <c r="R135" s="191">
        <v>0</v>
      </c>
      <c r="S135" s="192">
        <f>SUM(E135:R135)</f>
        <v>1.000030087620462</v>
      </c>
      <c r="U135" s="189">
        <v>2025</v>
      </c>
      <c r="V135" s="189" t="s">
        <v>461</v>
      </c>
      <c r="W135" s="189">
        <v>2025</v>
      </c>
      <c r="X135" s="190" t="s">
        <v>498</v>
      </c>
      <c r="Y135" s="193">
        <f>Y134</f>
        <v>0.40361843755597487</v>
      </c>
      <c r="Z135" s="193">
        <f>Z134</f>
        <v>0.59638156244402507</v>
      </c>
      <c r="AA135" s="193">
        <f>+G135</f>
        <v>4.4107272440989404E-3</v>
      </c>
      <c r="AB135" s="193">
        <f>AB134</f>
        <v>0</v>
      </c>
      <c r="AC135" s="193">
        <f t="shared" ref="AC135:AH136" si="39">+I135</f>
        <v>0</v>
      </c>
      <c r="AD135" s="193">
        <f t="shared" si="39"/>
        <v>0</v>
      </c>
      <c r="AE135" s="193">
        <f t="shared" si="39"/>
        <v>0</v>
      </c>
      <c r="AF135" s="193">
        <f t="shared" si="39"/>
        <v>0</v>
      </c>
      <c r="AG135" s="193">
        <f t="shared" si="39"/>
        <v>0</v>
      </c>
      <c r="AH135" s="193">
        <f t="shared" si="39"/>
        <v>0</v>
      </c>
      <c r="AI135" s="193">
        <v>0</v>
      </c>
      <c r="AJ135" s="193">
        <f>+P135</f>
        <v>0</v>
      </c>
      <c r="AK135" s="193">
        <f>+Q135</f>
        <v>2.6956628466980599E-3</v>
      </c>
      <c r="AL135" s="193">
        <f>+R135</f>
        <v>0</v>
      </c>
      <c r="AM135" s="186">
        <f>INDEX(AL$11:AL$35,MATCH($V135,$V$11:$V$35,0))/INDEX($AL$11:$AL$35,MATCH($V135,$V$11:$V$35,0))</f>
        <v>1</v>
      </c>
      <c r="AO135" s="56"/>
    </row>
    <row r="136" spans="2:42" x14ac:dyDescent="0.35">
      <c r="B136" s="189">
        <v>2050</v>
      </c>
      <c r="C136" s="189" t="s">
        <v>461</v>
      </c>
      <c r="D136" s="190" t="s">
        <v>498</v>
      </c>
      <c r="E136" s="191">
        <v>0.29818412658464</v>
      </c>
      <c r="F136" s="191">
        <v>0</v>
      </c>
      <c r="G136" s="191">
        <v>0</v>
      </c>
      <c r="H136" s="191">
        <v>0.32</v>
      </c>
      <c r="I136" s="191">
        <v>0</v>
      </c>
      <c r="J136" s="191">
        <v>0</v>
      </c>
      <c r="K136" s="191">
        <v>0</v>
      </c>
      <c r="L136" s="191">
        <v>0</v>
      </c>
      <c r="M136" s="191">
        <v>0</v>
      </c>
      <c r="N136" s="191">
        <v>0</v>
      </c>
      <c r="O136" s="191">
        <v>0.27684596103582199</v>
      </c>
      <c r="P136" s="191">
        <v>0</v>
      </c>
      <c r="Q136" s="191">
        <v>0</v>
      </c>
      <c r="R136" s="191">
        <v>0.104969912379538</v>
      </c>
      <c r="S136" s="192">
        <f>SUM(E136:R136)</f>
        <v>1</v>
      </c>
      <c r="U136" s="189">
        <v>2050</v>
      </c>
      <c r="V136" s="189" t="s">
        <v>461</v>
      </c>
      <c r="W136" s="189">
        <v>2050</v>
      </c>
      <c r="X136" s="190" t="s">
        <v>498</v>
      </c>
      <c r="Y136" s="193">
        <f>Y135</f>
        <v>0.40361843755597487</v>
      </c>
      <c r="Z136" s="193">
        <f>Z135</f>
        <v>0.59638156244402507</v>
      </c>
      <c r="AA136" s="193">
        <f>+G136</f>
        <v>0</v>
      </c>
      <c r="AB136" s="193">
        <f>AB135</f>
        <v>0</v>
      </c>
      <c r="AC136" s="193">
        <f t="shared" si="39"/>
        <v>0</v>
      </c>
      <c r="AD136" s="193">
        <f t="shared" si="39"/>
        <v>0</v>
      </c>
      <c r="AE136" s="193">
        <f t="shared" si="39"/>
        <v>0</v>
      </c>
      <c r="AF136" s="193">
        <f t="shared" si="39"/>
        <v>0</v>
      </c>
      <c r="AG136" s="193">
        <f t="shared" si="39"/>
        <v>0</v>
      </c>
      <c r="AH136" s="193">
        <f t="shared" si="39"/>
        <v>0</v>
      </c>
      <c r="AI136" s="193">
        <v>0</v>
      </c>
      <c r="AJ136" s="193">
        <f>+P136</f>
        <v>0</v>
      </c>
      <c r="AK136" s="193">
        <f>+Q136</f>
        <v>0</v>
      </c>
      <c r="AL136" s="193">
        <v>0</v>
      </c>
      <c r="AM136" s="186">
        <f>SUM(Y136:AL136)</f>
        <v>1</v>
      </c>
      <c r="AO136" s="56"/>
      <c r="AP136" s="194"/>
    </row>
    <row r="137" spans="2:42" x14ac:dyDescent="0.35">
      <c r="B137" s="195"/>
      <c r="C137" s="195"/>
      <c r="D137" s="196"/>
      <c r="E137" s="197"/>
      <c r="F137" s="197"/>
      <c r="G137" s="197"/>
      <c r="H137" s="197"/>
      <c r="I137" s="197"/>
      <c r="J137" s="197"/>
      <c r="K137" s="197"/>
      <c r="L137" s="197"/>
      <c r="M137" s="197"/>
      <c r="N137" s="197"/>
      <c r="O137" s="197"/>
      <c r="P137" s="197"/>
      <c r="Q137" s="197"/>
      <c r="R137" s="197"/>
      <c r="S137" s="198"/>
      <c r="U137" s="195"/>
      <c r="V137" s="195"/>
      <c r="W137" s="195"/>
      <c r="X137" s="196"/>
      <c r="Y137" s="199"/>
      <c r="Z137" s="199"/>
      <c r="AA137" s="199"/>
      <c r="AB137" s="199"/>
      <c r="AC137" s="199"/>
      <c r="AD137" s="199"/>
      <c r="AE137" s="199"/>
      <c r="AF137" s="199"/>
      <c r="AG137" s="199"/>
      <c r="AH137" s="199"/>
      <c r="AI137" s="199"/>
      <c r="AJ137" s="199"/>
      <c r="AK137" s="199"/>
      <c r="AL137" s="199"/>
      <c r="AM137" s="200"/>
      <c r="AO137" s="56"/>
    </row>
    <row r="138" spans="2:42" x14ac:dyDescent="0.35">
      <c r="B138" s="189">
        <v>2019</v>
      </c>
      <c r="C138" s="189" t="s">
        <v>464</v>
      </c>
      <c r="D138" s="190" t="s">
        <v>498</v>
      </c>
      <c r="E138" s="191">
        <v>3.5000000000000003E-2</v>
      </c>
      <c r="F138" s="191"/>
      <c r="G138" s="191">
        <v>0.02</v>
      </c>
      <c r="H138" s="191">
        <v>0.191</v>
      </c>
      <c r="I138" s="191">
        <v>2.9000000000000001E-2</v>
      </c>
      <c r="J138" s="191">
        <v>0</v>
      </c>
      <c r="K138" s="191">
        <v>0</v>
      </c>
      <c r="L138" s="191">
        <v>0</v>
      </c>
      <c r="M138" s="191">
        <v>0</v>
      </c>
      <c r="N138" s="191">
        <v>0</v>
      </c>
      <c r="O138" s="191">
        <v>0.72499999999999998</v>
      </c>
      <c r="P138" s="191">
        <v>0</v>
      </c>
      <c r="Q138" s="191">
        <v>0</v>
      </c>
      <c r="R138" s="191">
        <v>0</v>
      </c>
      <c r="S138" s="192">
        <f>SUM(E138:R138)</f>
        <v>1</v>
      </c>
      <c r="U138" s="189">
        <v>2019</v>
      </c>
      <c r="V138" s="189" t="s">
        <v>464</v>
      </c>
      <c r="W138" s="189">
        <v>2019</v>
      </c>
      <c r="X138" s="190" t="s">
        <v>498</v>
      </c>
      <c r="Y138" s="193">
        <f t="shared" ref="Y138:AM138" si="40">INDEX(X$11:X$35,MATCH($V138,$V$11:$V$35,0))/INDEX($AL$11:$AL$35,MATCH($V138,$V$11:$V$35,0))</f>
        <v>3.5000000000000003E-2</v>
      </c>
      <c r="Z138" s="193">
        <f t="shared" si="40"/>
        <v>0</v>
      </c>
      <c r="AA138" s="193">
        <f t="shared" si="40"/>
        <v>1.9999999999999997E-2</v>
      </c>
      <c r="AB138" s="193">
        <f t="shared" si="40"/>
        <v>0.21999999999999997</v>
      </c>
      <c r="AC138" s="193">
        <f t="shared" si="40"/>
        <v>0</v>
      </c>
      <c r="AD138" s="193">
        <f t="shared" si="40"/>
        <v>0</v>
      </c>
      <c r="AE138" s="193">
        <f t="shared" si="40"/>
        <v>0</v>
      </c>
      <c r="AF138" s="193">
        <f t="shared" si="40"/>
        <v>0</v>
      </c>
      <c r="AG138" s="193">
        <f t="shared" si="40"/>
        <v>0</v>
      </c>
      <c r="AH138" s="193">
        <f t="shared" si="40"/>
        <v>0</v>
      </c>
      <c r="AI138" s="193">
        <f t="shared" si="40"/>
        <v>0.72499999999999998</v>
      </c>
      <c r="AJ138" s="193">
        <f t="shared" si="40"/>
        <v>0</v>
      </c>
      <c r="AK138" s="193">
        <f t="shared" si="40"/>
        <v>0</v>
      </c>
      <c r="AL138" s="193">
        <f t="shared" si="40"/>
        <v>0</v>
      </c>
      <c r="AM138" s="186">
        <f t="shared" si="40"/>
        <v>1</v>
      </c>
      <c r="AN138" s="3"/>
      <c r="AO138" s="56" t="s">
        <v>526</v>
      </c>
    </row>
    <row r="139" spans="2:42" x14ac:dyDescent="0.35">
      <c r="B139" s="189">
        <v>2025</v>
      </c>
      <c r="C139" s="189" t="s">
        <v>464</v>
      </c>
      <c r="D139" s="190" t="s">
        <v>498</v>
      </c>
      <c r="E139" s="191">
        <v>3.5000000000000003E-2</v>
      </c>
      <c r="F139" s="191">
        <v>0</v>
      </c>
      <c r="G139" s="191">
        <v>0.02</v>
      </c>
      <c r="H139" s="191">
        <v>0.191</v>
      </c>
      <c r="I139" s="191">
        <v>2.9000000000000001E-2</v>
      </c>
      <c r="J139" s="191">
        <v>0</v>
      </c>
      <c r="K139" s="191">
        <v>0</v>
      </c>
      <c r="L139" s="191">
        <v>0</v>
      </c>
      <c r="M139" s="191">
        <v>0</v>
      </c>
      <c r="N139" s="191">
        <v>0</v>
      </c>
      <c r="O139" s="191">
        <v>0.72499999999999998</v>
      </c>
      <c r="P139" s="191">
        <v>0</v>
      </c>
      <c r="Q139" s="191">
        <v>0</v>
      </c>
      <c r="R139" s="191">
        <v>0</v>
      </c>
      <c r="S139" s="192">
        <f>SUM(E139:R139)</f>
        <v>1</v>
      </c>
      <c r="U139" s="189">
        <v>2025</v>
      </c>
      <c r="V139" s="189" t="s">
        <v>464</v>
      </c>
      <c r="W139" s="189">
        <v>2025</v>
      </c>
      <c r="X139" s="190" t="s">
        <v>498</v>
      </c>
      <c r="Y139" s="193">
        <f>+E139</f>
        <v>3.5000000000000003E-2</v>
      </c>
      <c r="Z139" s="193">
        <f>+F139</f>
        <v>0</v>
      </c>
      <c r="AA139" s="193">
        <f>+G139</f>
        <v>0.02</v>
      </c>
      <c r="AB139" s="193">
        <f>+AB138</f>
        <v>0.21999999999999997</v>
      </c>
      <c r="AC139" s="193">
        <v>0</v>
      </c>
      <c r="AD139" s="193">
        <f t="shared" ref="AD139:AL139" si="41">+J139</f>
        <v>0</v>
      </c>
      <c r="AE139" s="193">
        <f t="shared" si="41"/>
        <v>0</v>
      </c>
      <c r="AF139" s="193">
        <f t="shared" si="41"/>
        <v>0</v>
      </c>
      <c r="AG139" s="193">
        <f t="shared" si="41"/>
        <v>0</v>
      </c>
      <c r="AH139" s="193">
        <f t="shared" si="41"/>
        <v>0</v>
      </c>
      <c r="AI139" s="193">
        <f t="shared" si="41"/>
        <v>0.72499999999999998</v>
      </c>
      <c r="AJ139" s="193">
        <f t="shared" si="41"/>
        <v>0</v>
      </c>
      <c r="AK139" s="193">
        <f t="shared" si="41"/>
        <v>0</v>
      </c>
      <c r="AL139" s="193">
        <f t="shared" si="41"/>
        <v>0</v>
      </c>
      <c r="AM139" s="186">
        <f>SUM(Y139:AL139)</f>
        <v>1</v>
      </c>
      <c r="AN139" s="3"/>
      <c r="AO139" s="56"/>
    </row>
    <row r="140" spans="2:42" x14ac:dyDescent="0.35">
      <c r="B140" s="189">
        <v>2050</v>
      </c>
      <c r="C140" s="189" t="s">
        <v>464</v>
      </c>
      <c r="D140" s="190" t="s">
        <v>498</v>
      </c>
      <c r="E140" s="191">
        <v>1.4999999999999999E-2</v>
      </c>
      <c r="F140" s="191">
        <v>0</v>
      </c>
      <c r="G140" s="191">
        <v>0.02</v>
      </c>
      <c r="H140" s="191">
        <v>0.21099999999999999</v>
      </c>
      <c r="I140" s="191">
        <v>2.9000000000000001E-2</v>
      </c>
      <c r="J140" s="191">
        <v>0</v>
      </c>
      <c r="K140" s="191">
        <v>0</v>
      </c>
      <c r="L140" s="191">
        <v>0</v>
      </c>
      <c r="M140" s="191">
        <v>0</v>
      </c>
      <c r="N140" s="191">
        <v>0</v>
      </c>
      <c r="O140" s="191">
        <v>0.72499999999999998</v>
      </c>
      <c r="P140" s="191">
        <v>0</v>
      </c>
      <c r="Q140" s="191">
        <v>0</v>
      </c>
      <c r="R140" s="191">
        <v>0</v>
      </c>
      <c r="S140" s="192">
        <f>SUM(E140:R140)</f>
        <v>1</v>
      </c>
      <c r="U140" s="189">
        <v>2050</v>
      </c>
      <c r="V140" s="189" t="s">
        <v>464</v>
      </c>
      <c r="W140" s="189">
        <v>2050</v>
      </c>
      <c r="X140" s="190" t="s">
        <v>498</v>
      </c>
      <c r="Y140" s="193">
        <v>0</v>
      </c>
      <c r="Z140" s="193">
        <f>+F140</f>
        <v>0</v>
      </c>
      <c r="AA140" s="193">
        <f>+G140</f>
        <v>0.02</v>
      </c>
      <c r="AB140" s="193">
        <f>+AB139+1%</f>
        <v>0.22999999999999998</v>
      </c>
      <c r="AC140" s="193">
        <v>0.02</v>
      </c>
      <c r="AD140" s="193">
        <f>+J140</f>
        <v>0</v>
      </c>
      <c r="AE140" s="193">
        <f>+K140</f>
        <v>0</v>
      </c>
      <c r="AF140" s="193">
        <f>+L140</f>
        <v>0</v>
      </c>
      <c r="AG140" s="193">
        <f>+M140</f>
        <v>0</v>
      </c>
      <c r="AH140" s="193">
        <f>+N140</f>
        <v>0</v>
      </c>
      <c r="AI140" s="193">
        <v>0.73</v>
      </c>
      <c r="AJ140" s="193">
        <f>+P140</f>
        <v>0</v>
      </c>
      <c r="AK140" s="193">
        <f>+Q140</f>
        <v>0</v>
      </c>
      <c r="AL140" s="193">
        <f>+R140</f>
        <v>0</v>
      </c>
      <c r="AM140" s="186">
        <f>SUM(Y140:AL140)</f>
        <v>1</v>
      </c>
      <c r="AO140" s="56"/>
    </row>
    <row r="141" spans="2:42" x14ac:dyDescent="0.35">
      <c r="B141" s="195"/>
      <c r="C141" s="195"/>
      <c r="D141" s="196"/>
      <c r="E141" s="197"/>
      <c r="F141" s="197"/>
      <c r="G141" s="197"/>
      <c r="H141" s="197"/>
      <c r="I141" s="197"/>
      <c r="J141" s="197"/>
      <c r="K141" s="197"/>
      <c r="L141" s="197"/>
      <c r="M141" s="197"/>
      <c r="N141" s="197"/>
      <c r="O141" s="197"/>
      <c r="P141" s="197"/>
      <c r="Q141" s="197"/>
      <c r="R141" s="197"/>
      <c r="S141" s="198"/>
      <c r="U141" s="195"/>
      <c r="V141" s="195"/>
      <c r="W141" s="195"/>
      <c r="X141" s="196"/>
      <c r="Y141" s="199"/>
      <c r="Z141" s="199"/>
      <c r="AA141" s="199"/>
      <c r="AB141" s="199"/>
      <c r="AC141" s="199"/>
      <c r="AD141" s="199"/>
      <c r="AE141" s="199"/>
      <c r="AF141" s="199"/>
      <c r="AG141" s="199"/>
      <c r="AH141" s="199"/>
      <c r="AI141" s="199"/>
      <c r="AJ141" s="199"/>
      <c r="AK141" s="199"/>
      <c r="AL141" s="199"/>
      <c r="AM141" s="200"/>
      <c r="AO141" s="56"/>
    </row>
    <row r="142" spans="2:42" x14ac:dyDescent="0.35">
      <c r="B142" s="189">
        <v>2019</v>
      </c>
      <c r="C142" s="189" t="s">
        <v>466</v>
      </c>
      <c r="D142" s="190" t="s">
        <v>498</v>
      </c>
      <c r="E142" s="191">
        <v>0</v>
      </c>
      <c r="F142" s="191"/>
      <c r="G142" s="191">
        <v>0</v>
      </c>
      <c r="H142" s="191">
        <v>0.15207756232687</v>
      </c>
      <c r="I142" s="191">
        <v>0</v>
      </c>
      <c r="J142" s="191">
        <v>0</v>
      </c>
      <c r="K142" s="191">
        <v>0</v>
      </c>
      <c r="L142" s="191">
        <v>0</v>
      </c>
      <c r="M142" s="191">
        <v>0</v>
      </c>
      <c r="N142" s="191">
        <v>0</v>
      </c>
      <c r="O142" s="191">
        <v>0.13767313019390601</v>
      </c>
      <c r="P142" s="191">
        <v>0</v>
      </c>
      <c r="Q142" s="191">
        <v>0</v>
      </c>
      <c r="R142" s="191">
        <v>0.71024930747922399</v>
      </c>
      <c r="S142" s="192">
        <f>SUM(E142:R142)</f>
        <v>1</v>
      </c>
      <c r="U142" s="189">
        <v>2019</v>
      </c>
      <c r="V142" s="189" t="s">
        <v>466</v>
      </c>
      <c r="W142" s="189">
        <v>2019</v>
      </c>
      <c r="X142" s="190" t="s">
        <v>498</v>
      </c>
      <c r="Y142" s="204"/>
      <c r="Z142" s="204"/>
      <c r="AA142" s="204"/>
      <c r="AB142" s="204"/>
      <c r="AC142" s="204"/>
      <c r="AD142" s="204"/>
      <c r="AE142" s="204"/>
      <c r="AF142" s="204"/>
      <c r="AG142" s="204"/>
      <c r="AH142" s="204"/>
      <c r="AI142" s="204"/>
      <c r="AJ142" s="204"/>
      <c r="AK142" s="204"/>
      <c r="AL142" s="204"/>
      <c r="AM142" s="186"/>
      <c r="AO142" s="56"/>
    </row>
    <row r="143" spans="2:42" x14ac:dyDescent="0.35">
      <c r="B143" s="189">
        <v>2025</v>
      </c>
      <c r="C143" s="189" t="s">
        <v>466</v>
      </c>
      <c r="D143" s="190" t="s">
        <v>498</v>
      </c>
      <c r="E143" s="191">
        <v>0</v>
      </c>
      <c r="F143" s="191">
        <v>0</v>
      </c>
      <c r="G143" s="191">
        <v>0</v>
      </c>
      <c r="H143" s="191">
        <v>0.15207756232687</v>
      </c>
      <c r="I143" s="191">
        <v>0</v>
      </c>
      <c r="J143" s="191">
        <v>0</v>
      </c>
      <c r="K143" s="191">
        <v>0</v>
      </c>
      <c r="L143" s="191">
        <v>0</v>
      </c>
      <c r="M143" s="191">
        <v>0</v>
      </c>
      <c r="N143" s="191">
        <v>0</v>
      </c>
      <c r="O143" s="191">
        <v>0.13767313019390601</v>
      </c>
      <c r="P143" s="191">
        <v>0</v>
      </c>
      <c r="Q143" s="191">
        <v>0</v>
      </c>
      <c r="R143" s="191">
        <v>0.71024930747922399</v>
      </c>
      <c r="S143" s="192">
        <f>SUM(E143:R143)</f>
        <v>1</v>
      </c>
      <c r="U143" s="189">
        <v>2025</v>
      </c>
      <c r="V143" s="189" t="s">
        <v>466</v>
      </c>
      <c r="W143" s="189">
        <v>2025</v>
      </c>
      <c r="X143" s="190" t="s">
        <v>498</v>
      </c>
      <c r="Y143" s="204"/>
      <c r="Z143" s="204"/>
      <c r="AA143" s="204"/>
      <c r="AB143" s="204"/>
      <c r="AC143" s="204"/>
      <c r="AD143" s="204"/>
      <c r="AE143" s="204"/>
      <c r="AF143" s="204"/>
      <c r="AG143" s="204"/>
      <c r="AH143" s="204"/>
      <c r="AI143" s="204"/>
      <c r="AJ143" s="204"/>
      <c r="AK143" s="204"/>
      <c r="AL143" s="204"/>
      <c r="AM143" s="186"/>
      <c r="AO143" s="56"/>
    </row>
    <row r="144" spans="2:42" x14ac:dyDescent="0.35">
      <c r="B144" s="189">
        <v>2050</v>
      </c>
      <c r="C144" s="189" t="s">
        <v>466</v>
      </c>
      <c r="D144" s="190" t="s">
        <v>498</v>
      </c>
      <c r="E144" s="191">
        <v>0</v>
      </c>
      <c r="F144" s="191">
        <v>0</v>
      </c>
      <c r="G144" s="191">
        <v>0</v>
      </c>
      <c r="H144" s="191">
        <v>0.15207756232687</v>
      </c>
      <c r="I144" s="191">
        <v>0</v>
      </c>
      <c r="J144" s="191">
        <v>0</v>
      </c>
      <c r="K144" s="191">
        <v>0</v>
      </c>
      <c r="L144" s="191">
        <v>0</v>
      </c>
      <c r="M144" s="191">
        <v>0</v>
      </c>
      <c r="N144" s="191">
        <v>0</v>
      </c>
      <c r="O144" s="191">
        <v>0.13767313019390601</v>
      </c>
      <c r="P144" s="191">
        <v>0</v>
      </c>
      <c r="Q144" s="191">
        <v>0</v>
      </c>
      <c r="R144" s="191">
        <v>0.71024930747922399</v>
      </c>
      <c r="S144" s="192">
        <f>SUM(E144:R144)</f>
        <v>1</v>
      </c>
      <c r="U144" s="189">
        <v>2050</v>
      </c>
      <c r="V144" s="189" t="s">
        <v>466</v>
      </c>
      <c r="W144" s="189">
        <v>2050</v>
      </c>
      <c r="X144" s="190" t="s">
        <v>498</v>
      </c>
      <c r="Y144" s="204"/>
      <c r="Z144" s="204"/>
      <c r="AA144" s="204"/>
      <c r="AB144" s="204"/>
      <c r="AC144" s="204"/>
      <c r="AD144" s="204"/>
      <c r="AE144" s="204"/>
      <c r="AF144" s="204"/>
      <c r="AG144" s="204"/>
      <c r="AH144" s="204"/>
      <c r="AI144" s="204"/>
      <c r="AJ144" s="204"/>
      <c r="AK144" s="204"/>
      <c r="AL144" s="204"/>
      <c r="AM144" s="186"/>
      <c r="AO144" s="56"/>
    </row>
    <row r="145" spans="2:41" x14ac:dyDescent="0.35">
      <c r="B145" s="195"/>
      <c r="C145" s="195"/>
      <c r="D145" s="196"/>
      <c r="E145" s="197"/>
      <c r="F145" s="197"/>
      <c r="G145" s="197"/>
      <c r="H145" s="197"/>
      <c r="I145" s="197"/>
      <c r="J145" s="197"/>
      <c r="K145" s="197"/>
      <c r="L145" s="197"/>
      <c r="M145" s="197"/>
      <c r="N145" s="197"/>
      <c r="O145" s="197"/>
      <c r="P145" s="197"/>
      <c r="Q145" s="197"/>
      <c r="R145" s="197"/>
      <c r="S145" s="198"/>
      <c r="U145" s="195"/>
      <c r="V145" s="195"/>
      <c r="W145" s="195"/>
      <c r="X145" s="196"/>
      <c r="Y145" s="199"/>
      <c r="Z145" s="199"/>
      <c r="AA145" s="199"/>
      <c r="AB145" s="199"/>
      <c r="AC145" s="199"/>
      <c r="AD145" s="199"/>
      <c r="AE145" s="199"/>
      <c r="AF145" s="199"/>
      <c r="AG145" s="199"/>
      <c r="AH145" s="199"/>
      <c r="AI145" s="199"/>
      <c r="AJ145" s="199"/>
      <c r="AK145" s="199"/>
      <c r="AL145" s="199"/>
      <c r="AM145" s="200"/>
      <c r="AO145" s="56"/>
    </row>
    <row r="146" spans="2:41" x14ac:dyDescent="0.35">
      <c r="B146" s="189">
        <v>2019</v>
      </c>
      <c r="C146" s="189" t="s">
        <v>504</v>
      </c>
      <c r="D146" s="190"/>
      <c r="E146" s="191">
        <v>0</v>
      </c>
      <c r="F146" s="191"/>
      <c r="G146" s="191">
        <v>0</v>
      </c>
      <c r="H146" s="191">
        <v>0</v>
      </c>
      <c r="I146" s="191">
        <v>0</v>
      </c>
      <c r="J146" s="191">
        <v>0</v>
      </c>
      <c r="K146" s="191">
        <v>0</v>
      </c>
      <c r="L146" s="191">
        <v>0</v>
      </c>
      <c r="M146" s="191">
        <v>0</v>
      </c>
      <c r="N146" s="191">
        <v>0</v>
      </c>
      <c r="O146" s="191">
        <v>0</v>
      </c>
      <c r="P146" s="191">
        <v>0</v>
      </c>
      <c r="Q146" s="191">
        <v>0</v>
      </c>
      <c r="R146" s="191">
        <v>0</v>
      </c>
      <c r="S146" s="192"/>
      <c r="U146" s="189">
        <v>2019</v>
      </c>
      <c r="V146" s="189" t="s">
        <v>467</v>
      </c>
      <c r="W146" s="189">
        <v>2019</v>
      </c>
      <c r="X146" s="190"/>
      <c r="Y146" s="193">
        <f t="shared" ref="Y146:AL146" si="42">INDEX(X$11:X$35,MATCH($V146,$V$11:$V$35,0))/INDEX($AL$11:$AL$35,MATCH($V146,$V$11:$V$35,0))</f>
        <v>5.5844909255524718E-2</v>
      </c>
      <c r="Z146" s="193">
        <f t="shared" si="42"/>
        <v>3.2423689380245542E-2</v>
      </c>
      <c r="AA146" s="193">
        <f t="shared" si="42"/>
        <v>1.1370402229773324E-2</v>
      </c>
      <c r="AB146" s="193">
        <f t="shared" si="42"/>
        <v>0.31143599829499524</v>
      </c>
      <c r="AC146" s="193">
        <f t="shared" si="42"/>
        <v>2.9856067569286875E-4</v>
      </c>
      <c r="AD146" s="193">
        <f t="shared" si="42"/>
        <v>0</v>
      </c>
      <c r="AE146" s="193">
        <f t="shared" si="42"/>
        <v>0</v>
      </c>
      <c r="AF146" s="193">
        <f t="shared" si="42"/>
        <v>0</v>
      </c>
      <c r="AG146" s="193">
        <f t="shared" si="42"/>
        <v>0</v>
      </c>
      <c r="AH146" s="193">
        <f t="shared" si="42"/>
        <v>0</v>
      </c>
      <c r="AI146" s="193">
        <f t="shared" si="42"/>
        <v>0.58259551451477254</v>
      </c>
      <c r="AJ146" s="193">
        <f t="shared" si="42"/>
        <v>0</v>
      </c>
      <c r="AK146" s="193">
        <f t="shared" si="42"/>
        <v>6.0309256489959485E-3</v>
      </c>
      <c r="AL146" s="193">
        <f t="shared" si="42"/>
        <v>0</v>
      </c>
      <c r="AM146" s="186">
        <f>SUM(Y146:AL146)</f>
        <v>1.0000000000000002</v>
      </c>
      <c r="AO146" s="56" t="s">
        <v>525</v>
      </c>
    </row>
    <row r="147" spans="2:41" x14ac:dyDescent="0.35">
      <c r="B147" s="189">
        <v>2025</v>
      </c>
      <c r="C147" s="189" t="s">
        <v>504</v>
      </c>
      <c r="D147" s="190"/>
      <c r="E147" s="191" t="e">
        <f>#N/A</f>
        <v>#N/A</v>
      </c>
      <c r="F147" s="191" t="e">
        <f>#N/A</f>
        <v>#N/A</v>
      </c>
      <c r="G147" s="191" t="e">
        <f>#N/A</f>
        <v>#N/A</v>
      </c>
      <c r="H147" s="191" t="e">
        <f>#N/A</f>
        <v>#N/A</v>
      </c>
      <c r="I147" s="191" t="e">
        <f>#N/A</f>
        <v>#N/A</v>
      </c>
      <c r="J147" s="191" t="e">
        <f>#N/A</f>
        <v>#N/A</v>
      </c>
      <c r="K147" s="191" t="e">
        <f>#N/A</f>
        <v>#N/A</v>
      </c>
      <c r="L147" s="191" t="e">
        <f>#N/A</f>
        <v>#N/A</v>
      </c>
      <c r="M147" s="191" t="e">
        <f>#N/A</f>
        <v>#N/A</v>
      </c>
      <c r="N147" s="191" t="e">
        <f>#N/A</f>
        <v>#N/A</v>
      </c>
      <c r="O147" s="191" t="e">
        <f>#N/A</f>
        <v>#N/A</v>
      </c>
      <c r="P147" s="191" t="e">
        <f>#N/A</f>
        <v>#N/A</v>
      </c>
      <c r="Q147" s="191" t="e">
        <f>#N/A</f>
        <v>#N/A</v>
      </c>
      <c r="R147" s="191" t="e">
        <f>#N/A</f>
        <v>#N/A</v>
      </c>
      <c r="S147" s="192"/>
      <c r="U147" s="189">
        <v>2025</v>
      </c>
      <c r="V147" s="189" t="s">
        <v>467</v>
      </c>
      <c r="W147" s="189">
        <v>2025</v>
      </c>
      <c r="X147" s="190"/>
      <c r="Y147" s="193">
        <f t="shared" ref="Y147:AL148" si="43">Y146</f>
        <v>5.5844909255524718E-2</v>
      </c>
      <c r="Z147" s="193">
        <f t="shared" si="43"/>
        <v>3.2423689380245542E-2</v>
      </c>
      <c r="AA147" s="193">
        <f t="shared" si="43"/>
        <v>1.1370402229773324E-2</v>
      </c>
      <c r="AB147" s="193">
        <f t="shared" si="43"/>
        <v>0.31143599829499524</v>
      </c>
      <c r="AC147" s="193">
        <f t="shared" si="43"/>
        <v>2.9856067569286875E-4</v>
      </c>
      <c r="AD147" s="193">
        <f t="shared" si="43"/>
        <v>0</v>
      </c>
      <c r="AE147" s="193">
        <f t="shared" si="43"/>
        <v>0</v>
      </c>
      <c r="AF147" s="193">
        <f t="shared" si="43"/>
        <v>0</v>
      </c>
      <c r="AG147" s="193">
        <f t="shared" si="43"/>
        <v>0</v>
      </c>
      <c r="AH147" s="193">
        <f t="shared" si="43"/>
        <v>0</v>
      </c>
      <c r="AI147" s="193">
        <f t="shared" si="43"/>
        <v>0.58259551451477254</v>
      </c>
      <c r="AJ147" s="193">
        <f t="shared" si="43"/>
        <v>0</v>
      </c>
      <c r="AK147" s="193">
        <f t="shared" si="43"/>
        <v>6.0309256489959485E-3</v>
      </c>
      <c r="AL147" s="193">
        <f t="shared" si="43"/>
        <v>0</v>
      </c>
      <c r="AM147" s="186">
        <f>SUM(Y147:AL147)</f>
        <v>1.0000000000000002</v>
      </c>
      <c r="AO147" s="56"/>
    </row>
    <row r="148" spans="2:41" x14ac:dyDescent="0.35">
      <c r="B148" s="189">
        <v>2050</v>
      </c>
      <c r="C148" s="189" t="s">
        <v>504</v>
      </c>
      <c r="D148" s="190"/>
      <c r="E148" s="191" t="e">
        <f>#N/A</f>
        <v>#N/A</v>
      </c>
      <c r="F148" s="191" t="e">
        <f>#N/A</f>
        <v>#N/A</v>
      </c>
      <c r="G148" s="191" t="e">
        <f>#N/A</f>
        <v>#N/A</v>
      </c>
      <c r="H148" s="191" t="e">
        <f>#N/A</f>
        <v>#N/A</v>
      </c>
      <c r="I148" s="191" t="e">
        <f>#N/A</f>
        <v>#N/A</v>
      </c>
      <c r="J148" s="191" t="e">
        <f>#N/A</f>
        <v>#N/A</v>
      </c>
      <c r="K148" s="191" t="e">
        <f>#N/A</f>
        <v>#N/A</v>
      </c>
      <c r="L148" s="191" t="e">
        <f>#N/A</f>
        <v>#N/A</v>
      </c>
      <c r="M148" s="191" t="e">
        <f>#N/A</f>
        <v>#N/A</v>
      </c>
      <c r="N148" s="191" t="e">
        <f>#N/A</f>
        <v>#N/A</v>
      </c>
      <c r="O148" s="191" t="e">
        <f>#N/A</f>
        <v>#N/A</v>
      </c>
      <c r="P148" s="191" t="e">
        <f>#N/A</f>
        <v>#N/A</v>
      </c>
      <c r="Q148" s="191" t="e">
        <f>#N/A</f>
        <v>#N/A</v>
      </c>
      <c r="R148" s="191" t="e">
        <f>#N/A</f>
        <v>#N/A</v>
      </c>
      <c r="S148" s="192"/>
      <c r="U148" s="189">
        <v>2050</v>
      </c>
      <c r="V148" s="189" t="s">
        <v>467</v>
      </c>
      <c r="W148" s="189">
        <v>2050</v>
      </c>
      <c r="X148" s="190"/>
      <c r="Y148" s="193">
        <f t="shared" si="43"/>
        <v>5.5844909255524718E-2</v>
      </c>
      <c r="Z148" s="193">
        <f t="shared" si="43"/>
        <v>3.2423689380245542E-2</v>
      </c>
      <c r="AA148" s="193">
        <f t="shared" si="43"/>
        <v>1.1370402229773324E-2</v>
      </c>
      <c r="AB148" s="193">
        <f t="shared" si="43"/>
        <v>0.31143599829499524</v>
      </c>
      <c r="AC148" s="193">
        <f t="shared" si="43"/>
        <v>2.9856067569286875E-4</v>
      </c>
      <c r="AD148" s="193">
        <f t="shared" si="43"/>
        <v>0</v>
      </c>
      <c r="AE148" s="193">
        <f t="shared" si="43"/>
        <v>0</v>
      </c>
      <c r="AF148" s="193">
        <f t="shared" si="43"/>
        <v>0</v>
      </c>
      <c r="AG148" s="193">
        <f t="shared" si="43"/>
        <v>0</v>
      </c>
      <c r="AH148" s="193">
        <f t="shared" si="43"/>
        <v>0</v>
      </c>
      <c r="AI148" s="193">
        <f t="shared" si="43"/>
        <v>0.58259551451477254</v>
      </c>
      <c r="AJ148" s="193">
        <f t="shared" si="43"/>
        <v>0</v>
      </c>
      <c r="AK148" s="193">
        <f t="shared" si="43"/>
        <v>6.0309256489959485E-3</v>
      </c>
      <c r="AL148" s="193">
        <f t="shared" si="43"/>
        <v>0</v>
      </c>
      <c r="AM148" s="186">
        <f>SUM(Y148:AL148)</f>
        <v>1.0000000000000002</v>
      </c>
      <c r="AO148" s="56"/>
    </row>
    <row r="149" spans="2:41" x14ac:dyDescent="0.35">
      <c r="B149" s="195"/>
      <c r="C149" s="195"/>
      <c r="D149" s="196"/>
      <c r="E149" s="197"/>
      <c r="F149" s="197"/>
      <c r="G149" s="197"/>
      <c r="H149" s="197"/>
      <c r="I149" s="197"/>
      <c r="J149" s="197"/>
      <c r="K149" s="197"/>
      <c r="L149" s="197"/>
      <c r="M149" s="197"/>
      <c r="N149" s="197"/>
      <c r="O149" s="197"/>
      <c r="P149" s="197"/>
      <c r="Q149" s="197"/>
      <c r="R149" s="197"/>
      <c r="S149" s="198"/>
      <c r="U149" s="195"/>
      <c r="V149" s="195"/>
      <c r="W149" s="195"/>
      <c r="X149" s="196"/>
      <c r="Y149" s="199"/>
      <c r="Z149" s="199"/>
      <c r="AA149" s="199"/>
      <c r="AB149" s="199"/>
      <c r="AC149" s="199"/>
      <c r="AD149" s="199"/>
      <c r="AE149" s="199"/>
      <c r="AF149" s="199"/>
      <c r="AG149" s="199"/>
      <c r="AH149" s="199"/>
      <c r="AI149" s="199"/>
      <c r="AJ149" s="199"/>
      <c r="AK149" s="199"/>
      <c r="AL149" s="199"/>
      <c r="AM149" s="200"/>
      <c r="AO149" s="56"/>
    </row>
    <row r="150" spans="2:41" x14ac:dyDescent="0.35">
      <c r="B150" s="189">
        <v>2019</v>
      </c>
      <c r="C150" s="189" t="s">
        <v>469</v>
      </c>
      <c r="D150" s="190" t="s">
        <v>498</v>
      </c>
      <c r="E150" s="191">
        <v>4.0000000000000001E-3</v>
      </c>
      <c r="F150" s="191"/>
      <c r="G150" s="191">
        <v>2.8000000000000001E-2</v>
      </c>
      <c r="H150" s="191">
        <v>0.25</v>
      </c>
      <c r="I150" s="191">
        <v>0</v>
      </c>
      <c r="J150" s="191">
        <v>0</v>
      </c>
      <c r="K150" s="191">
        <v>0</v>
      </c>
      <c r="L150" s="191">
        <v>0</v>
      </c>
      <c r="M150" s="191">
        <v>0</v>
      </c>
      <c r="N150" s="191">
        <v>0</v>
      </c>
      <c r="O150" s="191">
        <v>0.71</v>
      </c>
      <c r="P150" s="191">
        <v>0</v>
      </c>
      <c r="Q150" s="191">
        <v>8.0000000000000002E-3</v>
      </c>
      <c r="R150" s="191">
        <v>0</v>
      </c>
      <c r="S150" s="192">
        <f>SUM(E150:R150)</f>
        <v>1</v>
      </c>
      <c r="U150" s="189">
        <v>2019</v>
      </c>
      <c r="V150" s="189" t="s">
        <v>469</v>
      </c>
      <c r="W150" s="189">
        <v>2019</v>
      </c>
      <c r="X150" s="190" t="s">
        <v>498</v>
      </c>
      <c r="Y150" s="210">
        <f t="shared" ref="Y150:AM150" si="44">INDEX(X$11:X$35,MATCH($V150,$V$11:$V$35,0))/INDEX($AL$11:$AL$35,MATCH($V150,$V$11:$V$35,0))</f>
        <v>4.0000000000000001E-3</v>
      </c>
      <c r="Z150" s="210">
        <f t="shared" si="44"/>
        <v>0</v>
      </c>
      <c r="AA150" s="210">
        <f t="shared" si="44"/>
        <v>2.8000000000000001E-2</v>
      </c>
      <c r="AB150" s="210">
        <f t="shared" si="44"/>
        <v>0.25</v>
      </c>
      <c r="AC150" s="210">
        <f t="shared" si="44"/>
        <v>0</v>
      </c>
      <c r="AD150" s="210">
        <f t="shared" si="44"/>
        <v>0</v>
      </c>
      <c r="AE150" s="210">
        <f t="shared" si="44"/>
        <v>0</v>
      </c>
      <c r="AF150" s="210">
        <f t="shared" si="44"/>
        <v>0</v>
      </c>
      <c r="AG150" s="210">
        <f t="shared" si="44"/>
        <v>0</v>
      </c>
      <c r="AH150" s="210">
        <f t="shared" si="44"/>
        <v>0</v>
      </c>
      <c r="AI150" s="210">
        <f t="shared" si="44"/>
        <v>0.71</v>
      </c>
      <c r="AJ150" s="210">
        <f t="shared" si="44"/>
        <v>0</v>
      </c>
      <c r="AK150" s="210">
        <f t="shared" si="44"/>
        <v>0</v>
      </c>
      <c r="AL150" s="210">
        <f t="shared" si="44"/>
        <v>0</v>
      </c>
      <c r="AM150" s="186">
        <f t="shared" si="44"/>
        <v>1</v>
      </c>
      <c r="AO150" s="56" t="s">
        <v>506</v>
      </c>
    </row>
    <row r="151" spans="2:41" x14ac:dyDescent="0.35">
      <c r="B151" s="189">
        <v>2025</v>
      </c>
      <c r="C151" s="189" t="s">
        <v>469</v>
      </c>
      <c r="D151" s="190" t="s">
        <v>498</v>
      </c>
      <c r="E151" s="191">
        <v>4.0000000000000001E-3</v>
      </c>
      <c r="F151" s="191">
        <v>0</v>
      </c>
      <c r="G151" s="191">
        <v>2.8000000000000001E-2</v>
      </c>
      <c r="H151" s="191">
        <v>0.25</v>
      </c>
      <c r="I151" s="191">
        <v>0</v>
      </c>
      <c r="J151" s="191">
        <v>0</v>
      </c>
      <c r="K151" s="191">
        <v>0</v>
      </c>
      <c r="L151" s="191">
        <v>0</v>
      </c>
      <c r="M151" s="191">
        <v>0</v>
      </c>
      <c r="N151" s="191">
        <v>0</v>
      </c>
      <c r="O151" s="191">
        <v>0.71</v>
      </c>
      <c r="P151" s="191">
        <v>0</v>
      </c>
      <c r="Q151" s="191">
        <v>8.0000000000000002E-3</v>
      </c>
      <c r="R151" s="191">
        <v>0</v>
      </c>
      <c r="S151" s="192">
        <f>SUM(E151:R151)</f>
        <v>1</v>
      </c>
      <c r="U151" s="189">
        <v>2025</v>
      </c>
      <c r="V151" s="189" t="s">
        <v>469</v>
      </c>
      <c r="W151" s="189">
        <v>2025</v>
      </c>
      <c r="X151" s="190" t="s">
        <v>498</v>
      </c>
      <c r="Y151" s="210">
        <f t="shared" ref="Y151:AL152" si="45">+E151</f>
        <v>4.0000000000000001E-3</v>
      </c>
      <c r="Z151" s="210">
        <f t="shared" si="45"/>
        <v>0</v>
      </c>
      <c r="AA151" s="210">
        <f t="shared" si="45"/>
        <v>2.8000000000000001E-2</v>
      </c>
      <c r="AB151" s="210">
        <f t="shared" si="45"/>
        <v>0.25</v>
      </c>
      <c r="AC151" s="210">
        <f t="shared" si="45"/>
        <v>0</v>
      </c>
      <c r="AD151" s="210">
        <f t="shared" si="45"/>
        <v>0</v>
      </c>
      <c r="AE151" s="210">
        <f t="shared" si="45"/>
        <v>0</v>
      </c>
      <c r="AF151" s="210">
        <f t="shared" si="45"/>
        <v>0</v>
      </c>
      <c r="AG151" s="210">
        <f t="shared" si="45"/>
        <v>0</v>
      </c>
      <c r="AH151" s="210">
        <f t="shared" si="45"/>
        <v>0</v>
      </c>
      <c r="AI151" s="210">
        <f t="shared" si="45"/>
        <v>0.71</v>
      </c>
      <c r="AJ151" s="210">
        <f t="shared" si="45"/>
        <v>0</v>
      </c>
      <c r="AK151" s="210">
        <f t="shared" si="45"/>
        <v>8.0000000000000002E-3</v>
      </c>
      <c r="AL151" s="210">
        <f t="shared" si="45"/>
        <v>0</v>
      </c>
      <c r="AM151" s="186">
        <f>SUM(Y151:AL151)</f>
        <v>1</v>
      </c>
      <c r="AO151" s="56"/>
    </row>
    <row r="152" spans="2:41" x14ac:dyDescent="0.35">
      <c r="B152" s="189">
        <v>2050</v>
      </c>
      <c r="C152" s="189" t="s">
        <v>469</v>
      </c>
      <c r="D152" s="190" t="s">
        <v>498</v>
      </c>
      <c r="E152" s="191">
        <v>4.0000000000000001E-3</v>
      </c>
      <c r="F152" s="191">
        <v>0</v>
      </c>
      <c r="G152" s="191">
        <v>2.8000000000000001E-2</v>
      </c>
      <c r="H152" s="191">
        <v>0.25</v>
      </c>
      <c r="I152" s="191">
        <v>0</v>
      </c>
      <c r="J152" s="191">
        <v>0</v>
      </c>
      <c r="K152" s="191">
        <v>0</v>
      </c>
      <c r="L152" s="191">
        <v>0</v>
      </c>
      <c r="M152" s="191">
        <v>0</v>
      </c>
      <c r="N152" s="191">
        <v>0</v>
      </c>
      <c r="O152" s="191">
        <v>0.71</v>
      </c>
      <c r="P152" s="191">
        <v>0</v>
      </c>
      <c r="Q152" s="191">
        <v>8.0000000000000002E-3</v>
      </c>
      <c r="R152" s="191">
        <v>0</v>
      </c>
      <c r="S152" s="192">
        <f>SUM(E152:R152)</f>
        <v>1</v>
      </c>
      <c r="U152" s="189">
        <v>2050</v>
      </c>
      <c r="V152" s="189" t="s">
        <v>469</v>
      </c>
      <c r="W152" s="189">
        <v>2050</v>
      </c>
      <c r="X152" s="190" t="s">
        <v>498</v>
      </c>
      <c r="Y152" s="210">
        <f t="shared" si="45"/>
        <v>4.0000000000000001E-3</v>
      </c>
      <c r="Z152" s="210">
        <f t="shared" si="45"/>
        <v>0</v>
      </c>
      <c r="AA152" s="210">
        <f t="shared" si="45"/>
        <v>2.8000000000000001E-2</v>
      </c>
      <c r="AB152" s="210">
        <f t="shared" si="45"/>
        <v>0.25</v>
      </c>
      <c r="AC152" s="210">
        <f t="shared" si="45"/>
        <v>0</v>
      </c>
      <c r="AD152" s="210">
        <f t="shared" si="45"/>
        <v>0</v>
      </c>
      <c r="AE152" s="210">
        <f t="shared" si="45"/>
        <v>0</v>
      </c>
      <c r="AF152" s="210">
        <f t="shared" si="45"/>
        <v>0</v>
      </c>
      <c r="AG152" s="210">
        <f t="shared" si="45"/>
        <v>0</v>
      </c>
      <c r="AH152" s="210">
        <f t="shared" si="45"/>
        <v>0</v>
      </c>
      <c r="AI152" s="210">
        <f t="shared" si="45"/>
        <v>0.71</v>
      </c>
      <c r="AJ152" s="210">
        <f t="shared" si="45"/>
        <v>0</v>
      </c>
      <c r="AK152" s="210">
        <f t="shared" si="45"/>
        <v>8.0000000000000002E-3</v>
      </c>
      <c r="AL152" s="210">
        <f t="shared" si="45"/>
        <v>0</v>
      </c>
      <c r="AM152" s="186">
        <f>SUM(Y152:AL152)</f>
        <v>1</v>
      </c>
      <c r="AO152" s="56"/>
    </row>
    <row r="153" spans="2:41" x14ac:dyDescent="0.35">
      <c r="B153" s="195"/>
      <c r="C153" s="195"/>
      <c r="D153" s="196"/>
      <c r="E153" s="197"/>
      <c r="F153" s="197"/>
      <c r="G153" s="197"/>
      <c r="H153" s="197"/>
      <c r="I153" s="197"/>
      <c r="J153" s="197"/>
      <c r="K153" s="197"/>
      <c r="L153" s="197"/>
      <c r="M153" s="197"/>
      <c r="N153" s="197"/>
      <c r="O153" s="197"/>
      <c r="P153" s="197"/>
      <c r="Q153" s="197"/>
      <c r="R153" s="197"/>
      <c r="S153" s="198"/>
      <c r="U153" s="195"/>
      <c r="V153" s="195"/>
      <c r="W153" s="195"/>
      <c r="X153" s="196"/>
      <c r="Y153" s="199"/>
      <c r="Z153" s="199"/>
      <c r="AA153" s="199"/>
      <c r="AB153" s="199"/>
      <c r="AC153" s="199"/>
      <c r="AD153" s="199"/>
      <c r="AE153" s="199"/>
      <c r="AF153" s="199"/>
      <c r="AG153" s="199"/>
      <c r="AH153" s="199"/>
      <c r="AI153" s="199"/>
      <c r="AJ153" s="199"/>
      <c r="AK153" s="199"/>
      <c r="AL153" s="199"/>
      <c r="AM153" s="200"/>
      <c r="AO153" s="56"/>
    </row>
    <row r="154" spans="2:41" x14ac:dyDescent="0.35">
      <c r="B154" s="189">
        <v>2019</v>
      </c>
      <c r="C154" s="189" t="s">
        <v>471</v>
      </c>
      <c r="D154" s="190" t="s">
        <v>498</v>
      </c>
      <c r="E154" s="191">
        <v>0</v>
      </c>
      <c r="F154" s="191"/>
      <c r="G154" s="191">
        <v>0</v>
      </c>
      <c r="H154" s="191">
        <v>0.9</v>
      </c>
      <c r="I154" s="191">
        <v>0</v>
      </c>
      <c r="J154" s="191">
        <v>0</v>
      </c>
      <c r="K154" s="191">
        <v>0</v>
      </c>
      <c r="L154" s="191">
        <v>0</v>
      </c>
      <c r="M154" s="191">
        <v>0</v>
      </c>
      <c r="N154" s="191">
        <v>0</v>
      </c>
      <c r="O154" s="191">
        <v>0.1</v>
      </c>
      <c r="P154" s="191">
        <v>0</v>
      </c>
      <c r="Q154" s="191">
        <v>0</v>
      </c>
      <c r="R154" s="191">
        <v>0</v>
      </c>
      <c r="S154" s="192">
        <f>SUM(E154:R154)</f>
        <v>1</v>
      </c>
      <c r="U154" s="189">
        <v>2019</v>
      </c>
      <c r="V154" s="189" t="s">
        <v>471</v>
      </c>
      <c r="W154" s="189">
        <v>2019</v>
      </c>
      <c r="X154" s="190" t="s">
        <v>498</v>
      </c>
      <c r="Y154" s="193">
        <f t="shared" ref="Y154:AM154" si="46">INDEX(X$11:X$35,MATCH($V154,$V$11:$V$35,0))/INDEX($AL$11:$AL$35,MATCH($V154,$V$11:$V$35,0))</f>
        <v>0</v>
      </c>
      <c r="Z154" s="193">
        <f t="shared" si="46"/>
        <v>0</v>
      </c>
      <c r="AA154" s="193">
        <f t="shared" si="46"/>
        <v>2.4619339529365129E-2</v>
      </c>
      <c r="AB154" s="193">
        <f t="shared" si="46"/>
        <v>0.63990508206446284</v>
      </c>
      <c r="AC154" s="193">
        <f t="shared" si="46"/>
        <v>0</v>
      </c>
      <c r="AD154" s="193">
        <f t="shared" si="46"/>
        <v>0</v>
      </c>
      <c r="AE154" s="193">
        <f t="shared" si="46"/>
        <v>0</v>
      </c>
      <c r="AF154" s="193">
        <f t="shared" si="46"/>
        <v>0</v>
      </c>
      <c r="AG154" s="193">
        <f t="shared" si="46"/>
        <v>0</v>
      </c>
      <c r="AH154" s="193">
        <f t="shared" si="46"/>
        <v>0</v>
      </c>
      <c r="AI154" s="193">
        <f t="shared" si="46"/>
        <v>0.33547557840616854</v>
      </c>
      <c r="AJ154" s="193">
        <f t="shared" si="46"/>
        <v>0</v>
      </c>
      <c r="AK154" s="193">
        <f t="shared" si="46"/>
        <v>0</v>
      </c>
      <c r="AL154" s="193">
        <f t="shared" si="46"/>
        <v>0</v>
      </c>
      <c r="AM154" s="186">
        <f t="shared" si="46"/>
        <v>1</v>
      </c>
      <c r="AO154" s="56" t="s">
        <v>525</v>
      </c>
    </row>
    <row r="155" spans="2:41" x14ac:dyDescent="0.35">
      <c r="B155" s="189">
        <v>2025</v>
      </c>
      <c r="C155" s="189" t="s">
        <v>471</v>
      </c>
      <c r="D155" s="190" t="s">
        <v>498</v>
      </c>
      <c r="E155" s="191">
        <v>0</v>
      </c>
      <c r="F155" s="191">
        <v>0</v>
      </c>
      <c r="G155" s="191">
        <v>0</v>
      </c>
      <c r="H155" s="191">
        <v>0.9</v>
      </c>
      <c r="I155" s="191">
        <v>0</v>
      </c>
      <c r="J155" s="191">
        <v>0</v>
      </c>
      <c r="K155" s="191">
        <v>0</v>
      </c>
      <c r="L155" s="191">
        <v>0</v>
      </c>
      <c r="M155" s="191">
        <v>0</v>
      </c>
      <c r="N155" s="191">
        <v>0</v>
      </c>
      <c r="O155" s="191">
        <v>0.1</v>
      </c>
      <c r="P155" s="191">
        <v>0</v>
      </c>
      <c r="Q155" s="191">
        <v>0</v>
      </c>
      <c r="R155" s="191">
        <v>0</v>
      </c>
      <c r="S155" s="192">
        <f>SUM(E155:R155)</f>
        <v>1</v>
      </c>
      <c r="U155" s="189">
        <v>2025</v>
      </c>
      <c r="V155" s="189" t="s">
        <v>471</v>
      </c>
      <c r="W155" s="189">
        <v>2025</v>
      </c>
      <c r="X155" s="190" t="s">
        <v>498</v>
      </c>
      <c r="Y155" s="193">
        <f>+E155</f>
        <v>0</v>
      </c>
      <c r="Z155" s="193">
        <f>+F155</f>
        <v>0</v>
      </c>
      <c r="AA155" s="193">
        <f>AA154</f>
        <v>2.4619339529365129E-2</v>
      </c>
      <c r="AB155" s="193">
        <f>AB154</f>
        <v>0.63990508206446284</v>
      </c>
      <c r="AC155" s="193">
        <f t="shared" ref="AC155:AH156" si="47">+I155</f>
        <v>0</v>
      </c>
      <c r="AD155" s="193">
        <f t="shared" si="47"/>
        <v>0</v>
      </c>
      <c r="AE155" s="193">
        <f t="shared" si="47"/>
        <v>0</v>
      </c>
      <c r="AF155" s="193">
        <f t="shared" si="47"/>
        <v>0</v>
      </c>
      <c r="AG155" s="193">
        <f t="shared" si="47"/>
        <v>0</v>
      </c>
      <c r="AH155" s="193">
        <f t="shared" si="47"/>
        <v>0</v>
      </c>
      <c r="AI155" s="193">
        <f>1-SUM(Y155:AH155)</f>
        <v>0.33547557840617204</v>
      </c>
      <c r="AJ155" s="193">
        <f t="shared" ref="AJ155:AL156" si="48">+P155</f>
        <v>0</v>
      </c>
      <c r="AK155" s="193">
        <f t="shared" si="48"/>
        <v>0</v>
      </c>
      <c r="AL155" s="193">
        <f t="shared" si="48"/>
        <v>0</v>
      </c>
      <c r="AM155" s="186">
        <f>SUM(Y155:AL155)</f>
        <v>1</v>
      </c>
      <c r="AO155" s="56" t="s">
        <v>527</v>
      </c>
    </row>
    <row r="156" spans="2:41" x14ac:dyDescent="0.35">
      <c r="B156" s="189">
        <v>2050</v>
      </c>
      <c r="C156" s="189" t="s">
        <v>471</v>
      </c>
      <c r="D156" s="190" t="s">
        <v>498</v>
      </c>
      <c r="E156" s="191">
        <v>0</v>
      </c>
      <c r="F156" s="191">
        <v>0</v>
      </c>
      <c r="G156" s="191">
        <v>0</v>
      </c>
      <c r="H156" s="191">
        <v>0.8</v>
      </c>
      <c r="I156" s="191">
        <v>0</v>
      </c>
      <c r="J156" s="191">
        <v>0</v>
      </c>
      <c r="K156" s="191">
        <v>0</v>
      </c>
      <c r="L156" s="191">
        <v>0</v>
      </c>
      <c r="M156" s="191">
        <v>0</v>
      </c>
      <c r="N156" s="191">
        <v>0</v>
      </c>
      <c r="O156" s="191">
        <v>0.2</v>
      </c>
      <c r="P156" s="191">
        <v>0</v>
      </c>
      <c r="Q156" s="191">
        <v>0</v>
      </c>
      <c r="R156" s="191">
        <v>0</v>
      </c>
      <c r="S156" s="192">
        <f>SUM(E156:R156)</f>
        <v>1</v>
      </c>
      <c r="U156" s="189">
        <v>2050</v>
      </c>
      <c r="V156" s="189" t="s">
        <v>471</v>
      </c>
      <c r="W156" s="189">
        <v>2050</v>
      </c>
      <c r="X156" s="190" t="s">
        <v>498</v>
      </c>
      <c r="Y156" s="193">
        <f>+E156</f>
        <v>0</v>
      </c>
      <c r="Z156" s="193">
        <f>+F156</f>
        <v>0</v>
      </c>
      <c r="AA156" s="193">
        <f>+AA155</f>
        <v>2.4619339529365129E-2</v>
      </c>
      <c r="AB156" s="193">
        <f>+AB155</f>
        <v>0.63990508206446284</v>
      </c>
      <c r="AC156" s="193">
        <f t="shared" si="47"/>
        <v>0</v>
      </c>
      <c r="AD156" s="193">
        <f t="shared" si="47"/>
        <v>0</v>
      </c>
      <c r="AE156" s="193">
        <f t="shared" si="47"/>
        <v>0</v>
      </c>
      <c r="AF156" s="193">
        <f t="shared" si="47"/>
        <v>0</v>
      </c>
      <c r="AG156" s="193">
        <f t="shared" si="47"/>
        <v>0</v>
      </c>
      <c r="AH156" s="193">
        <f t="shared" si="47"/>
        <v>0</v>
      </c>
      <c r="AI156" s="193">
        <f>+AI155</f>
        <v>0.33547557840617204</v>
      </c>
      <c r="AJ156" s="193">
        <f t="shared" si="48"/>
        <v>0</v>
      </c>
      <c r="AK156" s="193">
        <f t="shared" si="48"/>
        <v>0</v>
      </c>
      <c r="AL156" s="193">
        <f t="shared" si="48"/>
        <v>0</v>
      </c>
      <c r="AM156" s="186">
        <f>SUM(Y156:AL156)</f>
        <v>1</v>
      </c>
      <c r="AO156" s="56"/>
    </row>
    <row r="157" spans="2:41" x14ac:dyDescent="0.35">
      <c r="B157" s="195"/>
      <c r="C157" s="195"/>
      <c r="D157" s="196"/>
      <c r="E157" s="197"/>
      <c r="F157" s="197"/>
      <c r="G157" s="197"/>
      <c r="H157" s="197"/>
      <c r="I157" s="197"/>
      <c r="J157" s="197"/>
      <c r="K157" s="197"/>
      <c r="L157" s="197"/>
      <c r="M157" s="197"/>
      <c r="N157" s="197"/>
      <c r="O157" s="197"/>
      <c r="P157" s="197"/>
      <c r="Q157" s="197"/>
      <c r="R157" s="197"/>
      <c r="S157" s="198"/>
      <c r="U157" s="195"/>
      <c r="V157" s="195"/>
      <c r="W157" s="195"/>
      <c r="X157" s="196"/>
      <c r="Y157" s="199"/>
      <c r="Z157" s="199"/>
      <c r="AA157" s="199"/>
      <c r="AB157" s="199"/>
      <c r="AC157" s="199"/>
      <c r="AD157" s="199"/>
      <c r="AE157" s="199"/>
      <c r="AF157" s="199"/>
      <c r="AG157" s="199"/>
      <c r="AH157" s="199"/>
      <c r="AI157" s="199"/>
      <c r="AJ157" s="199"/>
      <c r="AK157" s="199"/>
      <c r="AL157" s="199"/>
      <c r="AM157" s="200"/>
      <c r="AO157" s="56"/>
    </row>
    <row r="158" spans="2:41" x14ac:dyDescent="0.35">
      <c r="B158" s="189">
        <v>2019</v>
      </c>
      <c r="C158" s="189" t="s">
        <v>473</v>
      </c>
      <c r="D158" s="190" t="s">
        <v>498</v>
      </c>
      <c r="E158" s="191">
        <v>2.2038991391149301E-4</v>
      </c>
      <c r="F158" s="191"/>
      <c r="G158" s="191">
        <v>0.166835456962417</v>
      </c>
      <c r="H158" s="191">
        <v>0.15712852885131401</v>
      </c>
      <c r="I158" s="191">
        <v>2.2038991391149301E-4</v>
      </c>
      <c r="J158" s="191">
        <v>0</v>
      </c>
      <c r="K158" s="191">
        <v>0</v>
      </c>
      <c r="L158" s="191">
        <v>0</v>
      </c>
      <c r="M158" s="191">
        <v>0</v>
      </c>
      <c r="N158" s="191">
        <v>0</v>
      </c>
      <c r="O158" s="191">
        <v>0.675599380753927</v>
      </c>
      <c r="P158" s="191">
        <v>0</v>
      </c>
      <c r="Q158" s="191">
        <v>0</v>
      </c>
      <c r="R158" s="191">
        <v>0</v>
      </c>
      <c r="S158" s="192">
        <f>SUM(E158:R158)</f>
        <v>1.000004146395481</v>
      </c>
      <c r="U158" s="189">
        <v>2019</v>
      </c>
      <c r="V158" s="189" t="s">
        <v>473</v>
      </c>
      <c r="W158" s="189">
        <v>2019</v>
      </c>
      <c r="X158" s="190" t="s">
        <v>498</v>
      </c>
      <c r="Y158" s="193">
        <f t="shared" ref="Y158:AM158" si="49">INDEX(X$11:X$35,MATCH($V158,$V$11:$V$35,0))/INDEX($AL$11:$AL$35,MATCH($V158,$V$11:$V$35,0))</f>
        <v>2.6520931861475272E-4</v>
      </c>
      <c r="Z158" s="193">
        <f t="shared" si="49"/>
        <v>0</v>
      </c>
      <c r="AA158" s="193">
        <f t="shared" si="49"/>
        <v>0.19516251311002381</v>
      </c>
      <c r="AB158" s="193">
        <f t="shared" si="49"/>
        <v>8.7168072497337712E-2</v>
      </c>
      <c r="AC158" s="193">
        <f t="shared" si="49"/>
        <v>2.6520931861475272E-4</v>
      </c>
      <c r="AD158" s="193">
        <f t="shared" si="49"/>
        <v>0</v>
      </c>
      <c r="AE158" s="193">
        <f t="shared" si="49"/>
        <v>0</v>
      </c>
      <c r="AF158" s="193">
        <f t="shared" si="49"/>
        <v>0</v>
      </c>
      <c r="AG158" s="193">
        <f t="shared" si="49"/>
        <v>0</v>
      </c>
      <c r="AH158" s="193">
        <f t="shared" si="49"/>
        <v>0</v>
      </c>
      <c r="AI158" s="193">
        <f t="shared" si="49"/>
        <v>0.72856648446944483</v>
      </c>
      <c r="AJ158" s="193">
        <f t="shared" si="49"/>
        <v>0</v>
      </c>
      <c r="AK158" s="193">
        <f t="shared" si="49"/>
        <v>0</v>
      </c>
      <c r="AL158" s="193">
        <f t="shared" si="49"/>
        <v>0</v>
      </c>
      <c r="AM158" s="186">
        <f t="shared" si="49"/>
        <v>1</v>
      </c>
      <c r="AO158" s="56" t="s">
        <v>528</v>
      </c>
    </row>
    <row r="159" spans="2:41" x14ac:dyDescent="0.35">
      <c r="B159" s="189">
        <v>2025</v>
      </c>
      <c r="C159" s="189" t="s">
        <v>473</v>
      </c>
      <c r="D159" s="190" t="s">
        <v>498</v>
      </c>
      <c r="E159" s="191">
        <v>2.18316716171187E-4</v>
      </c>
      <c r="F159" s="191">
        <v>0</v>
      </c>
      <c r="G159" s="191">
        <v>0.152259671871665</v>
      </c>
      <c r="H159" s="191">
        <v>0.15712852885131401</v>
      </c>
      <c r="I159" s="191">
        <v>2.18316716171187E-4</v>
      </c>
      <c r="J159" s="191">
        <v>2.18316716171187E-4</v>
      </c>
      <c r="K159" s="191">
        <v>2.18316716171187E-4</v>
      </c>
      <c r="L159" s="191">
        <v>2.18316716171187E-4</v>
      </c>
      <c r="M159" s="191">
        <v>2.18316716171187E-4</v>
      </c>
      <c r="N159" s="191">
        <v>2.18316716171187E-4</v>
      </c>
      <c r="O159" s="191">
        <v>0.675599380753927</v>
      </c>
      <c r="P159" s="191">
        <v>0</v>
      </c>
      <c r="Q159" s="191">
        <v>1.45757850907516E-2</v>
      </c>
      <c r="R159" s="191">
        <v>2.18316716171187E-4</v>
      </c>
      <c r="S159" s="192">
        <f>SUM(E159:R159)</f>
        <v>1.0013099002970269</v>
      </c>
      <c r="U159" s="189">
        <v>2025</v>
      </c>
      <c r="V159" s="189" t="s">
        <v>473</v>
      </c>
      <c r="W159" s="189">
        <v>2025</v>
      </c>
      <c r="X159" s="190" t="s">
        <v>498</v>
      </c>
      <c r="Y159" s="193">
        <f>+E159</f>
        <v>2.18316716171187E-4</v>
      </c>
      <c r="Z159" s="193">
        <f>+F159</f>
        <v>0</v>
      </c>
      <c r="AA159" s="193">
        <v>0.17</v>
      </c>
      <c r="AB159" s="193">
        <v>8.5000000000000006E-2</v>
      </c>
      <c r="AC159" s="193">
        <f t="shared" ref="AC159:AH160" si="50">+I159</f>
        <v>2.18316716171187E-4</v>
      </c>
      <c r="AD159" s="193">
        <f t="shared" si="50"/>
        <v>2.18316716171187E-4</v>
      </c>
      <c r="AE159" s="193">
        <f t="shared" si="50"/>
        <v>2.18316716171187E-4</v>
      </c>
      <c r="AF159" s="193">
        <f t="shared" si="50"/>
        <v>2.18316716171187E-4</v>
      </c>
      <c r="AG159" s="193">
        <f t="shared" si="50"/>
        <v>2.18316716171187E-4</v>
      </c>
      <c r="AH159" s="193">
        <f t="shared" si="50"/>
        <v>2.18316716171187E-4</v>
      </c>
      <c r="AI159" s="193">
        <f>AI158</f>
        <v>0.72856648446944483</v>
      </c>
      <c r="AJ159" s="193">
        <f t="shared" ref="AJ159:AL160" si="51">+P159</f>
        <v>0</v>
      </c>
      <c r="AK159" s="193">
        <f t="shared" si="51"/>
        <v>1.45757850907516E-2</v>
      </c>
      <c r="AL159" s="193">
        <f t="shared" si="51"/>
        <v>2.18316716171187E-4</v>
      </c>
      <c r="AM159" s="186">
        <f>SUM(Y159:AL159)</f>
        <v>0.99988880328956586</v>
      </c>
      <c r="AO159" s="56"/>
    </row>
    <row r="160" spans="2:41" x14ac:dyDescent="0.35">
      <c r="B160" s="189">
        <v>2050</v>
      </c>
      <c r="C160" s="189" t="s">
        <v>473</v>
      </c>
      <c r="D160" s="190" t="s">
        <v>498</v>
      </c>
      <c r="E160" s="191">
        <v>2.18316716171187E-4</v>
      </c>
      <c r="F160" s="191">
        <v>0</v>
      </c>
      <c r="G160" s="191">
        <v>0.152259671871665</v>
      </c>
      <c r="H160" s="191">
        <v>0.15712852885131401</v>
      </c>
      <c r="I160" s="191">
        <v>2.18316716171187E-4</v>
      </c>
      <c r="J160" s="191">
        <v>2.18316716171187E-4</v>
      </c>
      <c r="K160" s="191">
        <v>2.18316716171187E-4</v>
      </c>
      <c r="L160" s="191">
        <v>2.18316716171187E-4</v>
      </c>
      <c r="M160" s="191">
        <v>2.18316716171187E-4</v>
      </c>
      <c r="N160" s="191">
        <v>2.18316716171187E-4</v>
      </c>
      <c r="O160" s="191">
        <v>0.675599380753927</v>
      </c>
      <c r="P160" s="191">
        <v>0</v>
      </c>
      <c r="Q160" s="191">
        <v>1.45757850907516E-2</v>
      </c>
      <c r="R160" s="191">
        <v>2.18316716171187E-4</v>
      </c>
      <c r="S160" s="192">
        <f>SUM(E160:R160)</f>
        <v>1.0013099002970269</v>
      </c>
      <c r="U160" s="189">
        <v>2050</v>
      </c>
      <c r="V160" s="189" t="s">
        <v>473</v>
      </c>
      <c r="W160" s="189">
        <v>2050</v>
      </c>
      <c r="X160" s="190" t="s">
        <v>498</v>
      </c>
      <c r="Y160" s="193">
        <f>+E160</f>
        <v>2.18316716171187E-4</v>
      </c>
      <c r="Z160" s="193">
        <f>+F160</f>
        <v>0</v>
      </c>
      <c r="AA160" s="193">
        <f>AA159</f>
        <v>0.17</v>
      </c>
      <c r="AB160" s="193">
        <f>AB159</f>
        <v>8.5000000000000006E-2</v>
      </c>
      <c r="AC160" s="193">
        <f t="shared" si="50"/>
        <v>2.18316716171187E-4</v>
      </c>
      <c r="AD160" s="193">
        <f t="shared" si="50"/>
        <v>2.18316716171187E-4</v>
      </c>
      <c r="AE160" s="193">
        <f t="shared" si="50"/>
        <v>2.18316716171187E-4</v>
      </c>
      <c r="AF160" s="193">
        <f t="shared" si="50"/>
        <v>2.18316716171187E-4</v>
      </c>
      <c r="AG160" s="193">
        <f t="shared" si="50"/>
        <v>2.18316716171187E-4</v>
      </c>
      <c r="AH160" s="193">
        <f t="shared" si="50"/>
        <v>2.18316716171187E-4</v>
      </c>
      <c r="AI160" s="193">
        <f>AI159</f>
        <v>0.72856648446944483</v>
      </c>
      <c r="AJ160" s="193">
        <f t="shared" si="51"/>
        <v>0</v>
      </c>
      <c r="AK160" s="193">
        <f t="shared" si="51"/>
        <v>1.45757850907516E-2</v>
      </c>
      <c r="AL160" s="193">
        <f t="shared" si="51"/>
        <v>2.18316716171187E-4</v>
      </c>
      <c r="AM160" s="186">
        <f>SUM(Y160:AL160)</f>
        <v>0.99988880328956586</v>
      </c>
      <c r="AO160" s="56"/>
    </row>
    <row r="161" spans="2:43" x14ac:dyDescent="0.35">
      <c r="B161" s="195"/>
      <c r="C161" s="195"/>
      <c r="D161" s="196"/>
      <c r="E161" s="197"/>
      <c r="F161" s="197"/>
      <c r="G161" s="197"/>
      <c r="H161" s="197"/>
      <c r="I161" s="197"/>
      <c r="J161" s="197"/>
      <c r="K161" s="197"/>
      <c r="L161" s="197"/>
      <c r="M161" s="197"/>
      <c r="N161" s="197"/>
      <c r="O161" s="197"/>
      <c r="P161" s="197"/>
      <c r="Q161" s="197"/>
      <c r="R161" s="197"/>
      <c r="S161" s="198"/>
      <c r="U161" s="195"/>
      <c r="V161" s="195"/>
      <c r="W161" s="195"/>
      <c r="X161" s="196"/>
      <c r="Y161" s="199"/>
      <c r="Z161" s="199"/>
      <c r="AA161" s="199"/>
      <c r="AB161" s="199"/>
      <c r="AC161" s="199"/>
      <c r="AD161" s="199"/>
      <c r="AE161" s="199"/>
      <c r="AF161" s="199"/>
      <c r="AG161" s="199"/>
      <c r="AH161" s="199"/>
      <c r="AI161" s="199"/>
      <c r="AJ161" s="199"/>
      <c r="AK161" s="199"/>
      <c r="AL161" s="199"/>
      <c r="AM161" s="200"/>
      <c r="AO161" s="56"/>
    </row>
    <row r="162" spans="2:43" x14ac:dyDescent="0.35">
      <c r="B162" s="184"/>
      <c r="C162" s="184" t="s">
        <v>25</v>
      </c>
      <c r="D162" s="184"/>
      <c r="E162" s="203"/>
      <c r="F162" s="203"/>
      <c r="G162" s="203"/>
      <c r="H162" s="203"/>
      <c r="I162" s="203"/>
      <c r="J162" s="203"/>
      <c r="K162" s="203"/>
      <c r="L162" s="203"/>
      <c r="M162" s="203"/>
      <c r="N162" s="203"/>
      <c r="O162" s="203"/>
      <c r="P162" s="203"/>
      <c r="Q162" s="203"/>
      <c r="R162" s="203"/>
      <c r="S162" s="192"/>
      <c r="U162" s="184"/>
      <c r="V162" s="435" t="s">
        <v>25</v>
      </c>
      <c r="W162" s="435"/>
      <c r="X162" s="435"/>
      <c r="Y162" s="185"/>
      <c r="Z162" s="185"/>
      <c r="AA162" s="185"/>
      <c r="AB162" s="185"/>
      <c r="AC162" s="185"/>
      <c r="AD162" s="185"/>
      <c r="AE162" s="185"/>
      <c r="AF162" s="185"/>
      <c r="AG162" s="185"/>
      <c r="AH162" s="185"/>
      <c r="AI162" s="185"/>
      <c r="AJ162" s="185"/>
      <c r="AK162" s="185"/>
      <c r="AL162" s="185"/>
      <c r="AM162" s="186"/>
      <c r="AO162" s="56"/>
    </row>
    <row r="163" spans="2:43" x14ac:dyDescent="0.35">
      <c r="B163" s="189">
        <v>2019</v>
      </c>
      <c r="C163" s="189" t="s">
        <v>475</v>
      </c>
      <c r="D163" s="190" t="s">
        <v>498</v>
      </c>
      <c r="E163" s="191">
        <v>0</v>
      </c>
      <c r="F163" s="191"/>
      <c r="G163" s="191">
        <v>5.0000000000000001E-3</v>
      </c>
      <c r="H163" s="191">
        <v>0.93</v>
      </c>
      <c r="I163" s="191">
        <v>5.0000000000000001E-3</v>
      </c>
      <c r="J163" s="191">
        <v>0</v>
      </c>
      <c r="K163" s="191">
        <v>0</v>
      </c>
      <c r="L163" s="191">
        <v>0</v>
      </c>
      <c r="M163" s="191">
        <v>0</v>
      </c>
      <c r="N163" s="191">
        <v>0</v>
      </c>
      <c r="O163" s="191">
        <v>0.06</v>
      </c>
      <c r="P163" s="191">
        <v>0</v>
      </c>
      <c r="Q163" s="191">
        <v>0</v>
      </c>
      <c r="R163" s="191">
        <v>0</v>
      </c>
      <c r="S163" s="192">
        <f>SUM(E163:R163)</f>
        <v>1</v>
      </c>
      <c r="U163" s="189">
        <v>2019</v>
      </c>
      <c r="V163" s="189" t="s">
        <v>475</v>
      </c>
      <c r="W163" s="189">
        <v>2019</v>
      </c>
      <c r="X163" s="190" t="s">
        <v>498</v>
      </c>
      <c r="Y163" s="193">
        <f t="shared" ref="Y163:AM163" si="52">INDEX(X$11:X$35,MATCH($V163,$V$11:$V$35,0))/INDEX($AL$11:$AL$35,MATCH($V163,$V$11:$V$35,0))</f>
        <v>0</v>
      </c>
      <c r="Z163" s="193">
        <f t="shared" si="52"/>
        <v>0</v>
      </c>
      <c r="AA163" s="193">
        <f t="shared" si="52"/>
        <v>5.0000000000000096E-3</v>
      </c>
      <c r="AB163" s="193">
        <f t="shared" si="52"/>
        <v>0.93000000000000105</v>
      </c>
      <c r="AC163" s="193">
        <f t="shared" si="52"/>
        <v>5.0000000000000096E-3</v>
      </c>
      <c r="AD163" s="193">
        <f t="shared" si="52"/>
        <v>0</v>
      </c>
      <c r="AE163" s="193">
        <f t="shared" si="52"/>
        <v>0</v>
      </c>
      <c r="AF163" s="193">
        <f t="shared" si="52"/>
        <v>0</v>
      </c>
      <c r="AG163" s="193">
        <f t="shared" si="52"/>
        <v>0</v>
      </c>
      <c r="AH163" s="193">
        <f t="shared" si="52"/>
        <v>0</v>
      </c>
      <c r="AI163" s="193">
        <f t="shared" si="52"/>
        <v>6.0000000000000005E-2</v>
      </c>
      <c r="AJ163" s="193">
        <f t="shared" si="52"/>
        <v>0</v>
      </c>
      <c r="AK163" s="193">
        <f t="shared" si="52"/>
        <v>0</v>
      </c>
      <c r="AL163" s="193">
        <f t="shared" si="52"/>
        <v>0</v>
      </c>
      <c r="AM163" s="186">
        <f t="shared" si="52"/>
        <v>1</v>
      </c>
      <c r="AO163" s="56" t="s">
        <v>529</v>
      </c>
    </row>
    <row r="164" spans="2:43" x14ac:dyDescent="0.35">
      <c r="B164" s="189">
        <v>2025</v>
      </c>
      <c r="C164" s="189" t="s">
        <v>475</v>
      </c>
      <c r="D164" s="190" t="s">
        <v>498</v>
      </c>
      <c r="E164" s="191">
        <v>0</v>
      </c>
      <c r="F164" s="191">
        <v>0</v>
      </c>
      <c r="G164" s="191">
        <v>5.0000000000000001E-3</v>
      </c>
      <c r="H164" s="191">
        <v>0.93</v>
      </c>
      <c r="I164" s="191">
        <v>5.0000000000000001E-3</v>
      </c>
      <c r="J164" s="191">
        <v>0</v>
      </c>
      <c r="K164" s="191">
        <v>0</v>
      </c>
      <c r="L164" s="191">
        <v>0</v>
      </c>
      <c r="M164" s="191">
        <v>0</v>
      </c>
      <c r="N164" s="191">
        <v>0</v>
      </c>
      <c r="O164" s="191">
        <v>0.06</v>
      </c>
      <c r="P164" s="191">
        <v>0</v>
      </c>
      <c r="Q164" s="191">
        <v>0</v>
      </c>
      <c r="R164" s="191">
        <v>0</v>
      </c>
      <c r="S164" s="192">
        <f>SUM(E164:R164)</f>
        <v>1</v>
      </c>
      <c r="U164" s="189">
        <v>2025</v>
      </c>
      <c r="V164" s="189" t="s">
        <v>475</v>
      </c>
      <c r="W164" s="189">
        <v>2025</v>
      </c>
      <c r="X164" s="190" t="s">
        <v>498</v>
      </c>
      <c r="Y164" s="193">
        <f t="shared" ref="Y164:AL164" si="53">+E164</f>
        <v>0</v>
      </c>
      <c r="Z164" s="193">
        <f t="shared" si="53"/>
        <v>0</v>
      </c>
      <c r="AA164" s="193">
        <f t="shared" si="53"/>
        <v>5.0000000000000001E-3</v>
      </c>
      <c r="AB164" s="193">
        <f t="shared" si="53"/>
        <v>0.93</v>
      </c>
      <c r="AC164" s="193">
        <f t="shared" si="53"/>
        <v>5.0000000000000001E-3</v>
      </c>
      <c r="AD164" s="193">
        <f t="shared" si="53"/>
        <v>0</v>
      </c>
      <c r="AE164" s="193">
        <f t="shared" si="53"/>
        <v>0</v>
      </c>
      <c r="AF164" s="193">
        <f t="shared" si="53"/>
        <v>0</v>
      </c>
      <c r="AG164" s="193">
        <f t="shared" si="53"/>
        <v>0</v>
      </c>
      <c r="AH164" s="193">
        <f t="shared" si="53"/>
        <v>0</v>
      </c>
      <c r="AI164" s="193">
        <f t="shared" si="53"/>
        <v>0.06</v>
      </c>
      <c r="AJ164" s="193">
        <f t="shared" si="53"/>
        <v>0</v>
      </c>
      <c r="AK164" s="193">
        <f t="shared" si="53"/>
        <v>0</v>
      </c>
      <c r="AL164" s="193">
        <f t="shared" si="53"/>
        <v>0</v>
      </c>
      <c r="AM164" s="186">
        <f>SUM(Y164:AL164)</f>
        <v>1</v>
      </c>
      <c r="AO164" s="56"/>
    </row>
    <row r="165" spans="2:43" x14ac:dyDescent="0.35">
      <c r="B165" s="189">
        <v>2050</v>
      </c>
      <c r="C165" s="189" t="s">
        <v>475</v>
      </c>
      <c r="D165" s="190" t="s">
        <v>498</v>
      </c>
      <c r="E165" s="191">
        <v>0</v>
      </c>
      <c r="F165" s="191">
        <v>0</v>
      </c>
      <c r="G165" s="191">
        <v>5.0000000000000001E-3</v>
      </c>
      <c r="H165" s="191">
        <v>0.23</v>
      </c>
      <c r="I165" s="191">
        <v>5.0000000000000001E-3</v>
      </c>
      <c r="J165" s="191">
        <v>0</v>
      </c>
      <c r="K165" s="191">
        <v>0</v>
      </c>
      <c r="L165" s="191">
        <v>0</v>
      </c>
      <c r="M165" s="191">
        <v>0</v>
      </c>
      <c r="N165" s="191">
        <v>0</v>
      </c>
      <c r="O165" s="191">
        <v>0.76</v>
      </c>
      <c r="P165" s="191">
        <v>0</v>
      </c>
      <c r="Q165" s="191">
        <v>0</v>
      </c>
      <c r="R165" s="191">
        <v>0</v>
      </c>
      <c r="S165" s="192">
        <f>SUM(E165:R165)</f>
        <v>1</v>
      </c>
      <c r="U165" s="189">
        <v>2050</v>
      </c>
      <c r="V165" s="189" t="s">
        <v>475</v>
      </c>
      <c r="W165" s="189">
        <v>2050</v>
      </c>
      <c r="X165" s="190" t="s">
        <v>498</v>
      </c>
      <c r="Y165" s="193">
        <f>+E165</f>
        <v>0</v>
      </c>
      <c r="Z165" s="193">
        <f>+F165</f>
        <v>0</v>
      </c>
      <c r="AA165" s="193">
        <f>+G165</f>
        <v>5.0000000000000001E-3</v>
      </c>
      <c r="AB165" s="193">
        <f>+AB164</f>
        <v>0.93</v>
      </c>
      <c r="AC165" s="193">
        <f t="shared" ref="AC165:AH165" si="54">+I165</f>
        <v>5.0000000000000001E-3</v>
      </c>
      <c r="AD165" s="193">
        <f t="shared" si="54"/>
        <v>0</v>
      </c>
      <c r="AE165" s="193">
        <f t="shared" si="54"/>
        <v>0</v>
      </c>
      <c r="AF165" s="193">
        <f t="shared" si="54"/>
        <v>0</v>
      </c>
      <c r="AG165" s="193">
        <f t="shared" si="54"/>
        <v>0</v>
      </c>
      <c r="AH165" s="193">
        <f t="shared" si="54"/>
        <v>0</v>
      </c>
      <c r="AI165" s="193">
        <f>+AI164</f>
        <v>0.06</v>
      </c>
      <c r="AJ165" s="193">
        <f>+P165</f>
        <v>0</v>
      </c>
      <c r="AK165" s="193">
        <f>+Q165</f>
        <v>0</v>
      </c>
      <c r="AL165" s="193">
        <f>+R165</f>
        <v>0</v>
      </c>
      <c r="AM165" s="186">
        <f>SUM(Y165:AL165)</f>
        <v>1</v>
      </c>
      <c r="AO165" s="56"/>
    </row>
    <row r="166" spans="2:43" x14ac:dyDescent="0.35">
      <c r="B166" s="195"/>
      <c r="C166" s="195"/>
      <c r="D166" s="196"/>
      <c r="E166" s="197"/>
      <c r="F166" s="197"/>
      <c r="G166" s="197"/>
      <c r="H166" s="197"/>
      <c r="I166" s="197"/>
      <c r="J166" s="197"/>
      <c r="K166" s="197"/>
      <c r="L166" s="197"/>
      <c r="M166" s="197"/>
      <c r="N166" s="197"/>
      <c r="O166" s="197"/>
      <c r="P166" s="197"/>
      <c r="Q166" s="197"/>
      <c r="R166" s="197"/>
      <c r="S166" s="198"/>
      <c r="U166" s="195"/>
      <c r="V166" s="195"/>
      <c r="W166" s="195"/>
      <c r="X166" s="196"/>
      <c r="Y166" s="199"/>
      <c r="Z166" s="199"/>
      <c r="AA166" s="199"/>
      <c r="AB166" s="199"/>
      <c r="AC166" s="199"/>
      <c r="AD166" s="199"/>
      <c r="AE166" s="199"/>
      <c r="AF166" s="199"/>
      <c r="AG166" s="199"/>
      <c r="AH166" s="199"/>
      <c r="AI166" s="199"/>
      <c r="AJ166" s="199"/>
      <c r="AK166" s="199"/>
      <c r="AL166" s="199"/>
      <c r="AM166" s="200"/>
      <c r="AO166" s="56"/>
    </row>
    <row r="167" spans="2:43" x14ac:dyDescent="0.35">
      <c r="B167" s="189">
        <v>2019</v>
      </c>
      <c r="C167" s="189" t="s">
        <v>476</v>
      </c>
      <c r="D167" s="190" t="s">
        <v>498</v>
      </c>
      <c r="E167" s="191">
        <v>0</v>
      </c>
      <c r="F167" s="191"/>
      <c r="G167" s="191">
        <v>6.8403293431177806E-2</v>
      </c>
      <c r="H167" s="191">
        <v>0.494979970656034</v>
      </c>
      <c r="I167" s="191">
        <v>3.0411115934223999E-2</v>
      </c>
      <c r="J167" s="191">
        <v>0</v>
      </c>
      <c r="K167" s="191">
        <v>0</v>
      </c>
      <c r="L167" s="191">
        <v>0</v>
      </c>
      <c r="M167" s="191">
        <v>0</v>
      </c>
      <c r="N167" s="191">
        <v>0</v>
      </c>
      <c r="O167" s="191">
        <v>0.22808336950668001</v>
      </c>
      <c r="P167" s="191">
        <v>0</v>
      </c>
      <c r="Q167" s="191">
        <v>0.17812225047188401</v>
      </c>
      <c r="R167" s="191">
        <v>0</v>
      </c>
      <c r="S167" s="192">
        <f>SUM(E167:R167)</f>
        <v>0.99999999999999978</v>
      </c>
      <c r="U167" s="189">
        <v>2019</v>
      </c>
      <c r="V167" s="189" t="s">
        <v>476</v>
      </c>
      <c r="W167" s="189">
        <v>2019</v>
      </c>
      <c r="X167" s="190" t="s">
        <v>498</v>
      </c>
      <c r="Y167" s="193">
        <f t="shared" ref="Y167:AM167" si="55">INDEX(X$11:X$35,MATCH($V167,$V$11:$V$35,0))/INDEX($AL$11:$AL$35,MATCH($V167,$V$11:$V$35,0))</f>
        <v>0</v>
      </c>
      <c r="Z167" s="193">
        <f t="shared" si="55"/>
        <v>0</v>
      </c>
      <c r="AA167" s="193">
        <f t="shared" si="55"/>
        <v>3.6525385410182312E-2</v>
      </c>
      <c r="AB167" s="193">
        <f t="shared" si="55"/>
        <v>0.65745693738328292</v>
      </c>
      <c r="AC167" s="193">
        <f t="shared" si="55"/>
        <v>1.3284637135304488E-2</v>
      </c>
      <c r="AD167" s="193">
        <f t="shared" si="55"/>
        <v>0</v>
      </c>
      <c r="AE167" s="193">
        <f t="shared" si="55"/>
        <v>0</v>
      </c>
      <c r="AF167" s="193">
        <f t="shared" si="55"/>
        <v>0</v>
      </c>
      <c r="AG167" s="193">
        <f t="shared" si="55"/>
        <v>0</v>
      </c>
      <c r="AH167" s="193">
        <f t="shared" si="55"/>
        <v>0</v>
      </c>
      <c r="AI167" s="193">
        <f t="shared" si="55"/>
        <v>0.16043805594258678</v>
      </c>
      <c r="AJ167" s="193">
        <f t="shared" si="55"/>
        <v>0</v>
      </c>
      <c r="AK167" s="193">
        <f t="shared" si="55"/>
        <v>0.13229498412864227</v>
      </c>
      <c r="AL167" s="193">
        <f t="shared" si="55"/>
        <v>0</v>
      </c>
      <c r="AM167" s="186">
        <f t="shared" si="55"/>
        <v>1</v>
      </c>
      <c r="AO167" s="56" t="s">
        <v>528</v>
      </c>
    </row>
    <row r="168" spans="2:43" x14ac:dyDescent="0.35">
      <c r="B168" s="189">
        <v>2025</v>
      </c>
      <c r="C168" s="189" t="s">
        <v>476</v>
      </c>
      <c r="D168" s="190" t="s">
        <v>498</v>
      </c>
      <c r="E168" s="191">
        <v>0</v>
      </c>
      <c r="F168" s="191">
        <v>0</v>
      </c>
      <c r="G168" s="191">
        <v>3.6519027230689297E-2</v>
      </c>
      <c r="H168" s="191">
        <v>0.494979970656034</v>
      </c>
      <c r="I168" s="191">
        <v>3.0411115934223999E-2</v>
      </c>
      <c r="J168" s="191">
        <v>0</v>
      </c>
      <c r="K168" s="191">
        <v>0</v>
      </c>
      <c r="L168" s="191">
        <v>0</v>
      </c>
      <c r="M168" s="191">
        <v>0</v>
      </c>
      <c r="N168" s="191">
        <v>0</v>
      </c>
      <c r="O168" s="191">
        <v>0.24821952548086201</v>
      </c>
      <c r="P168" s="191">
        <v>0</v>
      </c>
      <c r="Q168" s="191">
        <v>0.17812225047188401</v>
      </c>
      <c r="R168" s="191">
        <v>1.17E-2</v>
      </c>
      <c r="S168" s="192">
        <f>SUM(E168:R168)</f>
        <v>0.99995188977369331</v>
      </c>
      <c r="U168" s="189">
        <v>2025</v>
      </c>
      <c r="V168" s="189" t="s">
        <v>476</v>
      </c>
      <c r="W168" s="189">
        <v>2025</v>
      </c>
      <c r="X168" s="190" t="s">
        <v>498</v>
      </c>
      <c r="Y168" s="193">
        <f>+E168</f>
        <v>0</v>
      </c>
      <c r="Z168" s="193">
        <f>+F168</f>
        <v>0</v>
      </c>
      <c r="AA168" s="193">
        <v>0.03</v>
      </c>
      <c r="AB168" s="193">
        <v>0.64</v>
      </c>
      <c r="AC168" s="193">
        <f t="shared" ref="AC168:AH168" si="56">+I168</f>
        <v>3.0411115934223999E-2</v>
      </c>
      <c r="AD168" s="193">
        <f t="shared" si="56"/>
        <v>0</v>
      </c>
      <c r="AE168" s="193">
        <f t="shared" si="56"/>
        <v>0</v>
      </c>
      <c r="AF168" s="193">
        <f t="shared" si="56"/>
        <v>0</v>
      </c>
      <c r="AG168" s="193">
        <f t="shared" si="56"/>
        <v>0</v>
      </c>
      <c r="AH168" s="193">
        <f t="shared" si="56"/>
        <v>0</v>
      </c>
      <c r="AI168" s="193">
        <v>0.17</v>
      </c>
      <c r="AJ168" s="193">
        <f>+P168</f>
        <v>0</v>
      </c>
      <c r="AK168" s="193">
        <v>0.12</v>
      </c>
      <c r="AL168" s="193">
        <v>0.01</v>
      </c>
      <c r="AM168" s="186">
        <f>SUM(Y168:AL168)</f>
        <v>1.0004111159342239</v>
      </c>
      <c r="AO168" s="56" t="s">
        <v>530</v>
      </c>
    </row>
    <row r="169" spans="2:43" x14ac:dyDescent="0.35">
      <c r="B169" s="189">
        <v>2050</v>
      </c>
      <c r="C169" s="189" t="s">
        <v>476</v>
      </c>
      <c r="D169" s="190" t="s">
        <v>498</v>
      </c>
      <c r="E169" s="191">
        <v>0</v>
      </c>
      <c r="F169" s="191">
        <v>0</v>
      </c>
      <c r="G169" s="191">
        <v>0.01</v>
      </c>
      <c r="H169" s="191">
        <v>0.52149899788672405</v>
      </c>
      <c r="I169" s="191">
        <v>3.0411115934223999E-2</v>
      </c>
      <c r="J169" s="191">
        <v>0</v>
      </c>
      <c r="K169" s="191">
        <v>0</v>
      </c>
      <c r="L169" s="191">
        <v>0</v>
      </c>
      <c r="M169" s="191">
        <v>0</v>
      </c>
      <c r="N169" s="191">
        <v>0</v>
      </c>
      <c r="O169" s="191">
        <v>0.298219525480862</v>
      </c>
      <c r="P169" s="191">
        <v>0</v>
      </c>
      <c r="Q169" s="191">
        <v>0.128122250471884</v>
      </c>
      <c r="R169" s="191">
        <v>1.1748110226307101E-2</v>
      </c>
      <c r="S169" s="192">
        <f>SUM(E169:R169)</f>
        <v>1.0000000000000011</v>
      </c>
      <c r="U169" s="189">
        <v>2050</v>
      </c>
      <c r="V169" s="189" t="s">
        <v>476</v>
      </c>
      <c r="W169" s="189">
        <v>2050</v>
      </c>
      <c r="X169" s="190" t="s">
        <v>498</v>
      </c>
      <c r="Y169" s="193">
        <f>+E169</f>
        <v>0</v>
      </c>
      <c r="Z169" s="193">
        <f>+F169</f>
        <v>0</v>
      </c>
      <c r="AA169" s="193">
        <f>+G169</f>
        <v>0.01</v>
      </c>
      <c r="AB169" s="193">
        <v>0.64</v>
      </c>
      <c r="AC169" s="193">
        <v>0.05</v>
      </c>
      <c r="AD169" s="193">
        <f>+J169</f>
        <v>0</v>
      </c>
      <c r="AE169" s="193">
        <f>+K169</f>
        <v>0</v>
      </c>
      <c r="AF169" s="193">
        <f>+L169</f>
        <v>0</v>
      </c>
      <c r="AG169" s="193">
        <f>+M169</f>
        <v>0</v>
      </c>
      <c r="AH169" s="193">
        <f>+N169</f>
        <v>0</v>
      </c>
      <c r="AI169" s="193">
        <f>1-SUM(Y169:AH169,AJ169:AL169)</f>
        <v>0.19999999999999996</v>
      </c>
      <c r="AJ169" s="193">
        <f>+P169</f>
        <v>0</v>
      </c>
      <c r="AK169" s="193">
        <v>0.09</v>
      </c>
      <c r="AL169" s="193">
        <v>0.01</v>
      </c>
      <c r="AM169" s="186">
        <f>SUM(Y169:AL169)</f>
        <v>1</v>
      </c>
      <c r="AO169" s="56"/>
    </row>
    <row r="170" spans="2:43" x14ac:dyDescent="0.35">
      <c r="B170" s="195"/>
      <c r="C170" s="195"/>
      <c r="D170" s="196"/>
      <c r="E170" s="197"/>
      <c r="F170" s="197"/>
      <c r="G170" s="197"/>
      <c r="H170" s="197"/>
      <c r="I170" s="197"/>
      <c r="J170" s="197"/>
      <c r="K170" s="197"/>
      <c r="L170" s="197"/>
      <c r="M170" s="197"/>
      <c r="N170" s="197"/>
      <c r="O170" s="197"/>
      <c r="P170" s="197"/>
      <c r="Q170" s="197"/>
      <c r="R170" s="197"/>
      <c r="S170" s="198"/>
      <c r="U170" s="195"/>
      <c r="V170" s="195"/>
      <c r="W170" s="195"/>
      <c r="X170" s="196"/>
      <c r="Y170" s="199"/>
      <c r="Z170" s="199"/>
      <c r="AA170" s="199"/>
      <c r="AB170" s="199"/>
      <c r="AC170" s="199"/>
      <c r="AD170" s="199"/>
      <c r="AE170" s="199"/>
      <c r="AF170" s="199"/>
      <c r="AG170" s="199"/>
      <c r="AH170" s="199"/>
      <c r="AI170" s="199"/>
      <c r="AJ170" s="199"/>
      <c r="AK170" s="199"/>
      <c r="AL170" s="199"/>
      <c r="AM170" s="200"/>
      <c r="AO170" s="56"/>
    </row>
    <row r="171" spans="2:43" x14ac:dyDescent="0.35">
      <c r="B171" s="189">
        <v>2019</v>
      </c>
      <c r="C171" s="189" t="s">
        <v>479</v>
      </c>
      <c r="D171" s="190" t="s">
        <v>498</v>
      </c>
      <c r="E171" s="191">
        <v>8.1790103158823804E-2</v>
      </c>
      <c r="F171" s="191"/>
      <c r="G171" s="191">
        <v>5.8595894299541498E-2</v>
      </c>
      <c r="H171" s="191">
        <v>0.40213172017946802</v>
      </c>
      <c r="I171" s="191">
        <v>6.4971647823342804E-3</v>
      </c>
      <c r="J171" s="191">
        <v>0</v>
      </c>
      <c r="K171" s="191">
        <v>0</v>
      </c>
      <c r="L171" s="191">
        <v>0</v>
      </c>
      <c r="M171" s="191">
        <v>0</v>
      </c>
      <c r="N171" s="191">
        <v>0</v>
      </c>
      <c r="O171" s="191">
        <v>0.29902835091906599</v>
      </c>
      <c r="P171" s="191">
        <v>0</v>
      </c>
      <c r="Q171" s="191">
        <v>0.15194510837917699</v>
      </c>
      <c r="R171" s="191">
        <v>0</v>
      </c>
      <c r="S171" s="192">
        <f>SUM(E171:R171)</f>
        <v>0.99998834171841056</v>
      </c>
      <c r="U171" s="189">
        <v>2019</v>
      </c>
      <c r="V171" s="189" t="s">
        <v>479</v>
      </c>
      <c r="W171" s="189">
        <v>2019</v>
      </c>
      <c r="X171" s="190" t="s">
        <v>498</v>
      </c>
      <c r="Y171" s="193">
        <f t="shared" ref="Y171:AM171" si="57">INDEX(X$11:X$35,MATCH($V171,$V$11:$V$35,0))/INDEX($AL$11:$AL$35,MATCH($V171,$V$11:$V$35,0))</f>
        <v>0.1397937629383523</v>
      </c>
      <c r="Z171" s="193">
        <f t="shared" si="57"/>
        <v>2.6319607416896646E-3</v>
      </c>
      <c r="AA171" s="193">
        <f t="shared" si="57"/>
        <v>0.10527809907127257</v>
      </c>
      <c r="AB171" s="193">
        <f t="shared" si="57"/>
        <v>5.8343169023411294E-2</v>
      </c>
      <c r="AC171" s="193">
        <f t="shared" si="57"/>
        <v>1.7759393453846233E-2</v>
      </c>
      <c r="AD171" s="193">
        <f t="shared" si="57"/>
        <v>0</v>
      </c>
      <c r="AE171" s="193">
        <f t="shared" si="57"/>
        <v>0</v>
      </c>
      <c r="AF171" s="193">
        <f t="shared" si="57"/>
        <v>0</v>
      </c>
      <c r="AG171" s="193">
        <f t="shared" si="57"/>
        <v>0</v>
      </c>
      <c r="AH171" s="193">
        <f t="shared" si="57"/>
        <v>0</v>
      </c>
      <c r="AI171" s="193">
        <f t="shared" si="57"/>
        <v>0.46608999419356434</v>
      </c>
      <c r="AJ171" s="193">
        <f t="shared" si="57"/>
        <v>0</v>
      </c>
      <c r="AK171" s="193">
        <f t="shared" si="57"/>
        <v>0.21010362057786305</v>
      </c>
      <c r="AL171" s="193">
        <f t="shared" si="57"/>
        <v>0</v>
      </c>
      <c r="AM171" s="186">
        <f t="shared" si="57"/>
        <v>1</v>
      </c>
      <c r="AO171" s="56" t="s">
        <v>528</v>
      </c>
    </row>
    <row r="172" spans="2:43" x14ac:dyDescent="0.35">
      <c r="B172" s="189">
        <v>2025</v>
      </c>
      <c r="C172" s="189" t="s">
        <v>479</v>
      </c>
      <c r="D172" s="190" t="s">
        <v>498</v>
      </c>
      <c r="E172" s="191">
        <v>6.2550627514588494E-2</v>
      </c>
      <c r="F172" s="191">
        <v>0</v>
      </c>
      <c r="G172" s="191">
        <v>5.8595894299541498E-2</v>
      </c>
      <c r="H172" s="191">
        <v>0.39124178724877001</v>
      </c>
      <c r="I172" s="191">
        <v>1.7387097713031801E-2</v>
      </c>
      <c r="J172" s="191">
        <v>0</v>
      </c>
      <c r="K172" s="191">
        <v>0</v>
      </c>
      <c r="L172" s="191">
        <v>0</v>
      </c>
      <c r="M172" s="191">
        <v>0</v>
      </c>
      <c r="N172" s="191">
        <v>0</v>
      </c>
      <c r="O172" s="191">
        <v>0.30482105840411999</v>
      </c>
      <c r="P172" s="191">
        <v>0</v>
      </c>
      <c r="Q172" s="191">
        <v>0.16389187653835899</v>
      </c>
      <c r="R172" s="191">
        <v>0</v>
      </c>
      <c r="S172" s="192">
        <f>SUM(E172:R172)</f>
        <v>0.99848834171841083</v>
      </c>
      <c r="U172" s="189">
        <v>2025</v>
      </c>
      <c r="V172" s="189" t="s">
        <v>479</v>
      </c>
      <c r="W172" s="189">
        <v>2025</v>
      </c>
      <c r="X172" s="190" t="s">
        <v>498</v>
      </c>
      <c r="Y172" s="193">
        <v>0.11</v>
      </c>
      <c r="Z172" s="193">
        <f>+F172</f>
        <v>0</v>
      </c>
      <c r="AA172" s="193">
        <v>0.09</v>
      </c>
      <c r="AB172" s="193">
        <f>AB171+1%</f>
        <v>6.8343169023411296E-2</v>
      </c>
      <c r="AC172" s="193">
        <f t="shared" ref="AC172:AH172" si="58">+I172</f>
        <v>1.7387097713031801E-2</v>
      </c>
      <c r="AD172" s="193">
        <f t="shared" si="58"/>
        <v>0</v>
      </c>
      <c r="AE172" s="193">
        <f t="shared" si="58"/>
        <v>0</v>
      </c>
      <c r="AF172" s="193">
        <f t="shared" si="58"/>
        <v>0</v>
      </c>
      <c r="AG172" s="193">
        <f t="shared" si="58"/>
        <v>0</v>
      </c>
      <c r="AH172" s="193">
        <f t="shared" si="58"/>
        <v>0</v>
      </c>
      <c r="AI172" s="193">
        <f>1-SUM(Y172:AH172,AJ172:AL172)</f>
        <v>0.49426973326355683</v>
      </c>
      <c r="AJ172" s="193">
        <f>+P172</f>
        <v>0</v>
      </c>
      <c r="AK172" s="193">
        <v>0.22</v>
      </c>
      <c r="AL172" s="193">
        <f>+R172</f>
        <v>0</v>
      </c>
      <c r="AM172" s="186">
        <f>SUM(Y172:AL172)</f>
        <v>1</v>
      </c>
      <c r="AO172" s="56" t="s">
        <v>530</v>
      </c>
    </row>
    <row r="173" spans="2:43" x14ac:dyDescent="0.35">
      <c r="B173" s="189">
        <v>2050</v>
      </c>
      <c r="C173" s="189" t="s">
        <v>479</v>
      </c>
      <c r="D173" s="190" t="s">
        <v>498</v>
      </c>
      <c r="E173" s="191">
        <v>0</v>
      </c>
      <c r="F173" s="191">
        <v>0</v>
      </c>
      <c r="G173" s="191">
        <v>5.8595894299541498E-2</v>
      </c>
      <c r="H173" s="191">
        <v>0.39124178724877001</v>
      </c>
      <c r="I173" s="191">
        <v>1.7387097713031801E-2</v>
      </c>
      <c r="J173" s="191">
        <v>0</v>
      </c>
      <c r="K173" s="191">
        <v>0</v>
      </c>
      <c r="L173" s="191">
        <v>0</v>
      </c>
      <c r="M173" s="191">
        <v>0</v>
      </c>
      <c r="N173" s="191">
        <v>0</v>
      </c>
      <c r="O173" s="191">
        <v>0.32482105840412001</v>
      </c>
      <c r="P173" s="191">
        <v>0</v>
      </c>
      <c r="Q173" s="191">
        <v>0.20795416233453601</v>
      </c>
      <c r="R173" s="191">
        <v>0</v>
      </c>
      <c r="S173" s="192">
        <f>SUM(E173:R173)</f>
        <v>0.99999999999999933</v>
      </c>
      <c r="U173" s="189">
        <v>2050</v>
      </c>
      <c r="V173" s="189" t="s">
        <v>479</v>
      </c>
      <c r="W173" s="189">
        <v>2050</v>
      </c>
      <c r="X173" s="190" t="s">
        <v>498</v>
      </c>
      <c r="Y173" s="193">
        <v>0</v>
      </c>
      <c r="Z173" s="193">
        <f>+F173</f>
        <v>0</v>
      </c>
      <c r="AA173" s="193">
        <f>AA172</f>
        <v>0.09</v>
      </c>
      <c r="AB173" s="193">
        <f>AB172</f>
        <v>6.8343169023411296E-2</v>
      </c>
      <c r="AC173" s="193">
        <f>AC172+3%</f>
        <v>4.7387097713031803E-2</v>
      </c>
      <c r="AD173" s="193">
        <f>+J173</f>
        <v>0</v>
      </c>
      <c r="AE173" s="193">
        <f>+K173</f>
        <v>0</v>
      </c>
      <c r="AF173" s="193">
        <f>+L173</f>
        <v>0</v>
      </c>
      <c r="AG173" s="193">
        <f>+M173</f>
        <v>0</v>
      </c>
      <c r="AH173" s="193">
        <f>+N173</f>
        <v>0</v>
      </c>
      <c r="AI173" s="193">
        <f>1-SUM(Y173:AH173,AJ173:AL173)</f>
        <v>0.54416611268569381</v>
      </c>
      <c r="AJ173" s="193">
        <f>+P173</f>
        <v>0</v>
      </c>
      <c r="AK173" s="193">
        <f>AK171+4%</f>
        <v>0.25010362057786306</v>
      </c>
      <c r="AL173" s="193">
        <f>+R173</f>
        <v>0</v>
      </c>
      <c r="AM173" s="186">
        <f>SUM(Y173:AL173)</f>
        <v>1</v>
      </c>
      <c r="AO173" s="56"/>
    </row>
    <row r="174" spans="2:43" x14ac:dyDescent="0.35">
      <c r="B174" s="195"/>
      <c r="C174" s="195"/>
      <c r="D174" s="196"/>
      <c r="E174" s="197"/>
      <c r="F174" s="197"/>
      <c r="G174" s="197"/>
      <c r="H174" s="197"/>
      <c r="I174" s="197"/>
      <c r="J174" s="197"/>
      <c r="K174" s="197"/>
      <c r="L174" s="197"/>
      <c r="M174" s="197"/>
      <c r="N174" s="197"/>
      <c r="O174" s="197"/>
      <c r="P174" s="197"/>
      <c r="Q174" s="197"/>
      <c r="R174" s="197"/>
      <c r="S174" s="198"/>
      <c r="U174" s="195"/>
      <c r="V174" s="195"/>
      <c r="W174" s="195"/>
      <c r="X174" s="196"/>
      <c r="Y174" s="199"/>
      <c r="Z174" s="199"/>
      <c r="AA174" s="199"/>
      <c r="AB174" s="199"/>
      <c r="AC174" s="199"/>
      <c r="AD174" s="199"/>
      <c r="AE174" s="199"/>
      <c r="AF174" s="199"/>
      <c r="AG174" s="199"/>
      <c r="AH174" s="199"/>
      <c r="AI174" s="199"/>
      <c r="AJ174" s="199"/>
      <c r="AK174" s="199"/>
      <c r="AL174" s="199"/>
      <c r="AM174" s="200"/>
      <c r="AO174" s="56"/>
    </row>
    <row r="175" spans="2:43" x14ac:dyDescent="0.35">
      <c r="B175" s="184"/>
      <c r="C175" s="184" t="s">
        <v>480</v>
      </c>
      <c r="D175" s="184"/>
      <c r="E175" s="203"/>
      <c r="F175" s="203"/>
      <c r="G175" s="203"/>
      <c r="H175" s="203"/>
      <c r="I175" s="203"/>
      <c r="J175" s="203"/>
      <c r="K175" s="203"/>
      <c r="L175" s="203"/>
      <c r="M175" s="203"/>
      <c r="N175" s="203"/>
      <c r="O175" s="203"/>
      <c r="P175" s="203"/>
      <c r="Q175" s="203"/>
      <c r="R175" s="203"/>
      <c r="S175" s="192"/>
      <c r="U175" s="184"/>
      <c r="V175" s="435" t="s">
        <v>480</v>
      </c>
      <c r="W175" s="435"/>
      <c r="X175" s="435"/>
      <c r="Y175" s="185"/>
      <c r="Z175" s="185"/>
      <c r="AA175" s="185"/>
      <c r="AB175" s="185"/>
      <c r="AC175" s="185"/>
      <c r="AD175" s="185"/>
      <c r="AE175" s="185"/>
      <c r="AF175" s="185"/>
      <c r="AG175" s="185"/>
      <c r="AH175" s="185"/>
      <c r="AI175" s="185"/>
      <c r="AJ175" s="185"/>
      <c r="AK175" s="185"/>
      <c r="AL175" s="185"/>
      <c r="AM175" s="186"/>
      <c r="AO175" s="56"/>
    </row>
    <row r="176" spans="2:43" x14ac:dyDescent="0.35">
      <c r="B176" s="189">
        <v>2019</v>
      </c>
      <c r="C176" s="189" t="s">
        <v>481</v>
      </c>
      <c r="D176" s="190" t="s">
        <v>498</v>
      </c>
      <c r="E176" s="191">
        <v>0.14000000000000001</v>
      </c>
      <c r="F176" s="191"/>
      <c r="G176" s="191">
        <v>0.38500000000000001</v>
      </c>
      <c r="H176" s="191">
        <v>0.02</v>
      </c>
      <c r="I176" s="191">
        <v>0.42499999999999999</v>
      </c>
      <c r="J176" s="191">
        <v>0</v>
      </c>
      <c r="K176" s="191">
        <v>0</v>
      </c>
      <c r="L176" s="191">
        <v>0</v>
      </c>
      <c r="M176" s="191">
        <v>0</v>
      </c>
      <c r="N176" s="191">
        <v>0</v>
      </c>
      <c r="O176" s="191">
        <v>0.03</v>
      </c>
      <c r="P176" s="191">
        <v>0</v>
      </c>
      <c r="Q176" s="191">
        <v>0</v>
      </c>
      <c r="R176" s="191">
        <v>0</v>
      </c>
      <c r="S176" s="192">
        <f>SUM(E176:R176)</f>
        <v>1</v>
      </c>
      <c r="U176" s="189">
        <v>2019</v>
      </c>
      <c r="V176" s="189" t="s">
        <v>481</v>
      </c>
      <c r="W176" s="189">
        <v>2019</v>
      </c>
      <c r="X176" s="190" t="s">
        <v>498</v>
      </c>
      <c r="Y176" s="193">
        <f t="shared" ref="Y176:AM176" si="59">INDEX(X$11:X$35,MATCH($V176,$V$11:$V$35,0))/INDEX($AL$11:$AL$35,MATCH($V176,$V$11:$V$35,0))</f>
        <v>0.12616352577283507</v>
      </c>
      <c r="Z176" s="193">
        <f t="shared" si="59"/>
        <v>0</v>
      </c>
      <c r="AA176" s="193">
        <f t="shared" si="59"/>
        <v>0.34694969587529612</v>
      </c>
      <c r="AB176" s="193">
        <f t="shared" si="59"/>
        <v>1.8023360824690714E-2</v>
      </c>
      <c r="AC176" s="193">
        <f t="shared" si="59"/>
        <v>0.15319856700987075</v>
      </c>
      <c r="AD176" s="193">
        <f t="shared" si="59"/>
        <v>0.2297978505148065</v>
      </c>
      <c r="AE176" s="193">
        <f t="shared" si="59"/>
        <v>0</v>
      </c>
      <c r="AF176" s="193">
        <f t="shared" si="59"/>
        <v>0</v>
      </c>
      <c r="AG176" s="193">
        <f t="shared" si="59"/>
        <v>0</v>
      </c>
      <c r="AH176" s="193">
        <f t="shared" si="59"/>
        <v>0</v>
      </c>
      <c r="AI176" s="193">
        <f t="shared" si="59"/>
        <v>0.12586700000250084</v>
      </c>
      <c r="AJ176" s="193">
        <f t="shared" si="59"/>
        <v>0</v>
      </c>
      <c r="AK176" s="193">
        <f t="shared" si="59"/>
        <v>0</v>
      </c>
      <c r="AL176" s="193">
        <f t="shared" si="59"/>
        <v>0</v>
      </c>
      <c r="AM176" s="186">
        <f t="shared" si="59"/>
        <v>1</v>
      </c>
      <c r="AO176" s="56" t="s">
        <v>528</v>
      </c>
      <c r="AP176" s="3"/>
      <c r="AQ176" s="3"/>
    </row>
    <row r="177" spans="2:43" x14ac:dyDescent="0.35">
      <c r="B177" s="189">
        <v>2025</v>
      </c>
      <c r="C177" s="189" t="s">
        <v>481</v>
      </c>
      <c r="D177" s="190" t="s">
        <v>498</v>
      </c>
      <c r="E177" s="191">
        <v>0.13806751208555099</v>
      </c>
      <c r="F177" s="191">
        <v>0</v>
      </c>
      <c r="G177" s="191">
        <v>0.38500000000000001</v>
      </c>
      <c r="H177" s="191">
        <v>0.02</v>
      </c>
      <c r="I177" s="191">
        <v>0.42693248791444899</v>
      </c>
      <c r="J177" s="191">
        <v>0</v>
      </c>
      <c r="K177" s="191">
        <v>0</v>
      </c>
      <c r="L177" s="191">
        <v>0</v>
      </c>
      <c r="M177" s="191">
        <v>0</v>
      </c>
      <c r="N177" s="191">
        <v>0</v>
      </c>
      <c r="O177" s="191">
        <v>0.03</v>
      </c>
      <c r="P177" s="191">
        <v>0</v>
      </c>
      <c r="Q177" s="191">
        <v>0</v>
      </c>
      <c r="R177" s="191">
        <v>0</v>
      </c>
      <c r="S177" s="192">
        <f>SUM(E177:R177)</f>
        <v>1</v>
      </c>
      <c r="U177" s="189">
        <v>2025</v>
      </c>
      <c r="V177" s="189" t="s">
        <v>481</v>
      </c>
      <c r="W177" s="189">
        <v>2025</v>
      </c>
      <c r="X177" s="190" t="s">
        <v>498</v>
      </c>
      <c r="Y177" s="193">
        <v>0.09</v>
      </c>
      <c r="Z177" s="193">
        <f>+F177</f>
        <v>0</v>
      </c>
      <c r="AA177" s="193">
        <f>AA176</f>
        <v>0.34694969587529612</v>
      </c>
      <c r="AB177" s="193">
        <f>+H177</f>
        <v>0.02</v>
      </c>
      <c r="AC177" s="193">
        <v>0.17</v>
      </c>
      <c r="AD177" s="193">
        <v>0.24</v>
      </c>
      <c r="AE177" s="193">
        <f t="shared" ref="AE177:AH178" si="60">+K177</f>
        <v>0</v>
      </c>
      <c r="AF177" s="193">
        <f t="shared" si="60"/>
        <v>0</v>
      </c>
      <c r="AG177" s="193">
        <f t="shared" si="60"/>
        <v>0</v>
      </c>
      <c r="AH177" s="193">
        <f t="shared" si="60"/>
        <v>0</v>
      </c>
      <c r="AI177" s="193">
        <f>1-SUM(Y177:AH177)</f>
        <v>0.13305030412470387</v>
      </c>
      <c r="AJ177" s="193">
        <f t="shared" ref="AJ177:AL178" si="61">+P177</f>
        <v>0</v>
      </c>
      <c r="AK177" s="193">
        <f t="shared" si="61"/>
        <v>0</v>
      </c>
      <c r="AL177" s="193">
        <f t="shared" si="61"/>
        <v>0</v>
      </c>
      <c r="AM177" s="186">
        <f>SUM(Y177:AL177)</f>
        <v>1</v>
      </c>
      <c r="AO177" s="56" t="s">
        <v>530</v>
      </c>
      <c r="AP177" s="3"/>
      <c r="AQ177" s="3"/>
    </row>
    <row r="178" spans="2:43" x14ac:dyDescent="0.35">
      <c r="B178" s="189">
        <v>2050</v>
      </c>
      <c r="C178" s="189" t="s">
        <v>481</v>
      </c>
      <c r="D178" s="190" t="s">
        <v>498</v>
      </c>
      <c r="E178" s="191">
        <v>8.8067512085551095E-2</v>
      </c>
      <c r="F178" s="191">
        <v>0</v>
      </c>
      <c r="G178" s="191">
        <v>0.33500000000000002</v>
      </c>
      <c r="H178" s="191">
        <v>0</v>
      </c>
      <c r="I178" s="191">
        <v>0.52693248791444902</v>
      </c>
      <c r="J178" s="191">
        <v>0</v>
      </c>
      <c r="K178" s="191">
        <v>0</v>
      </c>
      <c r="L178" s="191">
        <v>0</v>
      </c>
      <c r="M178" s="191">
        <v>0</v>
      </c>
      <c r="N178" s="191">
        <v>0</v>
      </c>
      <c r="O178" s="191">
        <v>0.03</v>
      </c>
      <c r="P178" s="191">
        <v>0</v>
      </c>
      <c r="Q178" s="191">
        <v>0</v>
      </c>
      <c r="R178" s="191">
        <v>0</v>
      </c>
      <c r="S178" s="192">
        <f>SUM(E178:R178)</f>
        <v>0.9800000000000002</v>
      </c>
      <c r="U178" s="189">
        <v>2050</v>
      </c>
      <c r="V178" s="189" t="s">
        <v>481</v>
      </c>
      <c r="W178" s="189">
        <v>2050</v>
      </c>
      <c r="X178" s="190" t="s">
        <v>498</v>
      </c>
      <c r="Y178" s="193">
        <f>+E178</f>
        <v>8.8067512085551095E-2</v>
      </c>
      <c r="Z178" s="193">
        <f>+F178</f>
        <v>0</v>
      </c>
      <c r="AA178" s="193">
        <f>AA177-5%</f>
        <v>0.29694969587529613</v>
      </c>
      <c r="AB178" s="193">
        <f>+H178</f>
        <v>0</v>
      </c>
      <c r="AC178" s="193">
        <f>AC177+4%</f>
        <v>0.21000000000000002</v>
      </c>
      <c r="AD178" s="193">
        <f>AD177+3%</f>
        <v>0.27</v>
      </c>
      <c r="AE178" s="193">
        <f t="shared" si="60"/>
        <v>0</v>
      </c>
      <c r="AF178" s="193">
        <f t="shared" si="60"/>
        <v>0</v>
      </c>
      <c r="AG178" s="193">
        <f t="shared" si="60"/>
        <v>0</v>
      </c>
      <c r="AH178" s="193">
        <f t="shared" si="60"/>
        <v>0</v>
      </c>
      <c r="AI178" s="193">
        <f>1-SUM(Y178:AH178)</f>
        <v>0.13498279203915275</v>
      </c>
      <c r="AJ178" s="193">
        <f t="shared" si="61"/>
        <v>0</v>
      </c>
      <c r="AK178" s="193">
        <f t="shared" si="61"/>
        <v>0</v>
      </c>
      <c r="AL178" s="193">
        <f t="shared" si="61"/>
        <v>0</v>
      </c>
      <c r="AM178" s="186">
        <f>SUM(Y178:AL178)</f>
        <v>1</v>
      </c>
      <c r="AO178" s="56"/>
      <c r="AP178" s="3"/>
      <c r="AQ178" s="3"/>
    </row>
    <row r="179" spans="2:43" x14ac:dyDescent="0.35">
      <c r="B179" s="195"/>
      <c r="C179" s="195"/>
      <c r="D179" s="196"/>
      <c r="E179" s="197"/>
      <c r="F179" s="197"/>
      <c r="G179" s="197"/>
      <c r="H179" s="197"/>
      <c r="I179" s="197"/>
      <c r="J179" s="197"/>
      <c r="K179" s="197"/>
      <c r="L179" s="197"/>
      <c r="M179" s="197"/>
      <c r="N179" s="197"/>
      <c r="O179" s="197"/>
      <c r="P179" s="197"/>
      <c r="Q179" s="197"/>
      <c r="R179" s="197"/>
      <c r="S179" s="198"/>
      <c r="U179" s="195"/>
      <c r="V179" s="195"/>
      <c r="W179" s="195"/>
      <c r="X179" s="196"/>
      <c r="Y179" s="199"/>
      <c r="Z179" s="199"/>
      <c r="AA179" s="199"/>
      <c r="AB179" s="199"/>
      <c r="AC179" s="199"/>
      <c r="AD179" s="199"/>
      <c r="AE179" s="199"/>
      <c r="AF179" s="199"/>
      <c r="AG179" s="199"/>
      <c r="AH179" s="199"/>
      <c r="AI179" s="199"/>
      <c r="AJ179" s="199"/>
      <c r="AK179" s="199"/>
      <c r="AL179" s="199"/>
      <c r="AM179" s="200"/>
      <c r="AO179" s="56"/>
    </row>
    <row r="180" spans="2:43" x14ac:dyDescent="0.35">
      <c r="B180" s="189">
        <v>2019</v>
      </c>
      <c r="C180" s="189" t="s">
        <v>482</v>
      </c>
      <c r="D180" s="190" t="s">
        <v>498</v>
      </c>
      <c r="E180" s="191">
        <v>0</v>
      </c>
      <c r="F180" s="191"/>
      <c r="G180" s="191">
        <v>0.09</v>
      </c>
      <c r="H180" s="191">
        <v>0.67</v>
      </c>
      <c r="I180" s="191">
        <v>0</v>
      </c>
      <c r="J180" s="191">
        <v>0</v>
      </c>
      <c r="K180" s="191">
        <v>0</v>
      </c>
      <c r="L180" s="191">
        <v>0</v>
      </c>
      <c r="M180" s="191">
        <v>0</v>
      </c>
      <c r="N180" s="191">
        <v>0</v>
      </c>
      <c r="O180" s="191">
        <v>0.24</v>
      </c>
      <c r="P180" s="191">
        <v>0</v>
      </c>
      <c r="Q180" s="191">
        <v>0</v>
      </c>
      <c r="R180" s="191">
        <v>0</v>
      </c>
      <c r="S180" s="192">
        <f>SUM(E180:R180)</f>
        <v>1</v>
      </c>
      <c r="U180" s="189">
        <v>2019</v>
      </c>
      <c r="V180" s="189" t="s">
        <v>482</v>
      </c>
      <c r="W180" s="189">
        <v>2019</v>
      </c>
      <c r="X180" s="190" t="s">
        <v>498</v>
      </c>
      <c r="Y180" s="210">
        <f t="shared" ref="Y180:AM180" si="62">INDEX(X$11:X$35,MATCH($V180,$V$11:$V$35,0))/INDEX($AL$11:$AL$35,MATCH($V180,$V$11:$V$35,0))</f>
        <v>0</v>
      </c>
      <c r="Z180" s="210">
        <f t="shared" si="62"/>
        <v>0</v>
      </c>
      <c r="AA180" s="210">
        <f t="shared" si="62"/>
        <v>8.9999999999999789E-2</v>
      </c>
      <c r="AB180" s="210">
        <f t="shared" si="62"/>
        <v>0.67000000000000071</v>
      </c>
      <c r="AC180" s="210">
        <f t="shared" si="62"/>
        <v>0</v>
      </c>
      <c r="AD180" s="210">
        <f t="shared" si="62"/>
        <v>0</v>
      </c>
      <c r="AE180" s="210">
        <f t="shared" si="62"/>
        <v>0</v>
      </c>
      <c r="AF180" s="210">
        <f t="shared" si="62"/>
        <v>0</v>
      </c>
      <c r="AG180" s="210">
        <f t="shared" si="62"/>
        <v>0</v>
      </c>
      <c r="AH180" s="210">
        <f t="shared" si="62"/>
        <v>0</v>
      </c>
      <c r="AI180" s="210">
        <f t="shared" si="62"/>
        <v>0.23999999999999949</v>
      </c>
      <c r="AJ180" s="210">
        <f t="shared" si="62"/>
        <v>0</v>
      </c>
      <c r="AK180" s="210">
        <f t="shared" si="62"/>
        <v>0</v>
      </c>
      <c r="AL180" s="210">
        <f t="shared" si="62"/>
        <v>0</v>
      </c>
      <c r="AM180" s="186">
        <f t="shared" si="62"/>
        <v>1</v>
      </c>
      <c r="AO180" s="56" t="s">
        <v>506</v>
      </c>
    </row>
    <row r="181" spans="2:43" x14ac:dyDescent="0.35">
      <c r="B181" s="189">
        <v>2025</v>
      </c>
      <c r="C181" s="189" t="s">
        <v>482</v>
      </c>
      <c r="D181" s="190" t="s">
        <v>498</v>
      </c>
      <c r="E181" s="191">
        <v>0</v>
      </c>
      <c r="F181" s="191">
        <v>0</v>
      </c>
      <c r="G181" s="191">
        <v>0.09</v>
      </c>
      <c r="H181" s="191">
        <v>0.67</v>
      </c>
      <c r="I181" s="191">
        <v>0</v>
      </c>
      <c r="J181" s="191">
        <v>0</v>
      </c>
      <c r="K181" s="191">
        <v>0</v>
      </c>
      <c r="L181" s="191">
        <v>0</v>
      </c>
      <c r="M181" s="191">
        <v>0</v>
      </c>
      <c r="N181" s="191">
        <v>0</v>
      </c>
      <c r="O181" s="191">
        <v>0.24</v>
      </c>
      <c r="P181" s="191">
        <v>0</v>
      </c>
      <c r="Q181" s="191">
        <v>0</v>
      </c>
      <c r="R181" s="191">
        <v>0</v>
      </c>
      <c r="S181" s="192">
        <f>SUM(E181:R181)</f>
        <v>1</v>
      </c>
      <c r="U181" s="189">
        <v>2025</v>
      </c>
      <c r="V181" s="189" t="s">
        <v>482</v>
      </c>
      <c r="W181" s="189">
        <v>2025</v>
      </c>
      <c r="X181" s="190" t="s">
        <v>498</v>
      </c>
      <c r="Y181" s="210">
        <f t="shared" ref="Y181:AL182" si="63">+E181</f>
        <v>0</v>
      </c>
      <c r="Z181" s="210">
        <f t="shared" si="63"/>
        <v>0</v>
      </c>
      <c r="AA181" s="210">
        <f t="shared" si="63"/>
        <v>0.09</v>
      </c>
      <c r="AB181" s="210">
        <f t="shared" si="63"/>
        <v>0.67</v>
      </c>
      <c r="AC181" s="210">
        <f t="shared" si="63"/>
        <v>0</v>
      </c>
      <c r="AD181" s="210">
        <f t="shared" si="63"/>
        <v>0</v>
      </c>
      <c r="AE181" s="210">
        <f t="shared" si="63"/>
        <v>0</v>
      </c>
      <c r="AF181" s="210">
        <f t="shared" si="63"/>
        <v>0</v>
      </c>
      <c r="AG181" s="210">
        <f t="shared" si="63"/>
        <v>0</v>
      </c>
      <c r="AH181" s="210">
        <f t="shared" si="63"/>
        <v>0</v>
      </c>
      <c r="AI181" s="210">
        <f t="shared" si="63"/>
        <v>0.24</v>
      </c>
      <c r="AJ181" s="210">
        <f t="shared" si="63"/>
        <v>0</v>
      </c>
      <c r="AK181" s="210">
        <f t="shared" si="63"/>
        <v>0</v>
      </c>
      <c r="AL181" s="210">
        <f t="shared" si="63"/>
        <v>0</v>
      </c>
      <c r="AM181" s="186">
        <f>SUM(Y181:AL181)</f>
        <v>1</v>
      </c>
      <c r="AO181" s="56"/>
    </row>
    <row r="182" spans="2:43" x14ac:dyDescent="0.35">
      <c r="B182" s="189">
        <v>2050</v>
      </c>
      <c r="C182" s="189" t="s">
        <v>482</v>
      </c>
      <c r="D182" s="190" t="s">
        <v>498</v>
      </c>
      <c r="E182" s="191">
        <v>0</v>
      </c>
      <c r="F182" s="191">
        <v>0</v>
      </c>
      <c r="G182" s="191">
        <v>0.02</v>
      </c>
      <c r="H182" s="191">
        <v>0.67</v>
      </c>
      <c r="I182" s="191">
        <v>0</v>
      </c>
      <c r="J182" s="191">
        <v>0</v>
      </c>
      <c r="K182" s="191">
        <v>0</v>
      </c>
      <c r="L182" s="191">
        <v>0</v>
      </c>
      <c r="M182" s="191">
        <v>0</v>
      </c>
      <c r="N182" s="191">
        <v>0</v>
      </c>
      <c r="O182" s="191">
        <v>0.31</v>
      </c>
      <c r="P182" s="191">
        <v>0</v>
      </c>
      <c r="Q182" s="191">
        <v>0</v>
      </c>
      <c r="R182" s="191">
        <v>0</v>
      </c>
      <c r="S182" s="192">
        <f>SUM(E182:R182)</f>
        <v>1</v>
      </c>
      <c r="U182" s="189">
        <v>2050</v>
      </c>
      <c r="V182" s="189" t="s">
        <v>482</v>
      </c>
      <c r="W182" s="189">
        <v>2050</v>
      </c>
      <c r="X182" s="190" t="s">
        <v>498</v>
      </c>
      <c r="Y182" s="210">
        <f t="shared" si="63"/>
        <v>0</v>
      </c>
      <c r="Z182" s="210">
        <f t="shared" si="63"/>
        <v>0</v>
      </c>
      <c r="AA182" s="210">
        <f t="shared" si="63"/>
        <v>0.02</v>
      </c>
      <c r="AB182" s="210">
        <f t="shared" si="63"/>
        <v>0.67</v>
      </c>
      <c r="AC182" s="210">
        <f t="shared" si="63"/>
        <v>0</v>
      </c>
      <c r="AD182" s="210">
        <f t="shared" si="63"/>
        <v>0</v>
      </c>
      <c r="AE182" s="210">
        <f t="shared" si="63"/>
        <v>0</v>
      </c>
      <c r="AF182" s="210">
        <f t="shared" si="63"/>
        <v>0</v>
      </c>
      <c r="AG182" s="210">
        <f t="shared" si="63"/>
        <v>0</v>
      </c>
      <c r="AH182" s="210">
        <f t="shared" si="63"/>
        <v>0</v>
      </c>
      <c r="AI182" s="210">
        <f t="shared" si="63"/>
        <v>0.31</v>
      </c>
      <c r="AJ182" s="210">
        <f t="shared" si="63"/>
        <v>0</v>
      </c>
      <c r="AK182" s="210">
        <f t="shared" si="63"/>
        <v>0</v>
      </c>
      <c r="AL182" s="210">
        <f t="shared" si="63"/>
        <v>0</v>
      </c>
      <c r="AM182" s="186">
        <f>SUM(Y182:AL182)</f>
        <v>1</v>
      </c>
      <c r="AO182" s="56"/>
    </row>
    <row r="183" spans="2:43" x14ac:dyDescent="0.35">
      <c r="B183" s="195"/>
      <c r="C183" s="195"/>
      <c r="D183" s="196"/>
      <c r="E183" s="197"/>
      <c r="F183" s="197"/>
      <c r="G183" s="197"/>
      <c r="H183" s="197"/>
      <c r="I183" s="197"/>
      <c r="J183" s="197"/>
      <c r="K183" s="197"/>
      <c r="L183" s="197"/>
      <c r="M183" s="197"/>
      <c r="N183" s="197"/>
      <c r="O183" s="197"/>
      <c r="P183" s="197"/>
      <c r="Q183" s="197"/>
      <c r="R183" s="197"/>
      <c r="S183" s="198"/>
      <c r="U183" s="195"/>
      <c r="V183" s="195"/>
      <c r="W183" s="195"/>
      <c r="X183" s="196"/>
      <c r="Y183" s="199"/>
      <c r="Z183" s="199"/>
      <c r="AA183" s="199"/>
      <c r="AB183" s="199"/>
      <c r="AC183" s="199"/>
      <c r="AD183" s="199"/>
      <c r="AE183" s="199"/>
      <c r="AF183" s="199"/>
      <c r="AG183" s="199"/>
      <c r="AH183" s="199"/>
      <c r="AI183" s="199"/>
      <c r="AJ183" s="199"/>
      <c r="AK183" s="199"/>
      <c r="AL183" s="199"/>
      <c r="AM183" s="200"/>
      <c r="AO183" s="56"/>
    </row>
    <row r="184" spans="2:43" x14ac:dyDescent="0.35">
      <c r="B184" s="189">
        <v>2019</v>
      </c>
      <c r="C184" s="189" t="s">
        <v>483</v>
      </c>
      <c r="D184" s="190" t="s">
        <v>498</v>
      </c>
      <c r="E184" s="191">
        <v>7.2272284052321403E-2</v>
      </c>
      <c r="F184" s="191"/>
      <c r="G184" s="191">
        <v>2.01689588256188E-2</v>
      </c>
      <c r="H184" s="191">
        <v>0.59944091663669197</v>
      </c>
      <c r="I184" s="191">
        <v>1.9519577919500101E-2</v>
      </c>
      <c r="J184" s="191">
        <v>0</v>
      </c>
      <c r="K184" s="191">
        <v>0</v>
      </c>
      <c r="L184" s="191">
        <v>0</v>
      </c>
      <c r="M184" s="191">
        <v>0</v>
      </c>
      <c r="N184" s="191">
        <v>0</v>
      </c>
      <c r="O184" s="191">
        <v>0.28856456772665201</v>
      </c>
      <c r="P184" s="191">
        <v>0</v>
      </c>
      <c r="Q184" s="191">
        <v>0</v>
      </c>
      <c r="R184" s="191">
        <v>0</v>
      </c>
      <c r="S184" s="192">
        <f>SUM(E184:R184)</f>
        <v>0.99996630516078433</v>
      </c>
      <c r="U184" s="189">
        <v>2019</v>
      </c>
      <c r="V184" s="189" t="s">
        <v>483</v>
      </c>
      <c r="W184" s="189">
        <v>2019</v>
      </c>
      <c r="X184" s="190" t="s">
        <v>498</v>
      </c>
      <c r="Y184" s="193">
        <f t="shared" ref="Y184:AM184" si="64">INDEX(X$11:X$35,MATCH($V184,$V$11:$V$35,0))/INDEX($AL$11:$AL$35,MATCH($V184,$V$11:$V$35,0))</f>
        <v>5.0974689493015597E-2</v>
      </c>
      <c r="Z184" s="193">
        <f t="shared" si="64"/>
        <v>2.8679360398211028E-2</v>
      </c>
      <c r="AA184" s="193">
        <f t="shared" si="64"/>
        <v>2.2218622542401905E-2</v>
      </c>
      <c r="AB184" s="193">
        <f t="shared" si="64"/>
        <v>0.66035889994998098</v>
      </c>
      <c r="AC184" s="193">
        <f t="shared" si="64"/>
        <v>3.0041367735568508E-2</v>
      </c>
      <c r="AD184" s="193">
        <f t="shared" si="64"/>
        <v>0</v>
      </c>
      <c r="AE184" s="193">
        <f t="shared" si="64"/>
        <v>0</v>
      </c>
      <c r="AF184" s="193">
        <f t="shared" si="64"/>
        <v>0</v>
      </c>
      <c r="AG184" s="193">
        <f t="shared" si="64"/>
        <v>0</v>
      </c>
      <c r="AH184" s="193">
        <f t="shared" si="64"/>
        <v>0</v>
      </c>
      <c r="AI184" s="193">
        <f t="shared" si="64"/>
        <v>0.20772705988082213</v>
      </c>
      <c r="AJ184" s="193">
        <f t="shared" si="64"/>
        <v>0</v>
      </c>
      <c r="AK184" s="193">
        <f t="shared" si="64"/>
        <v>0</v>
      </c>
      <c r="AL184" s="193">
        <f t="shared" si="64"/>
        <v>0</v>
      </c>
      <c r="AM184" s="186">
        <f t="shared" si="64"/>
        <v>1</v>
      </c>
      <c r="AO184" s="56" t="s">
        <v>531</v>
      </c>
    </row>
    <row r="185" spans="2:43" x14ac:dyDescent="0.35">
      <c r="B185" s="189">
        <v>2025</v>
      </c>
      <c r="C185" s="189" t="s">
        <v>483</v>
      </c>
      <c r="D185" s="190" t="s">
        <v>498</v>
      </c>
      <c r="E185" s="191">
        <v>7.18828948153757E-2</v>
      </c>
      <c r="F185" s="191">
        <v>0</v>
      </c>
      <c r="G185" s="191">
        <v>2.01689588256188E-2</v>
      </c>
      <c r="H185" s="191">
        <v>0.59670049547708004</v>
      </c>
      <c r="I185" s="191">
        <v>2.2259999079112702E-2</v>
      </c>
      <c r="J185" s="191">
        <v>0</v>
      </c>
      <c r="K185" s="191">
        <v>0</v>
      </c>
      <c r="L185" s="191">
        <v>0</v>
      </c>
      <c r="M185" s="191">
        <v>0</v>
      </c>
      <c r="N185" s="191">
        <v>0</v>
      </c>
      <c r="O185" s="191">
        <v>0.28883543240466703</v>
      </c>
      <c r="P185" s="191">
        <v>0</v>
      </c>
      <c r="Q185" s="191">
        <v>0</v>
      </c>
      <c r="R185" s="191">
        <v>0</v>
      </c>
      <c r="S185" s="192">
        <f>SUM(E185:R185)</f>
        <v>0.9998477806018542</v>
      </c>
      <c r="U185" s="189">
        <v>2025</v>
      </c>
      <c r="V185" s="189" t="s">
        <v>483</v>
      </c>
      <c r="W185" s="189">
        <v>2025</v>
      </c>
      <c r="X185" s="190" t="s">
        <v>498</v>
      </c>
      <c r="Y185" s="193">
        <v>4.4999999999999998E-2</v>
      </c>
      <c r="Z185" s="193">
        <f>+F185</f>
        <v>0</v>
      </c>
      <c r="AA185" s="193">
        <f>+G185</f>
        <v>2.01689588256188E-2</v>
      </c>
      <c r="AB185" s="193">
        <v>0.64500000000000002</v>
      </c>
      <c r="AC185" s="193">
        <v>0.04</v>
      </c>
      <c r="AD185" s="193">
        <f t="shared" ref="AD185:AH186" si="65">+J185</f>
        <v>0</v>
      </c>
      <c r="AE185" s="193">
        <f t="shared" si="65"/>
        <v>0</v>
      </c>
      <c r="AF185" s="193">
        <f t="shared" si="65"/>
        <v>0</v>
      </c>
      <c r="AG185" s="193">
        <f t="shared" si="65"/>
        <v>0</v>
      </c>
      <c r="AH185" s="193">
        <f t="shared" si="65"/>
        <v>0</v>
      </c>
      <c r="AI185" s="193">
        <v>0.25</v>
      </c>
      <c r="AJ185" s="193">
        <f t="shared" ref="AJ185:AL186" si="66">+P185</f>
        <v>0</v>
      </c>
      <c r="AK185" s="193">
        <f t="shared" si="66"/>
        <v>0</v>
      </c>
      <c r="AL185" s="193">
        <f t="shared" si="66"/>
        <v>0</v>
      </c>
      <c r="AM185" s="186">
        <f>SUM(Y185:AL185)</f>
        <v>1.0001689588256188</v>
      </c>
      <c r="AO185" s="56" t="s">
        <v>530</v>
      </c>
    </row>
    <row r="186" spans="2:43" x14ac:dyDescent="0.35">
      <c r="B186" s="189">
        <v>2050</v>
      </c>
      <c r="C186" s="189" t="s">
        <v>483</v>
      </c>
      <c r="D186" s="190" t="s">
        <v>498</v>
      </c>
      <c r="E186" s="191">
        <v>7.18828948153757E-2</v>
      </c>
      <c r="F186" s="191">
        <v>0</v>
      </c>
      <c r="G186" s="191">
        <v>2.01689588256188E-2</v>
      </c>
      <c r="H186" s="191">
        <v>0.58907901911512295</v>
      </c>
      <c r="I186" s="191">
        <v>0</v>
      </c>
      <c r="J186" s="191">
        <v>0</v>
      </c>
      <c r="K186" s="191">
        <v>0</v>
      </c>
      <c r="L186" s="191">
        <v>0</v>
      </c>
      <c r="M186" s="191">
        <v>0</v>
      </c>
      <c r="N186" s="191">
        <v>0</v>
      </c>
      <c r="O186" s="191">
        <v>0.318835432404667</v>
      </c>
      <c r="P186" s="191">
        <v>0</v>
      </c>
      <c r="Q186" s="191">
        <v>0</v>
      </c>
      <c r="R186" s="191">
        <v>0</v>
      </c>
      <c r="S186" s="192">
        <f>SUM(E186:R186)</f>
        <v>0.99996630516078433</v>
      </c>
      <c r="U186" s="189">
        <v>2050</v>
      </c>
      <c r="V186" s="189" t="s">
        <v>483</v>
      </c>
      <c r="W186" s="189">
        <v>2050</v>
      </c>
      <c r="X186" s="190" t="s">
        <v>498</v>
      </c>
      <c r="Y186" s="193">
        <v>0</v>
      </c>
      <c r="Z186" s="193">
        <f>+F186</f>
        <v>0</v>
      </c>
      <c r="AA186" s="193">
        <v>0.01</v>
      </c>
      <c r="AB186" s="193">
        <v>0.59</v>
      </c>
      <c r="AC186" s="193">
        <v>0.05</v>
      </c>
      <c r="AD186" s="193">
        <f t="shared" si="65"/>
        <v>0</v>
      </c>
      <c r="AE186" s="193">
        <f t="shared" si="65"/>
        <v>0</v>
      </c>
      <c r="AF186" s="193">
        <f t="shared" si="65"/>
        <v>0</v>
      </c>
      <c r="AG186" s="193">
        <f t="shared" si="65"/>
        <v>0</v>
      </c>
      <c r="AH186" s="193">
        <f t="shared" si="65"/>
        <v>0</v>
      </c>
      <c r="AI186" s="193">
        <v>0.35</v>
      </c>
      <c r="AJ186" s="193">
        <f t="shared" si="66"/>
        <v>0</v>
      </c>
      <c r="AK186" s="193">
        <f t="shared" si="66"/>
        <v>0</v>
      </c>
      <c r="AL186" s="193">
        <f t="shared" si="66"/>
        <v>0</v>
      </c>
      <c r="AM186" s="186">
        <f>SUM(Y186:AL186)</f>
        <v>1</v>
      </c>
      <c r="AO186" s="56"/>
    </row>
    <row r="187" spans="2:43" x14ac:dyDescent="0.35">
      <c r="B187" s="195"/>
      <c r="C187" s="195"/>
      <c r="D187" s="196"/>
      <c r="E187" s="197"/>
      <c r="F187" s="197"/>
      <c r="G187" s="197"/>
      <c r="H187" s="197"/>
      <c r="I187" s="197"/>
      <c r="J187" s="197"/>
      <c r="K187" s="197"/>
      <c r="L187" s="197"/>
      <c r="M187" s="197"/>
      <c r="N187" s="197"/>
      <c r="O187" s="197"/>
      <c r="P187" s="197"/>
      <c r="Q187" s="197"/>
      <c r="R187" s="197"/>
      <c r="S187" s="198"/>
      <c r="U187" s="195"/>
      <c r="V187" s="195"/>
      <c r="W187" s="195"/>
      <c r="X187" s="196"/>
      <c r="Y187" s="199"/>
      <c r="Z187" s="199"/>
      <c r="AA187" s="199"/>
      <c r="AB187" s="199"/>
      <c r="AC187" s="199"/>
      <c r="AD187" s="199"/>
      <c r="AE187" s="199"/>
      <c r="AF187" s="199"/>
      <c r="AG187" s="199"/>
      <c r="AH187" s="199"/>
      <c r="AI187" s="199"/>
      <c r="AJ187" s="199"/>
      <c r="AK187" s="199"/>
      <c r="AL187" s="199"/>
      <c r="AM187" s="200"/>
      <c r="AO187" s="56"/>
    </row>
    <row r="188" spans="2:43" x14ac:dyDescent="0.35">
      <c r="B188" s="184"/>
      <c r="C188" s="184" t="s">
        <v>484</v>
      </c>
      <c r="D188" s="184"/>
      <c r="E188" s="203"/>
      <c r="F188" s="203"/>
      <c r="G188" s="203"/>
      <c r="H188" s="203"/>
      <c r="I188" s="203"/>
      <c r="J188" s="203"/>
      <c r="K188" s="203"/>
      <c r="L188" s="203"/>
      <c r="M188" s="203"/>
      <c r="N188" s="203"/>
      <c r="O188" s="203"/>
      <c r="P188" s="203"/>
      <c r="Q188" s="203"/>
      <c r="R188" s="203"/>
      <c r="S188" s="192"/>
      <c r="U188" s="184"/>
      <c r="V188" s="435" t="s">
        <v>484</v>
      </c>
      <c r="W188" s="435"/>
      <c r="X188" s="435"/>
      <c r="Y188" s="185"/>
      <c r="Z188" s="185"/>
      <c r="AA188" s="185"/>
      <c r="AB188" s="185"/>
      <c r="AC188" s="185"/>
      <c r="AD188" s="185"/>
      <c r="AE188" s="185"/>
      <c r="AF188" s="185"/>
      <c r="AG188" s="185"/>
      <c r="AH188" s="185"/>
      <c r="AI188" s="185"/>
      <c r="AJ188" s="185"/>
      <c r="AK188" s="185"/>
      <c r="AL188" s="185"/>
      <c r="AM188" s="186"/>
      <c r="AO188" s="56"/>
    </row>
    <row r="189" spans="2:43" x14ac:dyDescent="0.35">
      <c r="B189" s="189">
        <v>2019</v>
      </c>
      <c r="C189" s="189" t="s">
        <v>485</v>
      </c>
      <c r="D189" s="190" t="s">
        <v>498</v>
      </c>
      <c r="E189" s="191">
        <v>0.186</v>
      </c>
      <c r="F189" s="191"/>
      <c r="G189" s="191">
        <v>0.09</v>
      </c>
      <c r="H189" s="191">
        <v>0.67</v>
      </c>
      <c r="I189" s="191">
        <v>4.0000000000000001E-3</v>
      </c>
      <c r="J189" s="191">
        <v>0</v>
      </c>
      <c r="K189" s="191">
        <v>0</v>
      </c>
      <c r="L189" s="191">
        <v>0</v>
      </c>
      <c r="M189" s="191">
        <v>0</v>
      </c>
      <c r="N189" s="191">
        <v>0</v>
      </c>
      <c r="O189" s="191">
        <v>0.05</v>
      </c>
      <c r="P189" s="191">
        <v>0</v>
      </c>
      <c r="Q189" s="191">
        <v>0</v>
      </c>
      <c r="R189" s="191">
        <v>0</v>
      </c>
      <c r="S189" s="192">
        <f>SUM(E189:R189)</f>
        <v>1</v>
      </c>
      <c r="U189" s="189">
        <v>2019</v>
      </c>
      <c r="V189" s="189" t="s">
        <v>485</v>
      </c>
      <c r="W189" s="189">
        <v>2019</v>
      </c>
      <c r="X189" s="190" t="s">
        <v>498</v>
      </c>
      <c r="Y189" s="210">
        <f t="shared" ref="Y189:AM189" si="67">INDEX(X$11:X$35,MATCH($V189,$V$11:$V$35,0))/INDEX($AL$11:$AL$35,MATCH($V189,$V$11:$V$35,0))</f>
        <v>0.18599999999999997</v>
      </c>
      <c r="Z189" s="210">
        <f t="shared" si="67"/>
        <v>0</v>
      </c>
      <c r="AA189" s="210">
        <f t="shared" si="67"/>
        <v>0.09</v>
      </c>
      <c r="AB189" s="210">
        <f t="shared" si="67"/>
        <v>0.66999999999999993</v>
      </c>
      <c r="AC189" s="210">
        <f t="shared" si="67"/>
        <v>4.0000000000000001E-3</v>
      </c>
      <c r="AD189" s="210">
        <f t="shared" si="67"/>
        <v>0</v>
      </c>
      <c r="AE189" s="210">
        <f t="shared" si="67"/>
        <v>0</v>
      </c>
      <c r="AF189" s="210">
        <f t="shared" si="67"/>
        <v>0</v>
      </c>
      <c r="AG189" s="210">
        <f t="shared" si="67"/>
        <v>0</v>
      </c>
      <c r="AH189" s="210">
        <f t="shared" si="67"/>
        <v>0</v>
      </c>
      <c r="AI189" s="210">
        <f t="shared" si="67"/>
        <v>4.9999999999999996E-2</v>
      </c>
      <c r="AJ189" s="210">
        <f t="shared" si="67"/>
        <v>0</v>
      </c>
      <c r="AK189" s="210">
        <f t="shared" si="67"/>
        <v>0</v>
      </c>
      <c r="AL189" s="210">
        <f t="shared" si="67"/>
        <v>0</v>
      </c>
      <c r="AM189" s="186">
        <f t="shared" si="67"/>
        <v>1</v>
      </c>
      <c r="AO189" s="56" t="s">
        <v>532</v>
      </c>
    </row>
    <row r="190" spans="2:43" x14ac:dyDescent="0.35">
      <c r="B190" s="189">
        <v>2025</v>
      </c>
      <c r="C190" s="189" t="s">
        <v>485</v>
      </c>
      <c r="D190" s="190" t="s">
        <v>498</v>
      </c>
      <c r="E190" s="191">
        <v>0.15175876436862501</v>
      </c>
      <c r="F190" s="191">
        <v>0</v>
      </c>
      <c r="G190" s="191">
        <v>0.09</v>
      </c>
      <c r="H190" s="191">
        <v>0.67</v>
      </c>
      <c r="I190" s="191">
        <v>0</v>
      </c>
      <c r="J190" s="191">
        <v>0</v>
      </c>
      <c r="K190" s="191">
        <v>0</v>
      </c>
      <c r="L190" s="191">
        <v>0</v>
      </c>
      <c r="M190" s="191">
        <v>0</v>
      </c>
      <c r="N190" s="191">
        <v>0</v>
      </c>
      <c r="O190" s="191">
        <v>7.4778557978260093E-2</v>
      </c>
      <c r="P190" s="191">
        <v>0</v>
      </c>
      <c r="Q190" s="191">
        <v>9.4626776531150699E-3</v>
      </c>
      <c r="R190" s="191">
        <v>0</v>
      </c>
      <c r="S190" s="192">
        <f>SUM(E190:R190)</f>
        <v>0.99600000000000011</v>
      </c>
      <c r="U190" s="189">
        <v>2025</v>
      </c>
      <c r="V190" s="189" t="s">
        <v>485</v>
      </c>
      <c r="W190" s="189">
        <v>2025</v>
      </c>
      <c r="X190" s="190" t="s">
        <v>498</v>
      </c>
      <c r="Y190" s="193">
        <v>0.16</v>
      </c>
      <c r="Z190" s="193">
        <f>+F190</f>
        <v>0</v>
      </c>
      <c r="AA190" s="193">
        <f>8.5%</f>
        <v>8.5000000000000006E-2</v>
      </c>
      <c r="AB190" s="193">
        <v>0.66600000000000004</v>
      </c>
      <c r="AC190" s="193">
        <v>0.02</v>
      </c>
      <c r="AD190" s="193">
        <f t="shared" ref="AD190:AH191" si="68">+J190</f>
        <v>0</v>
      </c>
      <c r="AE190" s="193">
        <f t="shared" si="68"/>
        <v>0</v>
      </c>
      <c r="AF190" s="193">
        <f t="shared" si="68"/>
        <v>0</v>
      </c>
      <c r="AG190" s="193">
        <f t="shared" si="68"/>
        <v>0</v>
      </c>
      <c r="AH190" s="193">
        <f t="shared" si="68"/>
        <v>0</v>
      </c>
      <c r="AI190" s="193">
        <v>0.06</v>
      </c>
      <c r="AJ190" s="193">
        <f t="shared" ref="AJ190:AL191" si="69">+P190</f>
        <v>0</v>
      </c>
      <c r="AK190" s="193">
        <f t="shared" si="69"/>
        <v>9.4626776531150699E-3</v>
      </c>
      <c r="AL190" s="193">
        <f t="shared" si="69"/>
        <v>0</v>
      </c>
      <c r="AM190" s="186">
        <f>SUM(Y190:AL190)</f>
        <v>1.0004626776531151</v>
      </c>
      <c r="AO190" s="56" t="s">
        <v>530</v>
      </c>
    </row>
    <row r="191" spans="2:43" x14ac:dyDescent="0.35">
      <c r="B191" s="189">
        <v>2050</v>
      </c>
      <c r="C191" s="189" t="s">
        <v>485</v>
      </c>
      <c r="D191" s="190" t="s">
        <v>498</v>
      </c>
      <c r="E191" s="191">
        <v>0</v>
      </c>
      <c r="F191" s="191">
        <v>0</v>
      </c>
      <c r="G191" s="191">
        <v>4.4999999999999998E-2</v>
      </c>
      <c r="H191" s="191">
        <v>0.766758764368625</v>
      </c>
      <c r="I191" s="191">
        <v>0</v>
      </c>
      <c r="J191" s="191">
        <v>0</v>
      </c>
      <c r="K191" s="191">
        <v>0</v>
      </c>
      <c r="L191" s="191">
        <v>0</v>
      </c>
      <c r="M191" s="191">
        <v>0</v>
      </c>
      <c r="N191" s="191">
        <v>0</v>
      </c>
      <c r="O191" s="191">
        <v>0.17477855797826</v>
      </c>
      <c r="P191" s="191">
        <v>0</v>
      </c>
      <c r="Q191" s="191">
        <v>9.4626776531150699E-3</v>
      </c>
      <c r="R191" s="191">
        <v>0</v>
      </c>
      <c r="S191" s="192">
        <f>SUM(E191:R191)</f>
        <v>0.99600000000000011</v>
      </c>
      <c r="U191" s="189">
        <v>2050</v>
      </c>
      <c r="V191" s="189" t="s">
        <v>485</v>
      </c>
      <c r="W191" s="189">
        <v>2050</v>
      </c>
      <c r="X191" s="190" t="s">
        <v>498</v>
      </c>
      <c r="Y191" s="193">
        <f>+E191</f>
        <v>0</v>
      </c>
      <c r="Z191" s="193">
        <f>+F191</f>
        <v>0</v>
      </c>
      <c r="AA191" s="193">
        <v>0.02</v>
      </c>
      <c r="AB191" s="193">
        <v>0.746</v>
      </c>
      <c r="AC191" s="193">
        <v>0.05</v>
      </c>
      <c r="AD191" s="193">
        <f t="shared" si="68"/>
        <v>0</v>
      </c>
      <c r="AE191" s="193">
        <f t="shared" si="68"/>
        <v>0</v>
      </c>
      <c r="AF191" s="193">
        <f t="shared" si="68"/>
        <v>0</v>
      </c>
      <c r="AG191" s="193">
        <f t="shared" si="68"/>
        <v>0</v>
      </c>
      <c r="AH191" s="193">
        <f t="shared" si="68"/>
        <v>0</v>
      </c>
      <c r="AI191" s="193">
        <f>+O191</f>
        <v>0.17477855797826</v>
      </c>
      <c r="AJ191" s="193">
        <f t="shared" si="69"/>
        <v>0</v>
      </c>
      <c r="AK191" s="193">
        <f t="shared" si="69"/>
        <v>9.4626776531150699E-3</v>
      </c>
      <c r="AL191" s="193">
        <f t="shared" si="69"/>
        <v>0</v>
      </c>
      <c r="AM191" s="186">
        <f>SUM(Y191:AL191)</f>
        <v>1.0002412356313752</v>
      </c>
      <c r="AO191" s="56"/>
    </row>
    <row r="192" spans="2:43" x14ac:dyDescent="0.35">
      <c r="B192" s="195"/>
      <c r="C192" s="195"/>
      <c r="D192" s="196"/>
      <c r="E192" s="197"/>
      <c r="F192" s="197"/>
      <c r="G192" s="197"/>
      <c r="H192" s="197"/>
      <c r="I192" s="197"/>
      <c r="J192" s="197"/>
      <c r="K192" s="197"/>
      <c r="L192" s="197"/>
      <c r="M192" s="197"/>
      <c r="N192" s="197"/>
      <c r="O192" s="197"/>
      <c r="P192" s="197"/>
      <c r="Q192" s="197"/>
      <c r="R192" s="197"/>
      <c r="S192" s="198"/>
      <c r="U192" s="195"/>
      <c r="V192" s="195"/>
      <c r="W192" s="195"/>
      <c r="X192" s="196"/>
      <c r="Y192" s="199"/>
      <c r="Z192" s="199"/>
      <c r="AA192" s="199"/>
      <c r="AB192" s="199"/>
      <c r="AC192" s="199"/>
      <c r="AD192" s="199"/>
      <c r="AE192" s="199"/>
      <c r="AF192" s="199"/>
      <c r="AG192" s="199"/>
      <c r="AH192" s="199"/>
      <c r="AI192" s="199"/>
      <c r="AJ192" s="199"/>
      <c r="AK192" s="199"/>
      <c r="AL192" s="199"/>
      <c r="AM192" s="200"/>
      <c r="AO192" s="56"/>
    </row>
    <row r="193" spans="2:41" x14ac:dyDescent="0.35">
      <c r="B193" s="189">
        <v>2019</v>
      </c>
      <c r="C193" s="189" t="s">
        <v>486</v>
      </c>
      <c r="D193" s="190" t="s">
        <v>498</v>
      </c>
      <c r="E193" s="191">
        <v>8.0396422478601296E-3</v>
      </c>
      <c r="F193" s="191"/>
      <c r="G193" s="191">
        <v>4.0987243078700303E-2</v>
      </c>
      <c r="H193" s="191">
        <v>0.39554572706355101</v>
      </c>
      <c r="I193" s="191">
        <v>4.3557005701464299E-2</v>
      </c>
      <c r="J193" s="191">
        <v>0</v>
      </c>
      <c r="K193" s="191">
        <v>0</v>
      </c>
      <c r="L193" s="191">
        <v>0</v>
      </c>
      <c r="M193" s="191">
        <v>0</v>
      </c>
      <c r="N193" s="191">
        <v>0</v>
      </c>
      <c r="O193" s="191">
        <v>0.45612245802627299</v>
      </c>
      <c r="P193" s="191">
        <v>0</v>
      </c>
      <c r="Q193" s="191">
        <v>5.5782681281329703E-2</v>
      </c>
      <c r="R193" s="191">
        <v>0</v>
      </c>
      <c r="S193" s="192">
        <f>SUM(E193:R193)</f>
        <v>1.0000347573991786</v>
      </c>
      <c r="U193" s="189">
        <v>2019</v>
      </c>
      <c r="V193" s="189" t="s">
        <v>486</v>
      </c>
      <c r="W193" s="189">
        <v>2019</v>
      </c>
      <c r="X193" s="190" t="s">
        <v>498</v>
      </c>
      <c r="Y193" s="210">
        <f t="shared" ref="Y193:AM193" si="70">INDEX(X$11:X$35,MATCH($V193,$V$11:$V$35,0))/INDEX($AL$11:$AL$35,MATCH($V193,$V$11:$V$35,0))</f>
        <v>4.5396422478601334E-3</v>
      </c>
      <c r="Z193" s="210">
        <f t="shared" si="70"/>
        <v>3.4652426008214862E-3</v>
      </c>
      <c r="AA193" s="210">
        <f t="shared" si="70"/>
        <v>4.0987243078700289E-2</v>
      </c>
      <c r="AB193" s="210">
        <f t="shared" si="70"/>
        <v>0.39554572706355073</v>
      </c>
      <c r="AC193" s="210">
        <f t="shared" si="70"/>
        <v>4.355700570146432E-2</v>
      </c>
      <c r="AD193" s="210">
        <f t="shared" si="70"/>
        <v>0</v>
      </c>
      <c r="AE193" s="210">
        <f t="shared" si="70"/>
        <v>0</v>
      </c>
      <c r="AF193" s="210">
        <f t="shared" si="70"/>
        <v>0</v>
      </c>
      <c r="AG193" s="210">
        <f t="shared" si="70"/>
        <v>0</v>
      </c>
      <c r="AH193" s="210">
        <f t="shared" si="70"/>
        <v>0</v>
      </c>
      <c r="AI193" s="210">
        <f t="shared" si="70"/>
        <v>0.45612245802627327</v>
      </c>
      <c r="AJ193" s="210">
        <f t="shared" si="70"/>
        <v>0</v>
      </c>
      <c r="AK193" s="210">
        <f t="shared" si="70"/>
        <v>5.5782681281329675E-2</v>
      </c>
      <c r="AL193" s="210">
        <f t="shared" si="70"/>
        <v>0</v>
      </c>
      <c r="AM193" s="186">
        <f t="shared" si="70"/>
        <v>1</v>
      </c>
      <c r="AO193" s="56"/>
    </row>
    <row r="194" spans="2:41" x14ac:dyDescent="0.35">
      <c r="B194" s="189">
        <v>2025</v>
      </c>
      <c r="C194" s="189" t="s">
        <v>486</v>
      </c>
      <c r="D194" s="190" t="s">
        <v>498</v>
      </c>
      <c r="E194" s="191">
        <v>0</v>
      </c>
      <c r="F194" s="191">
        <v>0</v>
      </c>
      <c r="G194" s="191">
        <v>2.7540056386653699E-2</v>
      </c>
      <c r="H194" s="191">
        <v>0.379441691839836</v>
      </c>
      <c r="I194" s="191">
        <v>7.7366489552603099E-2</v>
      </c>
      <c r="J194" s="191">
        <v>0</v>
      </c>
      <c r="K194" s="191">
        <v>0</v>
      </c>
      <c r="L194" s="191">
        <v>0</v>
      </c>
      <c r="M194" s="191">
        <v>0</v>
      </c>
      <c r="N194" s="191">
        <v>0</v>
      </c>
      <c r="O194" s="191">
        <v>0.45636348652369502</v>
      </c>
      <c r="P194" s="191">
        <v>0</v>
      </c>
      <c r="Q194" s="191">
        <v>5.5823099680444598E-2</v>
      </c>
      <c r="R194" s="191">
        <v>0</v>
      </c>
      <c r="S194" s="192">
        <f>SUM(E194:R194)</f>
        <v>0.99653482398323245</v>
      </c>
      <c r="U194" s="189">
        <v>2025</v>
      </c>
      <c r="V194" s="189" t="s">
        <v>486</v>
      </c>
      <c r="W194" s="189">
        <v>2025</v>
      </c>
      <c r="X194" s="190" t="s">
        <v>498</v>
      </c>
      <c r="Y194" s="210">
        <f>+E194</f>
        <v>0</v>
      </c>
      <c r="Z194" s="210">
        <f>+F194</f>
        <v>0</v>
      </c>
      <c r="AA194" s="210">
        <v>2.5000000000000001E-2</v>
      </c>
      <c r="AB194" s="210">
        <f>+H194</f>
        <v>0.379441691839836</v>
      </c>
      <c r="AC194" s="193">
        <v>0.06</v>
      </c>
      <c r="AD194" s="210">
        <f t="shared" ref="AD194:AH195" si="71">+J194</f>
        <v>0</v>
      </c>
      <c r="AE194" s="210">
        <f t="shared" si="71"/>
        <v>0</v>
      </c>
      <c r="AF194" s="210">
        <f t="shared" si="71"/>
        <v>0</v>
      </c>
      <c r="AG194" s="210">
        <f t="shared" si="71"/>
        <v>0</v>
      </c>
      <c r="AH194" s="210">
        <f t="shared" si="71"/>
        <v>0</v>
      </c>
      <c r="AI194" s="193">
        <v>0.48</v>
      </c>
      <c r="AJ194" s="210">
        <f t="shared" ref="AJ194:AL195" si="72">+P194</f>
        <v>0</v>
      </c>
      <c r="AK194" s="210">
        <f t="shared" si="72"/>
        <v>5.5823099680444598E-2</v>
      </c>
      <c r="AL194" s="210">
        <f t="shared" si="72"/>
        <v>0</v>
      </c>
      <c r="AM194" s="186">
        <f>SUM(Y194:AL194)</f>
        <v>1.0002647915202805</v>
      </c>
      <c r="AO194" s="56"/>
    </row>
    <row r="195" spans="2:41" x14ac:dyDescent="0.35">
      <c r="B195" s="189">
        <v>2050</v>
      </c>
      <c r="C195" s="189" t="s">
        <v>486</v>
      </c>
      <c r="D195" s="190" t="s">
        <v>498</v>
      </c>
      <c r="E195" s="191">
        <v>0</v>
      </c>
      <c r="F195" s="191">
        <v>0</v>
      </c>
      <c r="G195" s="191">
        <v>0</v>
      </c>
      <c r="H195" s="191">
        <v>0.38</v>
      </c>
      <c r="I195" s="191">
        <v>0.1</v>
      </c>
      <c r="J195" s="191">
        <v>0</v>
      </c>
      <c r="K195" s="191">
        <v>0</v>
      </c>
      <c r="L195" s="191">
        <v>0</v>
      </c>
      <c r="M195" s="191">
        <v>0</v>
      </c>
      <c r="N195" s="191">
        <v>0</v>
      </c>
      <c r="O195" s="191">
        <v>0.464176900319556</v>
      </c>
      <c r="P195" s="191">
        <v>0</v>
      </c>
      <c r="Q195" s="191">
        <v>5.5823099680444598E-2</v>
      </c>
      <c r="R195" s="191">
        <v>0</v>
      </c>
      <c r="S195" s="192">
        <f>SUM(E195:R195)</f>
        <v>1.0000000000000004</v>
      </c>
      <c r="U195" s="189">
        <v>2050</v>
      </c>
      <c r="V195" s="189" t="s">
        <v>486</v>
      </c>
      <c r="W195" s="189">
        <v>2050</v>
      </c>
      <c r="X195" s="190" t="s">
        <v>498</v>
      </c>
      <c r="Y195" s="210">
        <f>+E195</f>
        <v>0</v>
      </c>
      <c r="Z195" s="210">
        <f>+F195</f>
        <v>0</v>
      </c>
      <c r="AA195" s="210">
        <f>+G195</f>
        <v>0</v>
      </c>
      <c r="AB195" s="210">
        <f>+H195</f>
        <v>0.38</v>
      </c>
      <c r="AC195" s="193">
        <f>8%</f>
        <v>0.08</v>
      </c>
      <c r="AD195" s="210">
        <f t="shared" si="71"/>
        <v>0</v>
      </c>
      <c r="AE195" s="210">
        <f t="shared" si="71"/>
        <v>0</v>
      </c>
      <c r="AF195" s="210">
        <f t="shared" si="71"/>
        <v>0</v>
      </c>
      <c r="AG195" s="210">
        <f t="shared" si="71"/>
        <v>0</v>
      </c>
      <c r="AH195" s="210">
        <f t="shared" si="71"/>
        <v>0</v>
      </c>
      <c r="AI195" s="193">
        <v>0.48399999999999999</v>
      </c>
      <c r="AJ195" s="210">
        <f t="shared" si="72"/>
        <v>0</v>
      </c>
      <c r="AK195" s="210">
        <f t="shared" si="72"/>
        <v>5.5823099680444598E-2</v>
      </c>
      <c r="AL195" s="210">
        <f t="shared" si="72"/>
        <v>0</v>
      </c>
      <c r="AM195" s="186">
        <f>SUM(Y195:AL195)</f>
        <v>0.99982309968044458</v>
      </c>
      <c r="AO195" s="56"/>
    </row>
    <row r="196" spans="2:41" x14ac:dyDescent="0.35">
      <c r="B196" s="195"/>
      <c r="C196" s="195"/>
      <c r="D196" s="196"/>
      <c r="E196" s="197"/>
      <c r="F196" s="197"/>
      <c r="G196" s="197"/>
      <c r="H196" s="197"/>
      <c r="I196" s="197"/>
      <c r="J196" s="197"/>
      <c r="K196" s="197"/>
      <c r="L196" s="197"/>
      <c r="M196" s="197"/>
      <c r="N196" s="197"/>
      <c r="O196" s="197"/>
      <c r="P196" s="197"/>
      <c r="Q196" s="197"/>
      <c r="R196" s="197"/>
      <c r="S196" s="198"/>
      <c r="U196" s="195"/>
      <c r="V196" s="195"/>
      <c r="W196" s="195"/>
      <c r="X196" s="196"/>
      <c r="Y196" s="185"/>
      <c r="Z196" s="185"/>
      <c r="AA196" s="185"/>
      <c r="AB196" s="185"/>
      <c r="AC196" s="185"/>
      <c r="AD196" s="185"/>
      <c r="AE196" s="185"/>
      <c r="AF196" s="185"/>
      <c r="AG196" s="185"/>
      <c r="AH196" s="185"/>
      <c r="AI196" s="185"/>
      <c r="AJ196" s="185"/>
      <c r="AK196" s="185"/>
      <c r="AL196" s="185"/>
      <c r="AM196" s="200"/>
      <c r="AO196" s="56"/>
    </row>
    <row r="197" spans="2:41" x14ac:dyDescent="0.35">
      <c r="B197" s="184">
        <v>2019</v>
      </c>
      <c r="C197" s="184" t="s">
        <v>487</v>
      </c>
      <c r="D197" s="184"/>
      <c r="E197" s="191">
        <v>9.7767349260523308E-3</v>
      </c>
      <c r="F197" s="191"/>
      <c r="G197" s="191">
        <v>4.5328498293515401E-2</v>
      </c>
      <c r="H197" s="191">
        <v>0.366218714448237</v>
      </c>
      <c r="I197" s="191">
        <v>3.4129692832764501E-3</v>
      </c>
      <c r="J197" s="191">
        <v>0</v>
      </c>
      <c r="K197" s="191">
        <v>0</v>
      </c>
      <c r="L197" s="191">
        <v>0</v>
      </c>
      <c r="M197" s="191">
        <v>0</v>
      </c>
      <c r="N197" s="191">
        <v>0</v>
      </c>
      <c r="O197" s="191">
        <v>0.57416097838452795</v>
      </c>
      <c r="P197" s="191">
        <v>0</v>
      </c>
      <c r="Q197" s="191">
        <v>1.1021046643913499E-3</v>
      </c>
      <c r="R197" s="191">
        <v>0</v>
      </c>
      <c r="S197" s="192">
        <f>SUM(E197:R197)</f>
        <v>1.0000000000000004</v>
      </c>
      <c r="U197" s="184">
        <v>2019</v>
      </c>
      <c r="V197" s="184" t="s">
        <v>487</v>
      </c>
      <c r="W197" s="211">
        <v>2019</v>
      </c>
      <c r="X197" s="184"/>
      <c r="Y197" s="210">
        <f t="shared" ref="Y197:AM197" si="73">INDEX(X$11:X$35,MATCH($V197,$V$11:$V$35,0))/INDEX($AL$11:$AL$35,MATCH($V197,$V$11:$V$35,0))</f>
        <v>4.621729237770193E-4</v>
      </c>
      <c r="Z197" s="210">
        <f t="shared" si="73"/>
        <v>9.3145620022753138E-3</v>
      </c>
      <c r="AA197" s="210">
        <f t="shared" si="73"/>
        <v>4.532849829351536E-2</v>
      </c>
      <c r="AB197" s="193">
        <f t="shared" si="73"/>
        <v>0.36621871444823662</v>
      </c>
      <c r="AC197" s="210">
        <f t="shared" si="73"/>
        <v>3.4129692832764501E-3</v>
      </c>
      <c r="AD197" s="210">
        <f t="shared" si="73"/>
        <v>0</v>
      </c>
      <c r="AE197" s="210">
        <f t="shared" si="73"/>
        <v>0</v>
      </c>
      <c r="AF197" s="210">
        <f t="shared" si="73"/>
        <v>0</v>
      </c>
      <c r="AG197" s="210">
        <f t="shared" si="73"/>
        <v>0</v>
      </c>
      <c r="AH197" s="210">
        <f t="shared" si="73"/>
        <v>0</v>
      </c>
      <c r="AI197" s="210">
        <f t="shared" si="73"/>
        <v>0.57416097838452784</v>
      </c>
      <c r="AJ197" s="210">
        <f t="shared" si="73"/>
        <v>0</v>
      </c>
      <c r="AK197" s="210">
        <f t="shared" si="73"/>
        <v>1.1021046643913536E-3</v>
      </c>
      <c r="AL197" s="210">
        <f t="shared" si="73"/>
        <v>0</v>
      </c>
      <c r="AM197" s="186">
        <f t="shared" si="73"/>
        <v>1</v>
      </c>
      <c r="AO197" s="56" t="s">
        <v>533</v>
      </c>
    </row>
    <row r="198" spans="2:41" x14ac:dyDescent="0.35">
      <c r="B198" s="184">
        <v>2025</v>
      </c>
      <c r="C198" s="184" t="s">
        <v>487</v>
      </c>
      <c r="D198" s="184"/>
      <c r="E198" s="191">
        <v>9.6145620022753207E-3</v>
      </c>
      <c r="F198" s="191">
        <v>0</v>
      </c>
      <c r="G198" s="191">
        <v>4.5328498293515401E-2</v>
      </c>
      <c r="H198" s="191">
        <v>0.36181179367236099</v>
      </c>
      <c r="I198" s="191">
        <v>7.8198900591522694E-3</v>
      </c>
      <c r="J198" s="191">
        <v>0</v>
      </c>
      <c r="K198" s="191">
        <v>0</v>
      </c>
      <c r="L198" s="191">
        <v>0</v>
      </c>
      <c r="M198" s="191">
        <v>0</v>
      </c>
      <c r="N198" s="191">
        <v>0</v>
      </c>
      <c r="O198" s="191">
        <v>0.57419922022113401</v>
      </c>
      <c r="P198" s="191">
        <v>0</v>
      </c>
      <c r="Q198" s="191">
        <v>1.2597185009542401E-3</v>
      </c>
      <c r="R198" s="191">
        <v>0</v>
      </c>
      <c r="S198" s="192">
        <f>SUM(E198:R198)</f>
        <v>1.0000336827493923</v>
      </c>
      <c r="U198" s="184">
        <v>2025</v>
      </c>
      <c r="V198" s="184" t="s">
        <v>487</v>
      </c>
      <c r="W198" s="211">
        <v>2025</v>
      </c>
      <c r="X198" s="184"/>
      <c r="Y198" s="210">
        <v>0</v>
      </c>
      <c r="Z198" s="210">
        <f>+F198</f>
        <v>0</v>
      </c>
      <c r="AA198" s="210">
        <f>+G198</f>
        <v>4.5328498293515401E-2</v>
      </c>
      <c r="AB198" s="193">
        <v>0.36499999999999999</v>
      </c>
      <c r="AC198" s="210">
        <f>0.8%</f>
        <v>8.0000000000000002E-3</v>
      </c>
      <c r="AD198" s="210">
        <f t="shared" ref="AD198:AH199" si="74">+J198</f>
        <v>0</v>
      </c>
      <c r="AE198" s="210">
        <f t="shared" si="74"/>
        <v>0</v>
      </c>
      <c r="AF198" s="210">
        <f t="shared" si="74"/>
        <v>0</v>
      </c>
      <c r="AG198" s="210">
        <f t="shared" si="74"/>
        <v>0</v>
      </c>
      <c r="AH198" s="210">
        <f t="shared" si="74"/>
        <v>0</v>
      </c>
      <c r="AI198" s="193">
        <f>58%</f>
        <v>0.57999999999999996</v>
      </c>
      <c r="AJ198" s="210">
        <f>+P198</f>
        <v>0</v>
      </c>
      <c r="AK198" s="210">
        <f>+Q198</f>
        <v>1.2597185009542401E-3</v>
      </c>
      <c r="AL198" s="210">
        <f>+R198</f>
        <v>0</v>
      </c>
      <c r="AM198" s="186">
        <f>SUM(Y198:AL198)</f>
        <v>0.99958821679446952</v>
      </c>
      <c r="AO198" s="56" t="s">
        <v>530</v>
      </c>
    </row>
    <row r="199" spans="2:41" x14ac:dyDescent="0.35">
      <c r="B199" s="184">
        <v>2050</v>
      </c>
      <c r="C199" s="184" t="s">
        <v>487</v>
      </c>
      <c r="D199" s="184"/>
      <c r="E199" s="191">
        <v>9.3145620022753207E-3</v>
      </c>
      <c r="F199" s="191">
        <v>0</v>
      </c>
      <c r="G199" s="191">
        <v>1.3414705603275699E-2</v>
      </c>
      <c r="H199" s="191">
        <v>0.32181179367236101</v>
      </c>
      <c r="I199" s="191">
        <v>0.03</v>
      </c>
      <c r="J199" s="191">
        <v>0</v>
      </c>
      <c r="K199" s="191">
        <v>0</v>
      </c>
      <c r="L199" s="191">
        <v>0</v>
      </c>
      <c r="M199" s="191">
        <v>0</v>
      </c>
      <c r="N199" s="191">
        <v>0</v>
      </c>
      <c r="O199" s="191">
        <v>0.62419922022113405</v>
      </c>
      <c r="P199" s="191">
        <v>0</v>
      </c>
      <c r="Q199" s="191">
        <v>0</v>
      </c>
      <c r="R199" s="191">
        <v>0</v>
      </c>
      <c r="S199" s="192">
        <f>SUM(E199:R199)</f>
        <v>0.99874028149904603</v>
      </c>
      <c r="U199" s="184">
        <v>2050</v>
      </c>
      <c r="V199" s="184" t="s">
        <v>487</v>
      </c>
      <c r="W199" s="211">
        <v>2050</v>
      </c>
      <c r="X199" s="184"/>
      <c r="Y199" s="210">
        <v>0</v>
      </c>
      <c r="Z199" s="210">
        <f>+F199</f>
        <v>0</v>
      </c>
      <c r="AA199" s="210">
        <f>+G199</f>
        <v>1.3414705603275699E-2</v>
      </c>
      <c r="AB199" s="193">
        <f>+H199+1%</f>
        <v>0.33181179367236102</v>
      </c>
      <c r="AC199" s="210">
        <f>+I199</f>
        <v>0.03</v>
      </c>
      <c r="AD199" s="210">
        <f t="shared" si="74"/>
        <v>0</v>
      </c>
      <c r="AE199" s="210">
        <f t="shared" si="74"/>
        <v>0</v>
      </c>
      <c r="AF199" s="210">
        <f t="shared" si="74"/>
        <v>0</v>
      </c>
      <c r="AG199" s="210">
        <f t="shared" si="74"/>
        <v>0</v>
      </c>
      <c r="AH199" s="210">
        <f t="shared" si="74"/>
        <v>0</v>
      </c>
      <c r="AI199" s="210">
        <f>O199</f>
        <v>0.62419922022113405</v>
      </c>
      <c r="AJ199" s="210">
        <f>+P199</f>
        <v>0</v>
      </c>
      <c r="AK199" s="210">
        <v>1E-3</v>
      </c>
      <c r="AL199" s="210">
        <f>+R199</f>
        <v>0</v>
      </c>
      <c r="AM199" s="186">
        <f>SUM(Y199:AL199)</f>
        <v>1.0004257194967707</v>
      </c>
      <c r="AO199" s="56"/>
    </row>
    <row r="200" spans="2:41" x14ac:dyDescent="0.35">
      <c r="B200" s="195"/>
      <c r="C200" s="195"/>
      <c r="D200" s="196"/>
      <c r="E200" s="197"/>
      <c r="F200" s="197"/>
      <c r="G200" s="197"/>
      <c r="H200" s="197"/>
      <c r="I200" s="197"/>
      <c r="J200" s="197"/>
      <c r="K200" s="197"/>
      <c r="L200" s="197"/>
      <c r="M200" s="197"/>
      <c r="N200" s="197"/>
      <c r="O200" s="197"/>
      <c r="P200" s="197"/>
      <c r="Q200" s="197"/>
      <c r="R200" s="197"/>
      <c r="S200" s="198"/>
      <c r="U200" s="195"/>
      <c r="V200" s="195"/>
      <c r="W200" s="212"/>
      <c r="X200" s="196"/>
      <c r="Y200" s="199"/>
      <c r="Z200" s="199"/>
      <c r="AA200" s="199"/>
      <c r="AB200" s="199"/>
      <c r="AC200" s="199"/>
      <c r="AD200" s="199"/>
      <c r="AE200" s="199"/>
      <c r="AF200" s="199"/>
      <c r="AG200" s="199"/>
      <c r="AH200" s="199"/>
      <c r="AI200" s="199"/>
      <c r="AJ200" s="199"/>
      <c r="AK200" s="199"/>
      <c r="AL200" s="199"/>
      <c r="AM200" s="200"/>
      <c r="AO200" s="56"/>
    </row>
    <row r="201" spans="2:41" x14ac:dyDescent="0.35">
      <c r="B201" s="184">
        <v>2019</v>
      </c>
      <c r="C201" s="184" t="s">
        <v>31</v>
      </c>
      <c r="D201" s="207"/>
      <c r="E201" s="191">
        <v>0</v>
      </c>
      <c r="F201" s="191"/>
      <c r="G201" s="191">
        <v>0.60548661005878501</v>
      </c>
      <c r="H201" s="191">
        <v>0.12495101241018899</v>
      </c>
      <c r="I201" s="191">
        <v>3.74265186152841E-2</v>
      </c>
      <c r="J201" s="191">
        <v>0</v>
      </c>
      <c r="K201" s="191">
        <v>0</v>
      </c>
      <c r="L201" s="191">
        <v>0</v>
      </c>
      <c r="M201" s="191">
        <v>0</v>
      </c>
      <c r="N201" s="191">
        <v>0</v>
      </c>
      <c r="O201" s="191">
        <v>0.23213585891574101</v>
      </c>
      <c r="P201" s="191">
        <v>0</v>
      </c>
      <c r="Q201" s="191">
        <v>0</v>
      </c>
      <c r="R201" s="191">
        <v>0</v>
      </c>
      <c r="S201" s="192">
        <f>SUM(E201:R201)</f>
        <v>0.99999999999999911</v>
      </c>
      <c r="U201" s="184">
        <v>2019</v>
      </c>
      <c r="V201" s="184" t="s">
        <v>31</v>
      </c>
      <c r="W201" s="211">
        <v>2019</v>
      </c>
      <c r="X201" s="207"/>
      <c r="Y201" s="210">
        <f t="shared" ref="Y201:AM201" si="75">INDEX(X$11:X$35,MATCH($V201,$V$11:$V$35,0))/INDEX($AL$11:$AL$35,MATCH($V201,$V$11:$V$35,0))</f>
        <v>0</v>
      </c>
      <c r="Z201" s="210">
        <f t="shared" si="75"/>
        <v>0</v>
      </c>
      <c r="AA201" s="210">
        <f t="shared" si="75"/>
        <v>0.60548661005878512</v>
      </c>
      <c r="AB201" s="210">
        <f t="shared" si="75"/>
        <v>0.12495101241018942</v>
      </c>
      <c r="AC201" s="210">
        <f t="shared" si="75"/>
        <v>3.7426518615284128E-2</v>
      </c>
      <c r="AD201" s="210">
        <f t="shared" si="75"/>
        <v>0</v>
      </c>
      <c r="AE201" s="210">
        <f t="shared" si="75"/>
        <v>0</v>
      </c>
      <c r="AF201" s="210">
        <f t="shared" si="75"/>
        <v>0</v>
      </c>
      <c r="AG201" s="210">
        <f t="shared" si="75"/>
        <v>0</v>
      </c>
      <c r="AH201" s="210">
        <f t="shared" si="75"/>
        <v>0</v>
      </c>
      <c r="AI201" s="210">
        <f t="shared" si="75"/>
        <v>0.23213585891574134</v>
      </c>
      <c r="AJ201" s="210">
        <f t="shared" si="75"/>
        <v>0</v>
      </c>
      <c r="AK201" s="210">
        <f t="shared" si="75"/>
        <v>0</v>
      </c>
      <c r="AL201" s="210">
        <f t="shared" si="75"/>
        <v>0</v>
      </c>
      <c r="AM201" s="186">
        <f t="shared" si="75"/>
        <v>1</v>
      </c>
      <c r="AO201" s="56" t="s">
        <v>506</v>
      </c>
    </row>
    <row r="202" spans="2:41" x14ac:dyDescent="0.35">
      <c r="B202" s="184">
        <v>2025</v>
      </c>
      <c r="C202" s="184" t="s">
        <v>31</v>
      </c>
      <c r="D202" s="207"/>
      <c r="E202" s="191">
        <v>0</v>
      </c>
      <c r="F202" s="191">
        <v>0</v>
      </c>
      <c r="G202" s="191">
        <v>0.60548661005878501</v>
      </c>
      <c r="H202" s="191">
        <v>0.12495101241018899</v>
      </c>
      <c r="I202" s="191">
        <v>3.74265186152841E-2</v>
      </c>
      <c r="J202" s="191">
        <v>0</v>
      </c>
      <c r="K202" s="191">
        <v>0</v>
      </c>
      <c r="L202" s="191">
        <v>0</v>
      </c>
      <c r="M202" s="191">
        <v>0</v>
      </c>
      <c r="N202" s="191">
        <v>0</v>
      </c>
      <c r="O202" s="191">
        <v>0.23213585891574101</v>
      </c>
      <c r="P202" s="191">
        <v>0</v>
      </c>
      <c r="Q202" s="191">
        <v>1.2597185009542401E-3</v>
      </c>
      <c r="R202" s="191">
        <v>0</v>
      </c>
      <c r="S202" s="192">
        <f>SUM(E202:R202)</f>
        <v>1.0012597185009533</v>
      </c>
      <c r="U202" s="184">
        <v>2025</v>
      </c>
      <c r="V202" s="184" t="s">
        <v>31</v>
      </c>
      <c r="W202" s="211">
        <v>2025</v>
      </c>
      <c r="X202" s="207"/>
      <c r="Y202" s="210">
        <f t="shared" ref="Y202:AJ203" si="76">+E202</f>
        <v>0</v>
      </c>
      <c r="Z202" s="210">
        <f t="shared" si="76"/>
        <v>0</v>
      </c>
      <c r="AA202" s="210">
        <f t="shared" si="76"/>
        <v>0.60548661005878501</v>
      </c>
      <c r="AB202" s="210">
        <f t="shared" si="76"/>
        <v>0.12495101241018899</v>
      </c>
      <c r="AC202" s="210">
        <f t="shared" si="76"/>
        <v>3.74265186152841E-2</v>
      </c>
      <c r="AD202" s="210">
        <f t="shared" si="76"/>
        <v>0</v>
      </c>
      <c r="AE202" s="210">
        <f t="shared" si="76"/>
        <v>0</v>
      </c>
      <c r="AF202" s="210">
        <f t="shared" si="76"/>
        <v>0</v>
      </c>
      <c r="AG202" s="210">
        <f t="shared" si="76"/>
        <v>0</v>
      </c>
      <c r="AH202" s="210">
        <f t="shared" si="76"/>
        <v>0</v>
      </c>
      <c r="AI202" s="210">
        <f t="shared" si="76"/>
        <v>0.23213585891574101</v>
      </c>
      <c r="AJ202" s="210">
        <f t="shared" si="76"/>
        <v>0</v>
      </c>
      <c r="AK202" s="210">
        <v>0</v>
      </c>
      <c r="AL202" s="210">
        <f>+R202</f>
        <v>0</v>
      </c>
      <c r="AM202" s="186">
        <f>SUM(Y202:AL202)</f>
        <v>0.99999999999999911</v>
      </c>
      <c r="AO202" s="56"/>
    </row>
    <row r="203" spans="2:41" x14ac:dyDescent="0.35">
      <c r="B203" s="184">
        <v>2050</v>
      </c>
      <c r="C203" s="184" t="s">
        <v>31</v>
      </c>
      <c r="D203" s="207"/>
      <c r="E203" s="191">
        <v>0</v>
      </c>
      <c r="F203" s="191">
        <v>0</v>
      </c>
      <c r="G203" s="191">
        <v>0.60548661005878501</v>
      </c>
      <c r="H203" s="191">
        <v>0.12495101241018899</v>
      </c>
      <c r="I203" s="191">
        <v>3.74265186152841E-2</v>
      </c>
      <c r="J203" s="191">
        <v>0</v>
      </c>
      <c r="K203" s="191">
        <v>0</v>
      </c>
      <c r="L203" s="191">
        <v>0</v>
      </c>
      <c r="M203" s="191">
        <v>0</v>
      </c>
      <c r="N203" s="191">
        <v>0</v>
      </c>
      <c r="O203" s="191">
        <v>0.23213585891574101</v>
      </c>
      <c r="P203" s="191">
        <v>0</v>
      </c>
      <c r="Q203" s="191">
        <v>1.2597185009542401E-3</v>
      </c>
      <c r="R203" s="191">
        <v>0</v>
      </c>
      <c r="S203" s="192">
        <f>SUM(E203:R203)</f>
        <v>1.0012597185009533</v>
      </c>
      <c r="U203" s="184">
        <v>2050</v>
      </c>
      <c r="V203" s="184" t="s">
        <v>31</v>
      </c>
      <c r="W203" s="211">
        <v>2050</v>
      </c>
      <c r="X203" s="207"/>
      <c r="Y203" s="210">
        <f t="shared" si="76"/>
        <v>0</v>
      </c>
      <c r="Z203" s="210">
        <f t="shared" si="76"/>
        <v>0</v>
      </c>
      <c r="AA203" s="210">
        <f t="shared" si="76"/>
        <v>0.60548661005878501</v>
      </c>
      <c r="AB203" s="210">
        <f t="shared" si="76"/>
        <v>0.12495101241018899</v>
      </c>
      <c r="AC203" s="210">
        <f t="shared" si="76"/>
        <v>3.74265186152841E-2</v>
      </c>
      <c r="AD203" s="210">
        <f t="shared" si="76"/>
        <v>0</v>
      </c>
      <c r="AE203" s="210">
        <f t="shared" si="76"/>
        <v>0</v>
      </c>
      <c r="AF203" s="210">
        <f t="shared" si="76"/>
        <v>0</v>
      </c>
      <c r="AG203" s="210">
        <f t="shared" si="76"/>
        <v>0</v>
      </c>
      <c r="AH203" s="210">
        <f t="shared" si="76"/>
        <v>0</v>
      </c>
      <c r="AI203" s="210">
        <f t="shared" si="76"/>
        <v>0.23213585891574101</v>
      </c>
      <c r="AJ203" s="210">
        <f t="shared" si="76"/>
        <v>0</v>
      </c>
      <c r="AK203" s="210">
        <v>0</v>
      </c>
      <c r="AL203" s="210">
        <f>+R203</f>
        <v>0</v>
      </c>
      <c r="AM203" s="186">
        <f>SUM(Y203:AL203)</f>
        <v>0.99999999999999911</v>
      </c>
      <c r="AO203" s="56"/>
    </row>
    <row r="204" spans="2:41" x14ac:dyDescent="0.35">
      <c r="B204" s="195"/>
      <c r="C204" s="195"/>
      <c r="D204" s="196"/>
      <c r="E204" s="197"/>
      <c r="F204" s="197"/>
      <c r="G204" s="197"/>
      <c r="H204" s="197"/>
      <c r="I204" s="197"/>
      <c r="J204" s="197"/>
      <c r="K204" s="197"/>
      <c r="L204" s="197"/>
      <c r="M204" s="197"/>
      <c r="N204" s="197"/>
      <c r="O204" s="197"/>
      <c r="P204" s="197"/>
      <c r="Q204" s="197"/>
      <c r="R204" s="197"/>
      <c r="S204" s="198"/>
      <c r="U204" s="195"/>
      <c r="V204" s="195"/>
      <c r="W204" s="195"/>
      <c r="X204" s="196"/>
      <c r="Y204" s="199"/>
      <c r="Z204" s="199"/>
      <c r="AA204" s="199"/>
      <c r="AB204" s="199"/>
      <c r="AC204" s="199"/>
      <c r="AD204" s="199"/>
      <c r="AE204" s="199"/>
      <c r="AF204" s="199"/>
      <c r="AG204" s="199"/>
      <c r="AH204" s="199"/>
      <c r="AI204" s="199"/>
      <c r="AJ204" s="199"/>
      <c r="AK204" s="199"/>
      <c r="AL204" s="199"/>
      <c r="AM204" s="200"/>
      <c r="AO204" s="56"/>
    </row>
    <row r="205" spans="2:41" x14ac:dyDescent="0.35">
      <c r="B205" s="184"/>
      <c r="C205" s="184" t="s">
        <v>488</v>
      </c>
      <c r="D205" s="184"/>
      <c r="E205" s="203"/>
      <c r="F205" s="203"/>
      <c r="G205" s="203"/>
      <c r="H205" s="203"/>
      <c r="I205" s="203"/>
      <c r="J205" s="203"/>
      <c r="K205" s="203"/>
      <c r="L205" s="203"/>
      <c r="M205" s="203"/>
      <c r="N205" s="203"/>
      <c r="O205" s="203"/>
      <c r="P205" s="203"/>
      <c r="Q205" s="203"/>
      <c r="R205" s="203"/>
      <c r="S205" s="192"/>
      <c r="U205" s="184"/>
      <c r="V205" s="184" t="s">
        <v>488</v>
      </c>
      <c r="W205" s="184"/>
      <c r="X205" s="184"/>
      <c r="Y205" s="185"/>
      <c r="Z205" s="185"/>
      <c r="AA205" s="185"/>
      <c r="AB205" s="185"/>
      <c r="AC205" s="185"/>
      <c r="AD205" s="185"/>
      <c r="AE205" s="185"/>
      <c r="AF205" s="185"/>
      <c r="AG205" s="185"/>
      <c r="AH205" s="185"/>
      <c r="AI205" s="185"/>
      <c r="AJ205" s="185"/>
      <c r="AK205" s="185"/>
      <c r="AL205" s="185"/>
      <c r="AM205" s="186"/>
      <c r="AO205" s="56"/>
    </row>
    <row r="206" spans="2:41" x14ac:dyDescent="0.35">
      <c r="B206" s="189">
        <v>2019</v>
      </c>
      <c r="C206" s="189" t="s">
        <v>489</v>
      </c>
      <c r="D206" s="190" t="s">
        <v>498</v>
      </c>
      <c r="E206" s="191">
        <v>4.1525141440921804E-3</v>
      </c>
      <c r="F206" s="191"/>
      <c r="G206" s="191">
        <v>1.72156315557155E-2</v>
      </c>
      <c r="H206" s="191">
        <v>0.33021138516666398</v>
      </c>
      <c r="I206" s="191">
        <v>0.25503357701632801</v>
      </c>
      <c r="J206" s="191">
        <v>0</v>
      </c>
      <c r="K206" s="191">
        <v>0</v>
      </c>
      <c r="L206" s="191">
        <v>0</v>
      </c>
      <c r="M206" s="191">
        <v>0</v>
      </c>
      <c r="N206" s="191">
        <v>0</v>
      </c>
      <c r="O206" s="191">
        <v>0.27929983154586702</v>
      </c>
      <c r="P206" s="191">
        <v>0</v>
      </c>
      <c r="Q206" s="191">
        <v>0.114087060571334</v>
      </c>
      <c r="R206" s="191">
        <v>0</v>
      </c>
      <c r="S206" s="192">
        <f>SUM(E206:R206)</f>
        <v>1.0000000000000007</v>
      </c>
      <c r="U206" s="189">
        <v>2019</v>
      </c>
      <c r="V206" s="189" t="s">
        <v>489</v>
      </c>
      <c r="W206" s="189">
        <v>2019</v>
      </c>
      <c r="X206" s="190" t="s">
        <v>498</v>
      </c>
      <c r="Y206" s="193">
        <f t="shared" ref="Y206:AM206" si="77">INDEX(X$11:X$35,MATCH($V206,$V$11:$V$35,0))/INDEX($AL$11:$AL$35,MATCH($V206,$V$11:$V$35,0))</f>
        <v>4.1525141440921813E-3</v>
      </c>
      <c r="Z206" s="193">
        <f t="shared" si="77"/>
        <v>0</v>
      </c>
      <c r="AA206" s="193">
        <f t="shared" si="77"/>
        <v>1.7215631555715503E-2</v>
      </c>
      <c r="AB206" s="193">
        <f t="shared" si="77"/>
        <v>0.33021138516666365</v>
      </c>
      <c r="AC206" s="193">
        <f t="shared" si="77"/>
        <v>0.25503357701632812</v>
      </c>
      <c r="AD206" s="193">
        <f t="shared" si="77"/>
        <v>0</v>
      </c>
      <c r="AE206" s="193">
        <f t="shared" si="77"/>
        <v>0</v>
      </c>
      <c r="AF206" s="193">
        <f t="shared" si="77"/>
        <v>0</v>
      </c>
      <c r="AG206" s="193">
        <f t="shared" si="77"/>
        <v>0</v>
      </c>
      <c r="AH206" s="193">
        <f t="shared" si="77"/>
        <v>0</v>
      </c>
      <c r="AI206" s="193">
        <f t="shared" si="77"/>
        <v>0.27929983154586679</v>
      </c>
      <c r="AJ206" s="193">
        <f t="shared" si="77"/>
        <v>0</v>
      </c>
      <c r="AK206" s="193">
        <f t="shared" si="77"/>
        <v>0.11408706057133369</v>
      </c>
      <c r="AL206" s="193">
        <f t="shared" si="77"/>
        <v>0</v>
      </c>
      <c r="AM206" s="186">
        <f t="shared" si="77"/>
        <v>1</v>
      </c>
      <c r="AO206" s="56" t="s">
        <v>534</v>
      </c>
    </row>
    <row r="207" spans="2:41" x14ac:dyDescent="0.35">
      <c r="B207" s="189">
        <v>2025</v>
      </c>
      <c r="C207" s="189" t="s">
        <v>489</v>
      </c>
      <c r="D207" s="190" t="s">
        <v>498</v>
      </c>
      <c r="E207" s="191">
        <v>5.4480176252742795E-4</v>
      </c>
      <c r="F207" s="191">
        <v>0</v>
      </c>
      <c r="G207" s="191">
        <v>1.72156315557155E-2</v>
      </c>
      <c r="H207" s="191">
        <v>0.30607318583021498</v>
      </c>
      <c r="I207" s="191">
        <v>0.27917177635277701</v>
      </c>
      <c r="J207" s="191">
        <v>0</v>
      </c>
      <c r="K207" s="191">
        <v>0</v>
      </c>
      <c r="L207" s="191">
        <v>0</v>
      </c>
      <c r="M207" s="191">
        <v>0</v>
      </c>
      <c r="N207" s="191">
        <v>0</v>
      </c>
      <c r="O207" s="191">
        <v>0.27929983154586702</v>
      </c>
      <c r="P207" s="191">
        <v>0</v>
      </c>
      <c r="Q207" s="191">
        <v>0.114087060571334</v>
      </c>
      <c r="R207" s="191">
        <v>0</v>
      </c>
      <c r="S207" s="192">
        <f>SUM(E207:R207)</f>
        <v>0.9963922876184359</v>
      </c>
      <c r="U207" s="189">
        <v>2025</v>
      </c>
      <c r="V207" s="189" t="s">
        <v>489</v>
      </c>
      <c r="W207" s="189">
        <v>2025</v>
      </c>
      <c r="X207" s="190" t="s">
        <v>498</v>
      </c>
      <c r="Y207" s="193">
        <v>0</v>
      </c>
      <c r="Z207" s="193">
        <f>+F207</f>
        <v>0</v>
      </c>
      <c r="AA207" s="193">
        <v>0.01</v>
      </c>
      <c r="AB207" s="193">
        <v>0.3</v>
      </c>
      <c r="AC207" s="193">
        <v>0.27200000000000002</v>
      </c>
      <c r="AD207" s="193">
        <v>2.5000000000000001E-2</v>
      </c>
      <c r="AE207" s="193">
        <f t="shared" ref="AE207:AL207" si="78">+K207</f>
        <v>0</v>
      </c>
      <c r="AF207" s="193">
        <f t="shared" si="78"/>
        <v>0</v>
      </c>
      <c r="AG207" s="193">
        <f t="shared" si="78"/>
        <v>0</v>
      </c>
      <c r="AH207" s="193">
        <f t="shared" si="78"/>
        <v>0</v>
      </c>
      <c r="AI207" s="193">
        <f t="shared" si="78"/>
        <v>0.27929983154586702</v>
      </c>
      <c r="AJ207" s="193">
        <f t="shared" si="78"/>
        <v>0</v>
      </c>
      <c r="AK207" s="193">
        <f t="shared" si="78"/>
        <v>0.114087060571334</v>
      </c>
      <c r="AL207" s="193">
        <f t="shared" si="78"/>
        <v>0</v>
      </c>
      <c r="AM207" s="186">
        <f>SUM(Y207:AL207)</f>
        <v>1.0003868921172012</v>
      </c>
      <c r="AO207" s="56" t="s">
        <v>530</v>
      </c>
    </row>
    <row r="208" spans="2:41" x14ac:dyDescent="0.35">
      <c r="B208" s="189">
        <v>2050</v>
      </c>
      <c r="C208" s="189" t="s">
        <v>489</v>
      </c>
      <c r="D208" s="190" t="s">
        <v>498</v>
      </c>
      <c r="E208" s="191">
        <v>5.4480176252742795E-4</v>
      </c>
      <c r="F208" s="191">
        <v>0</v>
      </c>
      <c r="G208" s="191">
        <v>0</v>
      </c>
      <c r="H208" s="191">
        <v>0.24689652976749499</v>
      </c>
      <c r="I208" s="191">
        <v>0.20917177635277701</v>
      </c>
      <c r="J208" s="191">
        <v>0</v>
      </c>
      <c r="K208" s="191">
        <v>0</v>
      </c>
      <c r="L208" s="191">
        <v>0</v>
      </c>
      <c r="M208" s="191">
        <v>0</v>
      </c>
      <c r="N208" s="191">
        <v>0</v>
      </c>
      <c r="O208" s="191">
        <v>0.37929983154586699</v>
      </c>
      <c r="P208" s="191">
        <v>0</v>
      </c>
      <c r="Q208" s="191">
        <v>0.16408706057133399</v>
      </c>
      <c r="R208" s="191">
        <v>0</v>
      </c>
      <c r="S208" s="192">
        <f>SUM(E208:R208)</f>
        <v>1.0000000000000004</v>
      </c>
      <c r="U208" s="189">
        <v>2050</v>
      </c>
      <c r="V208" s="189" t="s">
        <v>489</v>
      </c>
      <c r="W208" s="189">
        <v>2050</v>
      </c>
      <c r="X208" s="190" t="s">
        <v>498</v>
      </c>
      <c r="Y208" s="193">
        <v>0</v>
      </c>
      <c r="Z208" s="193">
        <f>+F208</f>
        <v>0</v>
      </c>
      <c r="AA208" s="193">
        <f>+G208</f>
        <v>0</v>
      </c>
      <c r="AB208" s="193">
        <f>25%</f>
        <v>0.25</v>
      </c>
      <c r="AC208" s="193">
        <v>0.28999999999999998</v>
      </c>
      <c r="AD208" s="193">
        <v>0.04</v>
      </c>
      <c r="AE208" s="193">
        <f>+K208</f>
        <v>0</v>
      </c>
      <c r="AF208" s="193">
        <f>+L208</f>
        <v>0</v>
      </c>
      <c r="AG208" s="193">
        <f>+M208</f>
        <v>0</v>
      </c>
      <c r="AH208" s="193">
        <f>+N208</f>
        <v>0</v>
      </c>
      <c r="AI208" s="193">
        <f>1-SUM(Y208:AH208,AJ208:AL208)</f>
        <v>0.28999999999999992</v>
      </c>
      <c r="AJ208" s="193">
        <f>+P208</f>
        <v>0</v>
      </c>
      <c r="AK208" s="193">
        <f>13%</f>
        <v>0.13</v>
      </c>
      <c r="AL208" s="193">
        <f>+R208</f>
        <v>0</v>
      </c>
      <c r="AM208" s="186">
        <f>SUM(Y208:AL208)</f>
        <v>1</v>
      </c>
      <c r="AO208" s="56"/>
    </row>
    <row r="209" spans="2:41" x14ac:dyDescent="0.35">
      <c r="B209" s="195"/>
      <c r="C209" s="195"/>
      <c r="D209" s="196"/>
      <c r="E209" s="197"/>
      <c r="F209" s="197"/>
      <c r="G209" s="197"/>
      <c r="H209" s="197"/>
      <c r="I209" s="197"/>
      <c r="J209" s="197"/>
      <c r="K209" s="197"/>
      <c r="L209" s="197"/>
      <c r="M209" s="197"/>
      <c r="N209" s="197"/>
      <c r="O209" s="197"/>
      <c r="P209" s="197"/>
      <c r="Q209" s="197"/>
      <c r="R209" s="197"/>
      <c r="S209" s="198"/>
      <c r="U209" s="195"/>
      <c r="V209" s="195"/>
      <c r="W209" s="195"/>
      <c r="X209" s="196"/>
      <c r="Y209" s="199"/>
      <c r="Z209" s="199"/>
      <c r="AA209" s="199"/>
      <c r="AB209" s="199"/>
      <c r="AC209" s="199"/>
      <c r="AD209" s="199"/>
      <c r="AE209" s="199"/>
      <c r="AF209" s="199"/>
      <c r="AG209" s="199"/>
      <c r="AH209" s="199"/>
      <c r="AI209" s="199"/>
      <c r="AJ209" s="199"/>
      <c r="AK209" s="199"/>
      <c r="AL209" s="199"/>
      <c r="AM209" s="200"/>
      <c r="AO209" s="56"/>
    </row>
    <row r="210" spans="2:41" x14ac:dyDescent="0.35">
      <c r="B210" s="189">
        <v>2019</v>
      </c>
      <c r="C210" s="189" t="s">
        <v>490</v>
      </c>
      <c r="D210" s="190" t="s">
        <v>498</v>
      </c>
      <c r="E210" s="191">
        <v>0</v>
      </c>
      <c r="F210" s="191"/>
      <c r="G210" s="191">
        <v>0.142647488673455</v>
      </c>
      <c r="H210" s="191">
        <v>0.33119285981065599</v>
      </c>
      <c r="I210" s="191">
        <v>2.3343238986050899E-2</v>
      </c>
      <c r="J210" s="191">
        <v>0</v>
      </c>
      <c r="K210" s="191">
        <v>0</v>
      </c>
      <c r="L210" s="191">
        <v>0</v>
      </c>
      <c r="M210" s="191">
        <v>0</v>
      </c>
      <c r="N210" s="191">
        <v>0</v>
      </c>
      <c r="O210" s="191">
        <v>0.47960206881992801</v>
      </c>
      <c r="P210" s="191">
        <v>0</v>
      </c>
      <c r="Q210" s="191">
        <v>2.32143437099105E-2</v>
      </c>
      <c r="R210" s="191">
        <v>0</v>
      </c>
      <c r="S210" s="192">
        <f>SUM(E210:R210)</f>
        <v>1.0000000000000004</v>
      </c>
      <c r="U210" s="189">
        <v>2019</v>
      </c>
      <c r="V210" s="189" t="s">
        <v>490</v>
      </c>
      <c r="W210" s="189">
        <v>2019</v>
      </c>
      <c r="X210" s="190" t="s">
        <v>498</v>
      </c>
      <c r="Y210" s="210">
        <f t="shared" ref="Y210:AM210" si="79">INDEX(X$11:X$35,MATCH($V210,$V$11:$V$35,0))/INDEX($AL$11:$AL$35,MATCH($V210,$V$11:$V$35,0))</f>
        <v>0</v>
      </c>
      <c r="Z210" s="210">
        <f t="shared" si="79"/>
        <v>0</v>
      </c>
      <c r="AA210" s="210">
        <f t="shared" si="79"/>
        <v>0.14264748867345448</v>
      </c>
      <c r="AB210" s="210">
        <f t="shared" si="79"/>
        <v>0.33119285981065583</v>
      </c>
      <c r="AC210" s="210">
        <f t="shared" si="79"/>
        <v>2.3343238986050893E-2</v>
      </c>
      <c r="AD210" s="210">
        <f t="shared" si="79"/>
        <v>0</v>
      </c>
      <c r="AE210" s="210">
        <f t="shared" si="79"/>
        <v>0</v>
      </c>
      <c r="AF210" s="210">
        <f t="shared" si="79"/>
        <v>0</v>
      </c>
      <c r="AG210" s="210">
        <f t="shared" si="79"/>
        <v>0</v>
      </c>
      <c r="AH210" s="210">
        <f t="shared" si="79"/>
        <v>0</v>
      </c>
      <c r="AI210" s="210">
        <f t="shared" si="79"/>
        <v>0.47960206881992823</v>
      </c>
      <c r="AJ210" s="210">
        <f t="shared" si="79"/>
        <v>0</v>
      </c>
      <c r="AK210" s="210">
        <f t="shared" si="79"/>
        <v>2.3214343709910525E-2</v>
      </c>
      <c r="AL210" s="210">
        <f t="shared" si="79"/>
        <v>0</v>
      </c>
      <c r="AM210" s="186">
        <f t="shared" si="79"/>
        <v>1</v>
      </c>
      <c r="AO210" s="56" t="s">
        <v>506</v>
      </c>
    </row>
    <row r="211" spans="2:41" x14ac:dyDescent="0.35">
      <c r="B211" s="189">
        <v>2025</v>
      </c>
      <c r="C211" s="189" t="s">
        <v>490</v>
      </c>
      <c r="D211" s="190" t="s">
        <v>498</v>
      </c>
      <c r="E211" s="191">
        <v>0</v>
      </c>
      <c r="F211" s="191">
        <v>0</v>
      </c>
      <c r="G211" s="191">
        <v>0.142357192645614</v>
      </c>
      <c r="H211" s="191">
        <v>0.31047389168022199</v>
      </c>
      <c r="I211" s="191">
        <v>4.4062207116484703E-2</v>
      </c>
      <c r="J211" s="191">
        <v>0</v>
      </c>
      <c r="K211" s="191">
        <v>0</v>
      </c>
      <c r="L211" s="191">
        <v>0</v>
      </c>
      <c r="M211" s="191">
        <v>0</v>
      </c>
      <c r="N211" s="191">
        <v>0</v>
      </c>
      <c r="O211" s="191">
        <v>0.47960206881992801</v>
      </c>
      <c r="P211" s="191">
        <v>0</v>
      </c>
      <c r="Q211" s="191">
        <v>2.3504639737751201E-2</v>
      </c>
      <c r="R211" s="191">
        <v>0</v>
      </c>
      <c r="S211" s="192">
        <f>SUM(E211:R211)</f>
        <v>0.99999999999999978</v>
      </c>
      <c r="U211" s="189">
        <v>2025</v>
      </c>
      <c r="V211" s="189" t="s">
        <v>490</v>
      </c>
      <c r="W211" s="189">
        <v>2025</v>
      </c>
      <c r="X211" s="190" t="s">
        <v>498</v>
      </c>
      <c r="Y211" s="210">
        <f t="shared" ref="Y211:AL211" si="80">+E211</f>
        <v>0</v>
      </c>
      <c r="Z211" s="210">
        <f t="shared" si="80"/>
        <v>0</v>
      </c>
      <c r="AA211" s="210">
        <f t="shared" si="80"/>
        <v>0.142357192645614</v>
      </c>
      <c r="AB211" s="210">
        <f t="shared" si="80"/>
        <v>0.31047389168022199</v>
      </c>
      <c r="AC211" s="210">
        <f t="shared" si="80"/>
        <v>4.4062207116484703E-2</v>
      </c>
      <c r="AD211" s="210">
        <f t="shared" si="80"/>
        <v>0</v>
      </c>
      <c r="AE211" s="210">
        <f t="shared" si="80"/>
        <v>0</v>
      </c>
      <c r="AF211" s="210">
        <f t="shared" si="80"/>
        <v>0</v>
      </c>
      <c r="AG211" s="210">
        <f t="shared" si="80"/>
        <v>0</v>
      </c>
      <c r="AH211" s="210">
        <f t="shared" si="80"/>
        <v>0</v>
      </c>
      <c r="AI211" s="210">
        <f t="shared" si="80"/>
        <v>0.47960206881992801</v>
      </c>
      <c r="AJ211" s="210">
        <f t="shared" si="80"/>
        <v>0</v>
      </c>
      <c r="AK211" s="210">
        <f t="shared" si="80"/>
        <v>2.3504639737751201E-2</v>
      </c>
      <c r="AL211" s="210">
        <f t="shared" si="80"/>
        <v>0</v>
      </c>
      <c r="AM211" s="186">
        <f>SUM(Y211:AL211)</f>
        <v>0.99999999999999978</v>
      </c>
      <c r="AO211" s="56"/>
    </row>
    <row r="212" spans="2:41" x14ac:dyDescent="0.35">
      <c r="B212" s="189">
        <v>2050</v>
      </c>
      <c r="C212" s="189" t="s">
        <v>490</v>
      </c>
      <c r="D212" s="190" t="s">
        <v>498</v>
      </c>
      <c r="E212" s="191">
        <v>0</v>
      </c>
      <c r="F212" s="191">
        <v>0</v>
      </c>
      <c r="G212" s="191">
        <v>0.04</v>
      </c>
      <c r="H212" s="191">
        <v>0.31047389168022199</v>
      </c>
      <c r="I212" s="191">
        <v>0.06</v>
      </c>
      <c r="J212" s="191">
        <v>0</v>
      </c>
      <c r="K212" s="191">
        <v>0</v>
      </c>
      <c r="L212" s="191">
        <v>0</v>
      </c>
      <c r="M212" s="191">
        <v>0</v>
      </c>
      <c r="N212" s="191">
        <v>0</v>
      </c>
      <c r="O212" s="191">
        <v>0.56999999999999995</v>
      </c>
      <c r="P212" s="191">
        <v>0</v>
      </c>
      <c r="Q212" s="191">
        <v>2.3504639737751201E-2</v>
      </c>
      <c r="R212" s="191">
        <v>0</v>
      </c>
      <c r="S212" s="192">
        <f>SUM(E212:R212)</f>
        <v>1.0039785314179732</v>
      </c>
      <c r="U212" s="189">
        <v>2050</v>
      </c>
      <c r="V212" s="189" t="s">
        <v>490</v>
      </c>
      <c r="W212" s="189">
        <v>2050</v>
      </c>
      <c r="X212" s="190" t="s">
        <v>498</v>
      </c>
      <c r="Y212" s="210">
        <f>+E212</f>
        <v>0</v>
      </c>
      <c r="Z212" s="210">
        <f>+F212</f>
        <v>0</v>
      </c>
      <c r="AA212" s="210">
        <v>3.5999999999999997E-2</v>
      </c>
      <c r="AB212" s="210">
        <f t="shared" ref="AB212:AL212" si="81">+H212</f>
        <v>0.31047389168022199</v>
      </c>
      <c r="AC212" s="210">
        <f t="shared" si="81"/>
        <v>0.06</v>
      </c>
      <c r="AD212" s="210">
        <f t="shared" si="81"/>
        <v>0</v>
      </c>
      <c r="AE212" s="210">
        <f t="shared" si="81"/>
        <v>0</v>
      </c>
      <c r="AF212" s="210">
        <f t="shared" si="81"/>
        <v>0</v>
      </c>
      <c r="AG212" s="210">
        <f t="shared" si="81"/>
        <v>0</v>
      </c>
      <c r="AH212" s="210">
        <f t="shared" si="81"/>
        <v>0</v>
      </c>
      <c r="AI212" s="210">
        <f t="shared" si="81"/>
        <v>0.56999999999999995</v>
      </c>
      <c r="AJ212" s="210">
        <f t="shared" si="81"/>
        <v>0</v>
      </c>
      <c r="AK212" s="210">
        <f t="shared" si="81"/>
        <v>2.3504639737751201E-2</v>
      </c>
      <c r="AL212" s="210">
        <f t="shared" si="81"/>
        <v>0</v>
      </c>
      <c r="AM212" s="186">
        <f>SUM(Y212:AL212)</f>
        <v>0.9999785314179731</v>
      </c>
      <c r="AO212" s="56"/>
    </row>
    <row r="213" spans="2:41" x14ac:dyDescent="0.35">
      <c r="AO213" s="56"/>
    </row>
    <row r="214" spans="2:41" s="1" customFormat="1" x14ac:dyDescent="0.35"/>
  </sheetData>
  <mergeCells count="64">
    <mergeCell ref="V133:X133"/>
    <mergeCell ref="V162:X162"/>
    <mergeCell ref="V175:X175"/>
    <mergeCell ref="V188:X188"/>
    <mergeCell ref="V86:X86"/>
    <mergeCell ref="V99:X99"/>
    <mergeCell ref="C127:AM127"/>
    <mergeCell ref="C132:D132"/>
    <mergeCell ref="V132:X132"/>
    <mergeCell ref="C39:AM39"/>
    <mergeCell ref="C43:D43"/>
    <mergeCell ref="V43:X43"/>
    <mergeCell ref="V44:X44"/>
    <mergeCell ref="V73:X73"/>
    <mergeCell ref="C32:D32"/>
    <mergeCell ref="V32:W32"/>
    <mergeCell ref="AP32:AQ32"/>
    <mergeCell ref="C35:D35"/>
    <mergeCell ref="V35:W35"/>
    <mergeCell ref="AP35:AQ35"/>
    <mergeCell ref="C30:D30"/>
    <mergeCell ref="V30:W30"/>
    <mergeCell ref="AP30:AQ30"/>
    <mergeCell ref="C31:D31"/>
    <mergeCell ref="V31:W31"/>
    <mergeCell ref="AP31:AQ31"/>
    <mergeCell ref="C23:D23"/>
    <mergeCell ref="V23:W23"/>
    <mergeCell ref="AP23:AQ23"/>
    <mergeCell ref="C27:D27"/>
    <mergeCell ref="V27:W27"/>
    <mergeCell ref="AP27:AQ27"/>
    <mergeCell ref="C11:D11"/>
    <mergeCell ref="V11:W11"/>
    <mergeCell ref="AP11:AQ11"/>
    <mergeCell ref="C19:D19"/>
    <mergeCell ref="V19:W19"/>
    <mergeCell ref="AP19:AQ19"/>
    <mergeCell ref="AH9:AH10"/>
    <mergeCell ref="AJ9:AJ10"/>
    <mergeCell ref="AL9:AL10"/>
    <mergeCell ref="AR9:AS9"/>
    <mergeCell ref="AT9:AU9"/>
    <mergeCell ref="Z9:Z10"/>
    <mergeCell ref="AA9:AA10"/>
    <mergeCell ref="AB9:AE9"/>
    <mergeCell ref="AF9:AF10"/>
    <mergeCell ref="AG9:AG10"/>
    <mergeCell ref="C2:AM2"/>
    <mergeCell ref="C8:R8"/>
    <mergeCell ref="V8:AL8"/>
    <mergeCell ref="C9:D10"/>
    <mergeCell ref="E9:E10"/>
    <mergeCell ref="F9:F10"/>
    <mergeCell ref="G9:G10"/>
    <mergeCell ref="H9:H10"/>
    <mergeCell ref="I9:L9"/>
    <mergeCell ref="M9:M10"/>
    <mergeCell ref="N9:N10"/>
    <mergeCell ref="O9:O10"/>
    <mergeCell ref="P9:P10"/>
    <mergeCell ref="R9:R10"/>
    <mergeCell ref="V9:W10"/>
    <mergeCell ref="X9:X10"/>
  </mergeCells>
  <hyperlinks>
    <hyperlink ref="AM13" r:id="rId1" xr:uid="{00000000-0004-0000-0400-000000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F5597"/>
  </sheetPr>
  <dimension ref="A2:AMK169"/>
  <sheetViews>
    <sheetView topLeftCell="V34" zoomScale="53" zoomScaleNormal="53" workbookViewId="0">
      <selection activeCell="AP66" sqref="AP66"/>
    </sheetView>
  </sheetViews>
  <sheetFormatPr baseColWidth="10" defaultColWidth="8.7265625" defaultRowHeight="14.5" x14ac:dyDescent="0.35"/>
  <cols>
    <col min="1" max="1" width="8.7265625" style="45" customWidth="1"/>
    <col min="2" max="2" width="10.453125" style="1" customWidth="1"/>
    <col min="3" max="3" width="40.26953125" style="1" customWidth="1"/>
    <col min="4" max="18" width="10.453125" style="1" customWidth="1"/>
    <col min="19" max="19" width="45.453125" style="1" customWidth="1"/>
    <col min="20" max="21" width="10.453125" style="1" customWidth="1"/>
    <col min="22" max="22" width="23" style="1" customWidth="1"/>
    <col min="23" max="23" width="53.26953125" style="1" customWidth="1"/>
    <col min="24" max="41" width="10.453125" style="1" customWidth="1"/>
    <col min="42" max="42" width="31.26953125" style="1" customWidth="1"/>
    <col min="43" max="43" width="37.54296875" style="1" customWidth="1"/>
    <col min="44" max="44" width="6.54296875" style="1" customWidth="1"/>
    <col min="45" max="1025" width="10.453125" style="1" customWidth="1"/>
  </cols>
  <sheetData>
    <row r="2" spans="3:48" x14ac:dyDescent="0.35">
      <c r="C2" s="436" t="s">
        <v>535</v>
      </c>
      <c r="D2" s="436"/>
      <c r="E2" s="436"/>
      <c r="F2" s="436"/>
      <c r="G2" s="436"/>
      <c r="H2" s="436"/>
      <c r="I2" s="436"/>
      <c r="J2" s="436"/>
    </row>
    <row r="3" spans="3:48" x14ac:dyDescent="0.35">
      <c r="V3" s="164"/>
    </row>
    <row r="4" spans="3:48" x14ac:dyDescent="0.35">
      <c r="C4" s="427" t="s">
        <v>435</v>
      </c>
      <c r="D4" s="427"/>
      <c r="E4" s="427"/>
      <c r="F4" s="427"/>
      <c r="G4" s="427"/>
      <c r="H4" s="427"/>
      <c r="I4" s="427"/>
      <c r="J4" s="427"/>
      <c r="K4" s="427"/>
      <c r="L4" s="427"/>
      <c r="M4" s="427"/>
      <c r="N4" s="427"/>
      <c r="O4" s="427"/>
      <c r="P4" s="427"/>
      <c r="Q4" s="427"/>
      <c r="R4" s="427"/>
      <c r="S4" s="427"/>
      <c r="T4" s="427"/>
      <c r="U4" s="427"/>
      <c r="V4" s="427"/>
      <c r="W4" s="427"/>
      <c r="X4" s="427"/>
      <c r="Y4" s="427"/>
      <c r="Z4" s="427"/>
      <c r="AA4" s="427"/>
      <c r="AB4" s="427"/>
      <c r="AC4" s="427"/>
      <c r="AD4" s="427"/>
      <c r="AE4" s="427"/>
      <c r="AF4" s="427"/>
      <c r="AG4" s="427"/>
      <c r="AH4" s="427"/>
      <c r="AI4" s="427"/>
      <c r="AJ4" s="427"/>
      <c r="AK4" s="427"/>
      <c r="AL4" s="427"/>
      <c r="AM4" s="427"/>
      <c r="AN4" s="427"/>
    </row>
    <row r="6" spans="3:48" x14ac:dyDescent="0.35">
      <c r="C6" s="165" t="s">
        <v>436</v>
      </c>
      <c r="V6" s="165" t="s">
        <v>437</v>
      </c>
      <c r="W6" s="165"/>
      <c r="X6" s="165"/>
      <c r="Y6" s="165"/>
      <c r="Z6" s="165"/>
      <c r="AA6" s="165"/>
      <c r="AB6" s="165"/>
      <c r="AC6" s="165"/>
      <c r="AD6" s="165"/>
      <c r="AE6" s="165"/>
      <c r="AF6" s="165"/>
      <c r="AG6" s="165"/>
      <c r="AH6" s="165"/>
      <c r="AI6" s="165"/>
      <c r="AJ6" s="165"/>
      <c r="AK6" s="165"/>
      <c r="AL6" s="165"/>
      <c r="AM6" s="165"/>
    </row>
    <row r="10" spans="3:48" x14ac:dyDescent="0.35">
      <c r="C10" s="428">
        <v>2019</v>
      </c>
      <c r="D10" s="428"/>
      <c r="E10" s="428"/>
      <c r="F10" s="428"/>
      <c r="G10" s="428"/>
      <c r="H10" s="428"/>
      <c r="I10" s="428"/>
      <c r="J10" s="428"/>
      <c r="K10" s="428"/>
      <c r="L10" s="428"/>
      <c r="M10" s="428"/>
      <c r="N10" s="428"/>
      <c r="O10" s="428"/>
      <c r="P10" s="428"/>
      <c r="Q10" s="428"/>
      <c r="R10" s="428"/>
      <c r="W10" s="429">
        <v>2019</v>
      </c>
      <c r="X10" s="429"/>
      <c r="Y10" s="429"/>
      <c r="Z10" s="429"/>
      <c r="AA10" s="429"/>
      <c r="AB10" s="429"/>
      <c r="AC10" s="429"/>
      <c r="AD10" s="429"/>
      <c r="AE10" s="429"/>
      <c r="AF10" s="429"/>
      <c r="AG10" s="429"/>
      <c r="AH10" s="429"/>
      <c r="AI10" s="429"/>
      <c r="AJ10" s="429"/>
      <c r="AK10" s="429"/>
      <c r="AL10" s="429"/>
      <c r="AM10" s="429"/>
    </row>
    <row r="11" spans="3:48" ht="30" customHeight="1" x14ac:dyDescent="0.35">
      <c r="C11" s="430" t="s">
        <v>438</v>
      </c>
      <c r="D11" s="430"/>
      <c r="E11" s="431" t="s">
        <v>439</v>
      </c>
      <c r="F11" s="431" t="s">
        <v>440</v>
      </c>
      <c r="G11" s="431" t="s">
        <v>441</v>
      </c>
      <c r="H11" s="431" t="s">
        <v>442</v>
      </c>
      <c r="I11" s="431" t="s">
        <v>443</v>
      </c>
      <c r="J11" s="431"/>
      <c r="K11" s="431"/>
      <c r="L11" s="431"/>
      <c r="M11" s="431" t="s">
        <v>444</v>
      </c>
      <c r="N11" s="431" t="s">
        <v>445</v>
      </c>
      <c r="O11" s="431" t="s">
        <v>446</v>
      </c>
      <c r="P11" s="431" t="s">
        <v>447</v>
      </c>
      <c r="Q11" s="167" t="s">
        <v>448</v>
      </c>
      <c r="R11" s="431" t="s">
        <v>52</v>
      </c>
      <c r="W11" s="430" t="s">
        <v>438</v>
      </c>
      <c r="X11" s="430"/>
      <c r="Y11" s="431" t="s">
        <v>439</v>
      </c>
      <c r="Z11" s="166"/>
      <c r="AA11" s="431" t="s">
        <v>441</v>
      </c>
      <c r="AB11" s="431" t="s">
        <v>442</v>
      </c>
      <c r="AC11" s="431" t="s">
        <v>443</v>
      </c>
      <c r="AD11" s="431"/>
      <c r="AE11" s="431"/>
      <c r="AF11" s="431"/>
      <c r="AG11" s="431" t="s">
        <v>444</v>
      </c>
      <c r="AH11" s="431" t="s">
        <v>445</v>
      </c>
      <c r="AI11" s="431" t="s">
        <v>446</v>
      </c>
      <c r="AJ11" s="168"/>
      <c r="AK11" s="431" t="s">
        <v>447</v>
      </c>
      <c r="AL11" s="167" t="s">
        <v>448</v>
      </c>
      <c r="AM11" s="431" t="s">
        <v>52</v>
      </c>
      <c r="AS11" s="425" t="s">
        <v>449</v>
      </c>
      <c r="AT11" s="425"/>
      <c r="AU11" s="425" t="s">
        <v>450</v>
      </c>
      <c r="AV11" s="425"/>
    </row>
    <row r="12" spans="3:48" ht="43.5" x14ac:dyDescent="0.35">
      <c r="C12" s="430"/>
      <c r="D12" s="430"/>
      <c r="E12" s="431"/>
      <c r="F12" s="431"/>
      <c r="G12" s="431"/>
      <c r="H12" s="431"/>
      <c r="I12" s="167" t="s">
        <v>451</v>
      </c>
      <c r="J12" s="167" t="s">
        <v>452</v>
      </c>
      <c r="K12" s="167" t="s">
        <v>453</v>
      </c>
      <c r="L12" s="167" t="s">
        <v>454</v>
      </c>
      <c r="M12" s="431"/>
      <c r="N12" s="431"/>
      <c r="O12" s="431"/>
      <c r="P12" s="431"/>
      <c r="Q12" s="167" t="s">
        <v>448</v>
      </c>
      <c r="R12" s="431"/>
      <c r="W12" s="430"/>
      <c r="X12" s="430"/>
      <c r="Y12" s="431"/>
      <c r="Z12" s="166" t="s">
        <v>455</v>
      </c>
      <c r="AA12" s="431"/>
      <c r="AB12" s="431"/>
      <c r="AC12" s="167" t="s">
        <v>451</v>
      </c>
      <c r="AD12" s="167" t="s">
        <v>452</v>
      </c>
      <c r="AE12" s="167" t="s">
        <v>453</v>
      </c>
      <c r="AF12" s="167" t="s">
        <v>454</v>
      </c>
      <c r="AG12" s="431"/>
      <c r="AH12" s="431"/>
      <c r="AI12" s="431"/>
      <c r="AJ12" s="169" t="s">
        <v>456</v>
      </c>
      <c r="AK12" s="431"/>
      <c r="AL12" s="167" t="s">
        <v>448</v>
      </c>
      <c r="AM12" s="431"/>
      <c r="AP12" s="148"/>
      <c r="AS12" s="1" t="s">
        <v>457</v>
      </c>
      <c r="AT12" s="1" t="s">
        <v>458</v>
      </c>
      <c r="AU12" s="1" t="s">
        <v>457</v>
      </c>
      <c r="AV12" s="1" t="s">
        <v>458</v>
      </c>
    </row>
    <row r="13" spans="3:48" x14ac:dyDescent="0.35">
      <c r="C13" s="432" t="s">
        <v>24</v>
      </c>
      <c r="D13" s="432"/>
      <c r="E13" s="170">
        <v>24190.062730000001</v>
      </c>
      <c r="F13" s="170"/>
      <c r="G13" s="170">
        <v>1324.6569999999999</v>
      </c>
      <c r="H13" s="170">
        <v>17579.52421</v>
      </c>
      <c r="I13" s="170">
        <v>6.9779999999999998</v>
      </c>
      <c r="J13" s="170">
        <v>0</v>
      </c>
      <c r="K13" s="170">
        <v>0</v>
      </c>
      <c r="L13" s="170">
        <v>0</v>
      </c>
      <c r="M13" s="170"/>
      <c r="N13" s="170">
        <v>0</v>
      </c>
      <c r="O13" s="170">
        <v>20853.753000000001</v>
      </c>
      <c r="P13" s="170">
        <v>117.46299999999999</v>
      </c>
      <c r="Q13" s="170">
        <v>0</v>
      </c>
      <c r="R13" s="170">
        <v>64072.437940000003</v>
      </c>
      <c r="V13" s="171"/>
      <c r="W13" s="432" t="s">
        <v>24</v>
      </c>
      <c r="X13" s="432"/>
      <c r="Y13" s="170">
        <v>19671.074860000001</v>
      </c>
      <c r="Z13" s="170">
        <v>27950.379000000001</v>
      </c>
      <c r="AA13" s="170">
        <v>1324.6569999999999</v>
      </c>
      <c r="AB13" s="170">
        <v>9299.348</v>
      </c>
      <c r="AC13" s="170">
        <v>6.9779999999999998</v>
      </c>
      <c r="AD13" s="170">
        <v>0</v>
      </c>
      <c r="AE13" s="170">
        <v>0</v>
      </c>
      <c r="AF13" s="170">
        <v>0</v>
      </c>
      <c r="AG13" s="170"/>
      <c r="AH13" s="170">
        <v>0</v>
      </c>
      <c r="AI13" s="170">
        <v>20853.753000000001</v>
      </c>
      <c r="AJ13" s="170">
        <v>0</v>
      </c>
      <c r="AK13" s="170">
        <v>117.46299999999999</v>
      </c>
      <c r="AL13" s="170">
        <v>0</v>
      </c>
      <c r="AM13" s="170">
        <v>79223.652860000002</v>
      </c>
      <c r="AN13" s="148" t="s">
        <v>459</v>
      </c>
      <c r="AP13" s="148" t="s">
        <v>460</v>
      </c>
      <c r="AQ13" s="432" t="s">
        <v>24</v>
      </c>
      <c r="AR13" s="432"/>
    </row>
    <row r="14" spans="3:48" x14ac:dyDescent="0.35">
      <c r="C14" s="172" t="s">
        <v>461</v>
      </c>
      <c r="D14" s="172" t="s">
        <v>457</v>
      </c>
      <c r="E14" s="173">
        <v>29391.005140000001</v>
      </c>
      <c r="F14" s="173"/>
      <c r="G14" s="173">
        <v>221.4588</v>
      </c>
      <c r="H14" s="173">
        <v>14402.57315</v>
      </c>
      <c r="I14" s="173">
        <v>-50.812139999999999</v>
      </c>
      <c r="J14" s="173">
        <v>0</v>
      </c>
      <c r="K14" s="173">
        <v>0</v>
      </c>
      <c r="L14" s="173">
        <v>0</v>
      </c>
      <c r="M14" s="173"/>
      <c r="N14" s="173">
        <v>0</v>
      </c>
      <c r="O14" s="173">
        <v>11347.083500000001</v>
      </c>
      <c r="P14" s="173">
        <v>117.46299999999999</v>
      </c>
      <c r="Q14" s="173">
        <v>0</v>
      </c>
      <c r="R14" s="170">
        <v>55428.77145</v>
      </c>
      <c r="V14" s="171"/>
      <c r="W14" s="172" t="s">
        <v>461</v>
      </c>
      <c r="X14" s="172" t="s">
        <v>457</v>
      </c>
      <c r="Y14" s="174">
        <v>18488.833859999999</v>
      </c>
      <c r="Z14" s="174">
        <v>27318.87</v>
      </c>
      <c r="AA14" s="174">
        <v>0</v>
      </c>
      <c r="AB14" s="174">
        <v>0</v>
      </c>
      <c r="AC14" s="174">
        <v>0</v>
      </c>
      <c r="AD14" s="174">
        <v>0</v>
      </c>
      <c r="AE14" s="174">
        <v>0</v>
      </c>
      <c r="AF14" s="174">
        <v>0</v>
      </c>
      <c r="AG14" s="174"/>
      <c r="AH14" s="174">
        <v>0</v>
      </c>
      <c r="AI14" s="174">
        <v>0</v>
      </c>
      <c r="AJ14" s="174">
        <v>0</v>
      </c>
      <c r="AK14" s="174">
        <v>0</v>
      </c>
      <c r="AL14" s="174">
        <v>0</v>
      </c>
      <c r="AM14" s="174">
        <v>45807.703860000001</v>
      </c>
      <c r="AN14" s="1" t="s">
        <v>462</v>
      </c>
      <c r="AP14" s="1" t="s">
        <v>463</v>
      </c>
      <c r="AQ14" s="172" t="s">
        <v>461</v>
      </c>
      <c r="AR14" s="172" t="s">
        <v>457</v>
      </c>
      <c r="AS14" s="1">
        <v>157.6</v>
      </c>
      <c r="AT14" s="175">
        <f>AS14/AM14</f>
        <v>3.4404693254581303E-3</v>
      </c>
      <c r="AU14" s="127">
        <v>2093.6669999999999</v>
      </c>
      <c r="AV14" s="175">
        <f>AU14/AM14</f>
        <v>4.5705565299644334E-2</v>
      </c>
    </row>
    <row r="15" spans="3:48" x14ac:dyDescent="0.35">
      <c r="C15" s="172" t="s">
        <v>464</v>
      </c>
      <c r="D15" s="172" t="s">
        <v>457</v>
      </c>
      <c r="E15" s="173">
        <v>68.343100000000007</v>
      </c>
      <c r="F15" s="173"/>
      <c r="G15" s="173">
        <v>39.053199999999997</v>
      </c>
      <c r="H15" s="173">
        <v>372.95805999999999</v>
      </c>
      <c r="I15" s="173">
        <v>56.627139999999997</v>
      </c>
      <c r="J15" s="173">
        <v>0</v>
      </c>
      <c r="K15" s="173">
        <v>0</v>
      </c>
      <c r="L15" s="173">
        <v>0</v>
      </c>
      <c r="M15" s="173"/>
      <c r="N15" s="173">
        <v>0</v>
      </c>
      <c r="O15" s="173">
        <v>1415.6785</v>
      </c>
      <c r="P15" s="173">
        <v>0</v>
      </c>
      <c r="Q15" s="173">
        <v>0</v>
      </c>
      <c r="R15" s="170">
        <v>1952.66</v>
      </c>
      <c r="V15" s="171"/>
      <c r="W15" s="172" t="s">
        <v>464</v>
      </c>
      <c r="X15" s="172" t="s">
        <v>457</v>
      </c>
      <c r="Y15" s="176">
        <v>68.343100000000007</v>
      </c>
      <c r="Z15" s="174">
        <v>0</v>
      </c>
      <c r="AA15" s="176">
        <v>39.053199999999997</v>
      </c>
      <c r="AB15" s="176">
        <v>429.58519999999999</v>
      </c>
      <c r="AC15" s="174">
        <v>0</v>
      </c>
      <c r="AD15" s="174">
        <v>0</v>
      </c>
      <c r="AE15" s="174">
        <v>0</v>
      </c>
      <c r="AF15" s="174">
        <v>0</v>
      </c>
      <c r="AG15" s="174"/>
      <c r="AH15" s="174">
        <v>0</v>
      </c>
      <c r="AI15" s="176">
        <v>1415.6785</v>
      </c>
      <c r="AJ15" s="174">
        <v>0</v>
      </c>
      <c r="AK15" s="174">
        <v>0</v>
      </c>
      <c r="AL15" s="174">
        <v>0</v>
      </c>
      <c r="AM15" s="176">
        <v>1952.66</v>
      </c>
      <c r="AN15" s="177" t="s">
        <v>465</v>
      </c>
      <c r="AP15" s="177"/>
      <c r="AQ15" s="172" t="s">
        <v>464</v>
      </c>
      <c r="AR15" s="172" t="s">
        <v>457</v>
      </c>
      <c r="AT15" s="175"/>
      <c r="AV15" s="175"/>
    </row>
    <row r="16" spans="3:48" x14ac:dyDescent="0.35">
      <c r="C16" s="172" t="s">
        <v>466</v>
      </c>
      <c r="D16" s="172" t="s">
        <v>457</v>
      </c>
      <c r="E16" s="173">
        <v>0</v>
      </c>
      <c r="F16" s="173"/>
      <c r="G16" s="173">
        <v>0</v>
      </c>
      <c r="H16" s="173">
        <v>0</v>
      </c>
      <c r="I16" s="173">
        <v>0</v>
      </c>
      <c r="J16" s="173">
        <v>0</v>
      </c>
      <c r="K16" s="173">
        <v>0</v>
      </c>
      <c r="L16" s="173">
        <v>0</v>
      </c>
      <c r="M16" s="173"/>
      <c r="N16" s="173">
        <v>0</v>
      </c>
      <c r="O16" s="173">
        <v>0</v>
      </c>
      <c r="P16" s="173">
        <v>0</v>
      </c>
      <c r="Q16" s="173">
        <v>0</v>
      </c>
      <c r="R16" s="170">
        <v>0</v>
      </c>
      <c r="V16" s="171"/>
      <c r="W16" s="172" t="s">
        <v>466</v>
      </c>
      <c r="X16" s="172" t="s">
        <v>457</v>
      </c>
      <c r="Y16" s="174">
        <v>0</v>
      </c>
      <c r="Z16" s="174">
        <v>0</v>
      </c>
      <c r="AA16" s="174">
        <v>0</v>
      </c>
      <c r="AB16" s="174">
        <v>0</v>
      </c>
      <c r="AC16" s="174">
        <v>0</v>
      </c>
      <c r="AD16" s="174">
        <v>0</v>
      </c>
      <c r="AE16" s="174">
        <v>0</v>
      </c>
      <c r="AF16" s="174">
        <v>0</v>
      </c>
      <c r="AG16" s="174"/>
      <c r="AH16" s="174">
        <v>0</v>
      </c>
      <c r="AI16" s="174">
        <v>0</v>
      </c>
      <c r="AJ16" s="174">
        <v>0</v>
      </c>
      <c r="AK16" s="174">
        <v>0</v>
      </c>
      <c r="AL16" s="174">
        <v>0</v>
      </c>
      <c r="AM16" s="174">
        <v>0</v>
      </c>
      <c r="AQ16" s="172" t="s">
        <v>466</v>
      </c>
      <c r="AR16" s="172" t="s">
        <v>457</v>
      </c>
      <c r="AT16" s="175"/>
      <c r="AV16" s="175"/>
    </row>
    <row r="17" spans="3:48" x14ac:dyDescent="0.35">
      <c r="C17" s="172"/>
      <c r="D17" s="172"/>
      <c r="E17" s="173"/>
      <c r="F17" s="173"/>
      <c r="G17" s="173"/>
      <c r="H17" s="173"/>
      <c r="I17" s="173"/>
      <c r="J17" s="173"/>
      <c r="K17" s="173"/>
      <c r="L17" s="173"/>
      <c r="M17" s="173"/>
      <c r="N17" s="173"/>
      <c r="O17" s="173"/>
      <c r="P17" s="173"/>
      <c r="Q17" s="173"/>
      <c r="R17" s="170"/>
      <c r="V17" s="171"/>
      <c r="W17" s="178" t="s">
        <v>467</v>
      </c>
      <c r="X17" s="172" t="s">
        <v>457</v>
      </c>
      <c r="Y17" s="176">
        <v>1087.6789000000001</v>
      </c>
      <c r="Z17" s="174">
        <v>631.50900000000001</v>
      </c>
      <c r="AA17" s="176">
        <v>221.4588</v>
      </c>
      <c r="AB17" s="176">
        <v>6065.7698</v>
      </c>
      <c r="AC17" s="173">
        <v>5.8150000000000004</v>
      </c>
      <c r="AD17" s="174">
        <v>0</v>
      </c>
      <c r="AE17" s="174"/>
      <c r="AF17" s="174"/>
      <c r="AG17" s="174"/>
      <c r="AH17" s="174"/>
      <c r="AI17" s="176">
        <v>11347.083500000001</v>
      </c>
      <c r="AJ17" s="174">
        <v>0</v>
      </c>
      <c r="AK17" s="174">
        <v>117.46299999999999</v>
      </c>
      <c r="AL17" s="174">
        <v>0</v>
      </c>
      <c r="AM17" s="176">
        <v>19476.777999999998</v>
      </c>
      <c r="AN17" s="1" t="s">
        <v>468</v>
      </c>
      <c r="AO17" s="175"/>
      <c r="AP17" s="1" t="s">
        <v>463</v>
      </c>
      <c r="AQ17" s="178" t="s">
        <v>467</v>
      </c>
      <c r="AR17" s="172" t="s">
        <v>457</v>
      </c>
      <c r="AT17" s="175"/>
      <c r="AV17" s="175"/>
    </row>
    <row r="18" spans="3:48" x14ac:dyDescent="0.35">
      <c r="C18" s="172" t="s">
        <v>469</v>
      </c>
      <c r="D18" s="172" t="s">
        <v>457</v>
      </c>
      <c r="E18" s="173">
        <v>25.056000000000001</v>
      </c>
      <c r="F18" s="173"/>
      <c r="G18" s="173">
        <v>175.392</v>
      </c>
      <c r="H18" s="173">
        <v>1566</v>
      </c>
      <c r="I18" s="173">
        <v>0</v>
      </c>
      <c r="J18" s="173">
        <v>0</v>
      </c>
      <c r="K18" s="173">
        <v>0</v>
      </c>
      <c r="L18" s="173">
        <v>0</v>
      </c>
      <c r="M18" s="173"/>
      <c r="N18" s="173">
        <v>0</v>
      </c>
      <c r="O18" s="173">
        <v>4447.4399999999996</v>
      </c>
      <c r="P18" s="173">
        <v>50.112000000000002</v>
      </c>
      <c r="Q18" s="173">
        <v>0</v>
      </c>
      <c r="R18" s="170">
        <v>6264</v>
      </c>
      <c r="V18" s="171"/>
      <c r="W18" s="172" t="s">
        <v>469</v>
      </c>
      <c r="X18" s="172" t="s">
        <v>457</v>
      </c>
      <c r="Y18" s="174">
        <v>25.056000000000001</v>
      </c>
      <c r="Z18" s="174">
        <v>0</v>
      </c>
      <c r="AA18" s="176">
        <v>175.392</v>
      </c>
      <c r="AB18" s="174">
        <v>1566</v>
      </c>
      <c r="AC18" s="174">
        <v>0</v>
      </c>
      <c r="AD18" s="174">
        <v>0</v>
      </c>
      <c r="AE18" s="174">
        <v>0</v>
      </c>
      <c r="AF18" s="174">
        <v>0</v>
      </c>
      <c r="AG18" s="174"/>
      <c r="AH18" s="174">
        <v>0</v>
      </c>
      <c r="AI18" s="174">
        <v>4447.4399999999996</v>
      </c>
      <c r="AJ18" s="174">
        <v>0</v>
      </c>
      <c r="AK18" s="174">
        <v>0</v>
      </c>
      <c r="AL18" s="174">
        <v>0</v>
      </c>
      <c r="AM18" s="176">
        <v>6264</v>
      </c>
      <c r="AN18" s="1" t="s">
        <v>470</v>
      </c>
      <c r="AQ18" s="172" t="s">
        <v>469</v>
      </c>
      <c r="AR18" s="172" t="s">
        <v>457</v>
      </c>
      <c r="AT18" s="175"/>
      <c r="AU18" s="127">
        <v>55.878</v>
      </c>
      <c r="AV18" s="175">
        <f>AU18/AM18</f>
        <v>8.9204980842911875E-3</v>
      </c>
    </row>
    <row r="19" spans="3:48" x14ac:dyDescent="0.35">
      <c r="C19" s="172" t="s">
        <v>471</v>
      </c>
      <c r="D19" s="172" t="s">
        <v>457</v>
      </c>
      <c r="E19" s="173">
        <v>0</v>
      </c>
      <c r="F19" s="173"/>
      <c r="G19" s="173">
        <v>0</v>
      </c>
      <c r="H19" s="179">
        <f>R19*0.9</f>
        <v>400.95</v>
      </c>
      <c r="I19" s="173">
        <v>0</v>
      </c>
      <c r="J19" s="173">
        <v>0</v>
      </c>
      <c r="K19" s="173">
        <v>0</v>
      </c>
      <c r="L19" s="173">
        <v>0</v>
      </c>
      <c r="M19" s="173"/>
      <c r="N19" s="173">
        <v>0</v>
      </c>
      <c r="O19" s="179">
        <f>445.5*0.1</f>
        <v>44.550000000000004</v>
      </c>
      <c r="P19" s="173">
        <v>0</v>
      </c>
      <c r="Q19" s="173">
        <v>0</v>
      </c>
      <c r="R19" s="170">
        <v>445.5</v>
      </c>
      <c r="V19" s="171"/>
      <c r="W19" s="172" t="s">
        <v>471</v>
      </c>
      <c r="X19" s="172" t="s">
        <v>457</v>
      </c>
      <c r="Y19" s="174">
        <v>0</v>
      </c>
      <c r="Z19" s="174">
        <v>0</v>
      </c>
      <c r="AA19" s="176">
        <v>32.923333333333296</v>
      </c>
      <c r="AB19" s="176">
        <v>855.74222222222204</v>
      </c>
      <c r="AC19" s="174">
        <v>0</v>
      </c>
      <c r="AD19" s="174">
        <v>0</v>
      </c>
      <c r="AE19" s="174">
        <v>0</v>
      </c>
      <c r="AF19" s="174">
        <v>0</v>
      </c>
      <c r="AG19" s="174"/>
      <c r="AH19" s="174">
        <v>0</v>
      </c>
      <c r="AI19" s="176">
        <v>448.63</v>
      </c>
      <c r="AJ19" s="174">
        <v>0</v>
      </c>
      <c r="AK19" s="174">
        <v>0</v>
      </c>
      <c r="AL19" s="174">
        <v>0</v>
      </c>
      <c r="AM19" s="176">
        <v>1337.29555555556</v>
      </c>
      <c r="AN19" s="177" t="s">
        <v>472</v>
      </c>
      <c r="AQ19" s="172" t="s">
        <v>471</v>
      </c>
      <c r="AR19" s="172" t="s">
        <v>457</v>
      </c>
      <c r="AT19" s="175"/>
      <c r="AV19" s="175"/>
    </row>
    <row r="20" spans="3:48" x14ac:dyDescent="0.35">
      <c r="C20" s="172" t="s">
        <v>473</v>
      </c>
      <c r="D20" s="172" t="s">
        <v>457</v>
      </c>
      <c r="E20" s="173">
        <v>1.163</v>
      </c>
      <c r="F20" s="173"/>
      <c r="G20" s="173">
        <v>888.75300000000004</v>
      </c>
      <c r="H20" s="173">
        <v>1237.9929999999999</v>
      </c>
      <c r="I20" s="173">
        <v>1.163</v>
      </c>
      <c r="J20" s="173">
        <v>0</v>
      </c>
      <c r="K20" s="173">
        <v>0</v>
      </c>
      <c r="L20" s="173">
        <v>0</v>
      </c>
      <c r="M20" s="173"/>
      <c r="N20" s="173">
        <v>0</v>
      </c>
      <c r="O20" s="173">
        <v>3198.0509999999999</v>
      </c>
      <c r="P20" s="173">
        <v>-50.112000000000002</v>
      </c>
      <c r="Q20" s="173">
        <v>0</v>
      </c>
      <c r="R20" s="170">
        <v>5277.0110000000004</v>
      </c>
      <c r="V20" s="171"/>
      <c r="W20" s="172" t="s">
        <v>473</v>
      </c>
      <c r="X20" s="172" t="s">
        <v>457</v>
      </c>
      <c r="Y20" s="174">
        <v>1.163</v>
      </c>
      <c r="Z20" s="174">
        <v>0</v>
      </c>
      <c r="AA20" s="176">
        <v>855.82966666666698</v>
      </c>
      <c r="AB20" s="176">
        <v>382.25077777777801</v>
      </c>
      <c r="AC20" s="174">
        <v>1.163</v>
      </c>
      <c r="AD20" s="174">
        <v>0</v>
      </c>
      <c r="AE20" s="174">
        <v>0</v>
      </c>
      <c r="AF20" s="174">
        <v>0</v>
      </c>
      <c r="AG20" s="174"/>
      <c r="AH20" s="174">
        <v>0</v>
      </c>
      <c r="AI20" s="176">
        <v>3194.9209999999998</v>
      </c>
      <c r="AJ20" s="174">
        <v>0</v>
      </c>
      <c r="AK20" s="174">
        <v>0</v>
      </c>
      <c r="AL20" s="174">
        <v>0</v>
      </c>
      <c r="AM20" s="176">
        <v>4385.2154444444404</v>
      </c>
      <c r="AN20" s="1" t="s">
        <v>468</v>
      </c>
      <c r="AO20" s="175"/>
      <c r="AQ20" s="172" t="s">
        <v>473</v>
      </c>
      <c r="AR20" s="172" t="s">
        <v>457</v>
      </c>
      <c r="AS20" s="1">
        <v>86.5</v>
      </c>
      <c r="AT20" s="175">
        <f>AS20/AM20</f>
        <v>1.9725370645035347E-2</v>
      </c>
      <c r="AU20" s="127">
        <v>82.619</v>
      </c>
      <c r="AV20" s="175">
        <f>AU20/AM20</f>
        <v>1.8840351414129194E-2</v>
      </c>
    </row>
    <row r="21" spans="3:48" x14ac:dyDescent="0.35">
      <c r="C21" s="432" t="s">
        <v>25</v>
      </c>
      <c r="D21" s="432"/>
      <c r="E21" s="170">
        <v>3728.8687500000001</v>
      </c>
      <c r="F21" s="170"/>
      <c r="G21" s="170">
        <v>4401.59447</v>
      </c>
      <c r="H21" s="170">
        <v>35658.52203</v>
      </c>
      <c r="I21" s="170">
        <v>1080.47352000001</v>
      </c>
      <c r="J21" s="170">
        <v>0</v>
      </c>
      <c r="K21" s="170">
        <v>0</v>
      </c>
      <c r="L21" s="170">
        <v>0</v>
      </c>
      <c r="M21" s="170"/>
      <c r="N21" s="170">
        <v>0</v>
      </c>
      <c r="O21" s="170">
        <v>19634.219570000001</v>
      </c>
      <c r="P21" s="170">
        <v>11362.64956</v>
      </c>
      <c r="Q21" s="170">
        <v>0</v>
      </c>
      <c r="R21" s="170">
        <v>75866.327900000004</v>
      </c>
      <c r="V21" s="171"/>
      <c r="W21" s="432" t="s">
        <v>25</v>
      </c>
      <c r="X21" s="432"/>
      <c r="Y21" s="170">
        <v>3659.9609999999998</v>
      </c>
      <c r="Z21" s="170">
        <v>68.907749999999993</v>
      </c>
      <c r="AA21" s="170">
        <v>4401.59447</v>
      </c>
      <c r="AB21" s="170">
        <v>35658.52203</v>
      </c>
      <c r="AC21" s="170">
        <v>1080.47352000001</v>
      </c>
      <c r="AD21" s="170">
        <v>0</v>
      </c>
      <c r="AE21" s="170">
        <v>0</v>
      </c>
      <c r="AF21" s="170">
        <v>0</v>
      </c>
      <c r="AG21" s="170"/>
      <c r="AH21" s="170">
        <v>0</v>
      </c>
      <c r="AI21" s="170">
        <v>19634.219570000001</v>
      </c>
      <c r="AJ21" s="170">
        <v>0</v>
      </c>
      <c r="AK21" s="170">
        <v>11362.64956</v>
      </c>
      <c r="AL21" s="170">
        <v>0</v>
      </c>
      <c r="AM21" s="170">
        <v>75866.327900000004</v>
      </c>
      <c r="AN21" s="1" t="s">
        <v>474</v>
      </c>
      <c r="AQ21" s="432" t="s">
        <v>25</v>
      </c>
      <c r="AR21" s="432"/>
      <c r="AT21" s="175"/>
      <c r="AV21" s="175"/>
    </row>
    <row r="22" spans="3:48" x14ac:dyDescent="0.35">
      <c r="C22" s="172" t="s">
        <v>475</v>
      </c>
      <c r="D22" s="172" t="s">
        <v>457</v>
      </c>
      <c r="E22" s="173">
        <v>0</v>
      </c>
      <c r="F22" s="173"/>
      <c r="G22" s="173">
        <v>26.879492334423301</v>
      </c>
      <c r="H22" s="173">
        <v>4999.5855742027297</v>
      </c>
      <c r="I22" s="173">
        <v>26.879492334423301</v>
      </c>
      <c r="J22" s="173">
        <v>0</v>
      </c>
      <c r="K22" s="173">
        <v>0</v>
      </c>
      <c r="L22" s="173">
        <v>0</v>
      </c>
      <c r="M22" s="173"/>
      <c r="N22" s="173">
        <v>0</v>
      </c>
      <c r="O22" s="173">
        <v>322.55390801307902</v>
      </c>
      <c r="P22" s="173">
        <v>0</v>
      </c>
      <c r="Q22" s="173">
        <v>0</v>
      </c>
      <c r="R22" s="170">
        <v>5375.8984668846497</v>
      </c>
      <c r="V22" s="171"/>
      <c r="W22" s="172" t="s">
        <v>475</v>
      </c>
      <c r="X22" s="172" t="s">
        <v>457</v>
      </c>
      <c r="Y22" s="173">
        <v>0</v>
      </c>
      <c r="Z22" s="173">
        <v>0</v>
      </c>
      <c r="AA22" s="173">
        <v>26.879492334423301</v>
      </c>
      <c r="AB22" s="173">
        <v>4999.5855742027297</v>
      </c>
      <c r="AC22" s="173">
        <v>26.879492334423301</v>
      </c>
      <c r="AD22" s="173">
        <v>0</v>
      </c>
      <c r="AE22" s="173">
        <v>0</v>
      </c>
      <c r="AF22" s="173">
        <v>0</v>
      </c>
      <c r="AG22" s="173"/>
      <c r="AH22" s="173">
        <v>0</v>
      </c>
      <c r="AI22" s="173">
        <v>322.55390801307902</v>
      </c>
      <c r="AJ22" s="173">
        <v>0</v>
      </c>
      <c r="AK22" s="173">
        <v>0</v>
      </c>
      <c r="AL22" s="173">
        <v>0</v>
      </c>
      <c r="AM22" s="173">
        <v>5375.8984668846497</v>
      </c>
      <c r="AN22" s="1" t="s">
        <v>470</v>
      </c>
      <c r="AQ22" s="172" t="s">
        <v>475</v>
      </c>
      <c r="AR22" s="172" t="s">
        <v>457</v>
      </c>
      <c r="AT22" s="175"/>
      <c r="AV22" s="175"/>
    </row>
    <row r="23" spans="3:48" x14ac:dyDescent="0.35">
      <c r="C23" s="172" t="s">
        <v>476</v>
      </c>
      <c r="D23" s="172" t="s">
        <v>457</v>
      </c>
      <c r="E23" s="173">
        <v>0</v>
      </c>
      <c r="F23" s="173"/>
      <c r="G23" s="173">
        <v>1703.6673708114899</v>
      </c>
      <c r="H23" s="173">
        <v>12328.079291392</v>
      </c>
      <c r="I23" s="173">
        <v>757.42589761749502</v>
      </c>
      <c r="J23" s="173">
        <v>0</v>
      </c>
      <c r="K23" s="173">
        <v>0</v>
      </c>
      <c r="L23" s="173">
        <v>0</v>
      </c>
      <c r="M23" s="173"/>
      <c r="N23" s="173">
        <v>0</v>
      </c>
      <c r="O23" s="173">
        <v>5680.6942321312099</v>
      </c>
      <c r="P23" s="173">
        <v>4436.3516860453301</v>
      </c>
      <c r="Q23" s="173">
        <v>0</v>
      </c>
      <c r="R23" s="170">
        <v>24906.2184779975</v>
      </c>
      <c r="V23" s="171"/>
      <c r="W23" s="172" t="s">
        <v>476</v>
      </c>
      <c r="X23" s="172" t="s">
        <v>457</v>
      </c>
      <c r="Y23" s="174">
        <v>0</v>
      </c>
      <c r="Z23" s="174">
        <v>0</v>
      </c>
      <c r="AA23" s="174">
        <v>1618.41363305613</v>
      </c>
      <c r="AB23" s="174">
        <v>29131.4453950104</v>
      </c>
      <c r="AC23" s="174">
        <v>588.63274428274406</v>
      </c>
      <c r="AD23" s="174">
        <v>0</v>
      </c>
      <c r="AE23" s="174">
        <v>0</v>
      </c>
      <c r="AF23" s="174">
        <v>0</v>
      </c>
      <c r="AG23" s="174"/>
      <c r="AH23" s="174">
        <v>0</v>
      </c>
      <c r="AI23" s="174">
        <v>7108.8951993951996</v>
      </c>
      <c r="AJ23" s="174">
        <v>0</v>
      </c>
      <c r="AK23" s="174">
        <v>5861.8958703458702</v>
      </c>
      <c r="AL23" s="174">
        <v>0</v>
      </c>
      <c r="AM23" s="174">
        <v>44309.282842090397</v>
      </c>
      <c r="AN23" s="1" t="s">
        <v>477</v>
      </c>
      <c r="AO23" s="175"/>
      <c r="AP23" s="1" t="s">
        <v>478</v>
      </c>
      <c r="AQ23" s="172" t="s">
        <v>476</v>
      </c>
      <c r="AR23" s="172" t="s">
        <v>457</v>
      </c>
      <c r="AS23" s="1">
        <v>292.60000000000002</v>
      </c>
      <c r="AT23" s="175">
        <f>AS23/AM23</f>
        <v>6.6035823924925413E-3</v>
      </c>
      <c r="AU23" s="127">
        <v>287.28899999999999</v>
      </c>
      <c r="AV23" s="175">
        <f>AU23/AM23</f>
        <v>6.4837203757921718E-3</v>
      </c>
    </row>
    <row r="24" spans="3:48" x14ac:dyDescent="0.35">
      <c r="C24" s="172" t="s">
        <v>479</v>
      </c>
      <c r="D24" s="172" t="s">
        <v>457</v>
      </c>
      <c r="E24" s="173">
        <v>3728.8687500000001</v>
      </c>
      <c r="F24" s="173"/>
      <c r="G24" s="173">
        <v>2671.0476068540902</v>
      </c>
      <c r="H24" s="173">
        <v>18330.857164405301</v>
      </c>
      <c r="I24" s="173">
        <v>296.16813004808802</v>
      </c>
      <c r="J24" s="173">
        <v>0</v>
      </c>
      <c r="K24" s="173">
        <v>0</v>
      </c>
      <c r="L24" s="173">
        <v>0</v>
      </c>
      <c r="M24" s="173"/>
      <c r="N24" s="173">
        <v>0</v>
      </c>
      <c r="O24" s="173">
        <v>13630.971429855699</v>
      </c>
      <c r="P24" s="173">
        <v>6926.2978739546697</v>
      </c>
      <c r="Q24" s="173">
        <v>0</v>
      </c>
      <c r="R24" s="170">
        <v>45584.210955117902</v>
      </c>
      <c r="V24" s="171"/>
      <c r="W24" s="172" t="s">
        <v>479</v>
      </c>
      <c r="X24" s="172" t="s">
        <v>457</v>
      </c>
      <c r="Y24" s="173">
        <v>3659.9609999999998</v>
      </c>
      <c r="Z24" s="173">
        <v>68.907749999999993</v>
      </c>
      <c r="AA24" s="173">
        <v>2756.3013446094401</v>
      </c>
      <c r="AB24" s="173">
        <v>1527.4910607868801</v>
      </c>
      <c r="AC24" s="173">
        <v>464.96128338283802</v>
      </c>
      <c r="AD24" s="173">
        <v>0</v>
      </c>
      <c r="AE24" s="173">
        <v>0</v>
      </c>
      <c r="AF24" s="173">
        <v>0</v>
      </c>
      <c r="AG24" s="173"/>
      <c r="AH24" s="173">
        <v>0</v>
      </c>
      <c r="AI24" s="173">
        <v>12202.770462591699</v>
      </c>
      <c r="AJ24" s="173">
        <v>0</v>
      </c>
      <c r="AK24" s="173">
        <v>5500.7536896541296</v>
      </c>
      <c r="AL24" s="173">
        <v>0</v>
      </c>
      <c r="AM24" s="173">
        <v>26181.146591025001</v>
      </c>
      <c r="AN24" s="1" t="s">
        <v>468</v>
      </c>
      <c r="AO24" s="180"/>
      <c r="AQ24" s="172" t="s">
        <v>479</v>
      </c>
      <c r="AR24" s="172" t="s">
        <v>457</v>
      </c>
      <c r="AS24" s="1">
        <v>932.6</v>
      </c>
      <c r="AT24" s="175">
        <f>AS24/AM24</f>
        <v>3.5621052605835792E-2</v>
      </c>
      <c r="AU24" s="127">
        <v>1014.828</v>
      </c>
      <c r="AV24" s="175">
        <f>AU24/AM24</f>
        <v>3.8761785946681455E-2</v>
      </c>
    </row>
    <row r="25" spans="3:48" x14ac:dyDescent="0.35">
      <c r="C25" s="432" t="s">
        <v>480</v>
      </c>
      <c r="D25" s="432"/>
      <c r="E25" s="170">
        <v>2938.9009999999998</v>
      </c>
      <c r="F25" s="170"/>
      <c r="G25" s="170">
        <v>6832.625</v>
      </c>
      <c r="H25" s="170">
        <v>19326.734</v>
      </c>
      <c r="I25" s="170">
        <v>5982.4719999999998</v>
      </c>
      <c r="J25" s="170">
        <v>0</v>
      </c>
      <c r="K25" s="170">
        <v>0</v>
      </c>
      <c r="L25" s="170">
        <v>0</v>
      </c>
      <c r="M25" s="170"/>
      <c r="N25" s="170">
        <v>0</v>
      </c>
      <c r="O25" s="170">
        <v>8314.2870000000003</v>
      </c>
      <c r="P25" s="170">
        <v>0</v>
      </c>
      <c r="Q25" s="170">
        <v>0</v>
      </c>
      <c r="R25" s="170">
        <v>43395.019</v>
      </c>
      <c r="V25" s="171"/>
      <c r="W25" s="432" t="s">
        <v>480</v>
      </c>
      <c r="X25" s="432"/>
      <c r="Y25" s="170">
        <v>2556.2739999999999</v>
      </c>
      <c r="Z25" s="170">
        <v>382.62700000000001</v>
      </c>
      <c r="AA25" s="170">
        <v>6832.625</v>
      </c>
      <c r="AB25" s="170">
        <v>19326.734</v>
      </c>
      <c r="AC25" s="170">
        <v>2679.0324533571202</v>
      </c>
      <c r="AD25" s="170">
        <v>3417.3512551478002</v>
      </c>
      <c r="AE25" s="170">
        <v>0</v>
      </c>
      <c r="AF25" s="170">
        <v>0</v>
      </c>
      <c r="AG25" s="170"/>
      <c r="AH25" s="170">
        <v>0</v>
      </c>
      <c r="AI25" s="170">
        <v>8314.2870000000003</v>
      </c>
      <c r="AJ25" s="170">
        <v>0</v>
      </c>
      <c r="AK25" s="170">
        <v>0</v>
      </c>
      <c r="AL25" s="170">
        <v>0</v>
      </c>
      <c r="AM25" s="170">
        <f>SUM(AM26:AM28)</f>
        <v>43508.930708504937</v>
      </c>
      <c r="AN25" s="1" t="s">
        <v>474</v>
      </c>
      <c r="AQ25" s="432" t="s">
        <v>480</v>
      </c>
      <c r="AR25" s="432"/>
      <c r="AT25" s="175"/>
      <c r="AV25" s="175"/>
    </row>
    <row r="26" spans="3:48" x14ac:dyDescent="0.35">
      <c r="C26" s="172" t="s">
        <v>481</v>
      </c>
      <c r="D26" s="172" t="s">
        <v>457</v>
      </c>
      <c r="E26" s="173">
        <v>1876.1928459635001</v>
      </c>
      <c r="F26" s="173"/>
      <c r="G26" s="173">
        <v>5159.5303263996202</v>
      </c>
      <c r="H26" s="173">
        <v>268.02754942335702</v>
      </c>
      <c r="I26" s="173">
        <v>5695.5854252463396</v>
      </c>
      <c r="J26" s="173">
        <v>0</v>
      </c>
      <c r="K26" s="173">
        <v>0</v>
      </c>
      <c r="L26" s="173">
        <v>0</v>
      </c>
      <c r="M26" s="173"/>
      <c r="N26" s="173">
        <v>0</v>
      </c>
      <c r="O26" s="173">
        <v>402.04132413503601</v>
      </c>
      <c r="P26" s="173">
        <v>0</v>
      </c>
      <c r="Q26" s="173">
        <v>0</v>
      </c>
      <c r="R26" s="170">
        <v>13401.3774711679</v>
      </c>
      <c r="V26" s="171"/>
      <c r="W26" s="172" t="s">
        <v>481</v>
      </c>
      <c r="X26" s="172" t="s">
        <v>457</v>
      </c>
      <c r="Y26" s="173">
        <v>1876.1928459635001</v>
      </c>
      <c r="Z26" s="173">
        <v>0</v>
      </c>
      <c r="AA26" s="173">
        <v>5159.5303263996202</v>
      </c>
      <c r="AB26" s="173">
        <v>268.02754942335702</v>
      </c>
      <c r="AC26" s="173">
        <v>2278.2341700985298</v>
      </c>
      <c r="AD26" s="173">
        <v>3417.3512551478002</v>
      </c>
      <c r="AE26" s="173">
        <v>0</v>
      </c>
      <c r="AF26" s="173">
        <v>0</v>
      </c>
      <c r="AG26" s="173"/>
      <c r="AH26" s="173">
        <v>0</v>
      </c>
      <c r="AI26" s="173">
        <v>1871.7831758505499</v>
      </c>
      <c r="AJ26" s="173">
        <v>0</v>
      </c>
      <c r="AK26" s="173">
        <v>0</v>
      </c>
      <c r="AL26" s="173">
        <v>0</v>
      </c>
      <c r="AM26" s="173">
        <f>SUM(Y26:AL26)</f>
        <v>14871.119322883358</v>
      </c>
      <c r="AN26" s="1" t="s">
        <v>474</v>
      </c>
      <c r="AQ26" s="172" t="s">
        <v>481</v>
      </c>
      <c r="AR26" s="172" t="s">
        <v>457</v>
      </c>
      <c r="AT26" s="175"/>
      <c r="AU26" s="127">
        <v>995.96699999999998</v>
      </c>
      <c r="AV26" s="175">
        <f>AU26/AM26</f>
        <v>6.6973237076204978E-2</v>
      </c>
    </row>
    <row r="27" spans="3:48" x14ac:dyDescent="0.35">
      <c r="C27" s="172" t="s">
        <v>482</v>
      </c>
      <c r="D27" s="172" t="s">
        <v>457</v>
      </c>
      <c r="E27" s="173">
        <v>0</v>
      </c>
      <c r="F27" s="173"/>
      <c r="G27" s="173">
        <v>1376.6639035451999</v>
      </c>
      <c r="H27" s="173">
        <v>10248.4979486143</v>
      </c>
      <c r="I27" s="173">
        <v>0</v>
      </c>
      <c r="J27" s="173">
        <v>0</v>
      </c>
      <c r="K27" s="173">
        <v>0</v>
      </c>
      <c r="L27" s="173">
        <v>0</v>
      </c>
      <c r="M27" s="173"/>
      <c r="N27" s="173">
        <v>0</v>
      </c>
      <c r="O27" s="173">
        <v>3671.1037427872002</v>
      </c>
      <c r="P27" s="173">
        <v>0</v>
      </c>
      <c r="Q27" s="173">
        <v>0</v>
      </c>
      <c r="R27" s="170">
        <v>15296.265594946701</v>
      </c>
      <c r="V27" s="171"/>
      <c r="W27" s="172" t="s">
        <v>482</v>
      </c>
      <c r="X27" s="172" t="s">
        <v>457</v>
      </c>
      <c r="Y27" s="173">
        <v>0</v>
      </c>
      <c r="Z27" s="173">
        <v>0</v>
      </c>
      <c r="AA27" s="173">
        <v>1376.6639035451999</v>
      </c>
      <c r="AB27" s="173">
        <v>10248.4979486143</v>
      </c>
      <c r="AC27" s="173">
        <v>0</v>
      </c>
      <c r="AD27" s="173">
        <v>0</v>
      </c>
      <c r="AE27" s="173">
        <v>0</v>
      </c>
      <c r="AF27" s="173">
        <v>0</v>
      </c>
      <c r="AG27" s="173"/>
      <c r="AH27" s="173">
        <v>0</v>
      </c>
      <c r="AI27" s="173">
        <v>3671.1037427872002</v>
      </c>
      <c r="AJ27" s="173">
        <v>0</v>
      </c>
      <c r="AK27" s="173">
        <v>0</v>
      </c>
      <c r="AL27" s="173">
        <v>0</v>
      </c>
      <c r="AM27" s="173">
        <f>SUM(Y27:AL27)</f>
        <v>15296.265594946701</v>
      </c>
      <c r="AN27" s="1" t="s">
        <v>477</v>
      </c>
      <c r="AO27" s="175"/>
      <c r="AQ27" s="172" t="s">
        <v>482</v>
      </c>
      <c r="AR27" s="172" t="s">
        <v>457</v>
      </c>
      <c r="AS27" s="1">
        <v>65</v>
      </c>
      <c r="AT27" s="175">
        <f>AS27/AM27</f>
        <v>4.2494032021432411E-3</v>
      </c>
      <c r="AU27" s="127">
        <v>222.06700000000001</v>
      </c>
      <c r="AV27" s="175">
        <f>AU27/AM27</f>
        <v>1.4517726475236048E-2</v>
      </c>
    </row>
    <row r="28" spans="3:48" x14ac:dyDescent="0.35">
      <c r="C28" s="172" t="s">
        <v>483</v>
      </c>
      <c r="D28" s="172" t="s">
        <v>457</v>
      </c>
      <c r="E28" s="173">
        <v>1062.7081540365</v>
      </c>
      <c r="F28" s="173"/>
      <c r="G28" s="173">
        <v>296.43077005517603</v>
      </c>
      <c r="H28" s="173">
        <v>8810.2085019623592</v>
      </c>
      <c r="I28" s="173">
        <v>286.88657475366301</v>
      </c>
      <c r="J28" s="173">
        <v>0</v>
      </c>
      <c r="K28" s="173">
        <v>0</v>
      </c>
      <c r="L28" s="173">
        <v>0</v>
      </c>
      <c r="M28" s="173"/>
      <c r="N28" s="173">
        <v>0</v>
      </c>
      <c r="O28" s="173">
        <v>4241.1419330777599</v>
      </c>
      <c r="P28" s="173">
        <v>0</v>
      </c>
      <c r="Q28" s="173">
        <v>0</v>
      </c>
      <c r="R28" s="170">
        <v>14697.3759338855</v>
      </c>
      <c r="V28" s="171"/>
      <c r="W28" s="172" t="s">
        <v>483</v>
      </c>
      <c r="X28" s="172" t="s">
        <v>457</v>
      </c>
      <c r="Y28" s="173">
        <v>680.08115403650095</v>
      </c>
      <c r="Z28" s="173">
        <v>382.62700000000001</v>
      </c>
      <c r="AA28" s="173">
        <v>296.43077005517603</v>
      </c>
      <c r="AB28" s="173">
        <v>8810.2085019623592</v>
      </c>
      <c r="AC28" s="173">
        <v>400.79828325859</v>
      </c>
      <c r="AD28" s="173">
        <v>0</v>
      </c>
      <c r="AE28" s="173">
        <v>0</v>
      </c>
      <c r="AF28" s="173">
        <v>0</v>
      </c>
      <c r="AG28" s="173"/>
      <c r="AH28" s="173">
        <v>0</v>
      </c>
      <c r="AI28" s="173">
        <v>2771.4000813622501</v>
      </c>
      <c r="AJ28" s="173">
        <v>0</v>
      </c>
      <c r="AK28" s="173">
        <v>0</v>
      </c>
      <c r="AL28" s="173">
        <v>0</v>
      </c>
      <c r="AM28" s="173">
        <f>SUM(Y28:AL28)</f>
        <v>13341.545790674874</v>
      </c>
      <c r="AN28" s="1" t="s">
        <v>468</v>
      </c>
      <c r="AO28" s="180"/>
      <c r="AQ28" s="172" t="s">
        <v>483</v>
      </c>
      <c r="AR28" s="172" t="s">
        <v>457</v>
      </c>
      <c r="AS28" s="1">
        <v>132</v>
      </c>
      <c r="AT28" s="175">
        <f>AS28/AM28</f>
        <v>9.8939060039251164E-3</v>
      </c>
      <c r="AU28" s="127">
        <v>-64.718999999999994</v>
      </c>
      <c r="AV28" s="175">
        <f>AU28/AM28</f>
        <v>-4.8509371414244664E-3</v>
      </c>
    </row>
    <row r="29" spans="3:48" x14ac:dyDescent="0.35">
      <c r="C29" s="432" t="s">
        <v>484</v>
      </c>
      <c r="D29" s="432"/>
      <c r="E29" s="170">
        <v>2301.5770000000002</v>
      </c>
      <c r="F29" s="170"/>
      <c r="G29" s="170">
        <v>2944.7159999999999</v>
      </c>
      <c r="H29" s="170">
        <v>26382.654999999999</v>
      </c>
      <c r="I29" s="170">
        <v>2189.9290000000001</v>
      </c>
      <c r="J29" s="170">
        <v>0</v>
      </c>
      <c r="K29" s="170">
        <v>0</v>
      </c>
      <c r="L29" s="170">
        <v>0</v>
      </c>
      <c r="M29" s="170"/>
      <c r="N29" s="170">
        <v>0</v>
      </c>
      <c r="O29" s="170">
        <v>23015.77</v>
      </c>
      <c r="P29" s="170">
        <v>0</v>
      </c>
      <c r="Q29" s="170">
        <v>0</v>
      </c>
      <c r="R29" s="170">
        <v>56834.646999999997</v>
      </c>
      <c r="V29" s="171"/>
      <c r="W29" s="432" t="s">
        <v>484</v>
      </c>
      <c r="X29" s="432"/>
      <c r="Y29" s="170">
        <v>2130.616</v>
      </c>
      <c r="Z29" s="170">
        <v>170.96100000000001</v>
      </c>
      <c r="AA29" s="170">
        <v>2944.7159999999999</v>
      </c>
      <c r="AB29" s="170">
        <v>26382.654999999999</v>
      </c>
      <c r="AC29" s="170">
        <v>2189.9290000000001</v>
      </c>
      <c r="AD29" s="170">
        <v>0</v>
      </c>
      <c r="AE29" s="170">
        <v>0</v>
      </c>
      <c r="AF29" s="170">
        <v>0</v>
      </c>
      <c r="AG29" s="170"/>
      <c r="AH29" s="170">
        <v>0</v>
      </c>
      <c r="AI29" s="170">
        <v>23015.77</v>
      </c>
      <c r="AJ29" s="170">
        <v>0</v>
      </c>
      <c r="AK29" s="170">
        <v>2752.0909999999999</v>
      </c>
      <c r="AL29" s="170">
        <v>0</v>
      </c>
      <c r="AM29" s="170">
        <v>59586.737999999998</v>
      </c>
      <c r="AN29" s="1" t="s">
        <v>474</v>
      </c>
      <c r="AQ29" s="432" t="s">
        <v>484</v>
      </c>
      <c r="AR29" s="432"/>
      <c r="AT29" s="175"/>
      <c r="AV29" s="175"/>
    </row>
    <row r="30" spans="3:48" x14ac:dyDescent="0.35">
      <c r="C30" s="172" t="s">
        <v>485</v>
      </c>
      <c r="D30" s="172" t="s">
        <v>457</v>
      </c>
      <c r="E30" s="173">
        <v>1906.6484837999999</v>
      </c>
      <c r="F30" s="173"/>
      <c r="G30" s="173">
        <v>922.57184700000005</v>
      </c>
      <c r="H30" s="173">
        <v>6868.0348610000001</v>
      </c>
      <c r="I30" s="173">
        <v>41.003193199999998</v>
      </c>
      <c r="J30" s="173">
        <v>0</v>
      </c>
      <c r="K30" s="173">
        <v>0</v>
      </c>
      <c r="L30" s="173">
        <v>0</v>
      </c>
      <c r="M30" s="173"/>
      <c r="N30" s="173">
        <v>0</v>
      </c>
      <c r="O30" s="173">
        <v>512.53991499999995</v>
      </c>
      <c r="P30" s="173">
        <v>0</v>
      </c>
      <c r="Q30" s="173">
        <v>0</v>
      </c>
      <c r="R30" s="170">
        <v>10250.7983</v>
      </c>
      <c r="V30" s="171"/>
      <c r="W30" s="172" t="s">
        <v>485</v>
      </c>
      <c r="X30" s="172" t="s">
        <v>457</v>
      </c>
      <c r="Y30" s="173">
        <v>1906.6484837999999</v>
      </c>
      <c r="Z30" s="173">
        <v>0</v>
      </c>
      <c r="AA30" s="173">
        <v>922.57184700000005</v>
      </c>
      <c r="AB30" s="173">
        <v>6868.0348610000001</v>
      </c>
      <c r="AC30" s="173">
        <v>41.003193199999998</v>
      </c>
      <c r="AD30" s="173">
        <v>0</v>
      </c>
      <c r="AE30" s="173">
        <v>0</v>
      </c>
      <c r="AF30" s="173">
        <v>0</v>
      </c>
      <c r="AG30" s="173"/>
      <c r="AH30" s="173">
        <v>0</v>
      </c>
      <c r="AI30" s="173">
        <v>512.53991499999995</v>
      </c>
      <c r="AJ30" s="173">
        <v>0</v>
      </c>
      <c r="AK30" s="173">
        <v>0</v>
      </c>
      <c r="AL30" s="173">
        <v>0</v>
      </c>
      <c r="AM30" s="173">
        <v>10250.7983</v>
      </c>
      <c r="AN30" s="1" t="s">
        <v>477</v>
      </c>
      <c r="AO30" s="175"/>
      <c r="AQ30" s="172" t="s">
        <v>485</v>
      </c>
      <c r="AR30" s="172" t="s">
        <v>457</v>
      </c>
      <c r="AS30" s="1">
        <v>267.8</v>
      </c>
      <c r="AT30" s="175">
        <f>AS30/AM30</f>
        <v>2.6124794592826982E-2</v>
      </c>
      <c r="AU30" s="127">
        <v>356.88200000000001</v>
      </c>
      <c r="AV30" s="175">
        <f>AU30/AM30</f>
        <v>3.4815044599989839E-2</v>
      </c>
    </row>
    <row r="31" spans="3:48" x14ac:dyDescent="0.35">
      <c r="C31" s="172" t="s">
        <v>486</v>
      </c>
      <c r="D31" s="172" t="s">
        <v>457</v>
      </c>
      <c r="E31" s="173">
        <v>394.92851619999999</v>
      </c>
      <c r="F31" s="173"/>
      <c r="G31" s="173">
        <v>2022.144153</v>
      </c>
      <c r="H31" s="173">
        <v>19514.620138999999</v>
      </c>
      <c r="I31" s="173">
        <v>2148.9258067999999</v>
      </c>
      <c r="J31" s="173">
        <v>0</v>
      </c>
      <c r="K31" s="173">
        <v>0</v>
      </c>
      <c r="L31" s="173">
        <v>0</v>
      </c>
      <c r="M31" s="173"/>
      <c r="N31" s="173">
        <v>0</v>
      </c>
      <c r="O31" s="173">
        <v>22503.230084999999</v>
      </c>
      <c r="P31" s="173">
        <v>0</v>
      </c>
      <c r="Q31" s="173">
        <v>0</v>
      </c>
      <c r="R31" s="170">
        <v>46583.848700000002</v>
      </c>
      <c r="V31" s="171"/>
      <c r="W31" s="172" t="s">
        <v>486</v>
      </c>
      <c r="X31" s="172" t="s">
        <v>457</v>
      </c>
      <c r="Y31" s="173">
        <v>223.96751620000001</v>
      </c>
      <c r="Z31" s="173">
        <v>170.96100000000001</v>
      </c>
      <c r="AA31" s="173">
        <v>2022.144153</v>
      </c>
      <c r="AB31" s="173">
        <v>19514.620138999999</v>
      </c>
      <c r="AC31" s="173">
        <v>2148.9258067999999</v>
      </c>
      <c r="AD31" s="173">
        <v>0</v>
      </c>
      <c r="AE31" s="173">
        <v>0</v>
      </c>
      <c r="AF31" s="173">
        <v>0</v>
      </c>
      <c r="AG31" s="173"/>
      <c r="AH31" s="173">
        <v>0</v>
      </c>
      <c r="AI31" s="173">
        <v>22503.230084999999</v>
      </c>
      <c r="AJ31" s="173">
        <v>0</v>
      </c>
      <c r="AK31" s="173">
        <v>2752.0909999999999</v>
      </c>
      <c r="AL31" s="173">
        <v>0</v>
      </c>
      <c r="AM31" s="173">
        <v>49335.939700000003</v>
      </c>
      <c r="AN31" s="1" t="s">
        <v>468</v>
      </c>
      <c r="AO31" s="175"/>
      <c r="AQ31" s="172" t="s">
        <v>486</v>
      </c>
      <c r="AR31" s="172" t="s">
        <v>457</v>
      </c>
      <c r="AS31" s="1">
        <v>49.1</v>
      </c>
      <c r="AT31" s="175">
        <f>AS31/AM31</f>
        <v>9.9521769117129019E-4</v>
      </c>
      <c r="AU31" s="127">
        <v>393.11799999999999</v>
      </c>
      <c r="AV31" s="175">
        <f>AU31/AM31</f>
        <v>7.9681871347836112E-3</v>
      </c>
    </row>
    <row r="32" spans="3:48" x14ac:dyDescent="0.35">
      <c r="C32" s="432" t="s">
        <v>487</v>
      </c>
      <c r="D32" s="432"/>
      <c r="E32" s="170">
        <v>319.82499999999999</v>
      </c>
      <c r="F32" s="170"/>
      <c r="G32" s="170">
        <v>1482.825</v>
      </c>
      <c r="H32" s="170">
        <v>11980.063</v>
      </c>
      <c r="I32" s="170">
        <v>111.648</v>
      </c>
      <c r="J32" s="170">
        <v>0</v>
      </c>
      <c r="K32" s="170">
        <v>0</v>
      </c>
      <c r="L32" s="170">
        <v>0</v>
      </c>
      <c r="M32" s="170"/>
      <c r="N32" s="170">
        <v>0</v>
      </c>
      <c r="O32" s="170">
        <v>18782.45</v>
      </c>
      <c r="P32" s="170">
        <v>36.052999999999997</v>
      </c>
      <c r="Q32" s="170">
        <v>0</v>
      </c>
      <c r="R32" s="170">
        <v>32712.864000000001</v>
      </c>
      <c r="V32" s="171"/>
      <c r="W32" s="432" t="s">
        <v>487</v>
      </c>
      <c r="X32" s="432"/>
      <c r="Y32" s="170">
        <v>15.119</v>
      </c>
      <c r="Z32" s="170">
        <v>304.70600000000002</v>
      </c>
      <c r="AA32" s="170">
        <v>1482.825</v>
      </c>
      <c r="AB32" s="170">
        <v>11980.063</v>
      </c>
      <c r="AC32" s="170">
        <v>111.648</v>
      </c>
      <c r="AD32" s="170">
        <v>0</v>
      </c>
      <c r="AE32" s="170">
        <v>0</v>
      </c>
      <c r="AF32" s="170">
        <v>0</v>
      </c>
      <c r="AG32" s="170"/>
      <c r="AH32" s="170">
        <v>0</v>
      </c>
      <c r="AI32" s="170">
        <v>18782.45</v>
      </c>
      <c r="AJ32" s="170">
        <v>0</v>
      </c>
      <c r="AK32" s="170">
        <v>36.052999999999997</v>
      </c>
      <c r="AL32" s="170">
        <v>0</v>
      </c>
      <c r="AM32" s="170">
        <v>32712.864000000001</v>
      </c>
      <c r="AN32" s="1" t="s">
        <v>474</v>
      </c>
      <c r="AO32" s="175"/>
      <c r="AQ32" s="432" t="s">
        <v>487</v>
      </c>
      <c r="AR32" s="432"/>
      <c r="AS32" s="1">
        <v>22.7</v>
      </c>
      <c r="AT32" s="175">
        <f>AS32/AM32</f>
        <v>6.939166194681089E-4</v>
      </c>
      <c r="AU32" s="127">
        <v>110.557</v>
      </c>
      <c r="AV32" s="175">
        <f>AU32/AM32</f>
        <v>3.3796184889222781E-3</v>
      </c>
    </row>
    <row r="33" spans="3:48" x14ac:dyDescent="0.35">
      <c r="C33" s="432" t="s">
        <v>31</v>
      </c>
      <c r="D33" s="432"/>
      <c r="E33" s="170">
        <v>0</v>
      </c>
      <c r="F33" s="170"/>
      <c r="G33" s="170">
        <v>10781.01</v>
      </c>
      <c r="H33" s="170">
        <v>2224.819</v>
      </c>
      <c r="I33" s="170">
        <v>666.399</v>
      </c>
      <c r="J33" s="170">
        <v>0</v>
      </c>
      <c r="K33" s="170">
        <v>0</v>
      </c>
      <c r="L33" s="170">
        <v>0</v>
      </c>
      <c r="M33" s="170"/>
      <c r="N33" s="170">
        <v>0</v>
      </c>
      <c r="O33" s="170">
        <v>4133.3019999999997</v>
      </c>
      <c r="P33" s="170">
        <v>0</v>
      </c>
      <c r="Q33" s="170">
        <v>0</v>
      </c>
      <c r="R33" s="170">
        <v>17805.53</v>
      </c>
      <c r="V33" s="171"/>
      <c r="W33" s="432" t="s">
        <v>31</v>
      </c>
      <c r="X33" s="432"/>
      <c r="Y33" s="170">
        <v>0</v>
      </c>
      <c r="Z33" s="170">
        <v>0</v>
      </c>
      <c r="AA33" s="170">
        <v>10781.01</v>
      </c>
      <c r="AB33" s="170">
        <v>2224.819</v>
      </c>
      <c r="AC33" s="170">
        <v>666.399</v>
      </c>
      <c r="AD33" s="170">
        <v>0</v>
      </c>
      <c r="AE33" s="170">
        <v>0</v>
      </c>
      <c r="AF33" s="170">
        <v>0</v>
      </c>
      <c r="AG33" s="170"/>
      <c r="AH33" s="170">
        <v>0</v>
      </c>
      <c r="AI33" s="170">
        <v>4133.3019999999997</v>
      </c>
      <c r="AJ33" s="170">
        <v>0</v>
      </c>
      <c r="AK33" s="170">
        <v>0</v>
      </c>
      <c r="AL33" s="170">
        <v>0</v>
      </c>
      <c r="AM33" s="170">
        <v>17805.53</v>
      </c>
      <c r="AN33" s="1" t="s">
        <v>474</v>
      </c>
      <c r="AQ33" s="432" t="s">
        <v>31</v>
      </c>
      <c r="AR33" s="432"/>
      <c r="AT33" s="175"/>
      <c r="AV33" s="175"/>
    </row>
    <row r="34" spans="3:48" x14ac:dyDescent="0.35">
      <c r="C34" s="432" t="s">
        <v>488</v>
      </c>
      <c r="D34" s="432"/>
      <c r="E34" s="170">
        <v>111.648</v>
      </c>
      <c r="F34" s="170"/>
      <c r="G34" s="170">
        <v>3732.067</v>
      </c>
      <c r="H34" s="170">
        <v>16468.614979999998</v>
      </c>
      <c r="I34" s="170">
        <v>7392.0280000000002</v>
      </c>
      <c r="J34" s="170">
        <v>0</v>
      </c>
      <c r="K34" s="170">
        <v>0</v>
      </c>
      <c r="L34" s="170">
        <v>0</v>
      </c>
      <c r="M34" s="170"/>
      <c r="N34" s="170">
        <v>0</v>
      </c>
      <c r="O34" s="170">
        <v>18501.004000000001</v>
      </c>
      <c r="P34" s="170">
        <v>532.02598</v>
      </c>
      <c r="Q34" s="170">
        <v>0</v>
      </c>
      <c r="R34" s="170">
        <v>46737.38796</v>
      </c>
      <c r="V34" s="171"/>
      <c r="W34" s="432" t="s">
        <v>488</v>
      </c>
      <c r="X34" s="432"/>
      <c r="Y34" s="170">
        <v>111.648</v>
      </c>
      <c r="Z34" s="170">
        <v>0</v>
      </c>
      <c r="AA34" s="170">
        <v>3732.067</v>
      </c>
      <c r="AB34" s="170">
        <v>16468.614979999998</v>
      </c>
      <c r="AC34" s="170">
        <v>7392.0280000000002</v>
      </c>
      <c r="AD34" s="170">
        <v>0</v>
      </c>
      <c r="AE34" s="170">
        <v>0</v>
      </c>
      <c r="AF34" s="170">
        <v>0</v>
      </c>
      <c r="AG34" s="170"/>
      <c r="AH34" s="170">
        <v>0</v>
      </c>
      <c r="AI34" s="170">
        <v>18501.004000000001</v>
      </c>
      <c r="AJ34" s="170">
        <v>0</v>
      </c>
      <c r="AK34" s="170">
        <v>3599.4669800000001</v>
      </c>
      <c r="AL34" s="170">
        <v>0</v>
      </c>
      <c r="AM34" s="170">
        <v>49804.828959999999</v>
      </c>
      <c r="AN34" s="1" t="s">
        <v>474</v>
      </c>
      <c r="AQ34" s="432" t="s">
        <v>488</v>
      </c>
      <c r="AR34" s="432"/>
      <c r="AT34" s="175"/>
      <c r="AV34" s="175"/>
    </row>
    <row r="35" spans="3:48" x14ac:dyDescent="0.35">
      <c r="C35" s="172" t="s">
        <v>489</v>
      </c>
      <c r="D35" s="172" t="s">
        <v>457</v>
      </c>
      <c r="E35" s="173">
        <v>111.648</v>
      </c>
      <c r="F35" s="173"/>
      <c r="G35" s="173">
        <v>462.87400000000002</v>
      </c>
      <c r="H35" s="173">
        <v>8878.3420000000006</v>
      </c>
      <c r="I35" s="173">
        <v>6857.0479999999998</v>
      </c>
      <c r="J35" s="173">
        <v>0</v>
      </c>
      <c r="K35" s="173">
        <v>0</v>
      </c>
      <c r="L35" s="173">
        <v>0</v>
      </c>
      <c r="M35" s="173"/>
      <c r="N35" s="173">
        <v>0</v>
      </c>
      <c r="O35" s="173">
        <v>7509.491</v>
      </c>
      <c r="P35" s="173">
        <v>0</v>
      </c>
      <c r="Q35" s="173">
        <v>0</v>
      </c>
      <c r="R35" s="170">
        <v>23819.402999999998</v>
      </c>
      <c r="V35" s="171"/>
      <c r="W35" s="172" t="s">
        <v>489</v>
      </c>
      <c r="X35" s="172" t="s">
        <v>457</v>
      </c>
      <c r="Y35" s="173">
        <v>111.648</v>
      </c>
      <c r="Z35" s="173">
        <v>0</v>
      </c>
      <c r="AA35" s="173">
        <v>462.87400000000002</v>
      </c>
      <c r="AB35" s="173">
        <v>8878.3420000000006</v>
      </c>
      <c r="AC35" s="173">
        <v>6857.0479999999998</v>
      </c>
      <c r="AD35" s="173">
        <v>0</v>
      </c>
      <c r="AE35" s="173">
        <v>0</v>
      </c>
      <c r="AF35" s="173">
        <v>0</v>
      </c>
      <c r="AG35" s="173"/>
      <c r="AH35" s="173">
        <v>0</v>
      </c>
      <c r="AI35" s="173">
        <v>7509.491</v>
      </c>
      <c r="AJ35" s="173">
        <v>0</v>
      </c>
      <c r="AK35" s="173">
        <v>3067.4409999999998</v>
      </c>
      <c r="AL35" s="173">
        <v>0</v>
      </c>
      <c r="AM35" s="173">
        <v>26886.844000000001</v>
      </c>
      <c r="AN35" s="1" t="s">
        <v>474</v>
      </c>
      <c r="AO35" s="175"/>
      <c r="AQ35" s="172" t="s">
        <v>489</v>
      </c>
      <c r="AR35" s="172" t="s">
        <v>457</v>
      </c>
      <c r="AS35" s="1">
        <v>108.6</v>
      </c>
      <c r="AT35" s="175">
        <f>AS35/AM35</f>
        <v>4.0391501509065173E-3</v>
      </c>
      <c r="AU35" s="127">
        <v>2412.0079999999998</v>
      </c>
      <c r="AV35" s="175">
        <f>AU35/AM35</f>
        <v>8.9709599237456042E-2</v>
      </c>
    </row>
    <row r="36" spans="3:48" x14ac:dyDescent="0.35">
      <c r="C36" s="172" t="s">
        <v>490</v>
      </c>
      <c r="D36" s="172" t="s">
        <v>457</v>
      </c>
      <c r="E36" s="173">
        <v>0</v>
      </c>
      <c r="F36" s="173"/>
      <c r="G36" s="173">
        <v>3269.1930000000002</v>
      </c>
      <c r="H36" s="173">
        <v>7590.2729799999997</v>
      </c>
      <c r="I36" s="173">
        <v>534.98</v>
      </c>
      <c r="J36" s="173">
        <v>0</v>
      </c>
      <c r="K36" s="173">
        <v>0</v>
      </c>
      <c r="L36" s="173">
        <v>0</v>
      </c>
      <c r="M36" s="173"/>
      <c r="N36" s="173">
        <v>0</v>
      </c>
      <c r="O36" s="173">
        <v>10991.513000000001</v>
      </c>
      <c r="P36" s="173">
        <v>532.02598</v>
      </c>
      <c r="Q36" s="173">
        <v>0</v>
      </c>
      <c r="R36" s="170">
        <v>22917.984960000002</v>
      </c>
      <c r="V36" s="171"/>
      <c r="W36" s="172" t="s">
        <v>490</v>
      </c>
      <c r="X36" s="172" t="s">
        <v>457</v>
      </c>
      <c r="Y36" s="173">
        <v>0</v>
      </c>
      <c r="Z36" s="173">
        <v>0</v>
      </c>
      <c r="AA36" s="173">
        <v>3269.1930000000002</v>
      </c>
      <c r="AB36" s="173">
        <v>7590.2729799999997</v>
      </c>
      <c r="AC36" s="173">
        <v>534.98</v>
      </c>
      <c r="AD36" s="173">
        <v>0</v>
      </c>
      <c r="AE36" s="173">
        <v>0</v>
      </c>
      <c r="AF36" s="173">
        <v>0</v>
      </c>
      <c r="AG36" s="173"/>
      <c r="AH36" s="173">
        <v>0</v>
      </c>
      <c r="AI36" s="173">
        <v>10991.513000000001</v>
      </c>
      <c r="AJ36" s="173">
        <v>0</v>
      </c>
      <c r="AK36" s="173">
        <v>532.02598</v>
      </c>
      <c r="AL36" s="173">
        <v>0</v>
      </c>
      <c r="AM36" s="173">
        <v>22917.984960000002</v>
      </c>
      <c r="AN36" s="1" t="s">
        <v>468</v>
      </c>
      <c r="AQ36" s="172" t="s">
        <v>490</v>
      </c>
      <c r="AR36" s="172" t="s">
        <v>457</v>
      </c>
      <c r="AS36" s="1">
        <v>22.5</v>
      </c>
      <c r="AT36" s="175">
        <f>AS36/AM36</f>
        <v>9.8176170545841916E-4</v>
      </c>
      <c r="AU36" s="127">
        <v>143.74</v>
      </c>
      <c r="AV36" s="175">
        <f>AU36/AM36</f>
        <v>6.271930113004141E-3</v>
      </c>
    </row>
    <row r="37" spans="3:48" x14ac:dyDescent="0.35">
      <c r="C37" s="432" t="s">
        <v>491</v>
      </c>
      <c r="D37" s="432"/>
      <c r="E37" s="170">
        <v>33590.88248</v>
      </c>
      <c r="F37" s="170"/>
      <c r="G37" s="170">
        <v>31499.494470000001</v>
      </c>
      <c r="H37" s="170">
        <v>129620.93222</v>
      </c>
      <c r="I37" s="170">
        <v>17429.927520000001</v>
      </c>
      <c r="J37" s="170">
        <v>0</v>
      </c>
      <c r="K37" s="170">
        <v>0</v>
      </c>
      <c r="L37" s="170">
        <v>0</v>
      </c>
      <c r="M37" s="170"/>
      <c r="N37" s="170">
        <v>0</v>
      </c>
      <c r="O37" s="170">
        <v>113234.78556999999</v>
      </c>
      <c r="P37" s="170">
        <v>12048.19154</v>
      </c>
      <c r="Q37" s="170">
        <v>0</v>
      </c>
      <c r="R37" s="170">
        <v>337424.21380000003</v>
      </c>
      <c r="V37" s="171"/>
      <c r="W37" s="432" t="s">
        <v>492</v>
      </c>
      <c r="X37" s="432"/>
      <c r="Y37" s="170">
        <v>9655.8590000000004</v>
      </c>
      <c r="Z37" s="170">
        <v>1558.71075</v>
      </c>
      <c r="AA37" s="170">
        <v>31499.494470000001</v>
      </c>
      <c r="AB37" s="170">
        <v>121340.75601</v>
      </c>
      <c r="AC37" s="170">
        <v>14126.4879733571</v>
      </c>
      <c r="AD37" s="170">
        <v>3417.3512551478002</v>
      </c>
      <c r="AE37" s="170">
        <v>0</v>
      </c>
      <c r="AF37" s="170">
        <v>0</v>
      </c>
      <c r="AG37" s="170"/>
      <c r="AH37" s="170">
        <v>0</v>
      </c>
      <c r="AI37" s="170">
        <v>113234.78556999999</v>
      </c>
      <c r="AJ37" s="170">
        <v>0</v>
      </c>
      <c r="AK37" s="170">
        <v>17867.723539999999</v>
      </c>
      <c r="AL37" s="170">
        <v>0</v>
      </c>
      <c r="AM37" s="170">
        <v>312587.25686000002</v>
      </c>
      <c r="AQ37" s="432" t="s">
        <v>492</v>
      </c>
      <c r="AR37" s="432"/>
      <c r="AT37" s="175"/>
    </row>
    <row r="38" spans="3:48" x14ac:dyDescent="0.35">
      <c r="E38" s="164" t="s">
        <v>493</v>
      </c>
      <c r="P38" s="1" t="s">
        <v>494</v>
      </c>
      <c r="Y38" s="171">
        <f t="shared" ref="Y38:AM38" si="0">SUM(Y15:Y20,Y22:Y24,Y26:Y28,Y30:Y31,Y32:Y33,Y35:Y36)</f>
        <v>9655.8590000000022</v>
      </c>
      <c r="Z38" s="171">
        <f t="shared" si="0"/>
        <v>1558.7107500000002</v>
      </c>
      <c r="AA38" s="171">
        <f t="shared" si="0"/>
        <v>31499.494469999987</v>
      </c>
      <c r="AB38" s="171">
        <f t="shared" si="0"/>
        <v>121340.75601000001</v>
      </c>
      <c r="AC38" s="171">
        <f t="shared" si="0"/>
        <v>14126.487973357125</v>
      </c>
      <c r="AD38" s="171">
        <f t="shared" si="0"/>
        <v>3417.3512551478002</v>
      </c>
      <c r="AE38" s="171">
        <f t="shared" si="0"/>
        <v>0</v>
      </c>
      <c r="AF38" s="171">
        <f t="shared" si="0"/>
        <v>0</v>
      </c>
      <c r="AG38" s="171">
        <f t="shared" si="0"/>
        <v>0</v>
      </c>
      <c r="AH38" s="171">
        <f t="shared" si="0"/>
        <v>0</v>
      </c>
      <c r="AI38" s="171">
        <f t="shared" si="0"/>
        <v>113234.78556999998</v>
      </c>
      <c r="AJ38" s="171">
        <f t="shared" si="0"/>
        <v>0</v>
      </c>
      <c r="AK38" s="171">
        <f t="shared" si="0"/>
        <v>17867.723539999999</v>
      </c>
      <c r="AL38" s="171">
        <f t="shared" si="0"/>
        <v>0</v>
      </c>
      <c r="AM38" s="171">
        <f t="shared" si="0"/>
        <v>312701.16856850497</v>
      </c>
    </row>
    <row r="41" spans="3:48" x14ac:dyDescent="0.35">
      <c r="C41" s="427" t="s">
        <v>4</v>
      </c>
      <c r="D41" s="427"/>
      <c r="E41" s="427"/>
      <c r="F41" s="427"/>
      <c r="G41" s="427"/>
      <c r="H41" s="427"/>
      <c r="I41" s="427"/>
      <c r="J41" s="427"/>
      <c r="K41" s="427"/>
      <c r="L41" s="427"/>
      <c r="M41" s="427"/>
      <c r="N41" s="427"/>
      <c r="O41" s="427"/>
      <c r="P41" s="427"/>
      <c r="Q41" s="427"/>
      <c r="R41" s="427"/>
      <c r="S41" s="427"/>
      <c r="T41" s="427"/>
      <c r="U41" s="427"/>
      <c r="V41" s="427"/>
      <c r="W41" s="427"/>
      <c r="X41" s="427"/>
      <c r="Y41" s="427"/>
      <c r="Z41" s="427"/>
      <c r="AA41" s="427"/>
      <c r="AB41" s="427"/>
      <c r="AC41" s="427"/>
      <c r="AD41" s="427"/>
      <c r="AE41" s="427"/>
      <c r="AF41" s="427"/>
      <c r="AG41" s="427"/>
      <c r="AH41" s="427"/>
      <c r="AI41" s="427"/>
      <c r="AJ41" s="427"/>
      <c r="AK41" s="427"/>
      <c r="AL41" s="427"/>
      <c r="AM41" s="427"/>
      <c r="AN41" s="427"/>
    </row>
    <row r="43" spans="3:48" x14ac:dyDescent="0.35">
      <c r="C43" s="165" t="s">
        <v>436</v>
      </c>
      <c r="V43" s="165" t="s">
        <v>437</v>
      </c>
      <c r="W43" s="165"/>
      <c r="X43" s="165"/>
      <c r="Y43" s="165"/>
      <c r="Z43" s="165"/>
      <c r="AA43" s="165"/>
      <c r="AB43" s="165"/>
      <c r="AC43" s="165"/>
      <c r="AD43" s="165"/>
      <c r="AE43" s="165"/>
      <c r="AF43" s="165"/>
      <c r="AG43" s="165"/>
      <c r="AH43" s="165"/>
      <c r="AI43" s="165"/>
      <c r="AJ43" s="165"/>
      <c r="AK43" s="165"/>
      <c r="AL43" s="165"/>
      <c r="AM43" s="165"/>
    </row>
    <row r="45" spans="3:48" x14ac:dyDescent="0.35">
      <c r="C45" s="437" t="s">
        <v>536</v>
      </c>
      <c r="D45" s="437"/>
      <c r="E45" s="437"/>
      <c r="F45" s="437"/>
      <c r="G45" s="437"/>
      <c r="H45" s="437"/>
      <c r="I45" s="437"/>
      <c r="J45" s="437"/>
      <c r="K45" s="437"/>
      <c r="L45" s="437"/>
      <c r="M45" s="437"/>
      <c r="N45" s="437"/>
      <c r="O45" s="437"/>
      <c r="P45" s="437"/>
      <c r="Q45" s="437"/>
      <c r="R45" s="437"/>
      <c r="S45" s="437"/>
      <c r="T45" s="437"/>
      <c r="U45" s="213"/>
      <c r="W45" s="429">
        <v>2030</v>
      </c>
      <c r="X45" s="429"/>
      <c r="Y45" s="429"/>
      <c r="Z45" s="429"/>
      <c r="AA45" s="429"/>
      <c r="AB45" s="429"/>
      <c r="AC45" s="429"/>
      <c r="AD45" s="429"/>
      <c r="AE45" s="429"/>
      <c r="AF45" s="429"/>
      <c r="AG45" s="429"/>
      <c r="AH45" s="429"/>
      <c r="AI45" s="429"/>
      <c r="AJ45" s="429"/>
      <c r="AK45" s="429"/>
      <c r="AL45" s="429"/>
      <c r="AM45" s="429"/>
    </row>
    <row r="46" spans="3:48" ht="14.65" customHeight="1" x14ac:dyDescent="0.35">
      <c r="C46" s="438" t="s">
        <v>495</v>
      </c>
      <c r="D46" s="438"/>
      <c r="E46" s="439" t="s">
        <v>439</v>
      </c>
      <c r="F46" s="439" t="s">
        <v>440</v>
      </c>
      <c r="G46" s="439" t="s">
        <v>441</v>
      </c>
      <c r="H46" s="439" t="s">
        <v>442</v>
      </c>
      <c r="I46" s="439" t="s">
        <v>537</v>
      </c>
      <c r="J46" s="439" t="s">
        <v>538</v>
      </c>
      <c r="K46" s="439" t="s">
        <v>443</v>
      </c>
      <c r="L46" s="439"/>
      <c r="M46" s="439"/>
      <c r="N46" s="439"/>
      <c r="O46" s="439"/>
      <c r="P46" s="439"/>
      <c r="Q46" s="439" t="s">
        <v>446</v>
      </c>
      <c r="R46" s="439" t="s">
        <v>447</v>
      </c>
      <c r="S46" s="439" t="s">
        <v>448</v>
      </c>
      <c r="T46" s="439" t="s">
        <v>52</v>
      </c>
      <c r="U46" s="214"/>
      <c r="W46" s="430" t="s">
        <v>539</v>
      </c>
      <c r="X46" s="430"/>
      <c r="Y46" s="431" t="s">
        <v>439</v>
      </c>
      <c r="Z46" s="166"/>
      <c r="AA46" s="431" t="s">
        <v>441</v>
      </c>
      <c r="AB46" s="431" t="s">
        <v>442</v>
      </c>
      <c r="AC46" s="431" t="s">
        <v>443</v>
      </c>
      <c r="AD46" s="431"/>
      <c r="AE46" s="431"/>
      <c r="AF46" s="431"/>
      <c r="AG46" s="431" t="s">
        <v>444</v>
      </c>
      <c r="AH46" s="431" t="s">
        <v>445</v>
      </c>
      <c r="AI46" s="431" t="s">
        <v>446</v>
      </c>
      <c r="AJ46" s="168"/>
      <c r="AK46" s="431" t="s">
        <v>447</v>
      </c>
      <c r="AL46" s="167" t="s">
        <v>448</v>
      </c>
      <c r="AM46" s="431" t="s">
        <v>52</v>
      </c>
    </row>
    <row r="47" spans="3:48" ht="70.5" x14ac:dyDescent="0.35">
      <c r="C47" s="435" t="s">
        <v>24</v>
      </c>
      <c r="D47" s="435"/>
      <c r="E47" s="439"/>
      <c r="F47" s="439"/>
      <c r="G47" s="439"/>
      <c r="H47" s="439"/>
      <c r="I47" s="439"/>
      <c r="J47" s="439"/>
      <c r="K47" s="182" t="s">
        <v>451</v>
      </c>
      <c r="L47" s="182" t="s">
        <v>452</v>
      </c>
      <c r="M47" s="182" t="s">
        <v>453</v>
      </c>
      <c r="N47" s="182" t="s">
        <v>454</v>
      </c>
      <c r="O47" s="182" t="s">
        <v>444</v>
      </c>
      <c r="P47" s="182" t="s">
        <v>445</v>
      </c>
      <c r="Q47" s="439"/>
      <c r="R47" s="439"/>
      <c r="S47" s="439" t="s">
        <v>448</v>
      </c>
      <c r="T47" s="439"/>
      <c r="U47" s="214"/>
      <c r="W47" s="430"/>
      <c r="X47" s="430"/>
      <c r="Y47" s="431"/>
      <c r="Z47" s="166" t="s">
        <v>455</v>
      </c>
      <c r="AA47" s="431"/>
      <c r="AB47" s="431"/>
      <c r="AC47" s="167" t="s">
        <v>451</v>
      </c>
      <c r="AD47" s="167" t="s">
        <v>452</v>
      </c>
      <c r="AE47" s="167" t="s">
        <v>453</v>
      </c>
      <c r="AF47" s="167" t="s">
        <v>454</v>
      </c>
      <c r="AG47" s="431"/>
      <c r="AH47" s="431"/>
      <c r="AI47" s="431"/>
      <c r="AJ47" s="169" t="s">
        <v>456</v>
      </c>
      <c r="AK47" s="431"/>
      <c r="AL47" s="167" t="s">
        <v>448</v>
      </c>
      <c r="AM47" s="431"/>
    </row>
    <row r="48" spans="3:48" x14ac:dyDescent="0.35">
      <c r="C48" s="189" t="s">
        <v>461</v>
      </c>
      <c r="D48" s="190" t="s">
        <v>498</v>
      </c>
      <c r="E48" s="215">
        <f>24.9212693535595%+8%</f>
        <v>0.32921269353559501</v>
      </c>
      <c r="F48" s="215">
        <v>0</v>
      </c>
      <c r="G48" s="215">
        <v>0</v>
      </c>
      <c r="H48" s="215">
        <v>0.33790467496737397</v>
      </c>
      <c r="I48" s="215">
        <v>0</v>
      </c>
      <c r="J48" s="215">
        <v>0</v>
      </c>
      <c r="K48" s="215">
        <v>0.08</v>
      </c>
      <c r="L48" s="215">
        <v>0</v>
      </c>
      <c r="M48" s="215">
        <v>0</v>
      </c>
      <c r="N48" s="215">
        <v>0</v>
      </c>
      <c r="O48" s="215">
        <v>0</v>
      </c>
      <c r="P48" s="215">
        <v>0</v>
      </c>
      <c r="Q48" s="215">
        <v>0.252882631497031</v>
      </c>
      <c r="R48" s="215">
        <v>0</v>
      </c>
      <c r="S48" s="215">
        <v>0</v>
      </c>
      <c r="T48" s="216">
        <f t="shared" ref="T48:T53" si="1">SUM(E48:S48)</f>
        <v>1</v>
      </c>
      <c r="U48" s="217"/>
      <c r="W48" s="432" t="s">
        <v>24</v>
      </c>
      <c r="X48" s="432"/>
      <c r="Y48" s="440"/>
      <c r="Z48" s="440"/>
      <c r="AA48" s="440"/>
      <c r="AB48" s="440"/>
      <c r="AC48" s="440"/>
      <c r="AD48" s="440"/>
      <c r="AE48" s="440"/>
      <c r="AF48" s="440"/>
      <c r="AG48" s="440"/>
      <c r="AH48" s="440"/>
      <c r="AI48" s="440"/>
      <c r="AJ48" s="440"/>
      <c r="AK48" s="440"/>
      <c r="AL48" s="440"/>
      <c r="AM48" s="440"/>
    </row>
    <row r="49" spans="3:39" x14ac:dyDescent="0.35">
      <c r="C49" s="189" t="s">
        <v>464</v>
      </c>
      <c r="D49" s="190" t="s">
        <v>498</v>
      </c>
      <c r="E49" s="215">
        <v>0.02</v>
      </c>
      <c r="F49" s="215">
        <v>0</v>
      </c>
      <c r="G49" s="215">
        <v>0.02</v>
      </c>
      <c r="H49" s="215">
        <v>0.18</v>
      </c>
      <c r="I49" s="215">
        <v>0</v>
      </c>
      <c r="J49" s="215">
        <v>0</v>
      </c>
      <c r="K49" s="215">
        <v>0.03</v>
      </c>
      <c r="L49" s="215">
        <v>0</v>
      </c>
      <c r="M49" s="215">
        <v>0</v>
      </c>
      <c r="N49" s="215">
        <v>0</v>
      </c>
      <c r="O49" s="215">
        <v>0</v>
      </c>
      <c r="P49" s="215">
        <v>0</v>
      </c>
      <c r="Q49" s="215">
        <v>0.75</v>
      </c>
      <c r="R49" s="215">
        <v>0</v>
      </c>
      <c r="S49" s="215">
        <v>0</v>
      </c>
      <c r="T49" s="216">
        <f t="shared" si="1"/>
        <v>1</v>
      </c>
      <c r="U49" s="217"/>
      <c r="W49" s="172" t="s">
        <v>461</v>
      </c>
      <c r="X49" s="172" t="s">
        <v>498</v>
      </c>
      <c r="Y49" s="218">
        <f>'Mix éner %'!Y46</f>
        <v>0.37940133130261638</v>
      </c>
      <c r="Z49" s="218">
        <f>'Mix éner %'!Z46</f>
        <v>0.56059866869738351</v>
      </c>
      <c r="AA49" s="218">
        <f>'Mix éner %'!AA46</f>
        <v>0</v>
      </c>
      <c r="AB49" s="218">
        <f>'Mix éner %'!AB46</f>
        <v>0</v>
      </c>
      <c r="AC49" s="218">
        <f>'Mix éner %'!AC46</f>
        <v>0.03</v>
      </c>
      <c r="AD49" s="218">
        <f>'Mix éner %'!AD46</f>
        <v>0.03</v>
      </c>
      <c r="AE49" s="218">
        <f>'Mix éner %'!AE46</f>
        <v>0</v>
      </c>
      <c r="AF49" s="218">
        <f>'Mix éner %'!AF46</f>
        <v>0</v>
      </c>
      <c r="AG49" s="218">
        <f>'Mix éner %'!AG46</f>
        <v>0</v>
      </c>
      <c r="AH49" s="218">
        <f>'Mix éner %'!AH46</f>
        <v>0</v>
      </c>
      <c r="AI49" s="218">
        <f>'Mix éner %'!AI46</f>
        <v>0</v>
      </c>
      <c r="AJ49" s="218">
        <f>'Mix éner %'!AJ46</f>
        <v>0</v>
      </c>
      <c r="AK49" s="218">
        <f>'Mix éner %'!AK46</f>
        <v>0</v>
      </c>
      <c r="AL49" s="218">
        <f>'Mix éner %'!AL46</f>
        <v>0</v>
      </c>
      <c r="AM49" s="218">
        <f>'Mix éner %'!AM46</f>
        <v>1</v>
      </c>
    </row>
    <row r="50" spans="3:39" x14ac:dyDescent="0.35">
      <c r="C50" s="189" t="s">
        <v>466</v>
      </c>
      <c r="D50" s="190" t="s">
        <v>498</v>
      </c>
      <c r="E50" s="215"/>
      <c r="F50" s="215"/>
      <c r="G50" s="215"/>
      <c r="H50" s="215"/>
      <c r="I50" s="215"/>
      <c r="J50" s="215"/>
      <c r="K50" s="215"/>
      <c r="L50" s="215"/>
      <c r="M50" s="215"/>
      <c r="N50" s="215"/>
      <c r="O50" s="215"/>
      <c r="P50" s="215"/>
      <c r="Q50" s="215"/>
      <c r="R50" s="215"/>
      <c r="S50" s="215"/>
      <c r="T50" s="216">
        <f t="shared" si="1"/>
        <v>0</v>
      </c>
      <c r="U50" s="217"/>
      <c r="W50" s="172" t="s">
        <v>464</v>
      </c>
      <c r="X50" s="172" t="s">
        <v>498</v>
      </c>
      <c r="Y50" s="218">
        <f>'Mix éner %'!Y50</f>
        <v>0.02</v>
      </c>
      <c r="Z50" s="218">
        <f>'Mix éner %'!Z50</f>
        <v>0</v>
      </c>
      <c r="AA50" s="218">
        <f>'Mix éner %'!AA50</f>
        <v>0.02</v>
      </c>
      <c r="AB50" s="218">
        <f>'Mix éner %'!AB50</f>
        <v>0.2</v>
      </c>
      <c r="AC50" s="218">
        <f>'Mix éner %'!AC50</f>
        <v>0.01</v>
      </c>
      <c r="AD50" s="218">
        <f>'Mix éner %'!AD50</f>
        <v>0</v>
      </c>
      <c r="AE50" s="218">
        <f>'Mix éner %'!AE50</f>
        <v>0</v>
      </c>
      <c r="AF50" s="218">
        <f>'Mix éner %'!AF50</f>
        <v>0</v>
      </c>
      <c r="AG50" s="218">
        <f>'Mix éner %'!AG50</f>
        <v>0</v>
      </c>
      <c r="AH50" s="218">
        <f>'Mix éner %'!AH50</f>
        <v>0</v>
      </c>
      <c r="AI50" s="218">
        <f>'Mix éner %'!AI50</f>
        <v>0.75</v>
      </c>
      <c r="AJ50" s="218">
        <f>'Mix éner %'!AJ50</f>
        <v>0</v>
      </c>
      <c r="AK50" s="218">
        <f>'Mix éner %'!AK50</f>
        <v>0</v>
      </c>
      <c r="AL50" s="218">
        <f>'Mix éner %'!AL50</f>
        <v>0</v>
      </c>
      <c r="AM50" s="218">
        <f>'Mix éner %'!AM50</f>
        <v>1</v>
      </c>
    </row>
    <row r="51" spans="3:39" x14ac:dyDescent="0.35">
      <c r="C51" s="189" t="s">
        <v>469</v>
      </c>
      <c r="D51" s="190" t="s">
        <v>498</v>
      </c>
      <c r="E51" s="216">
        <v>0</v>
      </c>
      <c r="F51" s="216">
        <v>0</v>
      </c>
      <c r="G51" s="216">
        <v>0.01</v>
      </c>
      <c r="H51" s="216">
        <v>0.19</v>
      </c>
      <c r="I51" s="216">
        <v>0</v>
      </c>
      <c r="J51" s="216">
        <v>0</v>
      </c>
      <c r="K51" s="216">
        <v>0</v>
      </c>
      <c r="L51" s="216">
        <v>0</v>
      </c>
      <c r="M51" s="216">
        <v>0</v>
      </c>
      <c r="N51" s="216">
        <v>0</v>
      </c>
      <c r="O51" s="216">
        <v>0</v>
      </c>
      <c r="P51" s="216">
        <v>0</v>
      </c>
      <c r="Q51" s="216">
        <v>0.79</v>
      </c>
      <c r="R51" s="216">
        <v>0.01</v>
      </c>
      <c r="S51" s="216">
        <v>0</v>
      </c>
      <c r="T51" s="216">
        <f t="shared" si="1"/>
        <v>1</v>
      </c>
      <c r="U51" s="217"/>
      <c r="W51" s="172" t="s">
        <v>466</v>
      </c>
      <c r="X51" s="172" t="s">
        <v>498</v>
      </c>
      <c r="Y51" s="218">
        <f>'Mix éner %'!Y54</f>
        <v>0</v>
      </c>
      <c r="Z51" s="218">
        <f>'Mix éner %'!Z54</f>
        <v>0</v>
      </c>
      <c r="AA51" s="218">
        <f>'Mix éner %'!AA54</f>
        <v>0</v>
      </c>
      <c r="AB51" s="218">
        <f>'Mix éner %'!AB54</f>
        <v>0</v>
      </c>
      <c r="AC51" s="218">
        <f>'Mix éner %'!AC54</f>
        <v>0</v>
      </c>
      <c r="AD51" s="218">
        <f>'Mix éner %'!AD54</f>
        <v>0</v>
      </c>
      <c r="AE51" s="218">
        <f>'Mix éner %'!AE54</f>
        <v>0</v>
      </c>
      <c r="AF51" s="218">
        <f>'Mix éner %'!AF54</f>
        <v>0</v>
      </c>
      <c r="AG51" s="218">
        <f>'Mix éner %'!AG54</f>
        <v>0</v>
      </c>
      <c r="AH51" s="218">
        <f>'Mix éner %'!AH54</f>
        <v>0</v>
      </c>
      <c r="AI51" s="218">
        <f>'Mix éner %'!AI54</f>
        <v>0</v>
      </c>
      <c r="AJ51" s="218">
        <f>'Mix éner %'!AJ54</f>
        <v>0</v>
      </c>
      <c r="AK51" s="218">
        <f>'Mix éner %'!AK54</f>
        <v>0</v>
      </c>
      <c r="AL51" s="218">
        <f>'Mix éner %'!AL54</f>
        <v>0</v>
      </c>
      <c r="AM51" s="218">
        <f>'Mix éner %'!AM54</f>
        <v>0</v>
      </c>
    </row>
    <row r="52" spans="3:39" x14ac:dyDescent="0.35">
      <c r="C52" s="189" t="s">
        <v>471</v>
      </c>
      <c r="D52" s="190" t="s">
        <v>498</v>
      </c>
      <c r="E52" s="216">
        <v>0</v>
      </c>
      <c r="F52" s="216">
        <v>0</v>
      </c>
      <c r="G52" s="216">
        <v>0</v>
      </c>
      <c r="H52" s="216">
        <v>0.82784299151006202</v>
      </c>
      <c r="I52" s="216">
        <v>0</v>
      </c>
      <c r="J52" s="216">
        <v>0</v>
      </c>
      <c r="K52" s="216">
        <v>0</v>
      </c>
      <c r="L52" s="216">
        <v>0</v>
      </c>
      <c r="M52" s="216">
        <v>0</v>
      </c>
      <c r="N52" s="216">
        <v>0</v>
      </c>
      <c r="O52" s="216">
        <v>0</v>
      </c>
      <c r="P52" s="216">
        <v>0</v>
      </c>
      <c r="Q52" s="216">
        <v>0.17215700848993801</v>
      </c>
      <c r="R52" s="216">
        <v>0</v>
      </c>
      <c r="S52" s="216">
        <v>0</v>
      </c>
      <c r="T52" s="216">
        <f t="shared" si="1"/>
        <v>1</v>
      </c>
      <c r="U52" s="217"/>
      <c r="W52" s="178" t="s">
        <v>467</v>
      </c>
      <c r="X52" s="172" t="s">
        <v>498</v>
      </c>
      <c r="Y52" s="218">
        <f>'Mix éner %'!Y58</f>
        <v>7.0000000000000007E-2</v>
      </c>
      <c r="Z52" s="218">
        <f>'Mix éner %'!Z58</f>
        <v>0</v>
      </c>
      <c r="AA52" s="218">
        <f>'Mix éner %'!AA58</f>
        <v>0.01</v>
      </c>
      <c r="AB52" s="218">
        <f>'Mix éner %'!AB58</f>
        <v>0.28000000000000003</v>
      </c>
      <c r="AC52" s="218">
        <f>'Mix éner %'!AC58</f>
        <v>0.03</v>
      </c>
      <c r="AD52" s="218">
        <f>'Mix éner %'!AD58</f>
        <v>0</v>
      </c>
      <c r="AE52" s="218">
        <f>'Mix éner %'!AE58</f>
        <v>0</v>
      </c>
      <c r="AF52" s="218">
        <f>'Mix éner %'!AF58</f>
        <v>0</v>
      </c>
      <c r="AG52" s="218">
        <f>'Mix éner %'!AG58</f>
        <v>0</v>
      </c>
      <c r="AH52" s="218">
        <f>'Mix éner %'!AH58</f>
        <v>0</v>
      </c>
      <c r="AI52" s="218">
        <f>'Mix éner %'!AI58</f>
        <v>0.6</v>
      </c>
      <c r="AJ52" s="218">
        <f>'Mix éner %'!AJ58</f>
        <v>0</v>
      </c>
      <c r="AK52" s="218">
        <f>'Mix éner %'!AK58</f>
        <v>0.01</v>
      </c>
      <c r="AL52" s="218">
        <f>'Mix éner %'!AL58</f>
        <v>0</v>
      </c>
      <c r="AM52" s="218">
        <f>'Mix éner %'!AM58</f>
        <v>1</v>
      </c>
    </row>
    <row r="53" spans="3:39" x14ac:dyDescent="0.35">
      <c r="C53" s="189" t="s">
        <v>473</v>
      </c>
      <c r="D53" s="190" t="s">
        <v>498</v>
      </c>
      <c r="E53" s="219">
        <v>0</v>
      </c>
      <c r="F53" s="219">
        <v>0</v>
      </c>
      <c r="G53" s="219">
        <v>0.08</v>
      </c>
      <c r="H53" s="219">
        <v>0.1</v>
      </c>
      <c r="I53" s="219">
        <v>0</v>
      </c>
      <c r="J53" s="219">
        <v>0</v>
      </c>
      <c r="K53" s="219">
        <v>0</v>
      </c>
      <c r="L53" s="219">
        <v>0</v>
      </c>
      <c r="M53" s="219">
        <v>0</v>
      </c>
      <c r="N53" s="219">
        <v>0</v>
      </c>
      <c r="O53" s="219">
        <v>0</v>
      </c>
      <c r="P53" s="219">
        <v>0</v>
      </c>
      <c r="Q53" s="219">
        <v>0.69</v>
      </c>
      <c r="R53" s="216">
        <v>0</v>
      </c>
      <c r="S53" s="216">
        <v>0.13</v>
      </c>
      <c r="T53" s="216">
        <f t="shared" si="1"/>
        <v>0.99999999999999989</v>
      </c>
      <c r="U53" s="217"/>
      <c r="W53" s="172" t="s">
        <v>469</v>
      </c>
      <c r="X53" s="172" t="s">
        <v>498</v>
      </c>
      <c r="Y53" s="218">
        <f>'Mix éner %'!Y62</f>
        <v>0</v>
      </c>
      <c r="Z53" s="218">
        <f>'Mix éner %'!Z62</f>
        <v>0</v>
      </c>
      <c r="AA53" s="218">
        <f>'Mix éner %'!AA62</f>
        <v>0.01</v>
      </c>
      <c r="AB53" s="218">
        <f>'Mix éner %'!AB62</f>
        <v>0.19</v>
      </c>
      <c r="AC53" s="218">
        <f>'Mix éner %'!AC62</f>
        <v>0</v>
      </c>
      <c r="AD53" s="218">
        <f>'Mix éner %'!AD62</f>
        <v>0</v>
      </c>
      <c r="AE53" s="218">
        <f>'Mix éner %'!AE62</f>
        <v>0</v>
      </c>
      <c r="AF53" s="218">
        <f>'Mix éner %'!AF62</f>
        <v>0</v>
      </c>
      <c r="AG53" s="218">
        <f>'Mix éner %'!AG62</f>
        <v>0</v>
      </c>
      <c r="AH53" s="218">
        <f>'Mix éner %'!AH62</f>
        <v>0</v>
      </c>
      <c r="AI53" s="218">
        <f>'Mix éner %'!AI62</f>
        <v>0.79</v>
      </c>
      <c r="AJ53" s="218">
        <f>'Mix éner %'!AJ62</f>
        <v>0</v>
      </c>
      <c r="AK53" s="218">
        <f>'Mix éner %'!AK62</f>
        <v>0.01</v>
      </c>
      <c r="AL53" s="218">
        <f>'Mix éner %'!AL62</f>
        <v>0</v>
      </c>
      <c r="AM53" s="218">
        <f>'Mix éner %'!AM62</f>
        <v>1</v>
      </c>
    </row>
    <row r="54" spans="3:39" x14ac:dyDescent="0.35">
      <c r="C54" s="435" t="s">
        <v>25</v>
      </c>
      <c r="D54" s="435"/>
      <c r="E54" s="220"/>
      <c r="F54" s="220"/>
      <c r="G54" s="220"/>
      <c r="H54" s="220"/>
      <c r="I54" s="220"/>
      <c r="J54" s="220"/>
      <c r="K54" s="220"/>
      <c r="L54" s="220"/>
      <c r="M54" s="220"/>
      <c r="N54" s="220"/>
      <c r="O54" s="220"/>
      <c r="P54" s="220"/>
      <c r="Q54" s="220"/>
      <c r="R54" s="220"/>
      <c r="S54" s="220"/>
      <c r="T54" s="220"/>
      <c r="U54" s="217"/>
      <c r="W54" s="172" t="s">
        <v>471</v>
      </c>
      <c r="X54" s="172" t="s">
        <v>498</v>
      </c>
      <c r="Y54" s="218">
        <f>'Mix éner %'!Y66</f>
        <v>0</v>
      </c>
      <c r="Z54" s="218">
        <f>'Mix éner %'!Z66</f>
        <v>0</v>
      </c>
      <c r="AA54" s="218">
        <f>'Mix éner %'!AA66</f>
        <v>0</v>
      </c>
      <c r="AB54" s="218">
        <f>'Mix éner %'!AB66</f>
        <v>0.5</v>
      </c>
      <c r="AC54" s="218">
        <f>'Mix éner %'!AC66</f>
        <v>0</v>
      </c>
      <c r="AD54" s="218">
        <f>'Mix éner %'!AD66</f>
        <v>0</v>
      </c>
      <c r="AE54" s="218">
        <f>'Mix éner %'!AE66</f>
        <v>0</v>
      </c>
      <c r="AF54" s="218">
        <f>'Mix éner %'!AF66</f>
        <v>0</v>
      </c>
      <c r="AG54" s="218">
        <f>'Mix éner %'!AG66</f>
        <v>0</v>
      </c>
      <c r="AH54" s="218">
        <f>'Mix éner %'!AH66</f>
        <v>0</v>
      </c>
      <c r="AI54" s="218">
        <f>'Mix éner %'!AI66</f>
        <v>0.5</v>
      </c>
      <c r="AJ54" s="218">
        <f>'Mix éner %'!AJ66</f>
        <v>0</v>
      </c>
      <c r="AK54" s="218">
        <f>'Mix éner %'!AK66</f>
        <v>0</v>
      </c>
      <c r="AL54" s="218">
        <f>'Mix éner %'!AL66</f>
        <v>0</v>
      </c>
      <c r="AM54" s="218">
        <f>'Mix éner %'!AM66</f>
        <v>1</v>
      </c>
    </row>
    <row r="55" spans="3:39" x14ac:dyDescent="0.35">
      <c r="C55" s="189" t="s">
        <v>475</v>
      </c>
      <c r="D55" s="190" t="s">
        <v>498</v>
      </c>
      <c r="E55" s="216">
        <v>0</v>
      </c>
      <c r="F55" s="216">
        <v>0</v>
      </c>
      <c r="G55" s="216">
        <v>0</v>
      </c>
      <c r="H55" s="216">
        <v>0.21</v>
      </c>
      <c r="I55" s="216">
        <v>0</v>
      </c>
      <c r="J55" s="216">
        <v>0</v>
      </c>
      <c r="K55" s="216">
        <v>0</v>
      </c>
      <c r="L55" s="216">
        <v>0</v>
      </c>
      <c r="M55" s="216">
        <v>0</v>
      </c>
      <c r="N55" s="216">
        <v>0</v>
      </c>
      <c r="O55" s="216">
        <v>0</v>
      </c>
      <c r="P55" s="216">
        <v>0</v>
      </c>
      <c r="Q55" s="216">
        <v>0.79</v>
      </c>
      <c r="R55" s="216">
        <v>0</v>
      </c>
      <c r="S55" s="216">
        <v>0</v>
      </c>
      <c r="T55" s="216">
        <f>SUM(E55:S55)</f>
        <v>1</v>
      </c>
      <c r="U55" s="217"/>
      <c r="W55" s="172" t="s">
        <v>473</v>
      </c>
      <c r="X55" s="172" t="s">
        <v>498</v>
      </c>
      <c r="Y55" s="218">
        <f>'Mix éner %'!Y70</f>
        <v>0</v>
      </c>
      <c r="Z55" s="218">
        <f>'Mix éner %'!Z70</f>
        <v>0</v>
      </c>
      <c r="AA55" s="218">
        <f>'Mix éner %'!AA70</f>
        <v>0.1</v>
      </c>
      <c r="AB55" s="218">
        <f>'Mix éner %'!AB70</f>
        <v>8.7168072497337712E-2</v>
      </c>
      <c r="AC55" s="218">
        <f>'Mix éner %'!AC70</f>
        <v>0.03</v>
      </c>
      <c r="AD55" s="218">
        <f>'Mix éner %'!AD70</f>
        <v>0</v>
      </c>
      <c r="AE55" s="218">
        <f>'Mix éner %'!AE70</f>
        <v>0</v>
      </c>
      <c r="AF55" s="218">
        <f>'Mix éner %'!AF70</f>
        <v>0</v>
      </c>
      <c r="AG55" s="218">
        <f>'Mix éner %'!AG70</f>
        <v>0</v>
      </c>
      <c r="AH55" s="218">
        <f>'Mix éner %'!AH70</f>
        <v>0</v>
      </c>
      <c r="AI55" s="218">
        <f>'Mix éner %'!AI70</f>
        <v>0.75283192750266226</v>
      </c>
      <c r="AJ55" s="218">
        <f>'Mix éner %'!AJ70</f>
        <v>0</v>
      </c>
      <c r="AK55" s="218">
        <f>'Mix éner %'!AK70</f>
        <v>0</v>
      </c>
      <c r="AL55" s="218">
        <f>'Mix éner %'!AL70</f>
        <v>0.03</v>
      </c>
      <c r="AM55" s="218">
        <f>'Mix éner %'!AM70</f>
        <v>1</v>
      </c>
    </row>
    <row r="56" spans="3:39" x14ac:dyDescent="0.35">
      <c r="C56" s="189" t="s">
        <v>476</v>
      </c>
      <c r="D56" s="190" t="s">
        <v>498</v>
      </c>
      <c r="E56" s="216">
        <v>0</v>
      </c>
      <c r="F56" s="216">
        <v>0</v>
      </c>
      <c r="G56" s="216">
        <v>0.05</v>
      </c>
      <c r="H56" s="216">
        <v>0.38773860579796099</v>
      </c>
      <c r="I56" s="216">
        <v>0</v>
      </c>
      <c r="J56" s="216">
        <v>0</v>
      </c>
      <c r="K56" s="216">
        <v>3.0411115934223999E-2</v>
      </c>
      <c r="L56" s="216">
        <v>0</v>
      </c>
      <c r="M56" s="216">
        <v>0</v>
      </c>
      <c r="N56" s="216">
        <v>0</v>
      </c>
      <c r="O56" s="216">
        <v>0</v>
      </c>
      <c r="P56" s="216">
        <v>0</v>
      </c>
      <c r="Q56" s="216">
        <v>0.35185027826781501</v>
      </c>
      <c r="R56" s="216">
        <v>0.18</v>
      </c>
      <c r="S56" s="216">
        <v>0</v>
      </c>
      <c r="T56" s="216">
        <f>SUM(E56:S56)</f>
        <v>1</v>
      </c>
      <c r="U56" s="217"/>
      <c r="W56" s="432" t="s">
        <v>25</v>
      </c>
      <c r="X56" s="432"/>
      <c r="Y56" s="440"/>
      <c r="Z56" s="440"/>
      <c r="AA56" s="440"/>
      <c r="AB56" s="440"/>
      <c r="AC56" s="440"/>
      <c r="AD56" s="440"/>
      <c r="AE56" s="440"/>
      <c r="AF56" s="440"/>
      <c r="AG56" s="440"/>
      <c r="AH56" s="440"/>
      <c r="AI56" s="440"/>
      <c r="AJ56" s="440"/>
      <c r="AK56" s="440"/>
      <c r="AL56" s="440"/>
      <c r="AM56" s="440"/>
    </row>
    <row r="57" spans="3:39" x14ac:dyDescent="0.35">
      <c r="C57" s="189" t="s">
        <v>479</v>
      </c>
      <c r="D57" s="190" t="s">
        <v>498</v>
      </c>
      <c r="E57" s="216">
        <v>0</v>
      </c>
      <c r="F57" s="216">
        <v>0</v>
      </c>
      <c r="G57" s="216">
        <v>0.02</v>
      </c>
      <c r="H57" s="216">
        <v>0.38017303490005899</v>
      </c>
      <c r="I57" s="219">
        <v>0</v>
      </c>
      <c r="J57" s="219">
        <v>0</v>
      </c>
      <c r="K57" s="216">
        <v>0.01</v>
      </c>
      <c r="L57" s="219">
        <v>0</v>
      </c>
      <c r="M57" s="219">
        <v>0</v>
      </c>
      <c r="N57" s="219">
        <v>0</v>
      </c>
      <c r="O57" s="219">
        <v>0</v>
      </c>
      <c r="P57" s="219">
        <v>0</v>
      </c>
      <c r="Q57" s="216">
        <v>0.35</v>
      </c>
      <c r="R57" s="216">
        <v>0.239826965099941</v>
      </c>
      <c r="S57" s="219">
        <v>0</v>
      </c>
      <c r="T57" s="216">
        <f>SUM(E57:S57)</f>
        <v>1</v>
      </c>
      <c r="U57" s="217"/>
      <c r="W57" s="172" t="s">
        <v>475</v>
      </c>
      <c r="X57" s="172" t="s">
        <v>498</v>
      </c>
      <c r="Y57" s="218">
        <f>'Mix éner %'!Y75</f>
        <v>0</v>
      </c>
      <c r="Z57" s="218">
        <f>'Mix éner %'!Z75</f>
        <v>0</v>
      </c>
      <c r="AA57" s="218">
        <f>'Mix éner %'!AA75</f>
        <v>0</v>
      </c>
      <c r="AB57" s="218">
        <f>'Mix éner %'!AB75</f>
        <v>0.65</v>
      </c>
      <c r="AC57" s="218">
        <f>'Mix éner %'!AC75</f>
        <v>0</v>
      </c>
      <c r="AD57" s="218">
        <f>'Mix éner %'!AD75</f>
        <v>0</v>
      </c>
      <c r="AE57" s="218">
        <f>'Mix éner %'!AE75</f>
        <v>0</v>
      </c>
      <c r="AF57" s="218">
        <f>'Mix éner %'!AF75</f>
        <v>0</v>
      </c>
      <c r="AG57" s="218">
        <f>'Mix éner %'!AG75</f>
        <v>0</v>
      </c>
      <c r="AH57" s="218">
        <f>'Mix éner %'!AH75</f>
        <v>0</v>
      </c>
      <c r="AI57" s="218">
        <f>'Mix éner %'!AI75</f>
        <v>0.35</v>
      </c>
      <c r="AJ57" s="218">
        <f>'Mix éner %'!AJ75</f>
        <v>0</v>
      </c>
      <c r="AK57" s="218">
        <f>'Mix éner %'!AK75</f>
        <v>0</v>
      </c>
      <c r="AL57" s="218">
        <f>'Mix éner %'!AL75</f>
        <v>0</v>
      </c>
      <c r="AM57" s="218">
        <f>'Mix éner %'!AM75</f>
        <v>1</v>
      </c>
    </row>
    <row r="58" spans="3:39" x14ac:dyDescent="0.35">
      <c r="C58" s="435" t="s">
        <v>480</v>
      </c>
      <c r="D58" s="435"/>
      <c r="E58" s="220"/>
      <c r="F58" s="220"/>
      <c r="G58" s="220"/>
      <c r="H58" s="220"/>
      <c r="I58" s="220"/>
      <c r="J58" s="220"/>
      <c r="K58" s="220"/>
      <c r="L58" s="220"/>
      <c r="M58" s="220"/>
      <c r="N58" s="220"/>
      <c r="O58" s="220"/>
      <c r="P58" s="220"/>
      <c r="Q58" s="220"/>
      <c r="R58" s="220"/>
      <c r="S58" s="220"/>
      <c r="T58" s="220"/>
      <c r="U58" s="217"/>
      <c r="W58" s="172" t="s">
        <v>476</v>
      </c>
      <c r="X58" s="172" t="s">
        <v>498</v>
      </c>
      <c r="Y58" s="218">
        <f>'Mix éner %'!Y79</f>
        <v>0</v>
      </c>
      <c r="Z58" s="218">
        <f>'Mix éner %'!Z79</f>
        <v>0</v>
      </c>
      <c r="AA58" s="218">
        <f>'Mix éner %'!AA79</f>
        <v>0.02</v>
      </c>
      <c r="AB58" s="218">
        <f>'Mix éner %'!AB79</f>
        <v>0.54200000000000004</v>
      </c>
      <c r="AC58" s="218">
        <f>'Mix éner %'!AC79</f>
        <v>0.08</v>
      </c>
      <c r="AD58" s="218">
        <f>'Mix éner %'!AD79</f>
        <v>0</v>
      </c>
      <c r="AE58" s="218">
        <f>'Mix éner %'!AE79</f>
        <v>0</v>
      </c>
      <c r="AF58" s="218">
        <f>'Mix éner %'!AF79</f>
        <v>0</v>
      </c>
      <c r="AG58" s="218">
        <f>'Mix éner %'!AG79</f>
        <v>0</v>
      </c>
      <c r="AH58" s="218">
        <f>'Mix éner %'!AH79</f>
        <v>0</v>
      </c>
      <c r="AI58" s="218">
        <f>'Mix éner %'!AI79</f>
        <v>0.22</v>
      </c>
      <c r="AJ58" s="218">
        <f>'Mix éner %'!AJ79</f>
        <v>0</v>
      </c>
      <c r="AK58" s="218">
        <f>'Mix éner %'!AK79</f>
        <v>0.13819665608576151</v>
      </c>
      <c r="AL58" s="218">
        <f>'Mix éner %'!AL79</f>
        <v>0</v>
      </c>
      <c r="AM58" s="218">
        <f>'Mix éner %'!AM79</f>
        <v>1.0001966560857616</v>
      </c>
    </row>
    <row r="59" spans="3:39" x14ac:dyDescent="0.35">
      <c r="C59" s="189" t="s">
        <v>481</v>
      </c>
      <c r="D59" s="190" t="s">
        <v>498</v>
      </c>
      <c r="E59" s="216">
        <v>0</v>
      </c>
      <c r="F59" s="216">
        <v>0</v>
      </c>
      <c r="G59" s="216">
        <v>0.23</v>
      </c>
      <c r="H59" s="216">
        <v>0.02</v>
      </c>
      <c r="I59" s="216">
        <v>0</v>
      </c>
      <c r="J59" s="216">
        <v>0</v>
      </c>
      <c r="K59" s="216">
        <v>0.6</v>
      </c>
      <c r="L59" s="216">
        <v>0</v>
      </c>
      <c r="M59" s="216">
        <v>0</v>
      </c>
      <c r="N59" s="216">
        <v>0</v>
      </c>
      <c r="O59" s="216">
        <v>0</v>
      </c>
      <c r="P59" s="216">
        <v>0</v>
      </c>
      <c r="Q59" s="216">
        <v>0.15</v>
      </c>
      <c r="R59" s="216">
        <v>0</v>
      </c>
      <c r="S59" s="216">
        <v>0</v>
      </c>
      <c r="T59" s="216">
        <f>SUM(E59:S59)</f>
        <v>1</v>
      </c>
      <c r="U59" s="217"/>
      <c r="W59" s="172" t="s">
        <v>479</v>
      </c>
      <c r="X59" s="172" t="s">
        <v>498</v>
      </c>
      <c r="Y59" s="218">
        <f>'Mix éner %'!Y83</f>
        <v>0</v>
      </c>
      <c r="Z59" s="218">
        <f>'Mix éner %'!Z83</f>
        <v>0</v>
      </c>
      <c r="AA59" s="218">
        <f>'Mix éner %'!AA83</f>
        <v>0.09</v>
      </c>
      <c r="AB59" s="218">
        <f>'Mix éner %'!AB83</f>
        <v>0.06</v>
      </c>
      <c r="AC59" s="218">
        <f>'Mix éner %'!AC83</f>
        <v>0.04</v>
      </c>
      <c r="AD59" s="218">
        <f>'Mix éner %'!AD83</f>
        <v>0</v>
      </c>
      <c r="AE59" s="218">
        <f>'Mix éner %'!AE83</f>
        <v>0</v>
      </c>
      <c r="AF59" s="218">
        <f>'Mix éner %'!AF83</f>
        <v>0</v>
      </c>
      <c r="AG59" s="218">
        <f>'Mix éner %'!AG83</f>
        <v>0.04</v>
      </c>
      <c r="AH59" s="218">
        <f>'Mix éner %'!AH83</f>
        <v>0</v>
      </c>
      <c r="AI59" s="218">
        <f>'Mix éner %'!AI83</f>
        <v>0.5</v>
      </c>
      <c r="AJ59" s="218">
        <f>'Mix éner %'!AJ83</f>
        <v>0.02</v>
      </c>
      <c r="AK59" s="218">
        <f>'Mix éner %'!AK83</f>
        <v>0.25</v>
      </c>
      <c r="AL59" s="218">
        <f>'Mix éner %'!AL83</f>
        <v>0</v>
      </c>
      <c r="AM59" s="218">
        <f>'Mix éner %'!AM83</f>
        <v>1</v>
      </c>
    </row>
    <row r="60" spans="3:39" x14ac:dyDescent="0.35">
      <c r="C60" s="189" t="s">
        <v>482</v>
      </c>
      <c r="D60" s="190" t="s">
        <v>498</v>
      </c>
      <c r="E60" s="216">
        <v>0</v>
      </c>
      <c r="F60" s="216">
        <v>0</v>
      </c>
      <c r="G60" s="216">
        <v>0.03</v>
      </c>
      <c r="H60" s="216">
        <v>0.50119397890568995</v>
      </c>
      <c r="I60" s="216">
        <v>0</v>
      </c>
      <c r="J60" s="216">
        <v>0</v>
      </c>
      <c r="K60" s="216">
        <v>0</v>
      </c>
      <c r="L60" s="216">
        <v>0</v>
      </c>
      <c r="M60" s="216">
        <v>0</v>
      </c>
      <c r="N60" s="216">
        <v>0</v>
      </c>
      <c r="O60" s="216">
        <v>0</v>
      </c>
      <c r="P60" s="216">
        <v>0</v>
      </c>
      <c r="Q60" s="216">
        <v>0.46880602109431002</v>
      </c>
      <c r="R60" s="216">
        <v>0</v>
      </c>
      <c r="S60" s="216">
        <v>0</v>
      </c>
      <c r="T60" s="216">
        <f>SUM(E60:S60)</f>
        <v>1</v>
      </c>
      <c r="U60" s="217"/>
      <c r="W60" s="432" t="s">
        <v>480</v>
      </c>
      <c r="X60" s="432"/>
      <c r="Y60" s="440"/>
      <c r="Z60" s="440"/>
      <c r="AA60" s="440"/>
      <c r="AB60" s="440"/>
      <c r="AC60" s="440"/>
      <c r="AD60" s="440"/>
      <c r="AE60" s="440"/>
      <c r="AF60" s="440"/>
      <c r="AG60" s="440"/>
      <c r="AH60" s="440"/>
      <c r="AI60" s="440"/>
      <c r="AJ60" s="440"/>
      <c r="AK60" s="440"/>
      <c r="AL60" s="440"/>
      <c r="AM60" s="440"/>
    </row>
    <row r="61" spans="3:39" x14ac:dyDescent="0.35">
      <c r="C61" s="189" t="s">
        <v>483</v>
      </c>
      <c r="D61" s="190" t="s">
        <v>498</v>
      </c>
      <c r="E61" s="219">
        <v>0</v>
      </c>
      <c r="F61" s="219">
        <v>0</v>
      </c>
      <c r="G61" s="216">
        <v>0.01</v>
      </c>
      <c r="H61" s="216">
        <v>0.55000000000000004</v>
      </c>
      <c r="I61" s="219">
        <v>0</v>
      </c>
      <c r="J61" s="219">
        <v>0</v>
      </c>
      <c r="K61" s="216">
        <v>1.9519577919500101E-2</v>
      </c>
      <c r="L61" s="219">
        <v>0</v>
      </c>
      <c r="M61" s="219">
        <v>0</v>
      </c>
      <c r="N61" s="219">
        <v>0</v>
      </c>
      <c r="O61" s="219">
        <v>0</v>
      </c>
      <c r="P61" s="219">
        <v>0</v>
      </c>
      <c r="Q61" s="216">
        <v>0.42048042208050002</v>
      </c>
      <c r="R61" s="219">
        <v>0</v>
      </c>
      <c r="S61" s="219">
        <v>0</v>
      </c>
      <c r="T61" s="216">
        <f>SUM(E61:S61)</f>
        <v>1.0000000000000002</v>
      </c>
      <c r="U61" s="217"/>
      <c r="W61" s="172" t="s">
        <v>481</v>
      </c>
      <c r="X61" s="172" t="s">
        <v>498</v>
      </c>
      <c r="Y61" s="218">
        <f>'Mix éner %'!Y88</f>
        <v>0.04</v>
      </c>
      <c r="Z61" s="218">
        <f>'Mix éner %'!Z88</f>
        <v>0</v>
      </c>
      <c r="AA61" s="218">
        <f>'Mix éner %'!AA88</f>
        <v>0.15</v>
      </c>
      <c r="AB61" s="218">
        <f>'Mix éner %'!AB88</f>
        <v>0.01</v>
      </c>
      <c r="AC61" s="218">
        <f>'Mix éner %'!AC88</f>
        <v>0.29249999999999998</v>
      </c>
      <c r="AD61" s="218">
        <f>'Mix éner %'!AD88</f>
        <v>0.35749999999999998</v>
      </c>
      <c r="AE61" s="218">
        <f>'Mix éner %'!AE88</f>
        <v>0</v>
      </c>
      <c r="AF61" s="218">
        <f>'Mix éner %'!AF88</f>
        <v>0</v>
      </c>
      <c r="AG61" s="218">
        <f>'Mix éner %'!AG88</f>
        <v>0</v>
      </c>
      <c r="AH61" s="218">
        <f>'Mix éner %'!AH88</f>
        <v>0</v>
      </c>
      <c r="AI61" s="218">
        <f>'Mix éner %'!AI88</f>
        <v>0.14000000000000001</v>
      </c>
      <c r="AJ61" s="218">
        <f>'Mix éner %'!AJ88</f>
        <v>0</v>
      </c>
      <c r="AK61" s="218">
        <f>'Mix éner %'!AK88</f>
        <v>0.01</v>
      </c>
      <c r="AL61" s="218">
        <f>'Mix éner %'!AL88</f>
        <v>0</v>
      </c>
      <c r="AM61" s="218">
        <f>'Mix éner %'!AM88</f>
        <v>1</v>
      </c>
    </row>
    <row r="62" spans="3:39" x14ac:dyDescent="0.35">
      <c r="C62" s="435" t="s">
        <v>484</v>
      </c>
      <c r="D62" s="435"/>
      <c r="E62" s="220"/>
      <c r="F62" s="220"/>
      <c r="G62" s="220"/>
      <c r="H62" s="220"/>
      <c r="I62" s="220"/>
      <c r="J62" s="220"/>
      <c r="K62" s="220"/>
      <c r="L62" s="220"/>
      <c r="M62" s="220"/>
      <c r="N62" s="220"/>
      <c r="O62" s="220"/>
      <c r="P62" s="220"/>
      <c r="Q62" s="220"/>
      <c r="R62" s="220"/>
      <c r="S62" s="220"/>
      <c r="T62" s="220"/>
      <c r="U62" s="217"/>
      <c r="W62" s="172" t="s">
        <v>482</v>
      </c>
      <c r="X62" s="172" t="s">
        <v>498</v>
      </c>
      <c r="Y62" s="218">
        <f>'Mix éner %'!Y92</f>
        <v>0</v>
      </c>
      <c r="Z62" s="218">
        <f>'Mix éner %'!Z92</f>
        <v>0</v>
      </c>
      <c r="AA62" s="218">
        <f>'Mix éner %'!AA92</f>
        <v>0.03</v>
      </c>
      <c r="AB62" s="218">
        <f>'Mix éner %'!AB92</f>
        <v>0.50119397890568995</v>
      </c>
      <c r="AC62" s="218">
        <f>'Mix éner %'!AC92</f>
        <v>0</v>
      </c>
      <c r="AD62" s="218">
        <f>'Mix éner %'!AD92</f>
        <v>0</v>
      </c>
      <c r="AE62" s="218">
        <f>'Mix éner %'!AE92</f>
        <v>0</v>
      </c>
      <c r="AF62" s="218">
        <f>'Mix éner %'!AF92</f>
        <v>0</v>
      </c>
      <c r="AG62" s="218">
        <f>'Mix éner %'!AG92</f>
        <v>0</v>
      </c>
      <c r="AH62" s="218">
        <f>'Mix éner %'!AH92</f>
        <v>0</v>
      </c>
      <c r="AI62" s="218">
        <f>'Mix éner %'!AI92</f>
        <v>0.46880602109431002</v>
      </c>
      <c r="AJ62" s="218">
        <f>'Mix éner %'!AJ92</f>
        <v>0</v>
      </c>
      <c r="AK62" s="218">
        <f>'Mix éner %'!AK92</f>
        <v>0</v>
      </c>
      <c r="AL62" s="218">
        <f>'Mix éner %'!AL92</f>
        <v>0</v>
      </c>
      <c r="AM62" s="218">
        <f>'Mix éner %'!AM92</f>
        <v>1</v>
      </c>
    </row>
    <row r="63" spans="3:39" x14ac:dyDescent="0.35">
      <c r="C63" s="189" t="s">
        <v>485</v>
      </c>
      <c r="D63" s="190" t="s">
        <v>498</v>
      </c>
      <c r="E63" s="216">
        <v>0.05</v>
      </c>
      <c r="F63" s="216">
        <v>0</v>
      </c>
      <c r="G63" s="216">
        <v>0.03</v>
      </c>
      <c r="H63" s="216">
        <v>0.51</v>
      </c>
      <c r="I63" s="216">
        <v>0</v>
      </c>
      <c r="J63" s="216">
        <v>0</v>
      </c>
      <c r="K63" s="216">
        <v>0.04</v>
      </c>
      <c r="L63" s="219">
        <v>0</v>
      </c>
      <c r="M63" s="219">
        <v>0</v>
      </c>
      <c r="N63" s="219">
        <v>0</v>
      </c>
      <c r="O63" s="219">
        <v>0</v>
      </c>
      <c r="P63" s="219">
        <v>0</v>
      </c>
      <c r="Q63" s="216">
        <v>0.37</v>
      </c>
      <c r="R63" s="216">
        <v>0</v>
      </c>
      <c r="S63" s="216">
        <v>0</v>
      </c>
      <c r="T63" s="216">
        <f>SUM(E63:S63)</f>
        <v>1</v>
      </c>
      <c r="U63" s="217"/>
      <c r="W63" s="172" t="s">
        <v>483</v>
      </c>
      <c r="X63" s="172" t="s">
        <v>498</v>
      </c>
      <c r="Y63" s="218">
        <f>'Mix éner %'!Y96</f>
        <v>0</v>
      </c>
      <c r="Z63" s="218">
        <f>'Mix éner %'!Z96</f>
        <v>0</v>
      </c>
      <c r="AA63" s="218">
        <f>'Mix éner %'!AA96</f>
        <v>0.01</v>
      </c>
      <c r="AB63" s="218">
        <f>'Mix éner %'!AB96</f>
        <v>0.5295195779195</v>
      </c>
      <c r="AC63" s="218">
        <f>'Mix éner %'!AC96</f>
        <v>0.04</v>
      </c>
      <c r="AD63" s="218">
        <f>'Mix éner %'!AD96</f>
        <v>0</v>
      </c>
      <c r="AE63" s="218">
        <f>'Mix éner %'!AE96</f>
        <v>0</v>
      </c>
      <c r="AF63" s="218">
        <f>'Mix éner %'!AF96</f>
        <v>0</v>
      </c>
      <c r="AG63" s="218">
        <f>'Mix éner %'!AG96</f>
        <v>0</v>
      </c>
      <c r="AH63" s="218">
        <f>'Mix éner %'!AH96</f>
        <v>0</v>
      </c>
      <c r="AI63" s="218">
        <f>'Mix éner %'!AI96</f>
        <v>0.42048042208050002</v>
      </c>
      <c r="AJ63" s="218">
        <f>'Mix éner %'!AJ96</f>
        <v>0</v>
      </c>
      <c r="AK63" s="218">
        <f>'Mix éner %'!AK96</f>
        <v>0</v>
      </c>
      <c r="AL63" s="218">
        <f>'Mix éner %'!AL96</f>
        <v>0</v>
      </c>
      <c r="AM63" s="218">
        <f>'Mix éner %'!AM96</f>
        <v>1</v>
      </c>
    </row>
    <row r="64" spans="3:39" x14ac:dyDescent="0.35">
      <c r="C64" s="189" t="s">
        <v>486</v>
      </c>
      <c r="D64" s="190" t="s">
        <v>498</v>
      </c>
      <c r="E64" s="219">
        <v>0</v>
      </c>
      <c r="F64" s="219">
        <v>0</v>
      </c>
      <c r="G64" s="216">
        <v>0.02</v>
      </c>
      <c r="H64" s="216">
        <v>0.36</v>
      </c>
      <c r="I64" s="219">
        <v>0</v>
      </c>
      <c r="J64" s="219">
        <v>0</v>
      </c>
      <c r="K64" s="216">
        <v>5.3557005701464301E-2</v>
      </c>
      <c r="L64" s="219">
        <v>0</v>
      </c>
      <c r="M64" s="219">
        <v>0</v>
      </c>
      <c r="N64" s="219">
        <v>0</v>
      </c>
      <c r="O64" s="219">
        <v>0</v>
      </c>
      <c r="P64" s="219">
        <v>0</v>
      </c>
      <c r="Q64" s="216">
        <v>0.49830341301132902</v>
      </c>
      <c r="R64" s="216">
        <v>6.8139581287206499E-2</v>
      </c>
      <c r="S64" s="219">
        <v>0</v>
      </c>
      <c r="T64" s="216">
        <f>SUM(E64:S64)</f>
        <v>0.99999999999999989</v>
      </c>
      <c r="U64" s="217"/>
      <c r="W64" s="432" t="s">
        <v>484</v>
      </c>
      <c r="X64" s="432"/>
      <c r="Y64" s="440"/>
      <c r="Z64" s="440"/>
      <c r="AA64" s="440"/>
      <c r="AB64" s="440"/>
      <c r="AC64" s="440"/>
      <c r="AD64" s="440"/>
      <c r="AE64" s="440"/>
      <c r="AF64" s="440"/>
      <c r="AG64" s="440"/>
      <c r="AH64" s="440"/>
      <c r="AI64" s="440"/>
      <c r="AJ64" s="440"/>
      <c r="AK64" s="440"/>
      <c r="AL64" s="440"/>
      <c r="AM64" s="440"/>
    </row>
    <row r="65" spans="3:39" x14ac:dyDescent="0.35">
      <c r="C65" s="435" t="s">
        <v>487</v>
      </c>
      <c r="D65" s="435"/>
      <c r="E65" s="216">
        <v>0</v>
      </c>
      <c r="F65" s="216">
        <v>0</v>
      </c>
      <c r="G65" s="216">
        <v>0</v>
      </c>
      <c r="H65" s="216">
        <v>0.3</v>
      </c>
      <c r="I65" s="216">
        <v>0</v>
      </c>
      <c r="J65" s="216">
        <v>0</v>
      </c>
      <c r="K65" s="216">
        <v>0</v>
      </c>
      <c r="L65" s="216">
        <v>0</v>
      </c>
      <c r="M65" s="216">
        <v>0</v>
      </c>
      <c r="N65" s="216">
        <v>0</v>
      </c>
      <c r="O65" s="216">
        <v>0</v>
      </c>
      <c r="P65" s="216">
        <v>0</v>
      </c>
      <c r="Q65" s="216">
        <v>0.7</v>
      </c>
      <c r="R65" s="216">
        <v>0</v>
      </c>
      <c r="S65" s="216">
        <v>0</v>
      </c>
      <c r="T65" s="216">
        <f>SUM(E65:S65)</f>
        <v>1</v>
      </c>
      <c r="U65" s="217"/>
      <c r="W65" s="172" t="s">
        <v>485</v>
      </c>
      <c r="X65" s="172" t="s">
        <v>498</v>
      </c>
      <c r="Y65" s="218">
        <f>'Mix éner %'!Y101</f>
        <v>0.05</v>
      </c>
      <c r="Z65" s="218">
        <f>'Mix éner %'!Z101</f>
        <v>0</v>
      </c>
      <c r="AA65" s="218">
        <f>'Mix éner %'!AA101</f>
        <v>0.03</v>
      </c>
      <c r="AB65" s="218">
        <f>'Mix éner %'!AB101</f>
        <v>0.51</v>
      </c>
      <c r="AC65" s="218">
        <f>'Mix éner %'!AC101</f>
        <v>0.04</v>
      </c>
      <c r="AD65" s="218">
        <f>'Mix éner %'!AD101</f>
        <v>0</v>
      </c>
      <c r="AE65" s="218">
        <f>'Mix éner %'!AE101</f>
        <v>0</v>
      </c>
      <c r="AF65" s="218">
        <f>'Mix éner %'!AF101</f>
        <v>0</v>
      </c>
      <c r="AG65" s="218">
        <f>'Mix éner %'!AG101</f>
        <v>0</v>
      </c>
      <c r="AH65" s="218">
        <f>'Mix éner %'!AH101</f>
        <v>0</v>
      </c>
      <c r="AI65" s="218">
        <f>'Mix éner %'!AI101</f>
        <v>0.37</v>
      </c>
      <c r="AJ65" s="218">
        <f>'Mix éner %'!AJ101</f>
        <v>0</v>
      </c>
      <c r="AK65" s="218">
        <f>'Mix éner %'!AK101</f>
        <v>0</v>
      </c>
      <c r="AL65" s="218">
        <f>'Mix éner %'!AL101</f>
        <v>0</v>
      </c>
      <c r="AM65" s="218">
        <f>'Mix éner %'!AM101</f>
        <v>1</v>
      </c>
    </row>
    <row r="66" spans="3:39" x14ac:dyDescent="0.35">
      <c r="C66" s="441" t="s">
        <v>31</v>
      </c>
      <c r="D66" s="441"/>
      <c r="E66" s="216">
        <v>0</v>
      </c>
      <c r="F66" s="216">
        <v>0</v>
      </c>
      <c r="G66" s="216">
        <v>0.57952756765901603</v>
      </c>
      <c r="H66" s="216">
        <v>0.12495101241018899</v>
      </c>
      <c r="I66" s="216">
        <v>0</v>
      </c>
      <c r="J66" s="216">
        <v>0</v>
      </c>
      <c r="K66" s="216">
        <v>3.74265186152841E-2</v>
      </c>
      <c r="L66" s="216">
        <v>2.5959042399769299E-2</v>
      </c>
      <c r="M66" s="216">
        <v>0</v>
      </c>
      <c r="N66" s="216">
        <v>0</v>
      </c>
      <c r="O66" s="216">
        <v>0</v>
      </c>
      <c r="P66" s="216">
        <v>0</v>
      </c>
      <c r="Q66" s="216">
        <v>0.23213585891574101</v>
      </c>
      <c r="R66" s="216">
        <v>0</v>
      </c>
      <c r="S66" s="216">
        <v>0</v>
      </c>
      <c r="T66" s="216">
        <f>SUM(E66:S66)</f>
        <v>0.99999999999999956</v>
      </c>
      <c r="U66" s="217"/>
      <c r="W66" s="172" t="s">
        <v>486</v>
      </c>
      <c r="X66" s="172" t="s">
        <v>498</v>
      </c>
      <c r="Y66" s="218">
        <f>'Mix éner %'!Y105</f>
        <v>0</v>
      </c>
      <c r="Z66" s="218">
        <f>'Mix éner %'!Z105</f>
        <v>0</v>
      </c>
      <c r="AA66" s="218">
        <f>'Mix éner %'!AA105</f>
        <v>0</v>
      </c>
      <c r="AB66" s="218">
        <f>'Mix éner %'!AB105</f>
        <v>0.33830341301132916</v>
      </c>
      <c r="AC66" s="218">
        <f>'Mix éner %'!AC105</f>
        <v>5.3557005701464301E-2</v>
      </c>
      <c r="AD66" s="218">
        <f>'Mix éner %'!AD105</f>
        <v>0</v>
      </c>
      <c r="AE66" s="218">
        <f>'Mix éner %'!AE105</f>
        <v>0</v>
      </c>
      <c r="AF66" s="218">
        <f>'Mix éner %'!AF105</f>
        <v>0</v>
      </c>
      <c r="AG66" s="218">
        <f>'Mix éner %'!AG105</f>
        <v>0.04</v>
      </c>
      <c r="AH66" s="218">
        <f>'Mix éner %'!AH105</f>
        <v>0</v>
      </c>
      <c r="AI66" s="218">
        <f>'Mix éner %'!AI105</f>
        <v>0.48</v>
      </c>
      <c r="AJ66" s="218">
        <f>'Mix éner %'!AJ105</f>
        <v>0.02</v>
      </c>
      <c r="AK66" s="218">
        <f>'Mix éner %'!AK105</f>
        <v>6.8139581287206499E-2</v>
      </c>
      <c r="AL66" s="218">
        <f>'Mix éner %'!AL105</f>
        <v>0</v>
      </c>
      <c r="AM66" s="218">
        <f>'Mix éner %'!AM105</f>
        <v>1</v>
      </c>
    </row>
    <row r="67" spans="3:39" x14ac:dyDescent="0.35">
      <c r="C67" s="435" t="s">
        <v>488</v>
      </c>
      <c r="D67" s="435"/>
      <c r="E67" s="220"/>
      <c r="F67" s="220"/>
      <c r="G67" s="220"/>
      <c r="H67" s="220"/>
      <c r="I67" s="220"/>
      <c r="J67" s="220"/>
      <c r="K67" s="220"/>
      <c r="L67" s="220"/>
      <c r="M67" s="220"/>
      <c r="N67" s="220"/>
      <c r="O67" s="220"/>
      <c r="P67" s="220"/>
      <c r="Q67" s="220"/>
      <c r="R67" s="220"/>
      <c r="S67" s="220"/>
      <c r="T67" s="220"/>
      <c r="U67" s="217"/>
      <c r="W67" s="432" t="s">
        <v>487</v>
      </c>
      <c r="X67" s="432"/>
      <c r="Y67" s="221">
        <f>'Mix éner %'!Y109</f>
        <v>0</v>
      </c>
      <c r="Z67" s="221">
        <f>'Mix éner %'!Z109</f>
        <v>0</v>
      </c>
      <c r="AA67" s="221">
        <f>'Mix éner %'!AA109</f>
        <v>0</v>
      </c>
      <c r="AB67" s="221">
        <f>'Mix éner %'!AB109</f>
        <v>0.27999999999999992</v>
      </c>
      <c r="AC67" s="221">
        <f>'Mix éner %'!AC109</f>
        <v>0</v>
      </c>
      <c r="AD67" s="221">
        <f>'Mix éner %'!AD109</f>
        <v>0</v>
      </c>
      <c r="AE67" s="221">
        <f>'Mix éner %'!AE109</f>
        <v>0</v>
      </c>
      <c r="AF67" s="221">
        <f>'Mix éner %'!AF109</f>
        <v>0</v>
      </c>
      <c r="AG67" s="221">
        <f>'Mix éner %'!AG109</f>
        <v>0.02</v>
      </c>
      <c r="AH67" s="221">
        <f>'Mix éner %'!AH109</f>
        <v>0</v>
      </c>
      <c r="AI67" s="221">
        <f>'Mix éner %'!AI109</f>
        <v>0.68</v>
      </c>
      <c r="AJ67" s="221">
        <f>'Mix éner %'!AJ109</f>
        <v>0.01</v>
      </c>
      <c r="AK67" s="221">
        <f>'Mix éner %'!AK109</f>
        <v>0.01</v>
      </c>
      <c r="AL67" s="221">
        <f>'Mix éner %'!AL109</f>
        <v>0</v>
      </c>
      <c r="AM67" s="221">
        <f>'Mix éner %'!AM109</f>
        <v>1</v>
      </c>
    </row>
    <row r="68" spans="3:39" x14ac:dyDescent="0.35">
      <c r="C68" s="189" t="s">
        <v>489</v>
      </c>
      <c r="D68" s="190" t="s">
        <v>498</v>
      </c>
      <c r="E68" s="216">
        <v>0</v>
      </c>
      <c r="F68" s="216">
        <v>0</v>
      </c>
      <c r="G68" s="216">
        <v>0</v>
      </c>
      <c r="H68" s="216">
        <v>0.24</v>
      </c>
      <c r="I68" s="216">
        <v>0</v>
      </c>
      <c r="J68" s="216">
        <v>0</v>
      </c>
      <c r="K68" s="216">
        <v>0.25</v>
      </c>
      <c r="L68" s="216">
        <v>0</v>
      </c>
      <c r="M68" s="216">
        <v>0</v>
      </c>
      <c r="N68" s="216">
        <v>0</v>
      </c>
      <c r="O68" s="216">
        <v>0</v>
      </c>
      <c r="P68" s="216">
        <v>0</v>
      </c>
      <c r="Q68" s="216">
        <v>0.36591293942866598</v>
      </c>
      <c r="R68" s="216">
        <v>0.144087060571334</v>
      </c>
      <c r="S68" s="216">
        <v>0</v>
      </c>
      <c r="T68" s="216">
        <f>SUM(E68:S68)</f>
        <v>1</v>
      </c>
      <c r="U68" s="217"/>
      <c r="W68" s="432" t="s">
        <v>31</v>
      </c>
      <c r="X68" s="432"/>
      <c r="Y68" s="221">
        <f>'Mix éner %'!Y113</f>
        <v>0</v>
      </c>
      <c r="Z68" s="221">
        <f>'Mix éner %'!Z113</f>
        <v>0</v>
      </c>
      <c r="AA68" s="221">
        <f>'Mix éner %'!AA113</f>
        <v>0.45</v>
      </c>
      <c r="AB68" s="221">
        <f>'Mix éner %'!AB113</f>
        <v>0.12495101241018899</v>
      </c>
      <c r="AC68" s="221">
        <f>'Mix éner %'!AC113</f>
        <v>3.74265186152841E-2</v>
      </c>
      <c r="AD68" s="221">
        <f>'Mix éner %'!AD113</f>
        <v>2.5959042399769299E-2</v>
      </c>
      <c r="AE68" s="221">
        <f>'Mix éner %'!AE113</f>
        <v>0</v>
      </c>
      <c r="AF68" s="221">
        <f>'Mix éner %'!AF113</f>
        <v>0</v>
      </c>
      <c r="AG68" s="221">
        <f>'Mix éner %'!AG113</f>
        <v>0</v>
      </c>
      <c r="AH68" s="221">
        <f>'Mix éner %'!AH113</f>
        <v>0</v>
      </c>
      <c r="AI68" s="221">
        <f>'Mix éner %'!AI113</f>
        <v>0.34199999999999997</v>
      </c>
      <c r="AJ68" s="221">
        <f>'Mix éner %'!AJ113</f>
        <v>0</v>
      </c>
      <c r="AK68" s="221">
        <f>'Mix éner %'!AK113</f>
        <v>0</v>
      </c>
      <c r="AL68" s="221">
        <f>'Mix éner %'!AL113</f>
        <v>0.02</v>
      </c>
      <c r="AM68" s="221">
        <f>'Mix éner %'!AM113</f>
        <v>1.0003365734252423</v>
      </c>
    </row>
    <row r="69" spans="3:39" x14ac:dyDescent="0.35">
      <c r="C69" s="189" t="s">
        <v>490</v>
      </c>
      <c r="D69" s="190" t="s">
        <v>498</v>
      </c>
      <c r="E69" s="216">
        <v>0</v>
      </c>
      <c r="F69" s="216">
        <v>0</v>
      </c>
      <c r="G69" s="216">
        <v>0.04</v>
      </c>
      <c r="H69" s="216">
        <v>0.301490724374404</v>
      </c>
      <c r="I69" s="216">
        <v>0</v>
      </c>
      <c r="J69" s="216">
        <v>0</v>
      </c>
      <c r="K69" s="216">
        <v>0.02</v>
      </c>
      <c r="L69" s="216">
        <v>0</v>
      </c>
      <c r="M69" s="216">
        <v>0</v>
      </c>
      <c r="N69" s="216">
        <v>0</v>
      </c>
      <c r="O69" s="216">
        <v>0</v>
      </c>
      <c r="P69" s="216">
        <v>0</v>
      </c>
      <c r="Q69" s="216">
        <v>0.61850927562559599</v>
      </c>
      <c r="R69" s="216">
        <v>0.02</v>
      </c>
      <c r="S69" s="216">
        <v>0</v>
      </c>
      <c r="T69" s="216">
        <f>SUM(E69:S69)</f>
        <v>1</v>
      </c>
      <c r="U69" s="217"/>
      <c r="W69" s="432" t="s">
        <v>488</v>
      </c>
      <c r="X69" s="432"/>
      <c r="Y69" s="440"/>
      <c r="Z69" s="440"/>
      <c r="AA69" s="440"/>
      <c r="AB69" s="440"/>
      <c r="AC69" s="440"/>
      <c r="AD69" s="440"/>
      <c r="AE69" s="440"/>
      <c r="AF69" s="440"/>
      <c r="AG69" s="440"/>
      <c r="AH69" s="440"/>
      <c r="AI69" s="440"/>
      <c r="AJ69" s="440"/>
      <c r="AK69" s="440"/>
      <c r="AL69" s="440"/>
      <c r="AM69" s="440"/>
    </row>
    <row r="70" spans="3:39" x14ac:dyDescent="0.35">
      <c r="W70" s="172" t="s">
        <v>489</v>
      </c>
      <c r="X70" s="172" t="s">
        <v>498</v>
      </c>
      <c r="Y70" s="218">
        <f>'Mix éner %'!Y118</f>
        <v>0</v>
      </c>
      <c r="Z70" s="218">
        <f>'Mix éner %'!Z118</f>
        <v>0</v>
      </c>
      <c r="AA70" s="218">
        <f>'Mix éner %'!AA118</f>
        <v>0</v>
      </c>
      <c r="AB70" s="218">
        <f>'Mix éner %'!AB118</f>
        <v>0.20091293942866595</v>
      </c>
      <c r="AC70" s="218">
        <f>'Mix éner %'!AC118</f>
        <v>0.3</v>
      </c>
      <c r="AD70" s="218">
        <f>'Mix éner %'!AD118</f>
        <v>0</v>
      </c>
      <c r="AE70" s="218">
        <f>'Mix éner %'!AE118</f>
        <v>0</v>
      </c>
      <c r="AF70" s="218">
        <f>'Mix éner %'!AF118</f>
        <v>0</v>
      </c>
      <c r="AG70" s="218">
        <f>'Mix éner %'!AG118</f>
        <v>0.05</v>
      </c>
      <c r="AH70" s="218">
        <f>'Mix éner %'!AH118</f>
        <v>0</v>
      </c>
      <c r="AI70" s="218">
        <f>'Mix éner %'!AI118</f>
        <v>0.28000000000000003</v>
      </c>
      <c r="AJ70" s="218">
        <f>'Mix éner %'!AJ118</f>
        <v>2.5000000000000001E-2</v>
      </c>
      <c r="AK70" s="218">
        <f>'Mix éner %'!AK118</f>
        <v>0.144087060571334</v>
      </c>
      <c r="AL70" s="218">
        <f>'Mix éner %'!AL118</f>
        <v>0</v>
      </c>
      <c r="AM70" s="218">
        <f>'Mix éner %'!AM118</f>
        <v>1</v>
      </c>
    </row>
    <row r="71" spans="3:39" x14ac:dyDescent="0.35">
      <c r="W71" s="172" t="s">
        <v>490</v>
      </c>
      <c r="X71" s="172" t="s">
        <v>498</v>
      </c>
      <c r="Y71" s="218">
        <f>'Mix éner %'!Y122</f>
        <v>0</v>
      </c>
      <c r="Z71" s="218">
        <f>'Mix éner %'!Z122</f>
        <v>0</v>
      </c>
      <c r="AA71" s="218">
        <f>'Mix éner %'!AA122</f>
        <v>0.04</v>
      </c>
      <c r="AB71" s="218">
        <f>'Mix éner %'!AB122</f>
        <v>0.30999999999999994</v>
      </c>
      <c r="AC71" s="218">
        <f>'Mix éner %'!AC122</f>
        <v>0.02</v>
      </c>
      <c r="AD71" s="218">
        <f>'Mix éner %'!AD122</f>
        <v>0</v>
      </c>
      <c r="AE71" s="218">
        <f>'Mix éner %'!AE122</f>
        <v>0</v>
      </c>
      <c r="AF71" s="218">
        <f>'Mix éner %'!AF122</f>
        <v>0</v>
      </c>
      <c r="AG71" s="218">
        <f>'Mix éner %'!AG122</f>
        <v>0.06</v>
      </c>
      <c r="AH71" s="218">
        <f>'Mix éner %'!AH122</f>
        <v>0</v>
      </c>
      <c r="AI71" s="218">
        <f>'Mix éner %'!AI122</f>
        <v>0.52</v>
      </c>
      <c r="AJ71" s="218">
        <f>'Mix éner %'!AJ122</f>
        <v>0.03</v>
      </c>
      <c r="AK71" s="218">
        <f>'Mix éner %'!AK122</f>
        <v>0.02</v>
      </c>
      <c r="AL71" s="218">
        <f>'Mix éner %'!AL122</f>
        <v>0</v>
      </c>
      <c r="AM71" s="218">
        <f>'Mix éner %'!AM122</f>
        <v>1</v>
      </c>
    </row>
    <row r="73" spans="3:39" x14ac:dyDescent="0.35">
      <c r="Y73" s="171"/>
      <c r="Z73" s="171"/>
      <c r="AA73" s="171"/>
      <c r="AB73" s="171"/>
      <c r="AC73" s="171"/>
      <c r="AD73" s="171"/>
      <c r="AE73" s="171"/>
      <c r="AF73" s="171"/>
      <c r="AG73" s="171"/>
      <c r="AH73" s="171"/>
      <c r="AI73" s="171"/>
      <c r="AJ73" s="171"/>
      <c r="AK73" s="171"/>
      <c r="AL73" s="171"/>
      <c r="AM73" s="171"/>
    </row>
    <row r="75" spans="3:39" x14ac:dyDescent="0.35">
      <c r="C75" s="437" t="s">
        <v>540</v>
      </c>
      <c r="D75" s="437"/>
      <c r="E75" s="437"/>
      <c r="F75" s="437"/>
      <c r="G75" s="437"/>
      <c r="H75" s="437"/>
      <c r="I75" s="437"/>
      <c r="J75" s="437"/>
      <c r="K75" s="437"/>
      <c r="L75" s="437"/>
      <c r="M75" s="437"/>
      <c r="N75" s="437"/>
      <c r="O75" s="437"/>
      <c r="P75" s="437"/>
      <c r="Q75" s="437"/>
      <c r="R75" s="437"/>
      <c r="S75" s="437"/>
      <c r="T75" s="437"/>
      <c r="U75" s="213"/>
      <c r="W75" s="429">
        <v>2050</v>
      </c>
      <c r="X75" s="429"/>
      <c r="Y75" s="429"/>
      <c r="Z75" s="429"/>
      <c r="AA75" s="429"/>
      <c r="AB75" s="429"/>
      <c r="AC75" s="429"/>
      <c r="AD75" s="429"/>
      <c r="AE75" s="429"/>
      <c r="AF75" s="429"/>
      <c r="AG75" s="429"/>
      <c r="AH75" s="429"/>
      <c r="AI75" s="429"/>
      <c r="AJ75" s="429"/>
      <c r="AK75" s="429"/>
      <c r="AL75" s="429"/>
      <c r="AM75" s="429"/>
    </row>
    <row r="76" spans="3:39" ht="14.65" customHeight="1" x14ac:dyDescent="0.35">
      <c r="C76" s="438" t="s">
        <v>495</v>
      </c>
      <c r="D76" s="438"/>
      <c r="E76" s="439" t="s">
        <v>439</v>
      </c>
      <c r="F76" s="439" t="s">
        <v>440</v>
      </c>
      <c r="G76" s="439" t="s">
        <v>441</v>
      </c>
      <c r="H76" s="439" t="s">
        <v>442</v>
      </c>
      <c r="I76" s="439" t="s">
        <v>537</v>
      </c>
      <c r="J76" s="439" t="s">
        <v>538</v>
      </c>
      <c r="K76" s="439" t="s">
        <v>443</v>
      </c>
      <c r="L76" s="439"/>
      <c r="M76" s="439"/>
      <c r="N76" s="439"/>
      <c r="O76" s="439"/>
      <c r="P76" s="439"/>
      <c r="Q76" s="439" t="s">
        <v>446</v>
      </c>
      <c r="R76" s="439" t="s">
        <v>447</v>
      </c>
      <c r="S76" s="439" t="s">
        <v>448</v>
      </c>
      <c r="T76" s="439" t="s">
        <v>52</v>
      </c>
      <c r="U76" s="214"/>
      <c r="W76" s="430" t="s">
        <v>539</v>
      </c>
      <c r="X76" s="430"/>
      <c r="Y76" s="431" t="s">
        <v>439</v>
      </c>
      <c r="Z76" s="166"/>
      <c r="AA76" s="431" t="s">
        <v>441</v>
      </c>
      <c r="AB76" s="431" t="s">
        <v>442</v>
      </c>
      <c r="AC76" s="431" t="s">
        <v>443</v>
      </c>
      <c r="AD76" s="431"/>
      <c r="AE76" s="431"/>
      <c r="AF76" s="431"/>
      <c r="AG76" s="431" t="s">
        <v>444</v>
      </c>
      <c r="AH76" s="431" t="s">
        <v>445</v>
      </c>
      <c r="AI76" s="431" t="s">
        <v>446</v>
      </c>
      <c r="AJ76" s="168"/>
      <c r="AK76" s="431" t="s">
        <v>447</v>
      </c>
      <c r="AL76" s="167" t="s">
        <v>448</v>
      </c>
      <c r="AM76" s="431" t="s">
        <v>52</v>
      </c>
    </row>
    <row r="77" spans="3:39" ht="70.5" x14ac:dyDescent="0.35">
      <c r="C77" s="435" t="s">
        <v>24</v>
      </c>
      <c r="D77" s="435"/>
      <c r="E77" s="439"/>
      <c r="F77" s="439"/>
      <c r="G77" s="439"/>
      <c r="H77" s="439"/>
      <c r="I77" s="439"/>
      <c r="J77" s="439"/>
      <c r="K77" s="182" t="s">
        <v>451</v>
      </c>
      <c r="L77" s="182" t="s">
        <v>452</v>
      </c>
      <c r="M77" s="182" t="s">
        <v>453</v>
      </c>
      <c r="N77" s="182" t="s">
        <v>454</v>
      </c>
      <c r="O77" s="182" t="s">
        <v>444</v>
      </c>
      <c r="P77" s="182" t="s">
        <v>445</v>
      </c>
      <c r="Q77" s="439"/>
      <c r="R77" s="439"/>
      <c r="S77" s="439" t="s">
        <v>448</v>
      </c>
      <c r="T77" s="439"/>
      <c r="U77" s="214"/>
      <c r="W77" s="430"/>
      <c r="X77" s="430"/>
      <c r="Y77" s="431"/>
      <c r="Z77" s="166" t="s">
        <v>455</v>
      </c>
      <c r="AA77" s="431"/>
      <c r="AB77" s="431"/>
      <c r="AC77" s="167" t="s">
        <v>451</v>
      </c>
      <c r="AD77" s="167" t="s">
        <v>452</v>
      </c>
      <c r="AE77" s="167" t="s">
        <v>453</v>
      </c>
      <c r="AF77" s="167" t="s">
        <v>454</v>
      </c>
      <c r="AG77" s="431"/>
      <c r="AH77" s="431"/>
      <c r="AI77" s="431"/>
      <c r="AJ77" s="169" t="s">
        <v>456</v>
      </c>
      <c r="AK77" s="431"/>
      <c r="AL77" s="167" t="s">
        <v>448</v>
      </c>
      <c r="AM77" s="431"/>
    </row>
    <row r="78" spans="3:39" x14ac:dyDescent="0.35">
      <c r="C78" s="189" t="s">
        <v>461</v>
      </c>
      <c r="D78" s="190" t="s">
        <v>498</v>
      </c>
      <c r="E78" s="215">
        <f>11.1635061772858%+5%</f>
        <v>0.16163506177285802</v>
      </c>
      <c r="F78" s="215">
        <v>0</v>
      </c>
      <c r="G78" s="215">
        <v>0</v>
      </c>
      <c r="H78" s="215">
        <v>0.38847880683545799</v>
      </c>
      <c r="I78" s="215">
        <v>0</v>
      </c>
      <c r="J78" s="215">
        <v>0</v>
      </c>
      <c r="K78" s="215">
        <v>0.173010449959066</v>
      </c>
      <c r="L78" s="215">
        <v>0</v>
      </c>
      <c r="M78" s="215">
        <v>0</v>
      </c>
      <c r="N78" s="215">
        <v>0</v>
      </c>
      <c r="O78" s="215">
        <v>0</v>
      </c>
      <c r="P78" s="215">
        <v>0</v>
      </c>
      <c r="Q78" s="215">
        <v>0.27687568143261798</v>
      </c>
      <c r="R78" s="215">
        <v>0</v>
      </c>
      <c r="S78" s="215">
        <v>0</v>
      </c>
      <c r="T78" s="216">
        <f t="shared" ref="T78:T83" si="2">SUM(E78:S78)</f>
        <v>1</v>
      </c>
      <c r="U78" s="217"/>
      <c r="W78" s="432" t="s">
        <v>24</v>
      </c>
      <c r="X78" s="432"/>
      <c r="Y78" s="440"/>
      <c r="Z78" s="440"/>
      <c r="AA78" s="440"/>
      <c r="AB78" s="440"/>
      <c r="AC78" s="440"/>
      <c r="AD78" s="440"/>
      <c r="AE78" s="440"/>
      <c r="AF78" s="440"/>
      <c r="AG78" s="440"/>
      <c r="AH78" s="440"/>
      <c r="AI78" s="440"/>
      <c r="AJ78" s="440"/>
      <c r="AK78" s="440"/>
      <c r="AL78" s="440"/>
      <c r="AM78" s="440"/>
    </row>
    <row r="79" spans="3:39" x14ac:dyDescent="0.35">
      <c r="C79" s="189" t="s">
        <v>464</v>
      </c>
      <c r="D79" s="190" t="s">
        <v>498</v>
      </c>
      <c r="E79" s="215">
        <v>1.0514067876993801E-2</v>
      </c>
      <c r="F79" s="215">
        <v>0</v>
      </c>
      <c r="G79" s="215">
        <v>1.60951739582194E-2</v>
      </c>
      <c r="H79" s="215">
        <v>0.14413969617456701</v>
      </c>
      <c r="I79" s="215">
        <v>0</v>
      </c>
      <c r="J79" s="215">
        <v>0</v>
      </c>
      <c r="K79" s="215">
        <v>2.19855996537811E-2</v>
      </c>
      <c r="L79" s="215">
        <v>0</v>
      </c>
      <c r="M79" s="215">
        <v>0</v>
      </c>
      <c r="N79" s="215">
        <v>0</v>
      </c>
      <c r="O79" s="215">
        <v>0</v>
      </c>
      <c r="P79" s="215">
        <v>0</v>
      </c>
      <c r="Q79" s="215">
        <v>0.80726546233643903</v>
      </c>
      <c r="R79" s="215">
        <v>0</v>
      </c>
      <c r="S79" s="215">
        <v>0</v>
      </c>
      <c r="T79" s="216">
        <f t="shared" si="2"/>
        <v>1.0000000000000004</v>
      </c>
      <c r="U79" s="217"/>
      <c r="W79" s="172" t="s">
        <v>461</v>
      </c>
      <c r="X79" s="172" t="s">
        <v>498</v>
      </c>
      <c r="Y79" s="218">
        <f>'Mix éner %'!Y47</f>
        <v>0.33500330317145915</v>
      </c>
      <c r="Z79" s="218">
        <f>'Mix éner %'!Z47</f>
        <v>0.49499669682854086</v>
      </c>
      <c r="AA79" s="218">
        <f>'Mix éner %'!AA47</f>
        <v>0</v>
      </c>
      <c r="AB79" s="218">
        <f>'Mix éner %'!AB47</f>
        <v>0</v>
      </c>
      <c r="AC79" s="218">
        <f>'Mix éner %'!AC47</f>
        <v>0.05</v>
      </c>
      <c r="AD79" s="218">
        <f>'Mix éner %'!AD47</f>
        <v>0.12</v>
      </c>
      <c r="AE79" s="218">
        <f>'Mix éner %'!AE47</f>
        <v>0</v>
      </c>
      <c r="AF79" s="218">
        <f>'Mix éner %'!AF47</f>
        <v>0</v>
      </c>
      <c r="AG79" s="218">
        <f>'Mix éner %'!AG47</f>
        <v>0</v>
      </c>
      <c r="AH79" s="218">
        <f>'Mix éner %'!AH47</f>
        <v>0</v>
      </c>
      <c r="AI79" s="218">
        <f>'Mix éner %'!AI47</f>
        <v>0</v>
      </c>
      <c r="AJ79" s="218">
        <f>'Mix éner %'!AJ47</f>
        <v>0</v>
      </c>
      <c r="AK79" s="218">
        <f>'Mix éner %'!AK47</f>
        <v>0</v>
      </c>
      <c r="AL79" s="218">
        <f>'Mix éner %'!AL47</f>
        <v>0</v>
      </c>
      <c r="AM79" s="218">
        <f>'Mix éner %'!AM47</f>
        <v>1</v>
      </c>
    </row>
    <row r="80" spans="3:39" x14ac:dyDescent="0.35">
      <c r="C80" s="189" t="s">
        <v>466</v>
      </c>
      <c r="D80" s="190" t="s">
        <v>498</v>
      </c>
      <c r="E80" s="215">
        <v>0</v>
      </c>
      <c r="F80" s="215">
        <v>0</v>
      </c>
      <c r="G80" s="215">
        <v>0</v>
      </c>
      <c r="H80" s="215">
        <v>0.15207756232687</v>
      </c>
      <c r="I80" s="215">
        <v>0</v>
      </c>
      <c r="J80" s="215">
        <v>0</v>
      </c>
      <c r="K80" s="215">
        <v>0</v>
      </c>
      <c r="L80" s="215">
        <v>0</v>
      </c>
      <c r="M80" s="215">
        <v>0</v>
      </c>
      <c r="N80" s="215">
        <v>0</v>
      </c>
      <c r="O80" s="215">
        <v>0</v>
      </c>
      <c r="P80" s="215">
        <v>0</v>
      </c>
      <c r="Q80" s="215">
        <v>0.13767313019390601</v>
      </c>
      <c r="R80" s="215">
        <v>0</v>
      </c>
      <c r="S80" s="215">
        <v>0.71024930747922399</v>
      </c>
      <c r="T80" s="216">
        <f t="shared" si="2"/>
        <v>1</v>
      </c>
      <c r="U80" s="217"/>
      <c r="W80" s="172" t="s">
        <v>464</v>
      </c>
      <c r="X80" s="172" t="s">
        <v>498</v>
      </c>
      <c r="Y80" s="218">
        <f>'Mix éner %'!Y51</f>
        <v>1.0514067876993801E-2</v>
      </c>
      <c r="Z80" s="218">
        <f>'Mix éner %'!Z51</f>
        <v>0</v>
      </c>
      <c r="AA80" s="218">
        <f>'Mix éner %'!AA51</f>
        <v>1.60951739582194E-2</v>
      </c>
      <c r="AB80" s="218">
        <f>'Mix éner %'!AB51</f>
        <v>0.14413969617456701</v>
      </c>
      <c r="AC80" s="218">
        <f>'Mix éner %'!AC51</f>
        <v>2.19855996537811E-2</v>
      </c>
      <c r="AD80" s="218">
        <f>'Mix éner %'!AD51</f>
        <v>0</v>
      </c>
      <c r="AE80" s="218">
        <f>'Mix éner %'!AE51</f>
        <v>0</v>
      </c>
      <c r="AF80" s="218">
        <f>'Mix éner %'!AF51</f>
        <v>0</v>
      </c>
      <c r="AG80" s="218">
        <f>'Mix éner %'!AG51</f>
        <v>0</v>
      </c>
      <c r="AH80" s="218">
        <f>'Mix éner %'!AH51</f>
        <v>0</v>
      </c>
      <c r="AI80" s="218">
        <f>'Mix éner %'!AI51</f>
        <v>0.80726546233643903</v>
      </c>
      <c r="AJ80" s="218">
        <f>'Mix éner %'!AJ51</f>
        <v>0</v>
      </c>
      <c r="AK80" s="218">
        <f>'Mix éner %'!AK51</f>
        <v>0</v>
      </c>
      <c r="AL80" s="218">
        <f>'Mix éner %'!AL51</f>
        <v>0</v>
      </c>
      <c r="AM80" s="218">
        <f>'Mix éner %'!AM51</f>
        <v>1.0000000000000004</v>
      </c>
    </row>
    <row r="81" spans="3:39" x14ac:dyDescent="0.35">
      <c r="C81" s="189" t="s">
        <v>469</v>
      </c>
      <c r="D81" s="190" t="s">
        <v>498</v>
      </c>
      <c r="E81" s="216">
        <v>0</v>
      </c>
      <c r="F81" s="216">
        <v>0</v>
      </c>
      <c r="G81" s="216">
        <v>0</v>
      </c>
      <c r="H81" s="216">
        <v>0.120723236835815</v>
      </c>
      <c r="I81" s="216">
        <v>0</v>
      </c>
      <c r="J81" s="216">
        <v>0</v>
      </c>
      <c r="K81" s="216">
        <v>0</v>
      </c>
      <c r="L81" s="216">
        <v>0</v>
      </c>
      <c r="M81" s="216">
        <v>0</v>
      </c>
      <c r="N81" s="216">
        <v>0</v>
      </c>
      <c r="O81" s="216">
        <v>0</v>
      </c>
      <c r="P81" s="216">
        <v>0</v>
      </c>
      <c r="Q81" s="216">
        <v>0.87111370424531198</v>
      </c>
      <c r="R81" s="216">
        <v>0.01</v>
      </c>
      <c r="S81" s="216">
        <v>0</v>
      </c>
      <c r="T81" s="216">
        <f t="shared" si="2"/>
        <v>1.001836941081127</v>
      </c>
      <c r="U81" s="217"/>
      <c r="W81" s="172" t="s">
        <v>466</v>
      </c>
      <c r="X81" s="172" t="s">
        <v>498</v>
      </c>
      <c r="Y81" s="218">
        <f>'Mix éner %'!Y55</f>
        <v>0</v>
      </c>
      <c r="Z81" s="218">
        <f>'Mix éner %'!Z55</f>
        <v>0</v>
      </c>
      <c r="AA81" s="218">
        <f>'Mix éner %'!AA55</f>
        <v>0</v>
      </c>
      <c r="AB81" s="218">
        <f>'Mix éner %'!AB55</f>
        <v>0.15207756232687</v>
      </c>
      <c r="AC81" s="218">
        <f>'Mix éner %'!AC55</f>
        <v>0</v>
      </c>
      <c r="AD81" s="218">
        <f>'Mix éner %'!AD55</f>
        <v>0</v>
      </c>
      <c r="AE81" s="218">
        <f>'Mix éner %'!AE55</f>
        <v>0</v>
      </c>
      <c r="AF81" s="218">
        <f>'Mix éner %'!AF55</f>
        <v>0</v>
      </c>
      <c r="AG81" s="218">
        <f>'Mix éner %'!AG55</f>
        <v>0</v>
      </c>
      <c r="AH81" s="218">
        <f>'Mix éner %'!AH55</f>
        <v>0</v>
      </c>
      <c r="AI81" s="218">
        <f>'Mix éner %'!AI55</f>
        <v>0.13767313019390601</v>
      </c>
      <c r="AJ81" s="218">
        <f>'Mix éner %'!AJ55</f>
        <v>0</v>
      </c>
      <c r="AK81" s="218">
        <f>'Mix éner %'!AK55</f>
        <v>0</v>
      </c>
      <c r="AL81" s="218">
        <f>'Mix éner %'!AL55</f>
        <v>0.71024930747922399</v>
      </c>
      <c r="AM81" s="218">
        <f>'Mix éner %'!AM55</f>
        <v>1</v>
      </c>
    </row>
    <row r="82" spans="3:39" x14ac:dyDescent="0.35">
      <c r="C82" s="189" t="s">
        <v>471</v>
      </c>
      <c r="D82" s="190" t="s">
        <v>498</v>
      </c>
      <c r="E82" s="216">
        <v>0</v>
      </c>
      <c r="F82" s="216">
        <v>0</v>
      </c>
      <c r="G82" s="216">
        <v>0</v>
      </c>
      <c r="H82" s="216">
        <v>0.75856622834587695</v>
      </c>
      <c r="I82" s="216">
        <v>0</v>
      </c>
      <c r="J82" s="216">
        <v>0</v>
      </c>
      <c r="K82" s="216">
        <v>0</v>
      </c>
      <c r="L82" s="216">
        <v>0</v>
      </c>
      <c r="M82" s="216">
        <v>0</v>
      </c>
      <c r="N82" s="216">
        <v>0</v>
      </c>
      <c r="O82" s="216">
        <v>0</v>
      </c>
      <c r="P82" s="216">
        <v>0</v>
      </c>
      <c r="Q82" s="216">
        <v>0.241433771654123</v>
      </c>
      <c r="R82" s="216">
        <v>0</v>
      </c>
      <c r="S82" s="216">
        <v>0</v>
      </c>
      <c r="T82" s="216">
        <f t="shared" si="2"/>
        <v>1</v>
      </c>
      <c r="U82" s="217"/>
      <c r="W82" s="178" t="s">
        <v>467</v>
      </c>
      <c r="X82" s="172" t="s">
        <v>498</v>
      </c>
      <c r="Y82" s="218">
        <f>'Mix éner %'!Y59</f>
        <v>0.03</v>
      </c>
      <c r="Z82" s="218">
        <f>'Mix éner %'!Z59</f>
        <v>0</v>
      </c>
      <c r="AA82" s="218">
        <f>'Mix éner %'!AA59</f>
        <v>0.01</v>
      </c>
      <c r="AB82" s="218">
        <f>'Mix éner %'!AB59</f>
        <v>0.20000000000000007</v>
      </c>
      <c r="AC82" s="218">
        <f>'Mix éner %'!AC59</f>
        <v>0.05</v>
      </c>
      <c r="AD82" s="218">
        <f>'Mix éner %'!AD59</f>
        <v>0</v>
      </c>
      <c r="AE82" s="218">
        <f>'Mix éner %'!AE59</f>
        <v>0</v>
      </c>
      <c r="AF82" s="218">
        <f>'Mix éner %'!AF59</f>
        <v>0</v>
      </c>
      <c r="AG82" s="218">
        <f>'Mix éner %'!AG59</f>
        <v>0</v>
      </c>
      <c r="AH82" s="218">
        <f>'Mix éner %'!AH59</f>
        <v>0</v>
      </c>
      <c r="AI82" s="218">
        <f>'Mix éner %'!AI59</f>
        <v>0.7</v>
      </c>
      <c r="AJ82" s="218">
        <f>'Mix éner %'!AJ59</f>
        <v>0</v>
      </c>
      <c r="AK82" s="218">
        <f>'Mix éner %'!AK59</f>
        <v>0.01</v>
      </c>
      <c r="AL82" s="218">
        <f>'Mix éner %'!AL59</f>
        <v>0</v>
      </c>
      <c r="AM82" s="218">
        <f>'Mix éner %'!AM59</f>
        <v>1</v>
      </c>
    </row>
    <row r="83" spans="3:39" x14ac:dyDescent="0.35">
      <c r="C83" s="189" t="s">
        <v>473</v>
      </c>
      <c r="D83" s="190" t="s">
        <v>498</v>
      </c>
      <c r="E83" s="216">
        <v>0</v>
      </c>
      <c r="F83" s="216">
        <v>0</v>
      </c>
      <c r="G83" s="216">
        <v>0</v>
      </c>
      <c r="H83" s="216">
        <v>0.05</v>
      </c>
      <c r="I83" s="216">
        <v>0</v>
      </c>
      <c r="J83" s="216">
        <v>0</v>
      </c>
      <c r="K83" s="216">
        <v>0.02</v>
      </c>
      <c r="L83" s="216">
        <v>0</v>
      </c>
      <c r="M83" s="216">
        <v>0</v>
      </c>
      <c r="N83" s="216">
        <v>0</v>
      </c>
      <c r="O83" s="216">
        <v>0</v>
      </c>
      <c r="P83" s="216">
        <v>0</v>
      </c>
      <c r="Q83" s="216">
        <v>0.67509256676624396</v>
      </c>
      <c r="R83" s="216">
        <v>0</v>
      </c>
      <c r="S83" s="216">
        <v>0.25490743323375598</v>
      </c>
      <c r="T83" s="216">
        <f t="shared" si="2"/>
        <v>1</v>
      </c>
      <c r="U83" s="217"/>
      <c r="W83" s="172" t="s">
        <v>469</v>
      </c>
      <c r="X83" s="172" t="s">
        <v>498</v>
      </c>
      <c r="Y83" s="218">
        <f>'Mix éner %'!Y63</f>
        <v>0</v>
      </c>
      <c r="Z83" s="218">
        <f>'Mix éner %'!Z63</f>
        <v>0</v>
      </c>
      <c r="AA83" s="218">
        <f>'Mix éner %'!AA63</f>
        <v>0</v>
      </c>
      <c r="AB83" s="218">
        <f>'Mix éner %'!AB63</f>
        <v>0.12</v>
      </c>
      <c r="AC83" s="218">
        <f>'Mix éner %'!AC63</f>
        <v>0</v>
      </c>
      <c r="AD83" s="218">
        <f>'Mix éner %'!AD63</f>
        <v>0</v>
      </c>
      <c r="AE83" s="218">
        <f>'Mix éner %'!AE63</f>
        <v>0</v>
      </c>
      <c r="AF83" s="218">
        <f>'Mix éner %'!AF63</f>
        <v>0</v>
      </c>
      <c r="AG83" s="218">
        <f>'Mix éner %'!AG63</f>
        <v>0</v>
      </c>
      <c r="AH83" s="218">
        <f>'Mix éner %'!AH63</f>
        <v>0</v>
      </c>
      <c r="AI83" s="218">
        <f>'Mix éner %'!AI63</f>
        <v>0.87</v>
      </c>
      <c r="AJ83" s="218">
        <f>'Mix éner %'!AJ63</f>
        <v>0</v>
      </c>
      <c r="AK83" s="218">
        <f>'Mix éner %'!AK63</f>
        <v>0.01</v>
      </c>
      <c r="AL83" s="218">
        <f>'Mix éner %'!AL63</f>
        <v>0</v>
      </c>
      <c r="AM83" s="218">
        <f>'Mix éner %'!AM63</f>
        <v>1</v>
      </c>
    </row>
    <row r="84" spans="3:39" x14ac:dyDescent="0.35">
      <c r="C84" s="435" t="s">
        <v>25</v>
      </c>
      <c r="D84" s="435"/>
      <c r="E84" s="220"/>
      <c r="F84" s="220"/>
      <c r="G84" s="220"/>
      <c r="H84" s="220"/>
      <c r="I84" s="220"/>
      <c r="J84" s="220"/>
      <c r="K84" s="220"/>
      <c r="L84" s="220"/>
      <c r="M84" s="220"/>
      <c r="N84" s="220"/>
      <c r="O84" s="220"/>
      <c r="P84" s="220"/>
      <c r="Q84" s="220"/>
      <c r="R84" s="220"/>
      <c r="S84" s="220"/>
      <c r="T84" s="220"/>
      <c r="U84" s="217"/>
      <c r="W84" s="172" t="s">
        <v>471</v>
      </c>
      <c r="X84" s="172" t="s">
        <v>498</v>
      </c>
      <c r="Y84" s="218">
        <f>'Mix éner %'!Y67</f>
        <v>0</v>
      </c>
      <c r="Z84" s="218">
        <f>'Mix éner %'!Z67</f>
        <v>0</v>
      </c>
      <c r="AA84" s="218">
        <f>'Mix éner %'!AA67</f>
        <v>0</v>
      </c>
      <c r="AB84" s="218">
        <f>'Mix éner %'!AB67</f>
        <v>0.25</v>
      </c>
      <c r="AC84" s="218">
        <f>'Mix éner %'!AC67</f>
        <v>0</v>
      </c>
      <c r="AD84" s="218">
        <f>'Mix éner %'!AD67</f>
        <v>0</v>
      </c>
      <c r="AE84" s="218">
        <f>'Mix éner %'!AE67</f>
        <v>0</v>
      </c>
      <c r="AF84" s="218">
        <f>'Mix éner %'!AF67</f>
        <v>0</v>
      </c>
      <c r="AG84" s="218">
        <f>'Mix éner %'!AG67</f>
        <v>0</v>
      </c>
      <c r="AH84" s="218">
        <f>'Mix éner %'!AH67</f>
        <v>0</v>
      </c>
      <c r="AI84" s="218">
        <f>'Mix éner %'!AI67</f>
        <v>0.75</v>
      </c>
      <c r="AJ84" s="218">
        <f>'Mix éner %'!AJ67</f>
        <v>0</v>
      </c>
      <c r="AK84" s="218">
        <f>'Mix éner %'!AK67</f>
        <v>0</v>
      </c>
      <c r="AL84" s="218">
        <f>'Mix éner %'!AL67</f>
        <v>0</v>
      </c>
      <c r="AM84" s="218">
        <f>'Mix éner %'!AM67</f>
        <v>1</v>
      </c>
    </row>
    <row r="85" spans="3:39" x14ac:dyDescent="0.35">
      <c r="C85" s="189" t="s">
        <v>475</v>
      </c>
      <c r="D85" s="190" t="s">
        <v>498</v>
      </c>
      <c r="E85" s="216">
        <v>0</v>
      </c>
      <c r="F85" s="216">
        <v>0</v>
      </c>
      <c r="G85" s="216">
        <v>0</v>
      </c>
      <c r="H85" s="216">
        <v>0.18437935446393</v>
      </c>
      <c r="I85" s="216">
        <v>0</v>
      </c>
      <c r="J85" s="216">
        <v>0</v>
      </c>
      <c r="K85" s="216">
        <v>0</v>
      </c>
      <c r="L85" s="216">
        <v>0</v>
      </c>
      <c r="M85" s="216">
        <v>0</v>
      </c>
      <c r="N85" s="216">
        <v>0</v>
      </c>
      <c r="O85" s="216">
        <v>0</v>
      </c>
      <c r="P85" s="216">
        <v>0</v>
      </c>
      <c r="Q85" s="216">
        <v>0.81562064553607005</v>
      </c>
      <c r="R85" s="216">
        <v>0</v>
      </c>
      <c r="S85" s="216">
        <v>0</v>
      </c>
      <c r="T85" s="216">
        <f>SUM(E85:S85)</f>
        <v>1</v>
      </c>
      <c r="U85" s="217"/>
      <c r="W85" s="172" t="s">
        <v>473</v>
      </c>
      <c r="X85" s="172" t="s">
        <v>498</v>
      </c>
      <c r="Y85" s="218">
        <f>'Mix éner %'!Y71</f>
        <v>0</v>
      </c>
      <c r="Z85" s="218">
        <f>'Mix éner %'!Z71</f>
        <v>0</v>
      </c>
      <c r="AA85" s="218">
        <f>'Mix éner %'!AA71</f>
        <v>0</v>
      </c>
      <c r="AB85" s="218">
        <f>'Mix éner %'!AB71</f>
        <v>0.08</v>
      </c>
      <c r="AC85" s="218">
        <f>'Mix éner %'!AC71</f>
        <v>0.05</v>
      </c>
      <c r="AD85" s="218">
        <f>'Mix éner %'!AD71</f>
        <v>0</v>
      </c>
      <c r="AE85" s="218">
        <f>'Mix éner %'!AE71</f>
        <v>0</v>
      </c>
      <c r="AF85" s="218">
        <f>'Mix éner %'!AF71</f>
        <v>0</v>
      </c>
      <c r="AG85" s="218">
        <f>'Mix éner %'!AG71</f>
        <v>0</v>
      </c>
      <c r="AH85" s="218">
        <f>'Mix éner %'!AH71</f>
        <v>0</v>
      </c>
      <c r="AI85" s="218">
        <f>'Mix éner %'!AI71</f>
        <v>0.79</v>
      </c>
      <c r="AJ85" s="218">
        <f>'Mix éner %'!AJ71</f>
        <v>0</v>
      </c>
      <c r="AK85" s="218">
        <f>'Mix éner %'!AK71</f>
        <v>0</v>
      </c>
      <c r="AL85" s="218">
        <f>'Mix éner %'!AL71</f>
        <v>0.08</v>
      </c>
      <c r="AM85" s="218">
        <f>'Mix éner %'!AM71</f>
        <v>1</v>
      </c>
    </row>
    <row r="86" spans="3:39" x14ac:dyDescent="0.35">
      <c r="C86" s="189" t="s">
        <v>476</v>
      </c>
      <c r="D86" s="190" t="s">
        <v>498</v>
      </c>
      <c r="E86" s="216">
        <v>0</v>
      </c>
      <c r="F86" s="216">
        <v>0</v>
      </c>
      <c r="G86" s="216">
        <v>0</v>
      </c>
      <c r="H86" s="216">
        <v>0.30017784015294602</v>
      </c>
      <c r="I86" s="216">
        <v>0</v>
      </c>
      <c r="J86" s="216">
        <v>0</v>
      </c>
      <c r="K86" s="216">
        <v>3.0411115934223999E-2</v>
      </c>
      <c r="L86" s="216">
        <v>0</v>
      </c>
      <c r="M86" s="216">
        <v>0</v>
      </c>
      <c r="N86" s="216">
        <v>0</v>
      </c>
      <c r="O86" s="216">
        <v>0</v>
      </c>
      <c r="P86" s="216">
        <v>0</v>
      </c>
      <c r="Q86" s="216">
        <v>0.491288793440946</v>
      </c>
      <c r="R86" s="216">
        <v>0.17812225047188401</v>
      </c>
      <c r="S86" s="216">
        <v>0</v>
      </c>
      <c r="T86" s="216">
        <f>SUM(E86:S86)</f>
        <v>1</v>
      </c>
      <c r="U86" s="217"/>
      <c r="W86" s="432" t="s">
        <v>25</v>
      </c>
      <c r="X86" s="432"/>
      <c r="Y86" s="440"/>
      <c r="Z86" s="440"/>
      <c r="AA86" s="440"/>
      <c r="AB86" s="440"/>
      <c r="AC86" s="440"/>
      <c r="AD86" s="440"/>
      <c r="AE86" s="440"/>
      <c r="AF86" s="440"/>
      <c r="AG86" s="440"/>
      <c r="AH86" s="440"/>
      <c r="AI86" s="440"/>
      <c r="AJ86" s="440"/>
      <c r="AK86" s="440"/>
      <c r="AL86" s="440"/>
      <c r="AM86" s="440"/>
    </row>
    <row r="87" spans="3:39" x14ac:dyDescent="0.35">
      <c r="C87" s="189" t="s">
        <v>479</v>
      </c>
      <c r="D87" s="190" t="s">
        <v>498</v>
      </c>
      <c r="E87" s="216">
        <v>0</v>
      </c>
      <c r="F87" s="216">
        <v>0</v>
      </c>
      <c r="G87" s="216">
        <v>0</v>
      </c>
      <c r="H87" s="216">
        <v>0.2</v>
      </c>
      <c r="I87" s="216">
        <v>0</v>
      </c>
      <c r="J87" s="216">
        <v>0</v>
      </c>
      <c r="K87" s="216">
        <v>0.01</v>
      </c>
      <c r="L87" s="216">
        <v>0</v>
      </c>
      <c r="M87" s="216">
        <v>0</v>
      </c>
      <c r="N87" s="216">
        <v>0</v>
      </c>
      <c r="O87" s="216">
        <v>0</v>
      </c>
      <c r="P87" s="216">
        <v>0</v>
      </c>
      <c r="Q87" s="216">
        <v>0.38453372443584799</v>
      </c>
      <c r="R87" s="216">
        <v>0.40546627556415199</v>
      </c>
      <c r="S87" s="216">
        <v>0</v>
      </c>
      <c r="T87" s="216">
        <f>SUM(E87:S87)</f>
        <v>1</v>
      </c>
      <c r="U87" s="217"/>
      <c r="W87" s="172" t="s">
        <v>475</v>
      </c>
      <c r="X87" s="172" t="s">
        <v>498</v>
      </c>
      <c r="Y87" s="218">
        <f>'Mix éner %'!Y76</f>
        <v>0</v>
      </c>
      <c r="Z87" s="218">
        <f>'Mix éner %'!Z76</f>
        <v>0</v>
      </c>
      <c r="AA87" s="218">
        <f>'Mix éner %'!AA76</f>
        <v>0</v>
      </c>
      <c r="AB87" s="218">
        <f>'Mix éner %'!AB76</f>
        <v>0.25</v>
      </c>
      <c r="AC87" s="218">
        <f>'Mix éner %'!AC76</f>
        <v>0</v>
      </c>
      <c r="AD87" s="218">
        <f>'Mix éner %'!AD76</f>
        <v>0</v>
      </c>
      <c r="AE87" s="218">
        <f>'Mix éner %'!AE76</f>
        <v>0</v>
      </c>
      <c r="AF87" s="218">
        <f>'Mix éner %'!AF76</f>
        <v>0</v>
      </c>
      <c r="AG87" s="218">
        <f>'Mix éner %'!AG76</f>
        <v>0</v>
      </c>
      <c r="AH87" s="218">
        <f>'Mix éner %'!AH76</f>
        <v>0</v>
      </c>
      <c r="AI87" s="218">
        <f>'Mix éner %'!AI76</f>
        <v>0.75</v>
      </c>
      <c r="AJ87" s="218">
        <f>'Mix éner %'!AJ76</f>
        <v>0</v>
      </c>
      <c r="AK87" s="218">
        <f>'Mix éner %'!AK76</f>
        <v>0</v>
      </c>
      <c r="AL87" s="218">
        <f>'Mix éner %'!AL76</f>
        <v>0</v>
      </c>
      <c r="AM87" s="218">
        <f>'Mix éner %'!AM76</f>
        <v>1</v>
      </c>
    </row>
    <row r="88" spans="3:39" x14ac:dyDescent="0.35">
      <c r="C88" s="435" t="s">
        <v>480</v>
      </c>
      <c r="D88" s="435"/>
      <c r="E88" s="220"/>
      <c r="F88" s="220"/>
      <c r="G88" s="220"/>
      <c r="H88" s="220"/>
      <c r="I88" s="220"/>
      <c r="J88" s="220"/>
      <c r="K88" s="220"/>
      <c r="L88" s="220"/>
      <c r="M88" s="220"/>
      <c r="N88" s="220"/>
      <c r="O88" s="220"/>
      <c r="P88" s="220"/>
      <c r="Q88" s="220"/>
      <c r="R88" s="220"/>
      <c r="S88" s="220"/>
      <c r="T88" s="220"/>
      <c r="U88" s="217"/>
      <c r="W88" s="172" t="s">
        <v>476</v>
      </c>
      <c r="X88" s="172" t="s">
        <v>498</v>
      </c>
      <c r="Y88" s="218">
        <f>'Mix éner %'!Y80</f>
        <v>0</v>
      </c>
      <c r="Z88" s="218">
        <f>'Mix éner %'!Z80</f>
        <v>0</v>
      </c>
      <c r="AA88" s="218">
        <f>'Mix éner %'!AA80</f>
        <v>0</v>
      </c>
      <c r="AB88" s="218">
        <f>'Mix éner %'!AB80</f>
        <v>0.41000000000000003</v>
      </c>
      <c r="AC88" s="218">
        <f>'Mix éner %'!AC80</f>
        <v>0.12</v>
      </c>
      <c r="AD88" s="218">
        <f>'Mix éner %'!AD80</f>
        <v>0</v>
      </c>
      <c r="AE88" s="218">
        <f>'Mix éner %'!AE80</f>
        <v>0</v>
      </c>
      <c r="AF88" s="218">
        <f>'Mix éner %'!AF80</f>
        <v>0</v>
      </c>
      <c r="AG88" s="218">
        <f>'Mix éner %'!AG80</f>
        <v>0</v>
      </c>
      <c r="AH88" s="218">
        <f>'Mix éner %'!AH80</f>
        <v>0</v>
      </c>
      <c r="AI88" s="218">
        <f>'Mix éner %'!AI80</f>
        <v>0.32</v>
      </c>
      <c r="AJ88" s="218">
        <f>'Mix éner %'!AJ80</f>
        <v>0</v>
      </c>
      <c r="AK88" s="218">
        <f>'Mix éner %'!AK80</f>
        <v>0.15</v>
      </c>
      <c r="AL88" s="218">
        <f>'Mix éner %'!AL80</f>
        <v>0</v>
      </c>
      <c r="AM88" s="218">
        <f>'Mix éner %'!AM80</f>
        <v>1</v>
      </c>
    </row>
    <row r="89" spans="3:39" x14ac:dyDescent="0.35">
      <c r="C89" s="189" t="s">
        <v>481</v>
      </c>
      <c r="D89" s="190" t="s">
        <v>498</v>
      </c>
      <c r="E89" s="216">
        <v>0</v>
      </c>
      <c r="F89" s="216">
        <v>0</v>
      </c>
      <c r="G89" s="216">
        <v>0</v>
      </c>
      <c r="H89" s="216">
        <v>0.02</v>
      </c>
      <c r="I89" s="216">
        <v>0</v>
      </c>
      <c r="J89" s="216">
        <v>0</v>
      </c>
      <c r="K89" s="216">
        <v>0.77376433898308705</v>
      </c>
      <c r="L89" s="216">
        <v>0</v>
      </c>
      <c r="M89" s="216">
        <v>0</v>
      </c>
      <c r="N89" s="216">
        <v>0</v>
      </c>
      <c r="O89" s="216">
        <v>0</v>
      </c>
      <c r="P89" s="216">
        <v>0</v>
      </c>
      <c r="Q89" s="216">
        <v>0.2</v>
      </c>
      <c r="R89" s="216">
        <v>6.2356610169135799E-3</v>
      </c>
      <c r="S89" s="216">
        <v>0</v>
      </c>
      <c r="T89" s="216">
        <f>SUM(E89:S89)</f>
        <v>1.0000000000000007</v>
      </c>
      <c r="U89" s="217"/>
      <c r="W89" s="172" t="s">
        <v>479</v>
      </c>
      <c r="X89" s="172" t="s">
        <v>498</v>
      </c>
      <c r="Y89" s="218">
        <f>'Mix éner %'!Y84</f>
        <v>0</v>
      </c>
      <c r="Z89" s="218">
        <f>'Mix éner %'!Z84</f>
        <v>0</v>
      </c>
      <c r="AA89" s="218">
        <f>'Mix éner %'!AA84</f>
        <v>0</v>
      </c>
      <c r="AB89" s="218">
        <f>'Mix éner %'!AB84</f>
        <v>0.02</v>
      </c>
      <c r="AC89" s="218">
        <f>'Mix éner %'!AC84</f>
        <v>0.05</v>
      </c>
      <c r="AD89" s="218">
        <f>'Mix éner %'!AD84</f>
        <v>0</v>
      </c>
      <c r="AE89" s="218">
        <f>'Mix éner %'!AE84</f>
        <v>0</v>
      </c>
      <c r="AF89" s="218">
        <f>'Mix éner %'!AF84</f>
        <v>0</v>
      </c>
      <c r="AG89" s="218">
        <f>'Mix éner %'!AG84</f>
        <v>0.1</v>
      </c>
      <c r="AH89" s="218">
        <f>'Mix éner %'!AH84</f>
        <v>0.01</v>
      </c>
      <c r="AI89" s="218">
        <f>'Mix éner %'!AI84</f>
        <v>0.52</v>
      </c>
      <c r="AJ89" s="218">
        <f>'Mix éner %'!AJ84</f>
        <v>0.05</v>
      </c>
      <c r="AK89" s="218">
        <f>'Mix éner %'!AK84</f>
        <v>0.25</v>
      </c>
      <c r="AL89" s="218">
        <f>'Mix éner %'!AL84</f>
        <v>0</v>
      </c>
      <c r="AM89" s="218">
        <f>'Mix éner %'!AM84</f>
        <v>1</v>
      </c>
    </row>
    <row r="90" spans="3:39" x14ac:dyDescent="0.35">
      <c r="C90" s="189" t="s">
        <v>482</v>
      </c>
      <c r="D90" s="190" t="s">
        <v>498</v>
      </c>
      <c r="E90" s="216">
        <v>0</v>
      </c>
      <c r="F90" s="216">
        <v>0</v>
      </c>
      <c r="G90" s="216">
        <v>0</v>
      </c>
      <c r="H90" s="216">
        <v>0.15407598863227701</v>
      </c>
      <c r="I90" s="216">
        <v>0</v>
      </c>
      <c r="J90" s="216">
        <v>0</v>
      </c>
      <c r="K90" s="216">
        <v>0</v>
      </c>
      <c r="L90" s="216">
        <v>0</v>
      </c>
      <c r="M90" s="216">
        <v>0</v>
      </c>
      <c r="N90" s="216">
        <v>0</v>
      </c>
      <c r="O90" s="216">
        <v>0</v>
      </c>
      <c r="P90" s="216">
        <v>0</v>
      </c>
      <c r="Q90" s="216">
        <v>0.84592401136772299</v>
      </c>
      <c r="R90" s="216">
        <v>0</v>
      </c>
      <c r="S90" s="216">
        <v>0</v>
      </c>
      <c r="T90" s="216">
        <f>SUM(E90:S90)</f>
        <v>1</v>
      </c>
      <c r="U90" s="217"/>
      <c r="W90" s="432" t="s">
        <v>480</v>
      </c>
      <c r="X90" s="432"/>
      <c r="Y90" s="440"/>
      <c r="Z90" s="440"/>
      <c r="AA90" s="440"/>
      <c r="AB90" s="440"/>
      <c r="AC90" s="440"/>
      <c r="AD90" s="440"/>
      <c r="AE90" s="440"/>
      <c r="AF90" s="440"/>
      <c r="AG90" s="440"/>
      <c r="AH90" s="440"/>
      <c r="AI90" s="440"/>
      <c r="AJ90" s="440"/>
      <c r="AK90" s="440"/>
      <c r="AL90" s="440"/>
      <c r="AM90" s="440"/>
    </row>
    <row r="91" spans="3:39" x14ac:dyDescent="0.35">
      <c r="C91" s="189" t="s">
        <v>483</v>
      </c>
      <c r="D91" s="190" t="s">
        <v>498</v>
      </c>
      <c r="E91" s="219">
        <v>0</v>
      </c>
      <c r="F91" s="219">
        <v>0</v>
      </c>
      <c r="G91" s="216">
        <v>0</v>
      </c>
      <c r="H91" s="216">
        <v>0.42</v>
      </c>
      <c r="I91" s="219">
        <v>0</v>
      </c>
      <c r="J91" s="219">
        <v>0</v>
      </c>
      <c r="K91" s="216">
        <v>1.9519577919500101E-2</v>
      </c>
      <c r="L91" s="219">
        <v>0</v>
      </c>
      <c r="M91" s="219">
        <v>0</v>
      </c>
      <c r="N91" s="219">
        <v>0</v>
      </c>
      <c r="O91" s="219">
        <v>0</v>
      </c>
      <c r="P91" s="219">
        <v>0</v>
      </c>
      <c r="Q91" s="216">
        <v>0.56048042208049997</v>
      </c>
      <c r="R91" s="219">
        <v>0</v>
      </c>
      <c r="S91" s="219">
        <v>0</v>
      </c>
      <c r="T91" s="216">
        <f>SUM(E91:S91)</f>
        <v>1</v>
      </c>
      <c r="U91" s="217"/>
      <c r="W91" s="172" t="s">
        <v>481</v>
      </c>
      <c r="X91" s="172" t="s">
        <v>498</v>
      </c>
      <c r="Y91" s="218">
        <f>'Mix éner %'!Y89</f>
        <v>0</v>
      </c>
      <c r="Z91" s="218">
        <f>'Mix éner %'!Z89</f>
        <v>0</v>
      </c>
      <c r="AA91" s="218">
        <f>'Mix éner %'!AA89</f>
        <v>7.0000000000000007E-2</v>
      </c>
      <c r="AB91" s="218">
        <f>'Mix éner %'!AB89</f>
        <v>0.01</v>
      </c>
      <c r="AC91" s="218">
        <f>'Mix éner %'!AC89</f>
        <v>0.36</v>
      </c>
      <c r="AD91" s="218">
        <f>'Mix éner %'!AD89</f>
        <v>0.36</v>
      </c>
      <c r="AE91" s="218">
        <f>'Mix éner %'!AE89</f>
        <v>0</v>
      </c>
      <c r="AF91" s="218">
        <f>'Mix éner %'!AF89</f>
        <v>0</v>
      </c>
      <c r="AG91" s="218">
        <f>'Mix éner %'!AG89</f>
        <v>0</v>
      </c>
      <c r="AH91" s="218">
        <f>'Mix éner %'!AH89</f>
        <v>0</v>
      </c>
      <c r="AI91" s="218">
        <f>'Mix éner %'!AI89</f>
        <v>0.18</v>
      </c>
      <c r="AJ91" s="218">
        <f>'Mix éner %'!AJ89</f>
        <v>0</v>
      </c>
      <c r="AK91" s="218">
        <f>'Mix éner %'!AK89</f>
        <v>0.02</v>
      </c>
      <c r="AL91" s="218">
        <f>'Mix éner %'!AL89</f>
        <v>0</v>
      </c>
      <c r="AM91" s="218">
        <f>'Mix éner %'!AM89</f>
        <v>1</v>
      </c>
    </row>
    <row r="92" spans="3:39" x14ac:dyDescent="0.35">
      <c r="C92" s="435" t="s">
        <v>484</v>
      </c>
      <c r="D92" s="435"/>
      <c r="E92" s="220"/>
      <c r="F92" s="220"/>
      <c r="G92" s="220"/>
      <c r="H92" s="220"/>
      <c r="I92" s="220"/>
      <c r="J92" s="220"/>
      <c r="K92" s="220"/>
      <c r="L92" s="220"/>
      <c r="M92" s="220"/>
      <c r="N92" s="220"/>
      <c r="O92" s="220"/>
      <c r="P92" s="220"/>
      <c r="Q92" s="220"/>
      <c r="R92" s="220"/>
      <c r="S92" s="220"/>
      <c r="T92" s="220"/>
      <c r="U92" s="217"/>
      <c r="W92" s="172" t="s">
        <v>482</v>
      </c>
      <c r="X92" s="172" t="s">
        <v>498</v>
      </c>
      <c r="Y92" s="218">
        <f>'Mix éner %'!Y93</f>
        <v>0</v>
      </c>
      <c r="Z92" s="218">
        <f>'Mix éner %'!Z93</f>
        <v>0</v>
      </c>
      <c r="AA92" s="218">
        <f>'Mix éner %'!AA93</f>
        <v>0</v>
      </c>
      <c r="AB92" s="218">
        <f>'Mix éner %'!AB93</f>
        <v>0.15407598863227701</v>
      </c>
      <c r="AC92" s="218">
        <f>'Mix éner %'!AC93</f>
        <v>0</v>
      </c>
      <c r="AD92" s="218">
        <f>'Mix éner %'!AD93</f>
        <v>0</v>
      </c>
      <c r="AE92" s="218">
        <f>'Mix éner %'!AE93</f>
        <v>0</v>
      </c>
      <c r="AF92" s="218">
        <f>'Mix éner %'!AF93</f>
        <v>0</v>
      </c>
      <c r="AG92" s="218">
        <f>'Mix éner %'!AG93</f>
        <v>0</v>
      </c>
      <c r="AH92" s="218">
        <f>'Mix éner %'!AH93</f>
        <v>0</v>
      </c>
      <c r="AI92" s="218">
        <f>'Mix éner %'!AI93</f>
        <v>0.84592401136772299</v>
      </c>
      <c r="AJ92" s="218">
        <f>'Mix éner %'!AJ93</f>
        <v>0</v>
      </c>
      <c r="AK92" s="218">
        <f>'Mix éner %'!AK93</f>
        <v>0</v>
      </c>
      <c r="AL92" s="218">
        <f>'Mix éner %'!AL93</f>
        <v>0</v>
      </c>
      <c r="AM92" s="218">
        <f>'Mix éner %'!AM93</f>
        <v>1</v>
      </c>
    </row>
    <row r="93" spans="3:39" x14ac:dyDescent="0.35">
      <c r="C93" s="189" t="s">
        <v>485</v>
      </c>
      <c r="D93" s="190" t="s">
        <v>498</v>
      </c>
      <c r="E93" s="216">
        <v>0</v>
      </c>
      <c r="F93" s="216">
        <v>0</v>
      </c>
      <c r="G93" s="216">
        <v>0</v>
      </c>
      <c r="H93" s="216">
        <v>0.18338693975415299</v>
      </c>
      <c r="I93" s="216">
        <v>0</v>
      </c>
      <c r="J93" s="216">
        <v>0</v>
      </c>
      <c r="K93" s="216">
        <v>6.3286288026882603E-2</v>
      </c>
      <c r="L93" s="219">
        <v>0</v>
      </c>
      <c r="M93" s="219">
        <v>0</v>
      </c>
      <c r="N93" s="219">
        <v>0</v>
      </c>
      <c r="O93" s="219">
        <v>0</v>
      </c>
      <c r="P93" s="219">
        <v>0</v>
      </c>
      <c r="Q93" s="216">
        <v>0.75332677221896405</v>
      </c>
      <c r="R93" s="216">
        <v>0</v>
      </c>
      <c r="S93" s="216">
        <v>0</v>
      </c>
      <c r="T93" s="216">
        <f>SUM(E93:S93)</f>
        <v>0.99999999999999967</v>
      </c>
      <c r="U93" s="217"/>
      <c r="W93" s="172" t="s">
        <v>483</v>
      </c>
      <c r="X93" s="172" t="s">
        <v>498</v>
      </c>
      <c r="Y93" s="218">
        <f>'Mix éner %'!Y97</f>
        <v>0</v>
      </c>
      <c r="Z93" s="218">
        <f>'Mix éner %'!Z97</f>
        <v>0</v>
      </c>
      <c r="AA93" s="218">
        <f>'Mix éner %'!AA97</f>
        <v>0</v>
      </c>
      <c r="AB93" s="218">
        <f>'Mix éner %'!AB97</f>
        <v>0.38951957791949998</v>
      </c>
      <c r="AC93" s="218">
        <f>'Mix éner %'!AC97</f>
        <v>0.05</v>
      </c>
      <c r="AD93" s="218">
        <f>'Mix éner %'!AD97</f>
        <v>0</v>
      </c>
      <c r="AE93" s="218">
        <f>'Mix éner %'!AE97</f>
        <v>0</v>
      </c>
      <c r="AF93" s="218">
        <f>'Mix éner %'!AF97</f>
        <v>0</v>
      </c>
      <c r="AG93" s="218">
        <f>'Mix éner %'!AG97</f>
        <v>0</v>
      </c>
      <c r="AH93" s="218">
        <f>'Mix éner %'!AH97</f>
        <v>0</v>
      </c>
      <c r="AI93" s="218">
        <f>'Mix éner %'!AI97</f>
        <v>0.56048042208049997</v>
      </c>
      <c r="AJ93" s="218">
        <f>'Mix éner %'!AJ97</f>
        <v>0</v>
      </c>
      <c r="AK93" s="218">
        <f>'Mix éner %'!AK97</f>
        <v>0</v>
      </c>
      <c r="AL93" s="218">
        <f>'Mix éner %'!AL97</f>
        <v>0</v>
      </c>
      <c r="AM93" s="218">
        <f>'Mix éner %'!AM97</f>
        <v>1</v>
      </c>
    </row>
    <row r="94" spans="3:39" x14ac:dyDescent="0.35">
      <c r="C94" s="189" t="s">
        <v>486</v>
      </c>
      <c r="D94" s="190" t="s">
        <v>498</v>
      </c>
      <c r="E94" s="219">
        <v>0</v>
      </c>
      <c r="F94" s="219">
        <v>0</v>
      </c>
      <c r="G94" s="219">
        <v>0</v>
      </c>
      <c r="H94" s="216">
        <v>0.244406489242222</v>
      </c>
      <c r="I94" s="219">
        <v>0</v>
      </c>
      <c r="J94" s="219">
        <v>0</v>
      </c>
      <c r="K94" s="216">
        <v>7.3557005701464298E-2</v>
      </c>
      <c r="L94" s="219">
        <v>0</v>
      </c>
      <c r="M94" s="219">
        <v>0</v>
      </c>
      <c r="N94" s="219">
        <v>0</v>
      </c>
      <c r="O94" s="219">
        <v>0</v>
      </c>
      <c r="P94" s="219">
        <v>0</v>
      </c>
      <c r="Q94" s="216">
        <v>0.60232587444257901</v>
      </c>
      <c r="R94" s="216">
        <v>7.9710630613734401E-2</v>
      </c>
      <c r="S94" s="219">
        <v>0</v>
      </c>
      <c r="T94" s="216">
        <f>SUM(E94:S94)</f>
        <v>0.99999999999999967</v>
      </c>
      <c r="U94" s="217"/>
      <c r="W94" s="432" t="s">
        <v>484</v>
      </c>
      <c r="X94" s="432"/>
      <c r="Y94" s="440"/>
      <c r="Z94" s="440"/>
      <c r="AA94" s="440"/>
      <c r="AB94" s="440"/>
      <c r="AC94" s="440"/>
      <c r="AD94" s="440"/>
      <c r="AE94" s="440"/>
      <c r="AF94" s="440"/>
      <c r="AG94" s="440"/>
      <c r="AH94" s="440"/>
      <c r="AI94" s="440"/>
      <c r="AJ94" s="440"/>
      <c r="AK94" s="440"/>
      <c r="AL94" s="440"/>
      <c r="AM94" s="440"/>
    </row>
    <row r="95" spans="3:39" x14ac:dyDescent="0.35">
      <c r="C95" s="435" t="s">
        <v>487</v>
      </c>
      <c r="D95" s="435"/>
      <c r="E95" s="216">
        <v>0</v>
      </c>
      <c r="F95" s="216">
        <v>0</v>
      </c>
      <c r="G95" s="216">
        <v>0</v>
      </c>
      <c r="H95" s="216">
        <v>0.20003824417180099</v>
      </c>
      <c r="I95" s="216">
        <v>0</v>
      </c>
      <c r="J95" s="216">
        <v>0</v>
      </c>
      <c r="K95" s="216">
        <v>0</v>
      </c>
      <c r="L95" s="216">
        <v>0</v>
      </c>
      <c r="M95" s="216">
        <v>0</v>
      </c>
      <c r="N95" s="216">
        <v>0</v>
      </c>
      <c r="O95" s="216">
        <v>0</v>
      </c>
      <c r="P95" s="216">
        <v>0</v>
      </c>
      <c r="Q95" s="216">
        <v>0.79581058384167702</v>
      </c>
      <c r="R95" s="216">
        <v>0</v>
      </c>
      <c r="S95" s="216">
        <v>0</v>
      </c>
      <c r="T95" s="216">
        <f>SUM(E95:S95)</f>
        <v>0.99584882801347807</v>
      </c>
      <c r="U95" s="217"/>
      <c r="W95" s="172" t="s">
        <v>485</v>
      </c>
      <c r="X95" s="172" t="s">
        <v>498</v>
      </c>
      <c r="Y95" s="218">
        <f>'Mix éner %'!Y102</f>
        <v>0</v>
      </c>
      <c r="Z95" s="218">
        <f>'Mix éner %'!Z102</f>
        <v>0</v>
      </c>
      <c r="AA95" s="218">
        <f>'Mix éner %'!AA102</f>
        <v>0</v>
      </c>
      <c r="AB95" s="218">
        <f>'Mix éner %'!AB102</f>
        <v>0.18338693975415299</v>
      </c>
      <c r="AC95" s="218">
        <f>'Mix éner %'!AC102</f>
        <v>6.3286288026882603E-2</v>
      </c>
      <c r="AD95" s="218">
        <f>'Mix éner %'!AD102</f>
        <v>0</v>
      </c>
      <c r="AE95" s="218">
        <f>'Mix éner %'!AE102</f>
        <v>0</v>
      </c>
      <c r="AF95" s="218">
        <f>'Mix éner %'!AF102</f>
        <v>0</v>
      </c>
      <c r="AG95" s="218">
        <f>'Mix éner %'!AG102</f>
        <v>0</v>
      </c>
      <c r="AH95" s="218">
        <f>'Mix éner %'!AH102</f>
        <v>0</v>
      </c>
      <c r="AI95" s="218">
        <f>'Mix éner %'!AI102</f>
        <v>0.75332677221896405</v>
      </c>
      <c r="AJ95" s="218">
        <f>'Mix éner %'!AJ102</f>
        <v>0</v>
      </c>
      <c r="AK95" s="218">
        <f>'Mix éner %'!AK102</f>
        <v>0</v>
      </c>
      <c r="AL95" s="218">
        <f>'Mix éner %'!AL102</f>
        <v>0</v>
      </c>
      <c r="AM95" s="218">
        <f>'Mix éner %'!AM102</f>
        <v>0.99999999999999967</v>
      </c>
    </row>
    <row r="96" spans="3:39" x14ac:dyDescent="0.35">
      <c r="C96" s="441" t="s">
        <v>31</v>
      </c>
      <c r="D96" s="441"/>
      <c r="E96" s="216">
        <v>0</v>
      </c>
      <c r="F96" s="216">
        <v>0</v>
      </c>
      <c r="G96" s="216">
        <v>0.53376104990830098</v>
      </c>
      <c r="H96" s="216">
        <v>0.11</v>
      </c>
      <c r="I96" s="216">
        <v>0</v>
      </c>
      <c r="J96" s="216">
        <v>0</v>
      </c>
      <c r="K96" s="216">
        <v>3.74265186152841E-2</v>
      </c>
      <c r="L96" s="216">
        <v>8.6676572560673598E-2</v>
      </c>
      <c r="M96" s="216">
        <v>0</v>
      </c>
      <c r="N96" s="216">
        <v>0</v>
      </c>
      <c r="O96" s="216">
        <v>0</v>
      </c>
      <c r="P96" s="216">
        <v>0</v>
      </c>
      <c r="Q96" s="216">
        <v>0.23213585891574101</v>
      </c>
      <c r="R96" s="216">
        <v>0</v>
      </c>
      <c r="S96" s="216">
        <v>0</v>
      </c>
      <c r="T96" s="216">
        <f>SUM(E96:S96)</f>
        <v>0.99999999999999978</v>
      </c>
      <c r="U96" s="217"/>
      <c r="W96" s="172" t="s">
        <v>486</v>
      </c>
      <c r="X96" s="172" t="s">
        <v>498</v>
      </c>
      <c r="Y96" s="218">
        <f>'Mix éner %'!Y106</f>
        <v>0</v>
      </c>
      <c r="Z96" s="218">
        <f>'Mix éner %'!Z106</f>
        <v>0</v>
      </c>
      <c r="AA96" s="218">
        <f>'Mix éner %'!AA106</f>
        <v>0</v>
      </c>
      <c r="AB96" s="218">
        <f>'Mix éner %'!AB106</f>
        <v>8.1732363684801301E-2</v>
      </c>
      <c r="AC96" s="218">
        <f>'Mix éner %'!AC106</f>
        <v>7.3557005701464298E-2</v>
      </c>
      <c r="AD96" s="218">
        <f>'Mix éner %'!AD106</f>
        <v>0</v>
      </c>
      <c r="AE96" s="218">
        <f>'Mix éner %'!AE106</f>
        <v>0</v>
      </c>
      <c r="AF96" s="218">
        <f>'Mix éner %'!AF106</f>
        <v>0</v>
      </c>
      <c r="AG96" s="218">
        <f>'Mix éner %'!AG106</f>
        <v>0.17</v>
      </c>
      <c r="AH96" s="218">
        <f>'Mix éner %'!AH106</f>
        <v>0</v>
      </c>
      <c r="AI96" s="218">
        <f>'Mix éner %'!AI106</f>
        <v>0.51</v>
      </c>
      <c r="AJ96" s="218">
        <f>'Mix éner %'!AJ106</f>
        <v>8.5000000000000006E-2</v>
      </c>
      <c r="AK96" s="218">
        <f>'Mix éner %'!AK106</f>
        <v>7.9710630613734401E-2</v>
      </c>
      <c r="AL96" s="218">
        <f>'Mix éner %'!AL106</f>
        <v>0</v>
      </c>
      <c r="AM96" s="218">
        <f>'Mix éner %'!AM106</f>
        <v>1</v>
      </c>
    </row>
    <row r="97" spans="3:40" x14ac:dyDescent="0.35">
      <c r="C97" s="435" t="s">
        <v>488</v>
      </c>
      <c r="D97" s="435"/>
      <c r="E97" s="220"/>
      <c r="F97" s="220"/>
      <c r="G97" s="220"/>
      <c r="H97" s="220"/>
      <c r="I97" s="220"/>
      <c r="J97" s="220"/>
      <c r="K97" s="220"/>
      <c r="L97" s="220"/>
      <c r="M97" s="220"/>
      <c r="N97" s="220"/>
      <c r="O97" s="220"/>
      <c r="P97" s="220"/>
      <c r="Q97" s="220"/>
      <c r="R97" s="220"/>
      <c r="S97" s="220"/>
      <c r="T97" s="220"/>
      <c r="U97" s="217"/>
      <c r="W97" s="432" t="s">
        <v>487</v>
      </c>
      <c r="X97" s="432"/>
      <c r="Y97" s="221">
        <f>'Mix éner %'!Y110</f>
        <v>0</v>
      </c>
      <c r="Z97" s="221">
        <f>'Mix éner %'!Z110</f>
        <v>0</v>
      </c>
      <c r="AA97" s="221">
        <f>'Mix éner %'!AA110</f>
        <v>0</v>
      </c>
      <c r="AB97" s="221">
        <f>'Mix éner %'!AB110</f>
        <v>0.13918941615832292</v>
      </c>
      <c r="AC97" s="221">
        <f>'Mix éner %'!AC110</f>
        <v>0</v>
      </c>
      <c r="AD97" s="221">
        <f>'Mix éner %'!AD110</f>
        <v>0</v>
      </c>
      <c r="AE97" s="221">
        <f>'Mix éner %'!AE110</f>
        <v>0</v>
      </c>
      <c r="AF97" s="221">
        <f>'Mix éner %'!AF110</f>
        <v>0</v>
      </c>
      <c r="AG97" s="221">
        <f>'Mix éner %'!AG110</f>
        <v>0.09</v>
      </c>
      <c r="AH97" s="221">
        <f>'Mix éner %'!AH110</f>
        <v>0</v>
      </c>
      <c r="AI97" s="221">
        <f>'Mix éner %'!AI110</f>
        <v>0.70581058384167705</v>
      </c>
      <c r="AJ97" s="221">
        <f>'Mix éner %'!AJ110</f>
        <v>4.4999999999999998E-2</v>
      </c>
      <c r="AK97" s="221">
        <f>'Mix éner %'!AK110</f>
        <v>0.02</v>
      </c>
      <c r="AL97" s="221">
        <f>'Mix éner %'!AL110</f>
        <v>0</v>
      </c>
      <c r="AM97" s="221">
        <f>'Mix éner %'!AM110</f>
        <v>1</v>
      </c>
    </row>
    <row r="98" spans="3:40" x14ac:dyDescent="0.35">
      <c r="C98" s="189" t="s">
        <v>489</v>
      </c>
      <c r="D98" s="190" t="s">
        <v>498</v>
      </c>
      <c r="E98" s="216">
        <v>0</v>
      </c>
      <c r="F98" s="216">
        <v>0</v>
      </c>
      <c r="G98" s="216">
        <v>0</v>
      </c>
      <c r="H98" s="216">
        <v>0.175292644587171</v>
      </c>
      <c r="I98" s="216">
        <v>0</v>
      </c>
      <c r="J98" s="216">
        <v>0</v>
      </c>
      <c r="K98" s="216">
        <v>0.18850442553567701</v>
      </c>
      <c r="L98" s="216">
        <v>0</v>
      </c>
      <c r="M98" s="216">
        <v>0</v>
      </c>
      <c r="N98" s="216">
        <v>0</v>
      </c>
      <c r="O98" s="216">
        <v>0</v>
      </c>
      <c r="P98" s="216">
        <v>0</v>
      </c>
      <c r="Q98" s="216">
        <v>0.48620292987715202</v>
      </c>
      <c r="R98" s="216">
        <v>0.15</v>
      </c>
      <c r="S98" s="216">
        <v>0</v>
      </c>
      <c r="T98" s="216">
        <f>SUM(E98:S98)</f>
        <v>1</v>
      </c>
      <c r="U98" s="217"/>
      <c r="W98" s="432" t="s">
        <v>31</v>
      </c>
      <c r="X98" s="432"/>
      <c r="Y98" s="221">
        <f>'Mix éner %'!Y114</f>
        <v>0</v>
      </c>
      <c r="Z98" s="221">
        <f>'Mix éner %'!Z114</f>
        <v>0</v>
      </c>
      <c r="AA98" s="221">
        <f>'Mix éner %'!AA114</f>
        <v>0.1</v>
      </c>
      <c r="AB98" s="221">
        <f>'Mix éner %'!AB114</f>
        <v>0.11</v>
      </c>
      <c r="AC98" s="221">
        <f>'Mix éner %'!AC114</f>
        <v>3.74265186152841E-2</v>
      </c>
      <c r="AD98" s="221">
        <f>'Mix éner %'!AD114</f>
        <v>8.6676572560673598E-2</v>
      </c>
      <c r="AE98" s="221">
        <f>'Mix éner %'!AE114</f>
        <v>0</v>
      </c>
      <c r="AF98" s="221">
        <f>'Mix éner %'!AF114</f>
        <v>0</v>
      </c>
      <c r="AG98" s="221">
        <f>'Mix éner %'!AG114</f>
        <v>0</v>
      </c>
      <c r="AH98" s="221">
        <f>'Mix éner %'!AH114</f>
        <v>0</v>
      </c>
      <c r="AI98" s="221">
        <f>'Mix éner %'!AI114</f>
        <v>0.59599999999999997</v>
      </c>
      <c r="AJ98" s="221">
        <f>'Mix éner %'!AJ114</f>
        <v>0</v>
      </c>
      <c r="AK98" s="221">
        <f>'Mix éner %'!AK114</f>
        <v>0</v>
      </c>
      <c r="AL98" s="221">
        <f>'Mix éner %'!AL114</f>
        <v>7.0000000000000007E-2</v>
      </c>
      <c r="AM98" s="221">
        <f>'Mix éner %'!AM114</f>
        <v>1.0001030911759576</v>
      </c>
    </row>
    <row r="99" spans="3:40" x14ac:dyDescent="0.35">
      <c r="C99" s="189" t="s">
        <v>490</v>
      </c>
      <c r="D99" s="190" t="s">
        <v>498</v>
      </c>
      <c r="E99" s="216">
        <v>0</v>
      </c>
      <c r="F99" s="216">
        <v>0</v>
      </c>
      <c r="G99" s="216">
        <v>0</v>
      </c>
      <c r="H99" s="216">
        <v>0.28459406562273099</v>
      </c>
      <c r="I99" s="216">
        <v>0</v>
      </c>
      <c r="J99" s="216">
        <v>0</v>
      </c>
      <c r="K99" s="216">
        <v>0.02</v>
      </c>
      <c r="L99" s="216">
        <v>0</v>
      </c>
      <c r="M99" s="216">
        <v>0</v>
      </c>
      <c r="N99" s="216">
        <v>0</v>
      </c>
      <c r="O99" s="216">
        <v>0</v>
      </c>
      <c r="P99" s="216">
        <v>0</v>
      </c>
      <c r="Q99" s="216">
        <v>0.66925741556336904</v>
      </c>
      <c r="R99" s="216">
        <v>2.6148518813899999E-2</v>
      </c>
      <c r="S99" s="216">
        <v>0</v>
      </c>
      <c r="T99" s="216">
        <f>SUM(E99:S99)</f>
        <v>1</v>
      </c>
      <c r="U99" s="217"/>
      <c r="W99" s="432" t="s">
        <v>488</v>
      </c>
      <c r="X99" s="432"/>
      <c r="Y99" s="440"/>
      <c r="Z99" s="440"/>
      <c r="AA99" s="440"/>
      <c r="AB99" s="440"/>
      <c r="AC99" s="440"/>
      <c r="AD99" s="440"/>
      <c r="AE99" s="440"/>
      <c r="AF99" s="440"/>
      <c r="AG99" s="440"/>
      <c r="AH99" s="440"/>
      <c r="AI99" s="440"/>
      <c r="AJ99" s="440"/>
      <c r="AK99" s="440"/>
      <c r="AL99" s="440"/>
      <c r="AM99" s="440"/>
    </row>
    <row r="100" spans="3:40" x14ac:dyDescent="0.35">
      <c r="W100" s="172" t="s">
        <v>489</v>
      </c>
      <c r="X100" s="172" t="s">
        <v>498</v>
      </c>
      <c r="Y100" s="218">
        <f>'Mix éner %'!Y119</f>
        <v>0</v>
      </c>
      <c r="Z100" s="218">
        <f>'Mix éner %'!Z119</f>
        <v>0</v>
      </c>
      <c r="AA100" s="218">
        <f>'Mix éner %'!AA119</f>
        <v>0</v>
      </c>
      <c r="AB100" s="218">
        <f>'Mix éner %'!AB119</f>
        <v>4.0000000000000036E-2</v>
      </c>
      <c r="AC100" s="218">
        <f>'Mix éner %'!AC119</f>
        <v>0.24</v>
      </c>
      <c r="AD100" s="218">
        <f>'Mix éner %'!AD119</f>
        <v>0</v>
      </c>
      <c r="AE100" s="218">
        <f>'Mix éner %'!AE119</f>
        <v>0</v>
      </c>
      <c r="AF100" s="218">
        <f>'Mix éner %'!AF119</f>
        <v>0</v>
      </c>
      <c r="AG100" s="218">
        <f>'Mix éner %'!AG119</f>
        <v>0.18</v>
      </c>
      <c r="AH100" s="218">
        <f>'Mix éner %'!AH119</f>
        <v>0</v>
      </c>
      <c r="AI100" s="218">
        <f>'Mix éner %'!AI119</f>
        <v>0.25</v>
      </c>
      <c r="AJ100" s="218">
        <f>'Mix éner %'!AJ119</f>
        <v>0.09</v>
      </c>
      <c r="AK100" s="218">
        <f>'Mix éner %'!AK119</f>
        <v>0.2</v>
      </c>
      <c r="AL100" s="218">
        <f>'Mix éner %'!AL119</f>
        <v>0</v>
      </c>
      <c r="AM100" s="218">
        <f>'Mix éner %'!AM119</f>
        <v>1</v>
      </c>
    </row>
    <row r="101" spans="3:40" x14ac:dyDescent="0.35">
      <c r="W101" s="172" t="s">
        <v>490</v>
      </c>
      <c r="X101" s="172" t="s">
        <v>498</v>
      </c>
      <c r="Y101" s="218">
        <f>'Mix éner %'!Y123</f>
        <v>0</v>
      </c>
      <c r="Z101" s="218">
        <f>'Mix éner %'!Z123</f>
        <v>0</v>
      </c>
      <c r="AA101" s="218">
        <f>'Mix éner %'!AA123</f>
        <v>0</v>
      </c>
      <c r="AB101" s="218">
        <f>'Mix éner %'!AB123</f>
        <v>8.3851481186099974E-2</v>
      </c>
      <c r="AC101" s="218">
        <f>'Mix éner %'!AC123</f>
        <v>0.02</v>
      </c>
      <c r="AD101" s="218">
        <f>'Mix éner %'!AD123</f>
        <v>0</v>
      </c>
      <c r="AE101" s="218">
        <f>'Mix éner %'!AE123</f>
        <v>0</v>
      </c>
      <c r="AF101" s="218">
        <f>'Mix éner %'!AF123</f>
        <v>0</v>
      </c>
      <c r="AG101" s="218">
        <f>'Mix éner %'!AG123</f>
        <v>0.22</v>
      </c>
      <c r="AH101" s="218">
        <f>'Mix éner %'!AH123</f>
        <v>0</v>
      </c>
      <c r="AI101" s="218">
        <f>'Mix éner %'!AI123</f>
        <v>0.54</v>
      </c>
      <c r="AJ101" s="218">
        <f>'Mix éner %'!AJ123</f>
        <v>0.11</v>
      </c>
      <c r="AK101" s="218">
        <f>'Mix éner %'!AK123</f>
        <v>2.6148518813899999E-2</v>
      </c>
      <c r="AL101" s="218">
        <f>'Mix éner %'!AL123</f>
        <v>0</v>
      </c>
      <c r="AM101" s="218">
        <f>'Mix éner %'!AM123</f>
        <v>1</v>
      </c>
    </row>
    <row r="108" spans="3:40" x14ac:dyDescent="0.35">
      <c r="C108" s="427" t="s">
        <v>3</v>
      </c>
      <c r="D108" s="427"/>
      <c r="E108" s="427"/>
      <c r="F108" s="427"/>
      <c r="G108" s="427"/>
      <c r="H108" s="427"/>
      <c r="I108" s="427"/>
      <c r="J108" s="427"/>
      <c r="K108" s="427"/>
      <c r="L108" s="427"/>
      <c r="M108" s="427"/>
      <c r="N108" s="427"/>
      <c r="O108" s="427"/>
      <c r="P108" s="427"/>
      <c r="Q108" s="427"/>
      <c r="R108" s="427"/>
      <c r="S108" s="427"/>
      <c r="T108" s="427"/>
      <c r="U108" s="427"/>
      <c r="V108" s="427"/>
      <c r="W108" s="427"/>
      <c r="X108" s="427"/>
      <c r="Y108" s="427"/>
      <c r="Z108" s="427"/>
      <c r="AA108" s="427"/>
      <c r="AB108" s="427"/>
      <c r="AC108" s="427"/>
      <c r="AD108" s="427"/>
      <c r="AE108" s="427"/>
      <c r="AF108" s="427"/>
      <c r="AG108" s="427"/>
      <c r="AH108" s="427"/>
      <c r="AI108" s="427"/>
      <c r="AJ108" s="427"/>
      <c r="AK108" s="427"/>
      <c r="AL108" s="427"/>
      <c r="AM108" s="427"/>
      <c r="AN108" s="427"/>
    </row>
    <row r="110" spans="3:40" x14ac:dyDescent="0.35">
      <c r="C110" s="165" t="s">
        <v>436</v>
      </c>
      <c r="V110" s="165" t="s">
        <v>437</v>
      </c>
      <c r="W110" s="165"/>
      <c r="X110" s="165"/>
      <c r="Y110" s="165"/>
      <c r="Z110" s="165"/>
      <c r="AA110" s="165"/>
      <c r="AB110" s="165"/>
      <c r="AC110" s="165"/>
      <c r="AD110" s="165"/>
      <c r="AE110" s="165"/>
      <c r="AF110" s="165"/>
      <c r="AG110" s="165"/>
      <c r="AH110" s="165"/>
      <c r="AI110" s="165"/>
      <c r="AJ110" s="165"/>
      <c r="AK110" s="165"/>
      <c r="AL110" s="165"/>
      <c r="AM110" s="165"/>
    </row>
    <row r="112" spans="3:40" x14ac:dyDescent="0.35">
      <c r="C112" s="437" t="s">
        <v>541</v>
      </c>
      <c r="D112" s="437"/>
      <c r="E112" s="437"/>
      <c r="F112" s="437"/>
      <c r="G112" s="437"/>
      <c r="H112" s="437"/>
      <c r="I112" s="437"/>
      <c r="J112" s="437"/>
      <c r="K112" s="437"/>
      <c r="L112" s="437"/>
      <c r="M112" s="437"/>
      <c r="N112" s="437"/>
      <c r="O112" s="437"/>
      <c r="P112" s="437"/>
      <c r="Q112" s="437"/>
      <c r="R112" s="437"/>
      <c r="S112" s="437"/>
      <c r="T112" s="437"/>
      <c r="U112" s="213"/>
    </row>
    <row r="113" spans="3:39" ht="14.65" customHeight="1" x14ac:dyDescent="0.35">
      <c r="C113" s="438" t="s">
        <v>495</v>
      </c>
      <c r="D113" s="438"/>
      <c r="E113" s="439" t="s">
        <v>439</v>
      </c>
      <c r="F113" s="439" t="s">
        <v>440</v>
      </c>
      <c r="G113" s="439" t="s">
        <v>441</v>
      </c>
      <c r="H113" s="439" t="s">
        <v>442</v>
      </c>
      <c r="I113" s="439" t="s">
        <v>537</v>
      </c>
      <c r="J113" s="439" t="s">
        <v>538</v>
      </c>
      <c r="K113" s="439" t="s">
        <v>443</v>
      </c>
      <c r="L113" s="439"/>
      <c r="M113" s="439"/>
      <c r="N113" s="439"/>
      <c r="O113" s="439"/>
      <c r="P113" s="439"/>
      <c r="Q113" s="439" t="s">
        <v>446</v>
      </c>
      <c r="R113" s="439" t="s">
        <v>447</v>
      </c>
      <c r="S113" s="439" t="s">
        <v>448</v>
      </c>
      <c r="T113" s="439" t="s">
        <v>52</v>
      </c>
      <c r="U113" s="214"/>
      <c r="W113" s="429">
        <v>2025</v>
      </c>
      <c r="X113" s="429"/>
      <c r="Y113" s="429"/>
      <c r="Z113" s="429"/>
      <c r="AA113" s="429"/>
      <c r="AB113" s="429"/>
      <c r="AC113" s="429"/>
      <c r="AD113" s="429"/>
      <c r="AE113" s="429"/>
      <c r="AF113" s="429"/>
      <c r="AG113" s="429"/>
      <c r="AH113" s="429"/>
      <c r="AI113" s="429"/>
      <c r="AJ113" s="429"/>
      <c r="AK113" s="429"/>
      <c r="AL113" s="429"/>
      <c r="AM113" s="429"/>
    </row>
    <row r="114" spans="3:39" ht="70.5" customHeight="1" x14ac:dyDescent="0.35">
      <c r="C114" s="435" t="s">
        <v>24</v>
      </c>
      <c r="D114" s="435"/>
      <c r="E114" s="439"/>
      <c r="F114" s="439"/>
      <c r="G114" s="439"/>
      <c r="H114" s="439"/>
      <c r="I114" s="439"/>
      <c r="J114" s="439"/>
      <c r="K114" s="182" t="s">
        <v>451</v>
      </c>
      <c r="L114" s="182" t="s">
        <v>452</v>
      </c>
      <c r="M114" s="182" t="s">
        <v>453</v>
      </c>
      <c r="N114" s="182" t="s">
        <v>454</v>
      </c>
      <c r="O114" s="182" t="s">
        <v>444</v>
      </c>
      <c r="P114" s="182" t="s">
        <v>445</v>
      </c>
      <c r="Q114" s="439"/>
      <c r="R114" s="439"/>
      <c r="S114" s="439" t="s">
        <v>448</v>
      </c>
      <c r="T114" s="439"/>
      <c r="U114" s="214"/>
      <c r="W114" s="430" t="s">
        <v>539</v>
      </c>
      <c r="X114" s="430"/>
      <c r="Y114" s="431" t="s">
        <v>439</v>
      </c>
      <c r="Z114" s="166"/>
      <c r="AA114" s="431" t="s">
        <v>441</v>
      </c>
      <c r="AB114" s="431" t="s">
        <v>442</v>
      </c>
      <c r="AC114" s="431" t="s">
        <v>443</v>
      </c>
      <c r="AD114" s="431"/>
      <c r="AE114" s="431"/>
      <c r="AF114" s="431"/>
      <c r="AG114" s="431" t="s">
        <v>444</v>
      </c>
      <c r="AH114" s="431" t="s">
        <v>445</v>
      </c>
      <c r="AI114" s="431" t="s">
        <v>446</v>
      </c>
      <c r="AJ114" s="168"/>
      <c r="AK114" s="431" t="s">
        <v>447</v>
      </c>
      <c r="AL114" s="167" t="s">
        <v>448</v>
      </c>
      <c r="AM114" s="431" t="s">
        <v>52</v>
      </c>
    </row>
    <row r="115" spans="3:39" ht="43.5" x14ac:dyDescent="0.35">
      <c r="C115" s="189" t="s">
        <v>461</v>
      </c>
      <c r="D115" s="190" t="s">
        <v>498</v>
      </c>
      <c r="E115" s="215">
        <f>37.543184302947%+10.5%</f>
        <v>0.48043184302946995</v>
      </c>
      <c r="F115" s="215">
        <v>0</v>
      </c>
      <c r="G115" s="215">
        <v>4.4107272440989404E-3</v>
      </c>
      <c r="H115" s="215">
        <v>0.28564589346437302</v>
      </c>
      <c r="I115" s="215">
        <v>0</v>
      </c>
      <c r="J115" s="215">
        <v>0</v>
      </c>
      <c r="K115" s="215">
        <v>0</v>
      </c>
      <c r="L115" s="215">
        <v>0</v>
      </c>
      <c r="M115" s="215">
        <v>0</v>
      </c>
      <c r="N115" s="215">
        <v>0</v>
      </c>
      <c r="O115" s="215">
        <v>0</v>
      </c>
      <c r="P115" s="215">
        <v>0</v>
      </c>
      <c r="Q115" s="215">
        <v>0.226845961035822</v>
      </c>
      <c r="R115" s="215">
        <v>2.6956628466980599E-3</v>
      </c>
      <c r="S115" s="215">
        <v>0</v>
      </c>
      <c r="T115" s="216">
        <f t="shared" ref="T115:T126" si="3">SUM(E115:S115)</f>
        <v>1.000030087620462</v>
      </c>
      <c r="U115" s="217"/>
      <c r="W115" s="430"/>
      <c r="X115" s="430"/>
      <c r="Y115" s="431"/>
      <c r="Z115" s="166" t="s">
        <v>455</v>
      </c>
      <c r="AA115" s="431"/>
      <c r="AB115" s="431"/>
      <c r="AC115" s="167" t="s">
        <v>451</v>
      </c>
      <c r="AD115" s="167" t="s">
        <v>452</v>
      </c>
      <c r="AE115" s="167" t="s">
        <v>453</v>
      </c>
      <c r="AF115" s="167" t="s">
        <v>454</v>
      </c>
      <c r="AG115" s="431"/>
      <c r="AH115" s="431"/>
      <c r="AI115" s="431"/>
      <c r="AJ115" s="169" t="s">
        <v>456</v>
      </c>
      <c r="AK115" s="431"/>
      <c r="AL115" s="167" t="s">
        <v>448</v>
      </c>
      <c r="AM115" s="431"/>
    </row>
    <row r="116" spans="3:39" x14ac:dyDescent="0.35">
      <c r="C116" s="189" t="s">
        <v>464</v>
      </c>
      <c r="D116" s="190" t="s">
        <v>498</v>
      </c>
      <c r="E116" s="218">
        <v>3.5000000000000003E-2</v>
      </c>
      <c r="F116" s="215"/>
      <c r="G116" s="218">
        <v>0.02</v>
      </c>
      <c r="H116" s="218">
        <v>0.191</v>
      </c>
      <c r="I116" s="215"/>
      <c r="J116" s="215"/>
      <c r="K116" s="218">
        <v>2.9000000000000001E-2</v>
      </c>
      <c r="L116" s="218">
        <v>0</v>
      </c>
      <c r="M116" s="218">
        <v>0</v>
      </c>
      <c r="N116" s="218">
        <v>0</v>
      </c>
      <c r="O116" s="218">
        <v>0</v>
      </c>
      <c r="P116" s="218">
        <v>0</v>
      </c>
      <c r="Q116" s="218">
        <v>0.72499999999999998</v>
      </c>
      <c r="R116" s="218">
        <v>0</v>
      </c>
      <c r="S116" s="218">
        <v>0</v>
      </c>
      <c r="T116" s="216">
        <f t="shared" si="3"/>
        <v>1</v>
      </c>
      <c r="U116" s="217"/>
      <c r="W116" s="432" t="s">
        <v>24</v>
      </c>
      <c r="X116" s="432"/>
      <c r="Y116" s="440"/>
      <c r="Z116" s="440"/>
      <c r="AA116" s="440"/>
      <c r="AB116" s="440"/>
      <c r="AC116" s="440"/>
      <c r="AD116" s="440"/>
      <c r="AE116" s="440"/>
      <c r="AF116" s="440"/>
      <c r="AG116" s="440"/>
      <c r="AH116" s="440"/>
      <c r="AI116" s="440"/>
      <c r="AJ116" s="440"/>
      <c r="AK116" s="440"/>
      <c r="AL116" s="440"/>
      <c r="AM116" s="440"/>
    </row>
    <row r="117" spans="3:39" x14ac:dyDescent="0.35">
      <c r="C117" s="189" t="s">
        <v>466</v>
      </c>
      <c r="D117" s="190" t="s">
        <v>498</v>
      </c>
      <c r="E117" s="215">
        <v>0</v>
      </c>
      <c r="F117" s="215">
        <v>0</v>
      </c>
      <c r="G117" s="215">
        <v>0</v>
      </c>
      <c r="H117" s="215">
        <v>0.15207756232687</v>
      </c>
      <c r="I117" s="215">
        <v>0</v>
      </c>
      <c r="J117" s="215">
        <v>0</v>
      </c>
      <c r="K117" s="215">
        <v>0</v>
      </c>
      <c r="L117" s="215">
        <v>0</v>
      </c>
      <c r="M117" s="215">
        <v>0</v>
      </c>
      <c r="N117" s="215">
        <v>0</v>
      </c>
      <c r="O117" s="215">
        <v>0</v>
      </c>
      <c r="P117" s="215">
        <v>0</v>
      </c>
      <c r="Q117" s="215">
        <v>0.13767313019390601</v>
      </c>
      <c r="R117" s="215">
        <v>0</v>
      </c>
      <c r="S117" s="215">
        <v>0.71024930747922399</v>
      </c>
      <c r="T117" s="216">
        <f t="shared" si="3"/>
        <v>1</v>
      </c>
      <c r="U117" s="217"/>
      <c r="W117" s="172" t="s">
        <v>461</v>
      </c>
      <c r="X117" s="172" t="s">
        <v>498</v>
      </c>
      <c r="Y117" s="218">
        <f>'Mix éner %'!Y135</f>
        <v>0.40361843755597487</v>
      </c>
      <c r="Z117" s="218">
        <f>'Mix éner %'!Z135</f>
        <v>0.59638156244402507</v>
      </c>
      <c r="AA117" s="218">
        <f>'Mix éner %'!AA135</f>
        <v>4.4107272440989404E-3</v>
      </c>
      <c r="AB117" s="218">
        <f>'Mix éner %'!AB135</f>
        <v>0</v>
      </c>
      <c r="AC117" s="218">
        <f>'Mix éner %'!AC135</f>
        <v>0</v>
      </c>
      <c r="AD117" s="218">
        <f>'Mix éner %'!AD135</f>
        <v>0</v>
      </c>
      <c r="AE117" s="218">
        <f>'Mix éner %'!AE135</f>
        <v>0</v>
      </c>
      <c r="AF117" s="218">
        <f>'Mix éner %'!AF135</f>
        <v>0</v>
      </c>
      <c r="AG117" s="218">
        <f>'Mix éner %'!AG135</f>
        <v>0</v>
      </c>
      <c r="AH117" s="218">
        <f>'Mix éner %'!AH135</f>
        <v>0</v>
      </c>
      <c r="AI117" s="218">
        <f>'Mix éner %'!AI135</f>
        <v>0</v>
      </c>
      <c r="AJ117" s="218">
        <f>'Mix éner %'!AJ135</f>
        <v>0</v>
      </c>
      <c r="AK117" s="218">
        <f>'Mix éner %'!AK135</f>
        <v>2.6956628466980599E-3</v>
      </c>
      <c r="AL117" s="218">
        <f>'Mix éner %'!AL135</f>
        <v>0</v>
      </c>
      <c r="AM117" s="218">
        <f>'Mix éner %'!AM135</f>
        <v>1</v>
      </c>
    </row>
    <row r="118" spans="3:39" x14ac:dyDescent="0.35">
      <c r="C118" s="189" t="s">
        <v>469</v>
      </c>
      <c r="D118" s="190" t="s">
        <v>498</v>
      </c>
      <c r="E118" s="201">
        <v>4.0000000000000001E-3</v>
      </c>
      <c r="F118" s="216">
        <v>0</v>
      </c>
      <c r="G118" s="201">
        <v>2.8000000000000001E-2</v>
      </c>
      <c r="H118" s="201">
        <v>0.25</v>
      </c>
      <c r="I118" s="215">
        <v>0</v>
      </c>
      <c r="J118" s="215">
        <v>0</v>
      </c>
      <c r="K118" s="215">
        <v>0</v>
      </c>
      <c r="L118" s="215">
        <v>0</v>
      </c>
      <c r="M118" s="215">
        <v>0</v>
      </c>
      <c r="N118" s="215">
        <v>0</v>
      </c>
      <c r="O118" s="215">
        <v>0</v>
      </c>
      <c r="P118" s="215">
        <v>0</v>
      </c>
      <c r="Q118" s="201">
        <v>0.71</v>
      </c>
      <c r="R118" s="201">
        <v>8.0000000000000002E-3</v>
      </c>
      <c r="S118" s="216">
        <v>0</v>
      </c>
      <c r="T118" s="216">
        <f t="shared" si="3"/>
        <v>1</v>
      </c>
      <c r="U118" s="217"/>
      <c r="W118" s="172" t="s">
        <v>464</v>
      </c>
      <c r="X118" s="172" t="s">
        <v>498</v>
      </c>
      <c r="Y118" s="218">
        <f>'Mix éner %'!Y139</f>
        <v>3.5000000000000003E-2</v>
      </c>
      <c r="Z118" s="218">
        <f>'Mix éner %'!Z139</f>
        <v>0</v>
      </c>
      <c r="AA118" s="218">
        <f>'Mix éner %'!AA139</f>
        <v>0.02</v>
      </c>
      <c r="AB118" s="218">
        <f>'Mix éner %'!AB139</f>
        <v>0.21999999999999997</v>
      </c>
      <c r="AC118" s="218">
        <f>'Mix éner %'!AC139</f>
        <v>0</v>
      </c>
      <c r="AD118" s="218">
        <f>'Mix éner %'!AD139</f>
        <v>0</v>
      </c>
      <c r="AE118" s="218">
        <f>'Mix éner %'!AE139</f>
        <v>0</v>
      </c>
      <c r="AF118" s="218">
        <f>'Mix éner %'!AF139</f>
        <v>0</v>
      </c>
      <c r="AG118" s="218">
        <f>'Mix éner %'!AG139</f>
        <v>0</v>
      </c>
      <c r="AH118" s="218">
        <f>'Mix éner %'!AH139</f>
        <v>0</v>
      </c>
      <c r="AI118" s="218">
        <f>'Mix éner %'!AI139</f>
        <v>0.72499999999999998</v>
      </c>
      <c r="AJ118" s="218">
        <f>'Mix éner %'!AJ139</f>
        <v>0</v>
      </c>
      <c r="AK118" s="218">
        <f>'Mix éner %'!AK139</f>
        <v>0</v>
      </c>
      <c r="AL118" s="218">
        <f>'Mix éner %'!AL139</f>
        <v>0</v>
      </c>
      <c r="AM118" s="218">
        <f>'Mix éner %'!AM139</f>
        <v>1</v>
      </c>
    </row>
    <row r="119" spans="3:39" x14ac:dyDescent="0.35">
      <c r="C119" s="189" t="s">
        <v>471</v>
      </c>
      <c r="D119" s="190" t="s">
        <v>498</v>
      </c>
      <c r="E119" s="216">
        <v>0</v>
      </c>
      <c r="F119" s="216">
        <v>0</v>
      </c>
      <c r="G119" s="216">
        <v>0</v>
      </c>
      <c r="H119" s="216">
        <v>0.9</v>
      </c>
      <c r="I119" s="215">
        <v>0</v>
      </c>
      <c r="J119" s="215">
        <v>0</v>
      </c>
      <c r="K119" s="215">
        <v>0</v>
      </c>
      <c r="L119" s="215">
        <v>0</v>
      </c>
      <c r="M119" s="215">
        <v>0</v>
      </c>
      <c r="N119" s="215">
        <v>0</v>
      </c>
      <c r="O119" s="215">
        <v>0</v>
      </c>
      <c r="P119" s="215">
        <v>0</v>
      </c>
      <c r="Q119" s="216">
        <v>0.1</v>
      </c>
      <c r="R119" s="216">
        <v>0</v>
      </c>
      <c r="S119" s="216">
        <v>0</v>
      </c>
      <c r="T119" s="216">
        <f t="shared" si="3"/>
        <v>1</v>
      </c>
      <c r="U119" s="217"/>
      <c r="W119" s="172" t="s">
        <v>466</v>
      </c>
      <c r="X119" s="172" t="s">
        <v>498</v>
      </c>
      <c r="Y119" s="218">
        <f>'Mix éner %'!Y143</f>
        <v>0</v>
      </c>
      <c r="Z119" s="218">
        <f>'Mix éner %'!Z143</f>
        <v>0</v>
      </c>
      <c r="AA119" s="218">
        <f>'Mix éner %'!AA143</f>
        <v>0</v>
      </c>
      <c r="AB119" s="218">
        <f>'Mix éner %'!AB143</f>
        <v>0</v>
      </c>
      <c r="AC119" s="218">
        <f>'Mix éner %'!AC143</f>
        <v>0</v>
      </c>
      <c r="AD119" s="218">
        <f>'Mix éner %'!AD143</f>
        <v>0</v>
      </c>
      <c r="AE119" s="218">
        <f>'Mix éner %'!AE143</f>
        <v>0</v>
      </c>
      <c r="AF119" s="218">
        <f>'Mix éner %'!AF143</f>
        <v>0</v>
      </c>
      <c r="AG119" s="218">
        <f>'Mix éner %'!AG143</f>
        <v>0</v>
      </c>
      <c r="AH119" s="218">
        <f>'Mix éner %'!AH143</f>
        <v>0</v>
      </c>
      <c r="AI119" s="218">
        <f>'Mix éner %'!AI143</f>
        <v>0</v>
      </c>
      <c r="AJ119" s="218">
        <f>'Mix éner %'!AJ143</f>
        <v>0</v>
      </c>
      <c r="AK119" s="218">
        <f>'Mix éner %'!AK143</f>
        <v>0</v>
      </c>
      <c r="AL119" s="218">
        <f>'Mix éner %'!AL143</f>
        <v>0</v>
      </c>
      <c r="AM119" s="218">
        <f>'Mix éner %'!AM143</f>
        <v>0</v>
      </c>
    </row>
    <row r="120" spans="3:39" x14ac:dyDescent="0.35">
      <c r="C120" s="189" t="s">
        <v>473</v>
      </c>
      <c r="D120" s="190" t="s">
        <v>498</v>
      </c>
      <c r="E120" s="216">
        <v>2.18316716171187E-4</v>
      </c>
      <c r="F120" s="216">
        <v>2.18316716171187E-4</v>
      </c>
      <c r="G120" s="216">
        <v>0.152259671871665</v>
      </c>
      <c r="H120" s="216">
        <v>0.15712852885131401</v>
      </c>
      <c r="I120" s="216">
        <v>2.18316716171187E-4</v>
      </c>
      <c r="J120" s="216">
        <v>2.18316716171187E-4</v>
      </c>
      <c r="K120" s="216">
        <v>2.18316716171187E-4</v>
      </c>
      <c r="L120" s="216">
        <v>2.18316716171187E-4</v>
      </c>
      <c r="M120" s="216">
        <v>2.18316716171187E-4</v>
      </c>
      <c r="N120" s="216">
        <v>2.18316716171187E-4</v>
      </c>
      <c r="O120" s="216">
        <v>2.18316716171187E-4</v>
      </c>
      <c r="P120" s="216">
        <v>2.18316716171187E-4</v>
      </c>
      <c r="Q120" s="216">
        <v>0.675599380753927</v>
      </c>
      <c r="R120" s="216">
        <v>1.45757850907516E-2</v>
      </c>
      <c r="S120" s="216">
        <v>2.18316716171187E-4</v>
      </c>
      <c r="T120" s="216">
        <f t="shared" si="3"/>
        <v>1.0019648504455405</v>
      </c>
      <c r="U120" s="217"/>
      <c r="W120" s="178" t="s">
        <v>467</v>
      </c>
      <c r="X120" s="172" t="s">
        <v>498</v>
      </c>
      <c r="Y120" s="218">
        <f>'Mix éner %'!Y147</f>
        <v>5.5844909255524718E-2</v>
      </c>
      <c r="Z120" s="218">
        <f>'Mix éner %'!Z147</f>
        <v>3.2423689380245542E-2</v>
      </c>
      <c r="AA120" s="218">
        <f>'Mix éner %'!AA147</f>
        <v>1.1370402229773324E-2</v>
      </c>
      <c r="AB120" s="218">
        <f>'Mix éner %'!AB147</f>
        <v>0.31143599829499524</v>
      </c>
      <c r="AC120" s="218">
        <f>'Mix éner %'!AC147</f>
        <v>2.9856067569286875E-4</v>
      </c>
      <c r="AD120" s="218">
        <f>'Mix éner %'!AD147</f>
        <v>0</v>
      </c>
      <c r="AE120" s="218">
        <f>'Mix éner %'!AE147</f>
        <v>0</v>
      </c>
      <c r="AF120" s="218">
        <f>'Mix éner %'!AF147</f>
        <v>0</v>
      </c>
      <c r="AG120" s="218">
        <f>'Mix éner %'!AG147</f>
        <v>0</v>
      </c>
      <c r="AH120" s="218">
        <f>'Mix éner %'!AH147</f>
        <v>0</v>
      </c>
      <c r="AI120" s="218">
        <f>'Mix éner %'!AI147</f>
        <v>0.58259551451477254</v>
      </c>
      <c r="AJ120" s="218">
        <f>'Mix éner %'!AJ147</f>
        <v>0</v>
      </c>
      <c r="AK120" s="218">
        <f>'Mix éner %'!AK147</f>
        <v>6.0309256489959485E-3</v>
      </c>
      <c r="AL120" s="218">
        <f>'Mix éner %'!AL147</f>
        <v>0</v>
      </c>
      <c r="AM120" s="218">
        <f>'Mix éner %'!AM147</f>
        <v>1.0000000000000002</v>
      </c>
    </row>
    <row r="121" spans="3:39" x14ac:dyDescent="0.35">
      <c r="C121" s="435" t="s">
        <v>25</v>
      </c>
      <c r="D121" s="435"/>
      <c r="E121" s="220"/>
      <c r="F121" s="220"/>
      <c r="G121" s="220"/>
      <c r="H121" s="220"/>
      <c r="I121" s="220"/>
      <c r="J121" s="220"/>
      <c r="K121" s="220"/>
      <c r="L121" s="220"/>
      <c r="M121" s="220"/>
      <c r="N121" s="220"/>
      <c r="O121" s="220"/>
      <c r="P121" s="220"/>
      <c r="Q121" s="220"/>
      <c r="R121" s="220"/>
      <c r="S121" s="220"/>
      <c r="T121" s="221">
        <f t="shared" si="3"/>
        <v>0</v>
      </c>
      <c r="U121" s="217"/>
      <c r="W121" s="172" t="s">
        <v>469</v>
      </c>
      <c r="X121" s="172" t="s">
        <v>498</v>
      </c>
      <c r="Y121" s="218">
        <f>'Mix éner %'!Y151</f>
        <v>4.0000000000000001E-3</v>
      </c>
      <c r="Z121" s="218">
        <f>'Mix éner %'!Z151</f>
        <v>0</v>
      </c>
      <c r="AA121" s="218">
        <f>'Mix éner %'!AA151</f>
        <v>2.8000000000000001E-2</v>
      </c>
      <c r="AB121" s="218">
        <f>'Mix éner %'!AB151</f>
        <v>0.25</v>
      </c>
      <c r="AC121" s="218">
        <f>'Mix éner %'!AC151</f>
        <v>0</v>
      </c>
      <c r="AD121" s="218">
        <f>'Mix éner %'!AD151</f>
        <v>0</v>
      </c>
      <c r="AE121" s="218">
        <f>'Mix éner %'!AE151</f>
        <v>0</v>
      </c>
      <c r="AF121" s="218">
        <f>'Mix éner %'!AF151</f>
        <v>0</v>
      </c>
      <c r="AG121" s="218">
        <f>'Mix éner %'!AG151</f>
        <v>0</v>
      </c>
      <c r="AH121" s="218">
        <f>'Mix éner %'!AH151</f>
        <v>0</v>
      </c>
      <c r="AI121" s="218">
        <f>'Mix éner %'!AI151</f>
        <v>0.71</v>
      </c>
      <c r="AJ121" s="218">
        <f>'Mix éner %'!AJ151</f>
        <v>0</v>
      </c>
      <c r="AK121" s="218">
        <f>'Mix éner %'!AK151</f>
        <v>8.0000000000000002E-3</v>
      </c>
      <c r="AL121" s="218">
        <f>'Mix éner %'!AL151</f>
        <v>0</v>
      </c>
      <c r="AM121" s="218">
        <f>'Mix éner %'!AM151</f>
        <v>1</v>
      </c>
    </row>
    <row r="122" spans="3:39" x14ac:dyDescent="0.35">
      <c r="C122" s="189" t="s">
        <v>475</v>
      </c>
      <c r="D122" s="190" t="s">
        <v>498</v>
      </c>
      <c r="E122" s="216">
        <v>0</v>
      </c>
      <c r="F122" s="216">
        <v>0</v>
      </c>
      <c r="G122" s="216">
        <v>5.0000000000000001E-3</v>
      </c>
      <c r="H122" s="216">
        <v>0.93</v>
      </c>
      <c r="I122" s="216">
        <v>0</v>
      </c>
      <c r="J122" s="216">
        <v>0</v>
      </c>
      <c r="K122" s="216">
        <v>5.0000000000000001E-3</v>
      </c>
      <c r="L122" s="216">
        <v>0</v>
      </c>
      <c r="M122" s="216">
        <v>0</v>
      </c>
      <c r="N122" s="216">
        <v>0</v>
      </c>
      <c r="O122" s="216">
        <v>0</v>
      </c>
      <c r="P122" s="216">
        <v>0</v>
      </c>
      <c r="Q122" s="216">
        <v>0.06</v>
      </c>
      <c r="R122" s="216">
        <v>0</v>
      </c>
      <c r="S122" s="216">
        <v>0</v>
      </c>
      <c r="T122" s="216">
        <f t="shared" si="3"/>
        <v>1</v>
      </c>
      <c r="U122" s="217"/>
      <c r="W122" s="172" t="s">
        <v>471</v>
      </c>
      <c r="X122" s="172" t="s">
        <v>498</v>
      </c>
      <c r="Y122" s="218">
        <f>'Mix éner %'!Y155</f>
        <v>0</v>
      </c>
      <c r="Z122" s="218">
        <f>'Mix éner %'!Z155</f>
        <v>0</v>
      </c>
      <c r="AA122" s="218">
        <f>'Mix éner %'!AA155</f>
        <v>2.4619339529365129E-2</v>
      </c>
      <c r="AB122" s="218">
        <f>'Mix éner %'!AB155</f>
        <v>0.63990508206446284</v>
      </c>
      <c r="AC122" s="218">
        <f>'Mix éner %'!AC155</f>
        <v>0</v>
      </c>
      <c r="AD122" s="218">
        <f>'Mix éner %'!AD155</f>
        <v>0</v>
      </c>
      <c r="AE122" s="218">
        <f>'Mix éner %'!AE155</f>
        <v>0</v>
      </c>
      <c r="AF122" s="218">
        <f>'Mix éner %'!AF155</f>
        <v>0</v>
      </c>
      <c r="AG122" s="218">
        <f>'Mix éner %'!AG155</f>
        <v>0</v>
      </c>
      <c r="AH122" s="218">
        <f>'Mix éner %'!AH155</f>
        <v>0</v>
      </c>
      <c r="AI122" s="218">
        <f>'Mix éner %'!AI155</f>
        <v>0.33547557840617204</v>
      </c>
      <c r="AJ122" s="218">
        <f>'Mix éner %'!AJ155</f>
        <v>0</v>
      </c>
      <c r="AK122" s="218">
        <f>'Mix éner %'!AK155</f>
        <v>0</v>
      </c>
      <c r="AL122" s="218">
        <f>'Mix éner %'!AL155</f>
        <v>0</v>
      </c>
      <c r="AM122" s="218">
        <f>'Mix éner %'!AM155</f>
        <v>1</v>
      </c>
    </row>
    <row r="123" spans="3:39" x14ac:dyDescent="0.35">
      <c r="C123" s="189" t="s">
        <v>476</v>
      </c>
      <c r="D123" s="190" t="s">
        <v>498</v>
      </c>
      <c r="E123" s="216">
        <v>0</v>
      </c>
      <c r="F123" s="216">
        <v>0</v>
      </c>
      <c r="G123" s="216">
        <v>3.6519027230689297E-2</v>
      </c>
      <c r="H123" s="216">
        <v>0.494979970656034</v>
      </c>
      <c r="I123" s="216">
        <v>0</v>
      </c>
      <c r="J123" s="216">
        <v>0</v>
      </c>
      <c r="K123" s="216">
        <v>3.0411115934223999E-2</v>
      </c>
      <c r="L123" s="216">
        <v>0</v>
      </c>
      <c r="M123" s="216">
        <v>0</v>
      </c>
      <c r="N123" s="216">
        <v>0</v>
      </c>
      <c r="O123" s="216">
        <v>0</v>
      </c>
      <c r="P123" s="216">
        <v>0</v>
      </c>
      <c r="Q123" s="216">
        <v>0.24821952548086201</v>
      </c>
      <c r="R123" s="216">
        <v>0.17812225047188401</v>
      </c>
      <c r="S123" s="216">
        <v>1.17E-2</v>
      </c>
      <c r="T123" s="216">
        <f t="shared" si="3"/>
        <v>0.99995188977369331</v>
      </c>
      <c r="U123" s="217"/>
      <c r="W123" s="172" t="s">
        <v>473</v>
      </c>
      <c r="X123" s="172" t="s">
        <v>498</v>
      </c>
      <c r="Y123" s="218">
        <f>'Mix éner %'!Y159</f>
        <v>2.18316716171187E-4</v>
      </c>
      <c r="Z123" s="218">
        <f>'Mix éner %'!Z159</f>
        <v>0</v>
      </c>
      <c r="AA123" s="218">
        <f>'Mix éner %'!AA159</f>
        <v>0.17</v>
      </c>
      <c r="AB123" s="218">
        <f>'Mix éner %'!AB159</f>
        <v>8.5000000000000006E-2</v>
      </c>
      <c r="AC123" s="218">
        <f>'Mix éner %'!AC159</f>
        <v>2.18316716171187E-4</v>
      </c>
      <c r="AD123" s="218">
        <f>'Mix éner %'!AD159</f>
        <v>2.18316716171187E-4</v>
      </c>
      <c r="AE123" s="218">
        <f>'Mix éner %'!AE159</f>
        <v>2.18316716171187E-4</v>
      </c>
      <c r="AF123" s="218">
        <f>'Mix éner %'!AF159</f>
        <v>2.18316716171187E-4</v>
      </c>
      <c r="AG123" s="218">
        <f>'Mix éner %'!AG159</f>
        <v>2.18316716171187E-4</v>
      </c>
      <c r="AH123" s="218">
        <f>'Mix éner %'!AH159</f>
        <v>2.18316716171187E-4</v>
      </c>
      <c r="AI123" s="218">
        <f>'Mix éner %'!AI159</f>
        <v>0.72856648446944483</v>
      </c>
      <c r="AJ123" s="218">
        <f>'Mix éner %'!AJ159</f>
        <v>0</v>
      </c>
      <c r="AK123" s="218">
        <f>'Mix éner %'!AK159</f>
        <v>1.45757850907516E-2</v>
      </c>
      <c r="AL123" s="218">
        <f>'Mix éner %'!AL159</f>
        <v>2.18316716171187E-4</v>
      </c>
      <c r="AM123" s="218">
        <f>'Mix éner %'!AM159</f>
        <v>0.99988880328956586</v>
      </c>
    </row>
    <row r="124" spans="3:39" x14ac:dyDescent="0.35">
      <c r="C124" s="189" t="s">
        <v>479</v>
      </c>
      <c r="D124" s="190" t="s">
        <v>498</v>
      </c>
      <c r="E124" s="216">
        <v>6.2550627514588494E-2</v>
      </c>
      <c r="F124" s="216">
        <v>0</v>
      </c>
      <c r="G124" s="216">
        <v>5.8595894299541498E-2</v>
      </c>
      <c r="H124" s="216">
        <v>0.39124178724877001</v>
      </c>
      <c r="I124" s="216">
        <v>0</v>
      </c>
      <c r="J124" s="216">
        <v>0</v>
      </c>
      <c r="K124" s="216">
        <v>1.7387097713031801E-2</v>
      </c>
      <c r="L124" s="216">
        <v>0</v>
      </c>
      <c r="M124" s="216">
        <v>0</v>
      </c>
      <c r="N124" s="216">
        <v>0</v>
      </c>
      <c r="O124" s="216">
        <v>0</v>
      </c>
      <c r="P124" s="216">
        <v>0</v>
      </c>
      <c r="Q124" s="216">
        <v>0.30482105840411999</v>
      </c>
      <c r="R124" s="216">
        <v>0.16389187653835899</v>
      </c>
      <c r="S124" s="216">
        <v>0</v>
      </c>
      <c r="T124" s="216">
        <f t="shared" si="3"/>
        <v>0.99848834171841083</v>
      </c>
      <c r="U124" s="217"/>
      <c r="W124" s="432" t="s">
        <v>25</v>
      </c>
      <c r="X124" s="432"/>
      <c r="Y124" s="440"/>
      <c r="Z124" s="440"/>
      <c r="AA124" s="440"/>
      <c r="AB124" s="440"/>
      <c r="AC124" s="440"/>
      <c r="AD124" s="440"/>
      <c r="AE124" s="440"/>
      <c r="AF124" s="440"/>
      <c r="AG124" s="440"/>
      <c r="AH124" s="440"/>
      <c r="AI124" s="440"/>
      <c r="AJ124" s="440"/>
      <c r="AK124" s="440"/>
      <c r="AL124" s="440"/>
      <c r="AM124" s="440"/>
    </row>
    <row r="125" spans="3:39" x14ac:dyDescent="0.35">
      <c r="C125" s="435" t="s">
        <v>480</v>
      </c>
      <c r="D125" s="435"/>
      <c r="E125" s="220"/>
      <c r="F125" s="220"/>
      <c r="G125" s="220"/>
      <c r="H125" s="220"/>
      <c r="I125" s="220"/>
      <c r="J125" s="220"/>
      <c r="K125" s="220"/>
      <c r="L125" s="220"/>
      <c r="M125" s="220"/>
      <c r="N125" s="220"/>
      <c r="O125" s="220"/>
      <c r="P125" s="220"/>
      <c r="Q125" s="220"/>
      <c r="R125" s="220"/>
      <c r="S125" s="220"/>
      <c r="T125" s="221">
        <f t="shared" si="3"/>
        <v>0</v>
      </c>
      <c r="U125" s="217"/>
      <c r="W125" s="172" t="s">
        <v>475</v>
      </c>
      <c r="X125" s="172" t="s">
        <v>498</v>
      </c>
      <c r="Y125" s="218">
        <f>'Mix éner %'!Y164</f>
        <v>0</v>
      </c>
      <c r="Z125" s="218">
        <f>'Mix éner %'!Z164</f>
        <v>0</v>
      </c>
      <c r="AA125" s="218">
        <f>'Mix éner %'!AA164</f>
        <v>5.0000000000000001E-3</v>
      </c>
      <c r="AB125" s="218">
        <f>'Mix éner %'!AB164</f>
        <v>0.93</v>
      </c>
      <c r="AC125" s="218">
        <f>'Mix éner %'!AC164</f>
        <v>5.0000000000000001E-3</v>
      </c>
      <c r="AD125" s="218">
        <f>'Mix éner %'!AD164</f>
        <v>0</v>
      </c>
      <c r="AE125" s="218">
        <f>'Mix éner %'!AE164</f>
        <v>0</v>
      </c>
      <c r="AF125" s="218">
        <f>'Mix éner %'!AF164</f>
        <v>0</v>
      </c>
      <c r="AG125" s="218">
        <f>'Mix éner %'!AG164</f>
        <v>0</v>
      </c>
      <c r="AH125" s="218">
        <f>'Mix éner %'!AH164</f>
        <v>0</v>
      </c>
      <c r="AI125" s="218">
        <f>'Mix éner %'!AI164</f>
        <v>0.06</v>
      </c>
      <c r="AJ125" s="218">
        <f>'Mix éner %'!AJ164</f>
        <v>0</v>
      </c>
      <c r="AK125" s="218">
        <f>'Mix éner %'!AK164</f>
        <v>0</v>
      </c>
      <c r="AL125" s="218">
        <f>'Mix éner %'!AL164</f>
        <v>0</v>
      </c>
      <c r="AM125" s="218">
        <f>'Mix éner %'!AM164</f>
        <v>1</v>
      </c>
    </row>
    <row r="126" spans="3:39" x14ac:dyDescent="0.35">
      <c r="C126" s="189" t="s">
        <v>481</v>
      </c>
      <c r="D126" s="190" t="s">
        <v>498</v>
      </c>
      <c r="E126" s="216">
        <v>0.13806751208555099</v>
      </c>
      <c r="F126" s="216">
        <v>0</v>
      </c>
      <c r="G126" s="222">
        <v>0.38500000000000001</v>
      </c>
      <c r="H126" s="216">
        <v>0.02</v>
      </c>
      <c r="I126" s="216">
        <v>0</v>
      </c>
      <c r="J126" s="216">
        <v>0</v>
      </c>
      <c r="K126" s="216">
        <v>0.42693248791444899</v>
      </c>
      <c r="L126" s="216">
        <v>0</v>
      </c>
      <c r="M126" s="216">
        <v>0</v>
      </c>
      <c r="N126" s="216">
        <v>0</v>
      </c>
      <c r="O126" s="216">
        <v>0</v>
      </c>
      <c r="P126" s="216">
        <v>0</v>
      </c>
      <c r="Q126" s="216">
        <v>0.03</v>
      </c>
      <c r="R126" s="216">
        <v>0</v>
      </c>
      <c r="S126" s="216">
        <v>0</v>
      </c>
      <c r="T126" s="216">
        <f t="shared" si="3"/>
        <v>1</v>
      </c>
      <c r="U126" s="217"/>
      <c r="W126" s="172" t="s">
        <v>476</v>
      </c>
      <c r="X126" s="172" t="s">
        <v>498</v>
      </c>
      <c r="Y126" s="218">
        <f>'Mix éner %'!Y168</f>
        <v>0</v>
      </c>
      <c r="Z126" s="218">
        <f>'Mix éner %'!Z168</f>
        <v>0</v>
      </c>
      <c r="AA126" s="218">
        <f>'Mix éner %'!AA168</f>
        <v>0.03</v>
      </c>
      <c r="AB126" s="218">
        <f>'Mix éner %'!AB168</f>
        <v>0.64</v>
      </c>
      <c r="AC126" s="218">
        <f>'Mix éner %'!AC168</f>
        <v>3.0411115934223999E-2</v>
      </c>
      <c r="AD126" s="218">
        <f>'Mix éner %'!AD168</f>
        <v>0</v>
      </c>
      <c r="AE126" s="218">
        <f>'Mix éner %'!AE168</f>
        <v>0</v>
      </c>
      <c r="AF126" s="218">
        <f>'Mix éner %'!AF168</f>
        <v>0</v>
      </c>
      <c r="AG126" s="218">
        <f>'Mix éner %'!AG168</f>
        <v>0</v>
      </c>
      <c r="AH126" s="218">
        <f>'Mix éner %'!AH168</f>
        <v>0</v>
      </c>
      <c r="AI126" s="218">
        <f>'Mix éner %'!AI168</f>
        <v>0.17</v>
      </c>
      <c r="AJ126" s="218">
        <f>'Mix éner %'!AJ168</f>
        <v>0</v>
      </c>
      <c r="AK126" s="218">
        <f>'Mix éner %'!AK168</f>
        <v>0.12</v>
      </c>
      <c r="AL126" s="218">
        <f>'Mix éner %'!AL168</f>
        <v>0.01</v>
      </c>
      <c r="AM126" s="218">
        <f>'Mix éner %'!AM168</f>
        <v>1.0004111159342239</v>
      </c>
    </row>
    <row r="127" spans="3:39" x14ac:dyDescent="0.35">
      <c r="C127" s="189" t="s">
        <v>482</v>
      </c>
      <c r="D127" s="190" t="s">
        <v>498</v>
      </c>
      <c r="E127" s="216">
        <v>0</v>
      </c>
      <c r="F127" s="216">
        <v>0</v>
      </c>
      <c r="G127" s="223">
        <v>0.09</v>
      </c>
      <c r="H127" s="223">
        <v>0.67</v>
      </c>
      <c r="I127" s="216">
        <v>0</v>
      </c>
      <c r="J127" s="216">
        <v>0</v>
      </c>
      <c r="K127" s="216">
        <v>0</v>
      </c>
      <c r="L127" s="216">
        <v>0</v>
      </c>
      <c r="M127" s="216">
        <v>0</v>
      </c>
      <c r="N127" s="216">
        <v>0</v>
      </c>
      <c r="O127" s="216">
        <v>0</v>
      </c>
      <c r="P127" s="216">
        <v>0</v>
      </c>
      <c r="Q127" s="223">
        <v>0.24</v>
      </c>
      <c r="R127" s="216">
        <v>0</v>
      </c>
      <c r="S127" s="216">
        <v>0</v>
      </c>
      <c r="T127" s="216">
        <f>SUM(AY126:BM126)</f>
        <v>0</v>
      </c>
      <c r="U127" s="217"/>
      <c r="W127" s="172" t="s">
        <v>479</v>
      </c>
      <c r="X127" s="172" t="s">
        <v>498</v>
      </c>
      <c r="Y127" s="218">
        <f>'Mix éner %'!Y172</f>
        <v>0.11</v>
      </c>
      <c r="Z127" s="218">
        <f>'Mix éner %'!Z172</f>
        <v>0</v>
      </c>
      <c r="AA127" s="218">
        <f>'Mix éner %'!AA172</f>
        <v>0.09</v>
      </c>
      <c r="AB127" s="218">
        <f>'Mix éner %'!AB172</f>
        <v>6.8343169023411296E-2</v>
      </c>
      <c r="AC127" s="218">
        <f>'Mix éner %'!AC172</f>
        <v>1.7387097713031801E-2</v>
      </c>
      <c r="AD127" s="218">
        <f>'Mix éner %'!AD172</f>
        <v>0</v>
      </c>
      <c r="AE127" s="218">
        <f>'Mix éner %'!AE172</f>
        <v>0</v>
      </c>
      <c r="AF127" s="218">
        <f>'Mix éner %'!AF172</f>
        <v>0</v>
      </c>
      <c r="AG127" s="218">
        <f>'Mix éner %'!AG172</f>
        <v>0</v>
      </c>
      <c r="AH127" s="218">
        <f>'Mix éner %'!AH172</f>
        <v>0</v>
      </c>
      <c r="AI127" s="218">
        <f>'Mix éner %'!AI172</f>
        <v>0.49426973326355683</v>
      </c>
      <c r="AJ127" s="218">
        <f>'Mix éner %'!AJ172</f>
        <v>0</v>
      </c>
      <c r="AK127" s="218">
        <f>'Mix éner %'!AK172</f>
        <v>0.22</v>
      </c>
      <c r="AL127" s="218">
        <f>'Mix éner %'!AL172</f>
        <v>0</v>
      </c>
      <c r="AM127" s="218">
        <f>'Mix éner %'!AM172</f>
        <v>1</v>
      </c>
    </row>
    <row r="128" spans="3:39" x14ac:dyDescent="0.35">
      <c r="C128" s="189" t="s">
        <v>483</v>
      </c>
      <c r="D128" s="190" t="s">
        <v>498</v>
      </c>
      <c r="E128" s="216">
        <f>4.58828948153757%+2.6%</f>
        <v>7.1882894815375714E-2</v>
      </c>
      <c r="F128" s="216">
        <v>0</v>
      </c>
      <c r="G128" s="216">
        <v>2.01689588256188E-2</v>
      </c>
      <c r="H128" s="216">
        <v>0.59670049547708004</v>
      </c>
      <c r="I128" s="216">
        <v>0</v>
      </c>
      <c r="J128" s="216">
        <v>0</v>
      </c>
      <c r="K128" s="216">
        <v>2.2259999079112702E-2</v>
      </c>
      <c r="L128" s="216">
        <v>0</v>
      </c>
      <c r="M128" s="216">
        <v>0</v>
      </c>
      <c r="N128" s="216">
        <v>0</v>
      </c>
      <c r="O128" s="216">
        <v>0</v>
      </c>
      <c r="P128" s="216">
        <v>0</v>
      </c>
      <c r="Q128" s="216">
        <v>0.28883543240466703</v>
      </c>
      <c r="R128" s="216">
        <v>0</v>
      </c>
      <c r="S128" s="216">
        <v>0</v>
      </c>
      <c r="T128" s="216">
        <f t="shared" ref="T128:T136" si="4">SUM(E128:S128)</f>
        <v>0.99984778060185431</v>
      </c>
      <c r="U128" s="217"/>
      <c r="W128" s="432" t="s">
        <v>480</v>
      </c>
      <c r="X128" s="432"/>
      <c r="Y128" s="440"/>
      <c r="Z128" s="440"/>
      <c r="AA128" s="440"/>
      <c r="AB128" s="440"/>
      <c r="AC128" s="440"/>
      <c r="AD128" s="440"/>
      <c r="AE128" s="440"/>
      <c r="AF128" s="440"/>
      <c r="AG128" s="440"/>
      <c r="AH128" s="440"/>
      <c r="AI128" s="440"/>
      <c r="AJ128" s="440"/>
      <c r="AK128" s="440"/>
      <c r="AL128" s="440"/>
      <c r="AM128" s="440"/>
    </row>
    <row r="129" spans="3:39" x14ac:dyDescent="0.35">
      <c r="C129" s="435" t="s">
        <v>484</v>
      </c>
      <c r="D129" s="435"/>
      <c r="E129" s="220"/>
      <c r="F129" s="220"/>
      <c r="G129" s="220"/>
      <c r="H129" s="220"/>
      <c r="I129" s="220"/>
      <c r="J129" s="220"/>
      <c r="K129" s="220"/>
      <c r="L129" s="220"/>
      <c r="M129" s="220"/>
      <c r="N129" s="220"/>
      <c r="O129" s="220"/>
      <c r="P129" s="220"/>
      <c r="Q129" s="220"/>
      <c r="R129" s="220"/>
      <c r="S129" s="220"/>
      <c r="T129" s="221">
        <f t="shared" si="4"/>
        <v>0</v>
      </c>
      <c r="U129" s="217"/>
      <c r="W129" s="172" t="s">
        <v>481</v>
      </c>
      <c r="X129" s="172" t="s">
        <v>498</v>
      </c>
      <c r="Y129" s="218">
        <f>'Mix éner %'!Y177</f>
        <v>0.09</v>
      </c>
      <c r="Z129" s="218">
        <f>'Mix éner %'!Z177</f>
        <v>0</v>
      </c>
      <c r="AA129" s="218">
        <f>'Mix éner %'!AA177</f>
        <v>0.34694969587529612</v>
      </c>
      <c r="AB129" s="218">
        <f>'Mix éner %'!AB177</f>
        <v>0.02</v>
      </c>
      <c r="AC129" s="218">
        <f>'Mix éner %'!AC177</f>
        <v>0.17</v>
      </c>
      <c r="AD129" s="218">
        <f>'Mix éner %'!AD177</f>
        <v>0.24</v>
      </c>
      <c r="AE129" s="218">
        <f>'Mix éner %'!AE177</f>
        <v>0</v>
      </c>
      <c r="AF129" s="218">
        <f>'Mix éner %'!AF177</f>
        <v>0</v>
      </c>
      <c r="AG129" s="218">
        <f>'Mix éner %'!AG177</f>
        <v>0</v>
      </c>
      <c r="AH129" s="218">
        <f>'Mix éner %'!AH177</f>
        <v>0</v>
      </c>
      <c r="AI129" s="218">
        <f>'Mix éner %'!AI177</f>
        <v>0.13305030412470387</v>
      </c>
      <c r="AJ129" s="218">
        <f>'Mix éner %'!AJ177</f>
        <v>0</v>
      </c>
      <c r="AK129" s="218">
        <f>'Mix éner %'!AK177</f>
        <v>0</v>
      </c>
      <c r="AL129" s="218">
        <f>'Mix éner %'!AL177</f>
        <v>0</v>
      </c>
      <c r="AM129" s="218">
        <f>'Mix éner %'!AM177</f>
        <v>1</v>
      </c>
    </row>
    <row r="130" spans="3:39" x14ac:dyDescent="0.35">
      <c r="C130" s="189" t="s">
        <v>485</v>
      </c>
      <c r="D130" s="190" t="s">
        <v>498</v>
      </c>
      <c r="E130" s="216">
        <v>0.15175876436862501</v>
      </c>
      <c r="F130" s="216">
        <v>0</v>
      </c>
      <c r="G130" s="216">
        <v>0.09</v>
      </c>
      <c r="H130" s="216">
        <v>0.67</v>
      </c>
      <c r="I130" s="216">
        <v>0</v>
      </c>
      <c r="J130" s="216">
        <v>0</v>
      </c>
      <c r="K130" s="216">
        <v>0</v>
      </c>
      <c r="L130" s="216">
        <v>0</v>
      </c>
      <c r="M130" s="216">
        <v>0</v>
      </c>
      <c r="N130" s="216">
        <v>0</v>
      </c>
      <c r="O130" s="216">
        <v>0</v>
      </c>
      <c r="P130" s="216">
        <v>0</v>
      </c>
      <c r="Q130" s="216">
        <v>7.4778557978260093E-2</v>
      </c>
      <c r="R130" s="216">
        <v>9.4626776531150699E-3</v>
      </c>
      <c r="S130" s="216">
        <v>0</v>
      </c>
      <c r="T130" s="216">
        <f t="shared" si="4"/>
        <v>0.99600000000000011</v>
      </c>
      <c r="U130" s="217"/>
      <c r="W130" s="172" t="s">
        <v>482</v>
      </c>
      <c r="X130" s="172" t="s">
        <v>498</v>
      </c>
      <c r="Y130" s="218">
        <f>'Mix éner %'!Y181</f>
        <v>0</v>
      </c>
      <c r="Z130" s="218">
        <f>'Mix éner %'!Z181</f>
        <v>0</v>
      </c>
      <c r="AA130" s="218">
        <f>'Mix éner %'!AA181</f>
        <v>0.09</v>
      </c>
      <c r="AB130" s="218">
        <f>'Mix éner %'!AB181</f>
        <v>0.67</v>
      </c>
      <c r="AC130" s="218">
        <f>'Mix éner %'!AC181</f>
        <v>0</v>
      </c>
      <c r="AD130" s="218">
        <f>'Mix éner %'!AD181</f>
        <v>0</v>
      </c>
      <c r="AE130" s="218">
        <f>'Mix éner %'!AE181</f>
        <v>0</v>
      </c>
      <c r="AF130" s="218">
        <f>'Mix éner %'!AF181</f>
        <v>0</v>
      </c>
      <c r="AG130" s="218">
        <f>'Mix éner %'!AG181</f>
        <v>0</v>
      </c>
      <c r="AH130" s="218">
        <f>'Mix éner %'!AH181</f>
        <v>0</v>
      </c>
      <c r="AI130" s="218">
        <f>'Mix éner %'!AI181</f>
        <v>0.24</v>
      </c>
      <c r="AJ130" s="218">
        <f>'Mix éner %'!AJ181</f>
        <v>0</v>
      </c>
      <c r="AK130" s="218">
        <f>'Mix éner %'!AK181</f>
        <v>0</v>
      </c>
      <c r="AL130" s="218">
        <f>'Mix éner %'!AL181</f>
        <v>0</v>
      </c>
      <c r="AM130" s="218">
        <f>'Mix éner %'!AM181</f>
        <v>1</v>
      </c>
    </row>
    <row r="131" spans="3:39" x14ac:dyDescent="0.35">
      <c r="C131" s="189" t="s">
        <v>486</v>
      </c>
      <c r="D131" s="190" t="s">
        <v>498</v>
      </c>
      <c r="E131" s="216">
        <v>0</v>
      </c>
      <c r="F131" s="216">
        <v>0</v>
      </c>
      <c r="G131" s="216">
        <v>2.7540056386653699E-2</v>
      </c>
      <c r="H131" s="216">
        <v>0.379441691839836</v>
      </c>
      <c r="I131" s="216">
        <v>0</v>
      </c>
      <c r="J131" s="216">
        <v>0</v>
      </c>
      <c r="K131" s="216">
        <v>7.7366489552603099E-2</v>
      </c>
      <c r="L131" s="216">
        <v>0</v>
      </c>
      <c r="M131" s="216">
        <v>0</v>
      </c>
      <c r="N131" s="216">
        <v>0</v>
      </c>
      <c r="O131" s="216">
        <v>0</v>
      </c>
      <c r="P131" s="216">
        <v>0</v>
      </c>
      <c r="Q131" s="216">
        <v>0.45636348652369502</v>
      </c>
      <c r="R131" s="216">
        <v>5.5823099680444598E-2</v>
      </c>
      <c r="S131" s="216">
        <v>0</v>
      </c>
      <c r="T131" s="216">
        <f t="shared" si="4"/>
        <v>0.99653482398323245</v>
      </c>
      <c r="U131" s="217"/>
      <c r="W131" s="172" t="s">
        <v>483</v>
      </c>
      <c r="X131" s="172" t="s">
        <v>498</v>
      </c>
      <c r="Y131" s="218">
        <f>'Mix éner %'!Y185</f>
        <v>4.4999999999999998E-2</v>
      </c>
      <c r="Z131" s="218">
        <f>'Mix éner %'!Z185</f>
        <v>0</v>
      </c>
      <c r="AA131" s="218">
        <f>'Mix éner %'!AA185</f>
        <v>2.01689588256188E-2</v>
      </c>
      <c r="AB131" s="218">
        <f>'Mix éner %'!AB185</f>
        <v>0.64500000000000002</v>
      </c>
      <c r="AC131" s="218">
        <f>'Mix éner %'!AC185</f>
        <v>0.04</v>
      </c>
      <c r="AD131" s="218">
        <f>'Mix éner %'!AD185</f>
        <v>0</v>
      </c>
      <c r="AE131" s="218">
        <f>'Mix éner %'!AE185</f>
        <v>0</v>
      </c>
      <c r="AF131" s="218">
        <f>'Mix éner %'!AF185</f>
        <v>0</v>
      </c>
      <c r="AG131" s="218">
        <f>'Mix éner %'!AG185</f>
        <v>0</v>
      </c>
      <c r="AH131" s="218">
        <f>'Mix éner %'!AH185</f>
        <v>0</v>
      </c>
      <c r="AI131" s="218">
        <f>'Mix éner %'!AI185</f>
        <v>0.25</v>
      </c>
      <c r="AJ131" s="218">
        <f>'Mix éner %'!AJ185</f>
        <v>0</v>
      </c>
      <c r="AK131" s="218">
        <f>'Mix éner %'!AK185</f>
        <v>0</v>
      </c>
      <c r="AL131" s="218">
        <f>'Mix éner %'!AL185</f>
        <v>0</v>
      </c>
      <c r="AM131" s="218">
        <f>'Mix éner %'!AM185</f>
        <v>1.0001689588256188</v>
      </c>
    </row>
    <row r="132" spans="3:39" x14ac:dyDescent="0.35">
      <c r="C132" s="435" t="s">
        <v>487</v>
      </c>
      <c r="D132" s="435"/>
      <c r="E132" s="216">
        <f>0.931456200227532%+0.03%</f>
        <v>9.6145620022753189E-3</v>
      </c>
      <c r="F132" s="216">
        <v>2.6631725060820001E-4</v>
      </c>
      <c r="G132" s="216">
        <v>4.5328498293515401E-2</v>
      </c>
      <c r="H132" s="216">
        <v>0.36181179367236099</v>
      </c>
      <c r="I132" s="216">
        <v>2.6631725060820001E-4</v>
      </c>
      <c r="J132" s="216">
        <v>2.6631725060820001E-4</v>
      </c>
      <c r="K132" s="216">
        <v>7.8198900591522694E-3</v>
      </c>
      <c r="L132" s="216">
        <v>0</v>
      </c>
      <c r="M132" s="216">
        <v>0</v>
      </c>
      <c r="N132" s="216">
        <v>0</v>
      </c>
      <c r="O132" s="216">
        <v>0</v>
      </c>
      <c r="P132" s="216">
        <v>0</v>
      </c>
      <c r="Q132" s="216">
        <v>0.57419922022113401</v>
      </c>
      <c r="R132" s="216">
        <v>1.2597185009542401E-3</v>
      </c>
      <c r="S132" s="216">
        <v>0</v>
      </c>
      <c r="T132" s="216">
        <f t="shared" si="4"/>
        <v>1.0008326345012168</v>
      </c>
      <c r="U132" s="217"/>
      <c r="W132" s="432" t="s">
        <v>484</v>
      </c>
      <c r="X132" s="432"/>
      <c r="Y132" s="440"/>
      <c r="Z132" s="440"/>
      <c r="AA132" s="440"/>
      <c r="AB132" s="440"/>
      <c r="AC132" s="440"/>
      <c r="AD132" s="440"/>
      <c r="AE132" s="440"/>
      <c r="AF132" s="440"/>
      <c r="AG132" s="440"/>
      <c r="AH132" s="440"/>
      <c r="AI132" s="440"/>
      <c r="AJ132" s="440"/>
      <c r="AK132" s="440"/>
      <c r="AL132" s="440"/>
      <c r="AM132" s="440"/>
    </row>
    <row r="133" spans="3:39" x14ac:dyDescent="0.35">
      <c r="C133" s="441" t="s">
        <v>31</v>
      </c>
      <c r="D133" s="441"/>
      <c r="E133" s="224">
        <v>0</v>
      </c>
      <c r="F133" s="224">
        <v>0</v>
      </c>
      <c r="G133" s="216">
        <v>0.60548661005878501</v>
      </c>
      <c r="H133" s="216">
        <v>0.12495101241018899</v>
      </c>
      <c r="I133" s="216">
        <v>2.6631725060820001E-4</v>
      </c>
      <c r="J133" s="216">
        <v>2.6631725060820001E-4</v>
      </c>
      <c r="K133" s="216">
        <v>3.74265186152841E-2</v>
      </c>
      <c r="L133" s="216">
        <v>0</v>
      </c>
      <c r="M133" s="216">
        <v>0</v>
      </c>
      <c r="N133" s="216">
        <v>0</v>
      </c>
      <c r="O133" s="216">
        <v>0</v>
      </c>
      <c r="P133" s="216">
        <v>0</v>
      </c>
      <c r="Q133" s="216">
        <v>0.23213585891574101</v>
      </c>
      <c r="R133" s="216">
        <v>1.2597185009542401E-3</v>
      </c>
      <c r="S133" s="216">
        <v>0</v>
      </c>
      <c r="T133" s="216">
        <f t="shared" si="4"/>
        <v>1.0017923530021697</v>
      </c>
      <c r="U133" s="217"/>
      <c r="W133" s="172" t="s">
        <v>485</v>
      </c>
      <c r="X133" s="172" t="s">
        <v>498</v>
      </c>
      <c r="Y133" s="218">
        <f>'Mix éner %'!Y190</f>
        <v>0.16</v>
      </c>
      <c r="Z133" s="218">
        <f>'Mix éner %'!Z190</f>
        <v>0</v>
      </c>
      <c r="AA133" s="218">
        <f>'Mix éner %'!AA190</f>
        <v>8.5000000000000006E-2</v>
      </c>
      <c r="AB133" s="218">
        <f>'Mix éner %'!AB190</f>
        <v>0.66600000000000004</v>
      </c>
      <c r="AC133" s="218">
        <f>'Mix éner %'!AC190</f>
        <v>0.02</v>
      </c>
      <c r="AD133" s="218">
        <f>'Mix éner %'!AD190</f>
        <v>0</v>
      </c>
      <c r="AE133" s="218">
        <f>'Mix éner %'!AE190</f>
        <v>0</v>
      </c>
      <c r="AF133" s="218">
        <f>'Mix éner %'!AF190</f>
        <v>0</v>
      </c>
      <c r="AG133" s="218">
        <f>'Mix éner %'!AG190</f>
        <v>0</v>
      </c>
      <c r="AH133" s="218">
        <f>'Mix éner %'!AH190</f>
        <v>0</v>
      </c>
      <c r="AI133" s="218">
        <f>'Mix éner %'!AI190</f>
        <v>0.06</v>
      </c>
      <c r="AJ133" s="218">
        <f>'Mix éner %'!AJ190</f>
        <v>0</v>
      </c>
      <c r="AK133" s="218">
        <f>'Mix éner %'!AK190</f>
        <v>9.4626776531150699E-3</v>
      </c>
      <c r="AL133" s="218">
        <f>'Mix éner %'!AL190</f>
        <v>0</v>
      </c>
      <c r="AM133" s="218">
        <f>'Mix éner %'!AM190</f>
        <v>1.0004626776531151</v>
      </c>
    </row>
    <row r="134" spans="3:39" x14ac:dyDescent="0.35">
      <c r="C134" s="435" t="s">
        <v>488</v>
      </c>
      <c r="D134" s="435"/>
      <c r="E134" s="225"/>
      <c r="F134" s="225"/>
      <c r="G134" s="225"/>
      <c r="H134" s="225"/>
      <c r="I134" s="225"/>
      <c r="J134" s="225"/>
      <c r="K134" s="225"/>
      <c r="L134" s="225"/>
      <c r="M134" s="225"/>
      <c r="N134" s="225"/>
      <c r="O134" s="225"/>
      <c r="P134" s="225"/>
      <c r="Q134" s="225"/>
      <c r="R134" s="225"/>
      <c r="S134" s="225"/>
      <c r="T134" s="221">
        <f t="shared" si="4"/>
        <v>0</v>
      </c>
      <c r="U134" s="217"/>
      <c r="W134" s="172" t="s">
        <v>486</v>
      </c>
      <c r="X134" s="172" t="s">
        <v>498</v>
      </c>
      <c r="Y134" s="218">
        <f>'Mix éner %'!Y194</f>
        <v>0</v>
      </c>
      <c r="Z134" s="218">
        <f>'Mix éner %'!Z194</f>
        <v>0</v>
      </c>
      <c r="AA134" s="218">
        <f>'Mix éner %'!AA194</f>
        <v>2.5000000000000001E-2</v>
      </c>
      <c r="AB134" s="218">
        <f>'Mix éner %'!AB194</f>
        <v>0.379441691839836</v>
      </c>
      <c r="AC134" s="218">
        <f>'Mix éner %'!AC194</f>
        <v>0.06</v>
      </c>
      <c r="AD134" s="218">
        <f>'Mix éner %'!AD194</f>
        <v>0</v>
      </c>
      <c r="AE134" s="218">
        <f>'Mix éner %'!AE194</f>
        <v>0</v>
      </c>
      <c r="AF134" s="218">
        <f>'Mix éner %'!AF194</f>
        <v>0</v>
      </c>
      <c r="AG134" s="218">
        <f>'Mix éner %'!AG194</f>
        <v>0</v>
      </c>
      <c r="AH134" s="218">
        <f>'Mix éner %'!AH194</f>
        <v>0</v>
      </c>
      <c r="AI134" s="218">
        <f>'Mix éner %'!AI194</f>
        <v>0.48</v>
      </c>
      <c r="AJ134" s="218">
        <f>'Mix éner %'!AJ194</f>
        <v>0</v>
      </c>
      <c r="AK134" s="218">
        <f>'Mix éner %'!AK194</f>
        <v>5.5823099680444598E-2</v>
      </c>
      <c r="AL134" s="218">
        <f>'Mix éner %'!AL194</f>
        <v>0</v>
      </c>
      <c r="AM134" s="218">
        <f>'Mix éner %'!AM194</f>
        <v>1.0002647915202805</v>
      </c>
    </row>
    <row r="135" spans="3:39" x14ac:dyDescent="0.35">
      <c r="C135" s="189" t="s">
        <v>489</v>
      </c>
      <c r="D135" s="190" t="s">
        <v>498</v>
      </c>
      <c r="E135" s="216">
        <v>5.4480176252742795E-4</v>
      </c>
      <c r="F135" s="216">
        <v>0</v>
      </c>
      <c r="G135" s="216">
        <v>1.72156315557155E-2</v>
      </c>
      <c r="H135" s="216">
        <v>0.30607318583021498</v>
      </c>
      <c r="I135" s="216">
        <v>0</v>
      </c>
      <c r="J135" s="216">
        <v>0</v>
      </c>
      <c r="K135" s="216">
        <v>0.27917177635277701</v>
      </c>
      <c r="L135" s="216">
        <v>0</v>
      </c>
      <c r="M135" s="216">
        <v>0</v>
      </c>
      <c r="N135" s="216">
        <v>0</v>
      </c>
      <c r="O135" s="216">
        <v>0</v>
      </c>
      <c r="P135" s="216">
        <v>0</v>
      </c>
      <c r="Q135" s="216">
        <v>0.27929983154586702</v>
      </c>
      <c r="R135" s="216">
        <v>0.114087060571334</v>
      </c>
      <c r="S135" s="216">
        <v>0</v>
      </c>
      <c r="T135" s="216">
        <f t="shared" si="4"/>
        <v>0.9963922876184359</v>
      </c>
      <c r="U135" s="217"/>
      <c r="W135" s="432" t="s">
        <v>487</v>
      </c>
      <c r="X135" s="432"/>
      <c r="Y135" s="221">
        <f>'Mix éner %'!Y198</f>
        <v>0</v>
      </c>
      <c r="Z135" s="221">
        <f>'Mix éner %'!Z198</f>
        <v>0</v>
      </c>
      <c r="AA135" s="221">
        <f>'Mix éner %'!AA198</f>
        <v>4.5328498293515401E-2</v>
      </c>
      <c r="AB135" s="221">
        <f>'Mix éner %'!AB198</f>
        <v>0.36499999999999999</v>
      </c>
      <c r="AC135" s="221">
        <f>'Mix éner %'!AC198</f>
        <v>8.0000000000000002E-3</v>
      </c>
      <c r="AD135" s="221">
        <f>'Mix éner %'!AD198</f>
        <v>0</v>
      </c>
      <c r="AE135" s="221">
        <f>'Mix éner %'!AE198</f>
        <v>0</v>
      </c>
      <c r="AF135" s="221">
        <f>'Mix éner %'!AF198</f>
        <v>0</v>
      </c>
      <c r="AG135" s="221">
        <f>'Mix éner %'!AG198</f>
        <v>0</v>
      </c>
      <c r="AH135" s="221">
        <f>'Mix éner %'!AH198</f>
        <v>0</v>
      </c>
      <c r="AI135" s="221">
        <f>'Mix éner %'!AI198</f>
        <v>0.57999999999999996</v>
      </c>
      <c r="AJ135" s="221">
        <f>'Mix éner %'!AJ198</f>
        <v>0</v>
      </c>
      <c r="AK135" s="221">
        <f>'Mix éner %'!AK198</f>
        <v>1.2597185009542401E-3</v>
      </c>
      <c r="AL135" s="221">
        <f>'Mix éner %'!AL198</f>
        <v>0</v>
      </c>
      <c r="AM135" s="221">
        <f>'Mix éner %'!AM198</f>
        <v>0.99958821679446952</v>
      </c>
    </row>
    <row r="136" spans="3:39" x14ac:dyDescent="0.35">
      <c r="C136" s="189" t="s">
        <v>490</v>
      </c>
      <c r="D136" s="190" t="s">
        <v>498</v>
      </c>
      <c r="E136" s="216">
        <v>0</v>
      </c>
      <c r="F136" s="216">
        <v>0</v>
      </c>
      <c r="G136" s="216">
        <v>0.142357192645614</v>
      </c>
      <c r="H136" s="216">
        <v>0.31047389168022199</v>
      </c>
      <c r="I136" s="216">
        <v>0</v>
      </c>
      <c r="J136" s="216">
        <v>0</v>
      </c>
      <c r="K136" s="216">
        <v>4.4062207116484703E-2</v>
      </c>
      <c r="L136" s="216">
        <v>0</v>
      </c>
      <c r="M136" s="216">
        <v>0</v>
      </c>
      <c r="N136" s="216">
        <v>0</v>
      </c>
      <c r="O136" s="216">
        <v>0</v>
      </c>
      <c r="P136" s="216">
        <v>0</v>
      </c>
      <c r="Q136" s="216">
        <v>0.47960206881992801</v>
      </c>
      <c r="R136" s="216">
        <v>2.3504639737751201E-2</v>
      </c>
      <c r="S136" s="216">
        <v>0</v>
      </c>
      <c r="T136" s="216">
        <f t="shared" si="4"/>
        <v>0.99999999999999978</v>
      </c>
      <c r="U136" s="217"/>
      <c r="W136" s="432" t="s">
        <v>31</v>
      </c>
      <c r="X136" s="432"/>
      <c r="Y136" s="221">
        <f>'Mix éner %'!Y202</f>
        <v>0</v>
      </c>
      <c r="Z136" s="221">
        <f>'Mix éner %'!Z202</f>
        <v>0</v>
      </c>
      <c r="AA136" s="221">
        <f>'Mix éner %'!AA202</f>
        <v>0.60548661005878501</v>
      </c>
      <c r="AB136" s="221">
        <f>'Mix éner %'!AB202</f>
        <v>0.12495101241018899</v>
      </c>
      <c r="AC136" s="221">
        <f>'Mix éner %'!AC202</f>
        <v>3.74265186152841E-2</v>
      </c>
      <c r="AD136" s="221">
        <f>'Mix éner %'!AD202</f>
        <v>0</v>
      </c>
      <c r="AE136" s="221">
        <f>'Mix éner %'!AE202</f>
        <v>0</v>
      </c>
      <c r="AF136" s="221">
        <f>'Mix éner %'!AF202</f>
        <v>0</v>
      </c>
      <c r="AG136" s="221">
        <f>'Mix éner %'!AG202</f>
        <v>0</v>
      </c>
      <c r="AH136" s="221">
        <f>'Mix éner %'!AH202</f>
        <v>0</v>
      </c>
      <c r="AI136" s="221">
        <f>'Mix éner %'!AI202</f>
        <v>0.23213585891574101</v>
      </c>
      <c r="AJ136" s="221">
        <f>'Mix éner %'!AJ202</f>
        <v>0</v>
      </c>
      <c r="AK136" s="221">
        <f>'Mix éner %'!AK202</f>
        <v>0</v>
      </c>
      <c r="AL136" s="221">
        <f>'Mix éner %'!AL202</f>
        <v>0</v>
      </c>
      <c r="AM136" s="221">
        <f>'Mix éner %'!AM202</f>
        <v>0.99999999999999911</v>
      </c>
    </row>
    <row r="137" spans="3:39" x14ac:dyDescent="0.35">
      <c r="W137" s="432" t="s">
        <v>488</v>
      </c>
      <c r="X137" s="432"/>
      <c r="Y137" s="440"/>
      <c r="Z137" s="440"/>
      <c r="AA137" s="440"/>
      <c r="AB137" s="440"/>
      <c r="AC137" s="440"/>
      <c r="AD137" s="440"/>
      <c r="AE137" s="440"/>
      <c r="AF137" s="440"/>
      <c r="AG137" s="440"/>
      <c r="AH137" s="440"/>
      <c r="AI137" s="440"/>
      <c r="AJ137" s="440"/>
      <c r="AK137" s="440"/>
      <c r="AL137" s="440"/>
      <c r="AM137" s="440"/>
    </row>
    <row r="138" spans="3:39" x14ac:dyDescent="0.35">
      <c r="W138" s="172" t="s">
        <v>489</v>
      </c>
      <c r="X138" s="172" t="s">
        <v>498</v>
      </c>
      <c r="Y138" s="218">
        <f>'Mix éner %'!Y207</f>
        <v>0</v>
      </c>
      <c r="Z138" s="218">
        <f>'Mix éner %'!Z207</f>
        <v>0</v>
      </c>
      <c r="AA138" s="218">
        <f>'Mix éner %'!AA207</f>
        <v>0.01</v>
      </c>
      <c r="AB138" s="218">
        <f>'Mix éner %'!AB207</f>
        <v>0.3</v>
      </c>
      <c r="AC138" s="218">
        <f>'Mix éner %'!AC207</f>
        <v>0.27200000000000002</v>
      </c>
      <c r="AD138" s="218">
        <f>'Mix éner %'!AD207</f>
        <v>2.5000000000000001E-2</v>
      </c>
      <c r="AE138" s="218">
        <f>'Mix éner %'!AE207</f>
        <v>0</v>
      </c>
      <c r="AF138" s="218">
        <f>'Mix éner %'!AF207</f>
        <v>0</v>
      </c>
      <c r="AG138" s="218">
        <f>'Mix éner %'!AG207</f>
        <v>0</v>
      </c>
      <c r="AH138" s="218">
        <f>'Mix éner %'!AH207</f>
        <v>0</v>
      </c>
      <c r="AI138" s="218">
        <f>'Mix éner %'!AI207</f>
        <v>0.27929983154586702</v>
      </c>
      <c r="AJ138" s="218">
        <f>'Mix éner %'!AJ207</f>
        <v>0</v>
      </c>
      <c r="AK138" s="218">
        <f>'Mix éner %'!AK207</f>
        <v>0.114087060571334</v>
      </c>
      <c r="AL138" s="218">
        <f>'Mix éner %'!AL207</f>
        <v>0</v>
      </c>
      <c r="AM138" s="218">
        <f>'Mix éner %'!AM207</f>
        <v>1.0003868921172012</v>
      </c>
    </row>
    <row r="139" spans="3:39" x14ac:dyDescent="0.35">
      <c r="W139" s="172" t="s">
        <v>490</v>
      </c>
      <c r="X139" s="172" t="s">
        <v>498</v>
      </c>
      <c r="Y139" s="218">
        <f>'Mix éner %'!Y211</f>
        <v>0</v>
      </c>
      <c r="Z139" s="218">
        <f>'Mix éner %'!Z211</f>
        <v>0</v>
      </c>
      <c r="AA139" s="218">
        <f>'Mix éner %'!AA211</f>
        <v>0.142357192645614</v>
      </c>
      <c r="AB139" s="218">
        <f>'Mix éner %'!AB211</f>
        <v>0.31047389168022199</v>
      </c>
      <c r="AC139" s="218">
        <f>'Mix éner %'!AC211</f>
        <v>4.4062207116484703E-2</v>
      </c>
      <c r="AD139" s="218">
        <f>'Mix éner %'!AD211</f>
        <v>0</v>
      </c>
      <c r="AE139" s="218">
        <f>'Mix éner %'!AE211</f>
        <v>0</v>
      </c>
      <c r="AF139" s="218">
        <f>'Mix éner %'!AF211</f>
        <v>0</v>
      </c>
      <c r="AG139" s="218">
        <f>'Mix éner %'!AG211</f>
        <v>0</v>
      </c>
      <c r="AH139" s="218">
        <f>'Mix éner %'!AH211</f>
        <v>0</v>
      </c>
      <c r="AI139" s="218">
        <f>'Mix éner %'!AI211</f>
        <v>0.47960206881992801</v>
      </c>
      <c r="AJ139" s="218">
        <f>'Mix éner %'!AJ211</f>
        <v>0</v>
      </c>
      <c r="AK139" s="218">
        <f>'Mix éner %'!AK211</f>
        <v>2.3504639737751201E-2</v>
      </c>
      <c r="AL139" s="218">
        <f>'Mix éner %'!AL211</f>
        <v>0</v>
      </c>
      <c r="AM139" s="218">
        <f>'Mix éner %'!AM211</f>
        <v>0.99999999999999978</v>
      </c>
    </row>
    <row r="141" spans="3:39" x14ac:dyDescent="0.35">
      <c r="Y141" s="171"/>
      <c r="Z141" s="171"/>
      <c r="AA141" s="171"/>
      <c r="AB141" s="171"/>
      <c r="AC141" s="171"/>
      <c r="AD141" s="171"/>
      <c r="AE141" s="171"/>
      <c r="AF141" s="171"/>
      <c r="AG141" s="171"/>
      <c r="AH141" s="171"/>
      <c r="AI141" s="171"/>
      <c r="AJ141" s="171"/>
      <c r="AK141" s="171"/>
      <c r="AL141" s="171"/>
      <c r="AM141" s="171"/>
    </row>
    <row r="142" spans="3:39" x14ac:dyDescent="0.35">
      <c r="C142" s="437" t="s">
        <v>542</v>
      </c>
      <c r="D142" s="437"/>
      <c r="E142" s="437"/>
      <c r="F142" s="437"/>
      <c r="G142" s="437"/>
      <c r="H142" s="437"/>
      <c r="I142" s="437"/>
      <c r="J142" s="437"/>
      <c r="K142" s="437"/>
      <c r="L142" s="437"/>
      <c r="M142" s="437"/>
      <c r="N142" s="437"/>
      <c r="O142" s="437"/>
      <c r="P142" s="437"/>
      <c r="Q142" s="437"/>
      <c r="R142" s="437"/>
      <c r="S142" s="437"/>
      <c r="T142" s="437"/>
      <c r="U142" s="213"/>
    </row>
    <row r="143" spans="3:39" ht="14.65" customHeight="1" x14ac:dyDescent="0.35">
      <c r="C143" s="438" t="s">
        <v>495</v>
      </c>
      <c r="D143" s="438"/>
      <c r="E143" s="439" t="s">
        <v>439</v>
      </c>
      <c r="F143" s="439" t="s">
        <v>440</v>
      </c>
      <c r="G143" s="439" t="s">
        <v>441</v>
      </c>
      <c r="H143" s="439" t="s">
        <v>442</v>
      </c>
      <c r="I143" s="439" t="s">
        <v>537</v>
      </c>
      <c r="J143" s="439" t="s">
        <v>538</v>
      </c>
      <c r="K143" s="439" t="s">
        <v>443</v>
      </c>
      <c r="L143" s="439"/>
      <c r="M143" s="439"/>
      <c r="N143" s="439"/>
      <c r="O143" s="439"/>
      <c r="P143" s="439"/>
      <c r="Q143" s="439" t="s">
        <v>446</v>
      </c>
      <c r="R143" s="439" t="s">
        <v>447</v>
      </c>
      <c r="S143" s="439" t="s">
        <v>448</v>
      </c>
      <c r="T143" s="439" t="s">
        <v>52</v>
      </c>
      <c r="U143" s="214"/>
      <c r="W143" s="429">
        <v>2050</v>
      </c>
      <c r="X143" s="429"/>
      <c r="Y143" s="429"/>
      <c r="Z143" s="429"/>
      <c r="AA143" s="429"/>
      <c r="AB143" s="429"/>
      <c r="AC143" s="429"/>
      <c r="AD143" s="429"/>
      <c r="AE143" s="429"/>
      <c r="AF143" s="429"/>
      <c r="AG143" s="429"/>
      <c r="AH143" s="429"/>
      <c r="AI143" s="429"/>
      <c r="AJ143" s="429"/>
      <c r="AK143" s="429"/>
      <c r="AL143" s="429"/>
      <c r="AM143" s="429"/>
    </row>
    <row r="144" spans="3:39" ht="70.5" customHeight="1" x14ac:dyDescent="0.35">
      <c r="C144" s="435" t="s">
        <v>24</v>
      </c>
      <c r="D144" s="435"/>
      <c r="E144" s="439"/>
      <c r="F144" s="439"/>
      <c r="G144" s="439"/>
      <c r="H144" s="439"/>
      <c r="I144" s="439"/>
      <c r="J144" s="439"/>
      <c r="K144" s="182" t="s">
        <v>451</v>
      </c>
      <c r="L144" s="182" t="s">
        <v>452</v>
      </c>
      <c r="M144" s="182" t="s">
        <v>453</v>
      </c>
      <c r="N144" s="182" t="s">
        <v>454</v>
      </c>
      <c r="O144" s="182" t="s">
        <v>444</v>
      </c>
      <c r="P144" s="182" t="s">
        <v>445</v>
      </c>
      <c r="Q144" s="439"/>
      <c r="R144" s="439"/>
      <c r="S144" s="439" t="s">
        <v>448</v>
      </c>
      <c r="T144" s="439"/>
      <c r="U144" s="214"/>
      <c r="W144" s="430" t="s">
        <v>539</v>
      </c>
      <c r="X144" s="430"/>
      <c r="Y144" s="431" t="s">
        <v>439</v>
      </c>
      <c r="Z144" s="166"/>
      <c r="AA144" s="431" t="s">
        <v>441</v>
      </c>
      <c r="AB144" s="431" t="s">
        <v>442</v>
      </c>
      <c r="AC144" s="431" t="s">
        <v>443</v>
      </c>
      <c r="AD144" s="431"/>
      <c r="AE144" s="431"/>
      <c r="AF144" s="431"/>
      <c r="AG144" s="431" t="s">
        <v>444</v>
      </c>
      <c r="AH144" s="431" t="s">
        <v>445</v>
      </c>
      <c r="AI144" s="431" t="s">
        <v>446</v>
      </c>
      <c r="AJ144" s="168"/>
      <c r="AK144" s="431" t="s">
        <v>447</v>
      </c>
      <c r="AL144" s="167" t="s">
        <v>448</v>
      </c>
      <c r="AM144" s="431" t="s">
        <v>52</v>
      </c>
    </row>
    <row r="145" spans="3:39" ht="43.5" x14ac:dyDescent="0.35">
      <c r="C145" s="189" t="s">
        <v>461</v>
      </c>
      <c r="D145" s="190" t="s">
        <v>498</v>
      </c>
      <c r="E145" s="215">
        <v>0.29818412658464</v>
      </c>
      <c r="F145" s="215">
        <v>0</v>
      </c>
      <c r="G145" s="215">
        <v>0</v>
      </c>
      <c r="H145" s="215">
        <v>0.32</v>
      </c>
      <c r="I145" s="215">
        <v>0</v>
      </c>
      <c r="J145" s="215">
        <v>0</v>
      </c>
      <c r="K145" s="215">
        <v>0</v>
      </c>
      <c r="L145" s="215">
        <v>0</v>
      </c>
      <c r="M145" s="215">
        <v>0</v>
      </c>
      <c r="N145" s="215">
        <v>0</v>
      </c>
      <c r="O145" s="215">
        <v>0</v>
      </c>
      <c r="P145" s="215">
        <v>0</v>
      </c>
      <c r="Q145" s="215">
        <v>0.27684596103582199</v>
      </c>
      <c r="R145" s="215">
        <v>0</v>
      </c>
      <c r="S145" s="215">
        <v>0.104969912379538</v>
      </c>
      <c r="T145" s="216">
        <f t="shared" ref="T145:T150" si="5">SUM(E145:S145)</f>
        <v>1</v>
      </c>
      <c r="U145" s="217"/>
      <c r="W145" s="430"/>
      <c r="X145" s="430"/>
      <c r="Y145" s="431"/>
      <c r="Z145" s="166" t="s">
        <v>455</v>
      </c>
      <c r="AA145" s="431"/>
      <c r="AB145" s="431"/>
      <c r="AC145" s="167" t="s">
        <v>451</v>
      </c>
      <c r="AD145" s="167" t="s">
        <v>452</v>
      </c>
      <c r="AE145" s="167" t="s">
        <v>453</v>
      </c>
      <c r="AF145" s="167" t="s">
        <v>454</v>
      </c>
      <c r="AG145" s="431"/>
      <c r="AH145" s="431"/>
      <c r="AI145" s="431"/>
      <c r="AJ145" s="169" t="s">
        <v>456</v>
      </c>
      <c r="AK145" s="431"/>
      <c r="AL145" s="167" t="s">
        <v>448</v>
      </c>
      <c r="AM145" s="431"/>
    </row>
    <row r="146" spans="3:39" x14ac:dyDescent="0.35">
      <c r="C146" s="189" t="s">
        <v>464</v>
      </c>
      <c r="D146" s="190" t="s">
        <v>498</v>
      </c>
      <c r="E146" s="215">
        <v>1.4999999999999999E-2</v>
      </c>
      <c r="F146" s="215">
        <v>0</v>
      </c>
      <c r="G146" s="215">
        <v>0.02</v>
      </c>
      <c r="H146" s="215">
        <v>0.21099999999999999</v>
      </c>
      <c r="I146" s="215">
        <v>0</v>
      </c>
      <c r="J146" s="215">
        <v>0</v>
      </c>
      <c r="K146" s="215">
        <v>2.9000000000000001E-2</v>
      </c>
      <c r="L146" s="215">
        <v>0</v>
      </c>
      <c r="M146" s="215">
        <v>0</v>
      </c>
      <c r="N146" s="215">
        <v>0</v>
      </c>
      <c r="O146" s="215">
        <v>0</v>
      </c>
      <c r="P146" s="215">
        <v>0</v>
      </c>
      <c r="Q146" s="215">
        <v>0.72499999999999998</v>
      </c>
      <c r="R146" s="215">
        <v>0</v>
      </c>
      <c r="S146" s="215">
        <v>0</v>
      </c>
      <c r="T146" s="216">
        <f t="shared" si="5"/>
        <v>1</v>
      </c>
      <c r="U146" s="217"/>
      <c r="W146" s="432" t="s">
        <v>24</v>
      </c>
      <c r="X146" s="432"/>
      <c r="Y146" s="440"/>
      <c r="Z146" s="440"/>
      <c r="AA146" s="440"/>
      <c r="AB146" s="440"/>
      <c r="AC146" s="440"/>
      <c r="AD146" s="440"/>
      <c r="AE146" s="440"/>
      <c r="AF146" s="440"/>
      <c r="AG146" s="440"/>
      <c r="AH146" s="440"/>
      <c r="AI146" s="440"/>
      <c r="AJ146" s="440"/>
      <c r="AK146" s="440"/>
      <c r="AL146" s="440"/>
      <c r="AM146" s="440"/>
    </row>
    <row r="147" spans="3:39" x14ac:dyDescent="0.35">
      <c r="C147" s="189" t="s">
        <v>466</v>
      </c>
      <c r="D147" s="190" t="s">
        <v>498</v>
      </c>
      <c r="E147" s="215">
        <v>0</v>
      </c>
      <c r="F147" s="215">
        <v>0</v>
      </c>
      <c r="G147" s="215">
        <v>0</v>
      </c>
      <c r="H147" s="215">
        <v>0.15207756232687</v>
      </c>
      <c r="I147" s="215">
        <v>0</v>
      </c>
      <c r="J147" s="215">
        <v>0</v>
      </c>
      <c r="K147" s="215">
        <v>0</v>
      </c>
      <c r="L147" s="215">
        <v>0</v>
      </c>
      <c r="M147" s="215">
        <v>0</v>
      </c>
      <c r="N147" s="215">
        <v>0</v>
      </c>
      <c r="O147" s="215">
        <v>0</v>
      </c>
      <c r="P147" s="215">
        <v>0</v>
      </c>
      <c r="Q147" s="215">
        <v>0.13767313019390601</v>
      </c>
      <c r="R147" s="215">
        <v>0</v>
      </c>
      <c r="S147" s="215">
        <v>0.71024930747922399</v>
      </c>
      <c r="T147" s="216">
        <f t="shared" si="5"/>
        <v>1</v>
      </c>
      <c r="U147" s="217"/>
      <c r="W147" s="172" t="s">
        <v>461</v>
      </c>
      <c r="X147" s="172" t="s">
        <v>498</v>
      </c>
      <c r="Y147" s="218">
        <f>'Mix éner %'!Y136</f>
        <v>0.40361843755597487</v>
      </c>
      <c r="Z147" s="218">
        <f>'Mix éner %'!Z136</f>
        <v>0.59638156244402507</v>
      </c>
      <c r="AA147" s="218">
        <f>'Mix éner %'!AA136</f>
        <v>0</v>
      </c>
      <c r="AB147" s="218">
        <f>'Mix éner %'!AB136</f>
        <v>0</v>
      </c>
      <c r="AC147" s="218">
        <f>'Mix éner %'!AC136</f>
        <v>0</v>
      </c>
      <c r="AD147" s="218">
        <f>'Mix éner %'!AD136</f>
        <v>0</v>
      </c>
      <c r="AE147" s="218">
        <f>'Mix éner %'!AE136</f>
        <v>0</v>
      </c>
      <c r="AF147" s="218">
        <f>'Mix éner %'!AF136</f>
        <v>0</v>
      </c>
      <c r="AG147" s="218">
        <f>'Mix éner %'!AG136</f>
        <v>0</v>
      </c>
      <c r="AH147" s="218">
        <f>'Mix éner %'!AH136</f>
        <v>0</v>
      </c>
      <c r="AI147" s="218">
        <f>'Mix éner %'!AI136</f>
        <v>0</v>
      </c>
      <c r="AJ147" s="218">
        <f>'Mix éner %'!AJ136</f>
        <v>0</v>
      </c>
      <c r="AK147" s="218">
        <f>'Mix éner %'!AK136</f>
        <v>0</v>
      </c>
      <c r="AL147" s="218">
        <f>'Mix éner %'!AL136</f>
        <v>0</v>
      </c>
      <c r="AM147" s="218">
        <f>'Mix éner %'!AM136</f>
        <v>1</v>
      </c>
    </row>
    <row r="148" spans="3:39" x14ac:dyDescent="0.35">
      <c r="C148" s="189" t="s">
        <v>469</v>
      </c>
      <c r="D148" s="190" t="s">
        <v>498</v>
      </c>
      <c r="E148" s="201">
        <v>4.0000000000000001E-3</v>
      </c>
      <c r="F148" s="216">
        <v>0</v>
      </c>
      <c r="G148" s="201">
        <v>2.8000000000000001E-2</v>
      </c>
      <c r="H148" s="201">
        <v>0.25</v>
      </c>
      <c r="I148" s="215">
        <v>0</v>
      </c>
      <c r="J148" s="215">
        <v>0</v>
      </c>
      <c r="K148" s="215">
        <v>0</v>
      </c>
      <c r="L148" s="215">
        <v>0</v>
      </c>
      <c r="M148" s="215">
        <v>0</v>
      </c>
      <c r="N148" s="215">
        <v>0</v>
      </c>
      <c r="O148" s="215">
        <v>0</v>
      </c>
      <c r="P148" s="215">
        <v>0</v>
      </c>
      <c r="Q148" s="201">
        <v>0.71</v>
      </c>
      <c r="R148" s="201">
        <v>8.0000000000000002E-3</v>
      </c>
      <c r="S148" s="216">
        <v>0</v>
      </c>
      <c r="T148" s="216">
        <f t="shared" si="5"/>
        <v>1</v>
      </c>
      <c r="U148" s="217"/>
      <c r="W148" s="172" t="s">
        <v>464</v>
      </c>
      <c r="X148" s="172" t="s">
        <v>498</v>
      </c>
      <c r="Y148" s="218">
        <f>'Mix éner %'!Y140</f>
        <v>0</v>
      </c>
      <c r="Z148" s="218">
        <f>'Mix éner %'!Z140</f>
        <v>0</v>
      </c>
      <c r="AA148" s="218">
        <f>'Mix éner %'!AA140</f>
        <v>0.02</v>
      </c>
      <c r="AB148" s="218">
        <f>'Mix éner %'!AB140</f>
        <v>0.22999999999999998</v>
      </c>
      <c r="AC148" s="218">
        <f>'Mix éner %'!AC140</f>
        <v>0.02</v>
      </c>
      <c r="AD148" s="218">
        <f>'Mix éner %'!AD140</f>
        <v>0</v>
      </c>
      <c r="AE148" s="218">
        <f>'Mix éner %'!AE140</f>
        <v>0</v>
      </c>
      <c r="AF148" s="218">
        <f>'Mix éner %'!AF140</f>
        <v>0</v>
      </c>
      <c r="AG148" s="218">
        <f>'Mix éner %'!AG140</f>
        <v>0</v>
      </c>
      <c r="AH148" s="218">
        <f>'Mix éner %'!AH140</f>
        <v>0</v>
      </c>
      <c r="AI148" s="218">
        <f>'Mix éner %'!AI140</f>
        <v>0.73</v>
      </c>
      <c r="AJ148" s="218">
        <f>'Mix éner %'!AJ140</f>
        <v>0</v>
      </c>
      <c r="AK148" s="218">
        <f>'Mix éner %'!AK140</f>
        <v>0</v>
      </c>
      <c r="AL148" s="218">
        <f>'Mix éner %'!AL140</f>
        <v>0</v>
      </c>
      <c r="AM148" s="218">
        <f>'Mix éner %'!AM140</f>
        <v>1</v>
      </c>
    </row>
    <row r="149" spans="3:39" x14ac:dyDescent="0.35">
      <c r="C149" s="189" t="s">
        <v>471</v>
      </c>
      <c r="D149" s="190" t="s">
        <v>498</v>
      </c>
      <c r="E149" s="216">
        <v>0</v>
      </c>
      <c r="F149" s="216">
        <v>0</v>
      </c>
      <c r="G149" s="216">
        <v>0</v>
      </c>
      <c r="H149" s="216">
        <v>0.8</v>
      </c>
      <c r="I149" s="215">
        <v>0</v>
      </c>
      <c r="J149" s="215">
        <v>0</v>
      </c>
      <c r="K149" s="215">
        <v>0</v>
      </c>
      <c r="L149" s="215">
        <v>0</v>
      </c>
      <c r="M149" s="215">
        <v>0</v>
      </c>
      <c r="N149" s="215">
        <v>0</v>
      </c>
      <c r="O149" s="215">
        <v>0</v>
      </c>
      <c r="P149" s="215">
        <v>0</v>
      </c>
      <c r="Q149" s="216">
        <v>0.2</v>
      </c>
      <c r="R149" s="216">
        <v>0</v>
      </c>
      <c r="S149" s="216">
        <v>0</v>
      </c>
      <c r="T149" s="216">
        <f t="shared" si="5"/>
        <v>1</v>
      </c>
      <c r="U149" s="217"/>
      <c r="W149" s="172" t="s">
        <v>466</v>
      </c>
      <c r="X149" s="172" t="s">
        <v>498</v>
      </c>
      <c r="Y149" s="218">
        <f>'Mix éner %'!Y144</f>
        <v>0</v>
      </c>
      <c r="Z149" s="218">
        <f>'Mix éner %'!Z144</f>
        <v>0</v>
      </c>
      <c r="AA149" s="218">
        <f>'Mix éner %'!AA144</f>
        <v>0</v>
      </c>
      <c r="AB149" s="218">
        <f>'Mix éner %'!AB144</f>
        <v>0</v>
      </c>
      <c r="AC149" s="218">
        <f>'Mix éner %'!AC144</f>
        <v>0</v>
      </c>
      <c r="AD149" s="218">
        <f>'Mix éner %'!AD144</f>
        <v>0</v>
      </c>
      <c r="AE149" s="218">
        <f>'Mix éner %'!AE144</f>
        <v>0</v>
      </c>
      <c r="AF149" s="218">
        <f>'Mix éner %'!AF144</f>
        <v>0</v>
      </c>
      <c r="AG149" s="218">
        <f>'Mix éner %'!AG144</f>
        <v>0</v>
      </c>
      <c r="AH149" s="218">
        <f>'Mix éner %'!AH144</f>
        <v>0</v>
      </c>
      <c r="AI149" s="218">
        <f>'Mix éner %'!AI144</f>
        <v>0</v>
      </c>
      <c r="AJ149" s="218">
        <f>'Mix éner %'!AJ144</f>
        <v>0</v>
      </c>
      <c r="AK149" s="218">
        <f>'Mix éner %'!AK144</f>
        <v>0</v>
      </c>
      <c r="AL149" s="218">
        <f>'Mix éner %'!AL144</f>
        <v>0</v>
      </c>
      <c r="AM149" s="218">
        <f>'Mix éner %'!AM144</f>
        <v>0</v>
      </c>
    </row>
    <row r="150" spans="3:39" x14ac:dyDescent="0.35">
      <c r="C150" s="189" t="s">
        <v>473</v>
      </c>
      <c r="D150" s="190" t="s">
        <v>498</v>
      </c>
      <c r="E150" s="216">
        <v>2.18316716171187E-4</v>
      </c>
      <c r="F150" s="216">
        <v>2.18316716171187E-4</v>
      </c>
      <c r="G150" s="216">
        <v>0.152259671871665</v>
      </c>
      <c r="H150" s="216">
        <v>0.15712852885131401</v>
      </c>
      <c r="I150" s="216">
        <v>2.18316716171187E-4</v>
      </c>
      <c r="J150" s="216">
        <v>2.18316716171187E-4</v>
      </c>
      <c r="K150" s="216">
        <v>2.18316716171187E-4</v>
      </c>
      <c r="L150" s="216">
        <v>2.18316716171187E-4</v>
      </c>
      <c r="M150" s="216">
        <v>2.18316716171187E-4</v>
      </c>
      <c r="N150" s="216">
        <v>2.18316716171187E-4</v>
      </c>
      <c r="O150" s="216">
        <v>2.18316716171187E-4</v>
      </c>
      <c r="P150" s="216">
        <v>2.18316716171187E-4</v>
      </c>
      <c r="Q150" s="216">
        <v>0.675599380753927</v>
      </c>
      <c r="R150" s="216">
        <v>1.45757850907516E-2</v>
      </c>
      <c r="S150" s="216">
        <v>2.18316716171187E-4</v>
      </c>
      <c r="T150" s="216">
        <f t="shared" si="5"/>
        <v>1.0019648504455405</v>
      </c>
      <c r="U150" s="217"/>
      <c r="W150" s="178" t="s">
        <v>467</v>
      </c>
      <c r="X150" s="172" t="s">
        <v>498</v>
      </c>
      <c r="Y150" s="218">
        <f>'Mix éner %'!Y148</f>
        <v>5.5844909255524718E-2</v>
      </c>
      <c r="Z150" s="218">
        <f>'Mix éner %'!Z148</f>
        <v>3.2423689380245542E-2</v>
      </c>
      <c r="AA150" s="218">
        <f>'Mix éner %'!AA148</f>
        <v>1.1370402229773324E-2</v>
      </c>
      <c r="AB150" s="218">
        <f>'Mix éner %'!AB148</f>
        <v>0.31143599829499524</v>
      </c>
      <c r="AC150" s="218">
        <f>'Mix éner %'!AC148</f>
        <v>2.9856067569286875E-4</v>
      </c>
      <c r="AD150" s="218">
        <f>'Mix éner %'!AD148</f>
        <v>0</v>
      </c>
      <c r="AE150" s="218">
        <f>'Mix éner %'!AE148</f>
        <v>0</v>
      </c>
      <c r="AF150" s="218">
        <f>'Mix éner %'!AF148</f>
        <v>0</v>
      </c>
      <c r="AG150" s="218">
        <f>'Mix éner %'!AG148</f>
        <v>0</v>
      </c>
      <c r="AH150" s="218">
        <f>'Mix éner %'!AH148</f>
        <v>0</v>
      </c>
      <c r="AI150" s="218">
        <f>'Mix éner %'!AI148</f>
        <v>0.58259551451477254</v>
      </c>
      <c r="AJ150" s="218">
        <f>'Mix éner %'!AJ148</f>
        <v>0</v>
      </c>
      <c r="AK150" s="218">
        <f>'Mix éner %'!AK148</f>
        <v>6.0309256489959485E-3</v>
      </c>
      <c r="AL150" s="218">
        <f>'Mix éner %'!AL148</f>
        <v>0</v>
      </c>
      <c r="AM150" s="218">
        <f>'Mix éner %'!AM148</f>
        <v>1.0000000000000002</v>
      </c>
    </row>
    <row r="151" spans="3:39" x14ac:dyDescent="0.35">
      <c r="C151" s="435" t="s">
        <v>25</v>
      </c>
      <c r="D151" s="435"/>
      <c r="E151" s="220"/>
      <c r="F151" s="220"/>
      <c r="G151" s="220"/>
      <c r="H151" s="220"/>
      <c r="I151" s="220"/>
      <c r="J151" s="220"/>
      <c r="K151" s="220"/>
      <c r="L151" s="220"/>
      <c r="M151" s="220"/>
      <c r="N151" s="220"/>
      <c r="O151" s="220"/>
      <c r="P151" s="220"/>
      <c r="Q151" s="220"/>
      <c r="R151" s="220"/>
      <c r="S151" s="220"/>
      <c r="T151" s="220"/>
      <c r="U151" s="217"/>
      <c r="W151" s="172" t="s">
        <v>469</v>
      </c>
      <c r="X151" s="172" t="s">
        <v>498</v>
      </c>
      <c r="Y151" s="218">
        <f>'Mix éner %'!Y152</f>
        <v>4.0000000000000001E-3</v>
      </c>
      <c r="Z151" s="218">
        <f>'Mix éner %'!Z152</f>
        <v>0</v>
      </c>
      <c r="AA151" s="218">
        <f>'Mix éner %'!AA152</f>
        <v>2.8000000000000001E-2</v>
      </c>
      <c r="AB151" s="218">
        <f>'Mix éner %'!AB152</f>
        <v>0.25</v>
      </c>
      <c r="AC151" s="218">
        <f>'Mix éner %'!AC152</f>
        <v>0</v>
      </c>
      <c r="AD151" s="218">
        <f>'Mix éner %'!AD152</f>
        <v>0</v>
      </c>
      <c r="AE151" s="218">
        <f>'Mix éner %'!AE152</f>
        <v>0</v>
      </c>
      <c r="AF151" s="218">
        <f>'Mix éner %'!AF152</f>
        <v>0</v>
      </c>
      <c r="AG151" s="218">
        <f>'Mix éner %'!AG152</f>
        <v>0</v>
      </c>
      <c r="AH151" s="218">
        <f>'Mix éner %'!AH152</f>
        <v>0</v>
      </c>
      <c r="AI151" s="218">
        <f>'Mix éner %'!AI152</f>
        <v>0.71</v>
      </c>
      <c r="AJ151" s="218">
        <f>'Mix éner %'!AJ152</f>
        <v>0</v>
      </c>
      <c r="AK151" s="218">
        <f>'Mix éner %'!AK152</f>
        <v>8.0000000000000002E-3</v>
      </c>
      <c r="AL151" s="218">
        <f>'Mix éner %'!AL152</f>
        <v>0</v>
      </c>
      <c r="AM151" s="218">
        <f>'Mix éner %'!AM152</f>
        <v>1</v>
      </c>
    </row>
    <row r="152" spans="3:39" x14ac:dyDescent="0.35">
      <c r="C152" s="189" t="s">
        <v>475</v>
      </c>
      <c r="D152" s="190" t="s">
        <v>498</v>
      </c>
      <c r="E152" s="216">
        <v>0</v>
      </c>
      <c r="F152" s="216">
        <v>0</v>
      </c>
      <c r="G152" s="216">
        <v>5.0000000000000001E-3</v>
      </c>
      <c r="H152" s="216">
        <v>0.23</v>
      </c>
      <c r="I152" s="216">
        <v>0</v>
      </c>
      <c r="J152" s="216">
        <v>0</v>
      </c>
      <c r="K152" s="216">
        <v>5.0000000000000001E-3</v>
      </c>
      <c r="L152" s="216">
        <v>0</v>
      </c>
      <c r="M152" s="216">
        <v>0</v>
      </c>
      <c r="N152" s="216">
        <v>0</v>
      </c>
      <c r="O152" s="216">
        <v>0</v>
      </c>
      <c r="P152" s="216">
        <v>0</v>
      </c>
      <c r="Q152" s="216">
        <v>0.76</v>
      </c>
      <c r="R152" s="216">
        <v>0</v>
      </c>
      <c r="S152" s="216">
        <v>0</v>
      </c>
      <c r="T152" s="216">
        <f>SUM(E152:S152)</f>
        <v>1</v>
      </c>
      <c r="U152" s="217"/>
      <c r="W152" s="172" t="s">
        <v>471</v>
      </c>
      <c r="X152" s="172" t="s">
        <v>498</v>
      </c>
      <c r="Y152" s="218">
        <f>'Mix éner %'!Y156</f>
        <v>0</v>
      </c>
      <c r="Z152" s="218">
        <f>'Mix éner %'!Z156</f>
        <v>0</v>
      </c>
      <c r="AA152" s="218">
        <f>'Mix éner %'!AA156</f>
        <v>2.4619339529365129E-2</v>
      </c>
      <c r="AB152" s="218">
        <f>'Mix éner %'!AB156</f>
        <v>0.63990508206446284</v>
      </c>
      <c r="AC152" s="218">
        <f>'Mix éner %'!AC156</f>
        <v>0</v>
      </c>
      <c r="AD152" s="218">
        <f>'Mix éner %'!AD156</f>
        <v>0</v>
      </c>
      <c r="AE152" s="218">
        <f>'Mix éner %'!AE156</f>
        <v>0</v>
      </c>
      <c r="AF152" s="218">
        <f>'Mix éner %'!AF156</f>
        <v>0</v>
      </c>
      <c r="AG152" s="218">
        <f>'Mix éner %'!AG156</f>
        <v>0</v>
      </c>
      <c r="AH152" s="218">
        <f>'Mix éner %'!AH156</f>
        <v>0</v>
      </c>
      <c r="AI152" s="218">
        <f>'Mix éner %'!AI156</f>
        <v>0.33547557840617204</v>
      </c>
      <c r="AJ152" s="218">
        <f>'Mix éner %'!AJ156</f>
        <v>0</v>
      </c>
      <c r="AK152" s="218">
        <f>'Mix éner %'!AK156</f>
        <v>0</v>
      </c>
      <c r="AL152" s="218">
        <f>'Mix éner %'!AL156</f>
        <v>0</v>
      </c>
      <c r="AM152" s="218">
        <f>'Mix éner %'!AM156</f>
        <v>1</v>
      </c>
    </row>
    <row r="153" spans="3:39" x14ac:dyDescent="0.35">
      <c r="C153" s="189" t="s">
        <v>476</v>
      </c>
      <c r="D153" s="190" t="s">
        <v>498</v>
      </c>
      <c r="E153" s="216">
        <v>0</v>
      </c>
      <c r="F153" s="216">
        <v>0</v>
      </c>
      <c r="G153" s="216">
        <v>0.01</v>
      </c>
      <c r="H153" s="216">
        <v>0.52149899788672405</v>
      </c>
      <c r="I153" s="216">
        <v>0</v>
      </c>
      <c r="J153" s="216">
        <v>0</v>
      </c>
      <c r="K153" s="216">
        <v>3.0411115934223999E-2</v>
      </c>
      <c r="L153" s="216">
        <v>0</v>
      </c>
      <c r="M153" s="216">
        <v>0</v>
      </c>
      <c r="N153" s="216">
        <v>0</v>
      </c>
      <c r="O153" s="216">
        <v>0</v>
      </c>
      <c r="P153" s="216">
        <v>0</v>
      </c>
      <c r="Q153" s="216">
        <v>0.298219525480862</v>
      </c>
      <c r="R153" s="216">
        <v>0.128122250471884</v>
      </c>
      <c r="S153" s="216">
        <v>1.1748110226307101E-2</v>
      </c>
      <c r="T153" s="216">
        <f>SUM(E153:S153)</f>
        <v>1.0000000000000011</v>
      </c>
      <c r="U153" s="217"/>
      <c r="W153" s="172" t="s">
        <v>473</v>
      </c>
      <c r="X153" s="172" t="s">
        <v>498</v>
      </c>
      <c r="Y153" s="218">
        <f>'Mix éner %'!Y160</f>
        <v>2.18316716171187E-4</v>
      </c>
      <c r="Z153" s="218">
        <f>'Mix éner %'!Z160</f>
        <v>0</v>
      </c>
      <c r="AA153" s="218">
        <f>'Mix éner %'!AA160</f>
        <v>0.17</v>
      </c>
      <c r="AB153" s="218">
        <f>'Mix éner %'!AB160</f>
        <v>8.5000000000000006E-2</v>
      </c>
      <c r="AC153" s="218">
        <f>'Mix éner %'!AC160</f>
        <v>2.18316716171187E-4</v>
      </c>
      <c r="AD153" s="218">
        <f>'Mix éner %'!AD160</f>
        <v>2.18316716171187E-4</v>
      </c>
      <c r="AE153" s="218">
        <f>'Mix éner %'!AE160</f>
        <v>2.18316716171187E-4</v>
      </c>
      <c r="AF153" s="218">
        <f>'Mix éner %'!AF160</f>
        <v>2.18316716171187E-4</v>
      </c>
      <c r="AG153" s="218">
        <f>'Mix éner %'!AG160</f>
        <v>2.18316716171187E-4</v>
      </c>
      <c r="AH153" s="218">
        <f>'Mix éner %'!AH160</f>
        <v>2.18316716171187E-4</v>
      </c>
      <c r="AI153" s="218">
        <f>'Mix éner %'!AI160</f>
        <v>0.72856648446944483</v>
      </c>
      <c r="AJ153" s="218">
        <f>'Mix éner %'!AJ160</f>
        <v>0</v>
      </c>
      <c r="AK153" s="218">
        <f>'Mix éner %'!AK160</f>
        <v>1.45757850907516E-2</v>
      </c>
      <c r="AL153" s="218">
        <f>'Mix éner %'!AL160</f>
        <v>2.18316716171187E-4</v>
      </c>
      <c r="AM153" s="218">
        <f>'Mix éner %'!AM160</f>
        <v>0.99988880328956586</v>
      </c>
    </row>
    <row r="154" spans="3:39" x14ac:dyDescent="0.35">
      <c r="C154" s="189" t="s">
        <v>479</v>
      </c>
      <c r="D154" s="190" t="s">
        <v>498</v>
      </c>
      <c r="E154" s="216">
        <v>0</v>
      </c>
      <c r="F154" s="216">
        <v>0</v>
      </c>
      <c r="G154" s="216">
        <v>5.8595894299541498E-2</v>
      </c>
      <c r="H154" s="216">
        <v>0.39124178724877001</v>
      </c>
      <c r="I154" s="216">
        <v>0</v>
      </c>
      <c r="J154" s="216">
        <v>0</v>
      </c>
      <c r="K154" s="216">
        <v>1.7387097713031801E-2</v>
      </c>
      <c r="L154" s="216">
        <v>0</v>
      </c>
      <c r="M154" s="216">
        <v>0</v>
      </c>
      <c r="N154" s="216">
        <v>0</v>
      </c>
      <c r="O154" s="216">
        <v>0</v>
      </c>
      <c r="P154" s="216">
        <v>0</v>
      </c>
      <c r="Q154" s="216">
        <v>0.32482105840412001</v>
      </c>
      <c r="R154" s="216">
        <v>0.20795416233453601</v>
      </c>
      <c r="S154" s="216">
        <v>0</v>
      </c>
      <c r="T154" s="216">
        <f>SUM(E154:S154)</f>
        <v>0.99999999999999933</v>
      </c>
      <c r="U154" s="217"/>
      <c r="W154" s="432" t="s">
        <v>25</v>
      </c>
      <c r="X154" s="432"/>
      <c r="Y154" s="440"/>
      <c r="Z154" s="440"/>
      <c r="AA154" s="440"/>
      <c r="AB154" s="440"/>
      <c r="AC154" s="440"/>
      <c r="AD154" s="440"/>
      <c r="AE154" s="440"/>
      <c r="AF154" s="440"/>
      <c r="AG154" s="440"/>
      <c r="AH154" s="440"/>
      <c r="AI154" s="440"/>
      <c r="AJ154" s="440"/>
      <c r="AK154" s="440"/>
      <c r="AL154" s="440"/>
      <c r="AM154" s="440"/>
    </row>
    <row r="155" spans="3:39" x14ac:dyDescent="0.35">
      <c r="C155" s="435" t="s">
        <v>480</v>
      </c>
      <c r="D155" s="435"/>
      <c r="E155" s="220"/>
      <c r="F155" s="220"/>
      <c r="G155" s="220"/>
      <c r="H155" s="220"/>
      <c r="I155" s="220"/>
      <c r="J155" s="220"/>
      <c r="K155" s="220"/>
      <c r="L155" s="220"/>
      <c r="M155" s="220"/>
      <c r="N155" s="220"/>
      <c r="O155" s="220"/>
      <c r="P155" s="220"/>
      <c r="Q155" s="220"/>
      <c r="R155" s="220"/>
      <c r="S155" s="220"/>
      <c r="T155" s="220"/>
      <c r="U155" s="217"/>
      <c r="W155" s="172" t="s">
        <v>475</v>
      </c>
      <c r="X155" s="172" t="s">
        <v>498</v>
      </c>
      <c r="Y155" s="218">
        <f>'Mix éner %'!Y165</f>
        <v>0</v>
      </c>
      <c r="Z155" s="218">
        <f>'Mix éner %'!Z165</f>
        <v>0</v>
      </c>
      <c r="AA155" s="218">
        <f>'Mix éner %'!AA165</f>
        <v>5.0000000000000001E-3</v>
      </c>
      <c r="AB155" s="218">
        <f>'Mix éner %'!AB165</f>
        <v>0.93</v>
      </c>
      <c r="AC155" s="218">
        <f>'Mix éner %'!AC165</f>
        <v>5.0000000000000001E-3</v>
      </c>
      <c r="AD155" s="218">
        <f>'Mix éner %'!AD165</f>
        <v>0</v>
      </c>
      <c r="AE155" s="218">
        <f>'Mix éner %'!AE165</f>
        <v>0</v>
      </c>
      <c r="AF155" s="218">
        <f>'Mix éner %'!AF165</f>
        <v>0</v>
      </c>
      <c r="AG155" s="218">
        <f>'Mix éner %'!AG165</f>
        <v>0</v>
      </c>
      <c r="AH155" s="218">
        <f>'Mix éner %'!AH165</f>
        <v>0</v>
      </c>
      <c r="AI155" s="218">
        <f>'Mix éner %'!AI165</f>
        <v>0.06</v>
      </c>
      <c r="AJ155" s="218">
        <f>'Mix éner %'!AJ165</f>
        <v>0</v>
      </c>
      <c r="AK155" s="218">
        <f>'Mix éner %'!AK165</f>
        <v>0</v>
      </c>
      <c r="AL155" s="218">
        <f>'Mix éner %'!AL165</f>
        <v>0</v>
      </c>
      <c r="AM155" s="218">
        <f>'Mix éner %'!AM165</f>
        <v>1</v>
      </c>
    </row>
    <row r="156" spans="3:39" x14ac:dyDescent="0.35">
      <c r="C156" s="189" t="s">
        <v>481</v>
      </c>
      <c r="D156" s="190" t="s">
        <v>498</v>
      </c>
      <c r="E156" s="216">
        <v>8.8067512085551095E-2</v>
      </c>
      <c r="F156" s="216">
        <v>0</v>
      </c>
      <c r="G156" s="216">
        <v>0.33500000000000002</v>
      </c>
      <c r="H156" s="216">
        <v>0</v>
      </c>
      <c r="I156" s="216">
        <v>0</v>
      </c>
      <c r="J156" s="216">
        <v>0</v>
      </c>
      <c r="K156" s="216">
        <v>0.52693248791444902</v>
      </c>
      <c r="L156" s="216">
        <v>0</v>
      </c>
      <c r="M156" s="216">
        <v>0</v>
      </c>
      <c r="N156" s="216">
        <v>0</v>
      </c>
      <c r="O156" s="216">
        <v>0</v>
      </c>
      <c r="P156" s="216">
        <v>0</v>
      </c>
      <c r="Q156" s="216">
        <v>0.03</v>
      </c>
      <c r="R156" s="216">
        <v>0</v>
      </c>
      <c r="S156" s="216">
        <v>0</v>
      </c>
      <c r="T156" s="216">
        <f>SUM(E156:S156)</f>
        <v>0.9800000000000002</v>
      </c>
      <c r="U156" s="217"/>
      <c r="W156" s="172" t="s">
        <v>476</v>
      </c>
      <c r="X156" s="172" t="s">
        <v>498</v>
      </c>
      <c r="Y156" s="218">
        <f>'Mix éner %'!Y169</f>
        <v>0</v>
      </c>
      <c r="Z156" s="218">
        <f>'Mix éner %'!Z169</f>
        <v>0</v>
      </c>
      <c r="AA156" s="218">
        <f>'Mix éner %'!AA169</f>
        <v>0.01</v>
      </c>
      <c r="AB156" s="218">
        <f>'Mix éner %'!AB169</f>
        <v>0.64</v>
      </c>
      <c r="AC156" s="218">
        <f>'Mix éner %'!AC169</f>
        <v>0.05</v>
      </c>
      <c r="AD156" s="218">
        <f>'Mix éner %'!AD169</f>
        <v>0</v>
      </c>
      <c r="AE156" s="218">
        <f>'Mix éner %'!AE169</f>
        <v>0</v>
      </c>
      <c r="AF156" s="218">
        <f>'Mix éner %'!AF169</f>
        <v>0</v>
      </c>
      <c r="AG156" s="218">
        <f>'Mix éner %'!AG169</f>
        <v>0</v>
      </c>
      <c r="AH156" s="218">
        <f>'Mix éner %'!AH169</f>
        <v>0</v>
      </c>
      <c r="AI156" s="218">
        <f>'Mix éner %'!AI169</f>
        <v>0.19999999999999996</v>
      </c>
      <c r="AJ156" s="218">
        <f>'Mix éner %'!AJ169</f>
        <v>0</v>
      </c>
      <c r="AK156" s="218">
        <f>'Mix éner %'!AK169</f>
        <v>0.09</v>
      </c>
      <c r="AL156" s="218">
        <f>'Mix éner %'!AL169</f>
        <v>0.01</v>
      </c>
      <c r="AM156" s="218">
        <f>'Mix éner %'!AM169</f>
        <v>1</v>
      </c>
    </row>
    <row r="157" spans="3:39" x14ac:dyDescent="0.35">
      <c r="C157" s="189" t="s">
        <v>482</v>
      </c>
      <c r="D157" s="190" t="s">
        <v>498</v>
      </c>
      <c r="E157" s="216">
        <v>0</v>
      </c>
      <c r="F157" s="216">
        <v>0</v>
      </c>
      <c r="G157" s="223">
        <v>0.02</v>
      </c>
      <c r="H157" s="223">
        <v>0.67</v>
      </c>
      <c r="I157" s="216">
        <v>0</v>
      </c>
      <c r="J157" s="216">
        <v>0</v>
      </c>
      <c r="K157" s="216">
        <v>0</v>
      </c>
      <c r="L157" s="216">
        <v>0</v>
      </c>
      <c r="M157" s="216">
        <v>0</v>
      </c>
      <c r="N157" s="216">
        <v>0</v>
      </c>
      <c r="O157" s="216">
        <v>0</v>
      </c>
      <c r="P157" s="216">
        <v>0</v>
      </c>
      <c r="Q157" s="223">
        <v>0.31</v>
      </c>
      <c r="R157" s="216">
        <v>0</v>
      </c>
      <c r="S157" s="216">
        <v>0</v>
      </c>
      <c r="T157" s="216">
        <f>SUM(E157:S157)</f>
        <v>1</v>
      </c>
      <c r="U157" s="217"/>
      <c r="W157" s="172" t="s">
        <v>479</v>
      </c>
      <c r="X157" s="172" t="s">
        <v>498</v>
      </c>
      <c r="Y157" s="218">
        <f>'Mix éner %'!Y173</f>
        <v>0</v>
      </c>
      <c r="Z157" s="218">
        <f>'Mix éner %'!Z173</f>
        <v>0</v>
      </c>
      <c r="AA157" s="218">
        <f>'Mix éner %'!AA173</f>
        <v>0.09</v>
      </c>
      <c r="AB157" s="218">
        <f>'Mix éner %'!AB173</f>
        <v>6.8343169023411296E-2</v>
      </c>
      <c r="AC157" s="218">
        <f>'Mix éner %'!AC173</f>
        <v>4.7387097713031803E-2</v>
      </c>
      <c r="AD157" s="218">
        <f>'Mix éner %'!AD173</f>
        <v>0</v>
      </c>
      <c r="AE157" s="218">
        <f>'Mix éner %'!AE173</f>
        <v>0</v>
      </c>
      <c r="AF157" s="218">
        <f>'Mix éner %'!AF173</f>
        <v>0</v>
      </c>
      <c r="AG157" s="218">
        <f>'Mix éner %'!AG173</f>
        <v>0</v>
      </c>
      <c r="AH157" s="218">
        <f>'Mix éner %'!AH173</f>
        <v>0</v>
      </c>
      <c r="AI157" s="218">
        <f>'Mix éner %'!AI173</f>
        <v>0.54416611268569381</v>
      </c>
      <c r="AJ157" s="218">
        <f>'Mix éner %'!AJ173</f>
        <v>0</v>
      </c>
      <c r="AK157" s="218">
        <f>'Mix éner %'!AK173</f>
        <v>0.25010362057786306</v>
      </c>
      <c r="AL157" s="218">
        <f>'Mix éner %'!AL173</f>
        <v>0</v>
      </c>
      <c r="AM157" s="218">
        <f>'Mix éner %'!AM173</f>
        <v>1</v>
      </c>
    </row>
    <row r="158" spans="3:39" x14ac:dyDescent="0.35">
      <c r="C158" s="189" t="s">
        <v>483</v>
      </c>
      <c r="D158" s="190" t="s">
        <v>498</v>
      </c>
      <c r="E158" s="216">
        <f>4.58828948153757%+2.6%</f>
        <v>7.1882894815375714E-2</v>
      </c>
      <c r="F158" s="216">
        <v>0</v>
      </c>
      <c r="G158" s="216">
        <v>2.01689588256188E-2</v>
      </c>
      <c r="H158" s="216">
        <v>0.58907901911512295</v>
      </c>
      <c r="I158" s="216">
        <v>0</v>
      </c>
      <c r="J158" s="216">
        <v>0</v>
      </c>
      <c r="K158" s="216">
        <v>0</v>
      </c>
      <c r="L158" s="216">
        <v>0</v>
      </c>
      <c r="M158" s="216">
        <v>0</v>
      </c>
      <c r="N158" s="216">
        <v>0</v>
      </c>
      <c r="O158" s="216">
        <v>0</v>
      </c>
      <c r="P158" s="216">
        <v>0</v>
      </c>
      <c r="Q158" s="216">
        <v>0.318835432404667</v>
      </c>
      <c r="R158" s="216">
        <v>0</v>
      </c>
      <c r="S158" s="216">
        <v>0</v>
      </c>
      <c r="T158" s="216">
        <f>SUM(E158:S158)</f>
        <v>0.99996630516078455</v>
      </c>
      <c r="U158" s="217"/>
      <c r="W158" s="432" t="s">
        <v>480</v>
      </c>
      <c r="X158" s="432"/>
      <c r="Y158" s="440"/>
      <c r="Z158" s="440"/>
      <c r="AA158" s="440"/>
      <c r="AB158" s="440"/>
      <c r="AC158" s="440"/>
      <c r="AD158" s="440"/>
      <c r="AE158" s="440"/>
      <c r="AF158" s="440"/>
      <c r="AG158" s="440"/>
      <c r="AH158" s="440"/>
      <c r="AI158" s="440"/>
      <c r="AJ158" s="440"/>
      <c r="AK158" s="440"/>
      <c r="AL158" s="440"/>
      <c r="AM158" s="440"/>
    </row>
    <row r="159" spans="3:39" x14ac:dyDescent="0.35">
      <c r="C159" s="435" t="s">
        <v>484</v>
      </c>
      <c r="D159" s="435"/>
      <c r="E159" s="220"/>
      <c r="F159" s="220"/>
      <c r="G159" s="220"/>
      <c r="H159" s="220"/>
      <c r="I159" s="220"/>
      <c r="J159" s="220"/>
      <c r="K159" s="220"/>
      <c r="L159" s="220"/>
      <c r="M159" s="220"/>
      <c r="N159" s="220"/>
      <c r="O159" s="220"/>
      <c r="P159" s="220"/>
      <c r="Q159" s="220"/>
      <c r="R159" s="220"/>
      <c r="S159" s="220"/>
      <c r="T159" s="220"/>
      <c r="U159" s="217"/>
      <c r="W159" s="172" t="s">
        <v>481</v>
      </c>
      <c r="X159" s="172" t="s">
        <v>498</v>
      </c>
      <c r="Y159" s="218">
        <f>'Mix éner %'!Y178</f>
        <v>8.8067512085551095E-2</v>
      </c>
      <c r="Z159" s="218">
        <f>'Mix éner %'!Z178</f>
        <v>0</v>
      </c>
      <c r="AA159" s="218">
        <f>'Mix éner %'!AA178</f>
        <v>0.29694969587529613</v>
      </c>
      <c r="AB159" s="218">
        <f>'Mix éner %'!AB178</f>
        <v>0</v>
      </c>
      <c r="AC159" s="218">
        <f>'Mix éner %'!AC178</f>
        <v>0.21000000000000002</v>
      </c>
      <c r="AD159" s="218">
        <f>'Mix éner %'!AD178</f>
        <v>0.27</v>
      </c>
      <c r="AE159" s="218">
        <f>'Mix éner %'!AE178</f>
        <v>0</v>
      </c>
      <c r="AF159" s="218">
        <f>'Mix éner %'!AF178</f>
        <v>0</v>
      </c>
      <c r="AG159" s="218">
        <f>'Mix éner %'!AG178</f>
        <v>0</v>
      </c>
      <c r="AH159" s="218">
        <f>'Mix éner %'!AH178</f>
        <v>0</v>
      </c>
      <c r="AI159" s="218">
        <f>'Mix éner %'!AI178</f>
        <v>0.13498279203915275</v>
      </c>
      <c r="AJ159" s="218">
        <f>'Mix éner %'!AJ178</f>
        <v>0</v>
      </c>
      <c r="AK159" s="218">
        <f>'Mix éner %'!AK178</f>
        <v>0</v>
      </c>
      <c r="AL159" s="218">
        <f>'Mix éner %'!AL178</f>
        <v>0</v>
      </c>
      <c r="AM159" s="218">
        <f>'Mix éner %'!AM178</f>
        <v>1</v>
      </c>
    </row>
    <row r="160" spans="3:39" x14ac:dyDescent="0.35">
      <c r="C160" s="189" t="s">
        <v>485</v>
      </c>
      <c r="D160" s="190" t="s">
        <v>498</v>
      </c>
      <c r="E160" s="216">
        <v>0</v>
      </c>
      <c r="F160" s="216">
        <v>0</v>
      </c>
      <c r="G160" s="216">
        <v>4.4999999999999998E-2</v>
      </c>
      <c r="H160" s="216">
        <v>0.766758764368625</v>
      </c>
      <c r="I160" s="216">
        <v>0</v>
      </c>
      <c r="J160" s="216">
        <v>0</v>
      </c>
      <c r="K160" s="216">
        <v>0</v>
      </c>
      <c r="L160" s="216">
        <v>0</v>
      </c>
      <c r="M160" s="216">
        <v>0</v>
      </c>
      <c r="N160" s="216">
        <v>0</v>
      </c>
      <c r="O160" s="216">
        <v>0</v>
      </c>
      <c r="P160" s="216">
        <v>0</v>
      </c>
      <c r="Q160" s="216">
        <v>0.17477855797826</v>
      </c>
      <c r="R160" s="216">
        <v>9.4626776531150699E-3</v>
      </c>
      <c r="S160" s="216">
        <v>0</v>
      </c>
      <c r="T160" s="216">
        <f>SUM(E160:S160)</f>
        <v>0.99600000000000011</v>
      </c>
      <c r="U160" s="217"/>
      <c r="W160" s="172" t="s">
        <v>482</v>
      </c>
      <c r="X160" s="172" t="s">
        <v>498</v>
      </c>
      <c r="Y160" s="218">
        <f>'Mix éner %'!Y182</f>
        <v>0</v>
      </c>
      <c r="Z160" s="218">
        <f>'Mix éner %'!Z182</f>
        <v>0</v>
      </c>
      <c r="AA160" s="218">
        <f>'Mix éner %'!AA182</f>
        <v>0.02</v>
      </c>
      <c r="AB160" s="218">
        <f>'Mix éner %'!AB182</f>
        <v>0.67</v>
      </c>
      <c r="AC160" s="218">
        <f>'Mix éner %'!AC182</f>
        <v>0</v>
      </c>
      <c r="AD160" s="218">
        <f>'Mix éner %'!AD182</f>
        <v>0</v>
      </c>
      <c r="AE160" s="218">
        <f>'Mix éner %'!AE182</f>
        <v>0</v>
      </c>
      <c r="AF160" s="218">
        <f>'Mix éner %'!AF182</f>
        <v>0</v>
      </c>
      <c r="AG160" s="218">
        <f>'Mix éner %'!AG182</f>
        <v>0</v>
      </c>
      <c r="AH160" s="218">
        <f>'Mix éner %'!AH182</f>
        <v>0</v>
      </c>
      <c r="AI160" s="218">
        <f>'Mix éner %'!AI182</f>
        <v>0.31</v>
      </c>
      <c r="AJ160" s="218">
        <f>'Mix éner %'!AJ182</f>
        <v>0</v>
      </c>
      <c r="AK160" s="218">
        <f>'Mix éner %'!AK182</f>
        <v>0</v>
      </c>
      <c r="AL160" s="218">
        <f>'Mix éner %'!AL182</f>
        <v>0</v>
      </c>
      <c r="AM160" s="218">
        <f>'Mix éner %'!AM182</f>
        <v>1</v>
      </c>
    </row>
    <row r="161" spans="3:39" x14ac:dyDescent="0.35">
      <c r="C161" s="189" t="s">
        <v>486</v>
      </c>
      <c r="D161" s="190" t="s">
        <v>498</v>
      </c>
      <c r="E161" s="216">
        <v>0</v>
      </c>
      <c r="F161" s="216">
        <v>0</v>
      </c>
      <c r="G161" s="216">
        <v>0</v>
      </c>
      <c r="H161" s="216">
        <v>0.38</v>
      </c>
      <c r="I161" s="216">
        <v>0</v>
      </c>
      <c r="J161" s="216">
        <v>0</v>
      </c>
      <c r="K161" s="216">
        <v>0.1</v>
      </c>
      <c r="L161" s="216">
        <v>0</v>
      </c>
      <c r="M161" s="216">
        <v>0</v>
      </c>
      <c r="N161" s="216">
        <v>0</v>
      </c>
      <c r="O161" s="216">
        <v>0</v>
      </c>
      <c r="P161" s="216">
        <v>0</v>
      </c>
      <c r="Q161" s="216">
        <v>0.464176900319556</v>
      </c>
      <c r="R161" s="216">
        <v>5.5823099680444598E-2</v>
      </c>
      <c r="S161" s="216">
        <v>0</v>
      </c>
      <c r="T161" s="216">
        <f>SUM(E161:S161)</f>
        <v>1.0000000000000004</v>
      </c>
      <c r="U161" s="217"/>
      <c r="W161" s="172" t="s">
        <v>483</v>
      </c>
      <c r="X161" s="172" t="s">
        <v>498</v>
      </c>
      <c r="Y161" s="218">
        <f>'Mix éner %'!Y186</f>
        <v>0</v>
      </c>
      <c r="Z161" s="218">
        <f>'Mix éner %'!Z186</f>
        <v>0</v>
      </c>
      <c r="AA161" s="218">
        <f>'Mix éner %'!AA186</f>
        <v>0.01</v>
      </c>
      <c r="AB161" s="218">
        <f>'Mix éner %'!AB186</f>
        <v>0.59</v>
      </c>
      <c r="AC161" s="218">
        <f>'Mix éner %'!AC186</f>
        <v>0.05</v>
      </c>
      <c r="AD161" s="218">
        <f>'Mix éner %'!AD186</f>
        <v>0</v>
      </c>
      <c r="AE161" s="218">
        <f>'Mix éner %'!AE186</f>
        <v>0</v>
      </c>
      <c r="AF161" s="218">
        <f>'Mix éner %'!AF186</f>
        <v>0</v>
      </c>
      <c r="AG161" s="218">
        <f>'Mix éner %'!AG186</f>
        <v>0</v>
      </c>
      <c r="AH161" s="218">
        <f>'Mix éner %'!AH186</f>
        <v>0</v>
      </c>
      <c r="AI161" s="218">
        <f>'Mix éner %'!AI186</f>
        <v>0.35</v>
      </c>
      <c r="AJ161" s="218">
        <f>'Mix éner %'!AJ186</f>
        <v>0</v>
      </c>
      <c r="AK161" s="218">
        <f>'Mix éner %'!AK186</f>
        <v>0</v>
      </c>
      <c r="AL161" s="218">
        <f>'Mix éner %'!AL186</f>
        <v>0</v>
      </c>
      <c r="AM161" s="218">
        <f>'Mix éner %'!AM186</f>
        <v>1</v>
      </c>
    </row>
    <row r="162" spans="3:39" x14ac:dyDescent="0.35">
      <c r="C162" s="435" t="s">
        <v>487</v>
      </c>
      <c r="D162" s="435"/>
      <c r="E162" s="216">
        <v>9.3145620022753207E-3</v>
      </c>
      <c r="F162" s="216">
        <v>0</v>
      </c>
      <c r="G162" s="216">
        <v>1.3414705603275699E-2</v>
      </c>
      <c r="H162" s="216">
        <v>0.32181179367236101</v>
      </c>
      <c r="I162" s="216">
        <v>0</v>
      </c>
      <c r="J162" s="216">
        <v>0</v>
      </c>
      <c r="K162" s="226">
        <v>0.03</v>
      </c>
      <c r="L162" s="216">
        <v>0</v>
      </c>
      <c r="M162" s="216">
        <v>0</v>
      </c>
      <c r="N162" s="216">
        <v>0</v>
      </c>
      <c r="O162" s="216">
        <v>0</v>
      </c>
      <c r="P162" s="216">
        <v>0</v>
      </c>
      <c r="Q162" s="226">
        <v>0.62419922022113405</v>
      </c>
      <c r="R162" s="216">
        <v>0</v>
      </c>
      <c r="S162" s="216">
        <v>0</v>
      </c>
      <c r="T162" s="216">
        <f>SUM(E162:S162)</f>
        <v>0.99874028149904603</v>
      </c>
      <c r="U162" s="217"/>
      <c r="W162" s="432" t="s">
        <v>484</v>
      </c>
      <c r="X162" s="432"/>
      <c r="Y162" s="440"/>
      <c r="Z162" s="440"/>
      <c r="AA162" s="440"/>
      <c r="AB162" s="440"/>
      <c r="AC162" s="440"/>
      <c r="AD162" s="440"/>
      <c r="AE162" s="440"/>
      <c r="AF162" s="440"/>
      <c r="AG162" s="440"/>
      <c r="AH162" s="440"/>
      <c r="AI162" s="440"/>
      <c r="AJ162" s="440"/>
      <c r="AK162" s="440"/>
      <c r="AL162" s="440"/>
      <c r="AM162" s="440"/>
    </row>
    <row r="163" spans="3:39" x14ac:dyDescent="0.35">
      <c r="C163" s="441" t="s">
        <v>31</v>
      </c>
      <c r="D163" s="441"/>
      <c r="E163" s="224">
        <v>0</v>
      </c>
      <c r="F163" s="224">
        <v>0</v>
      </c>
      <c r="G163" s="216">
        <v>0.60548661005878501</v>
      </c>
      <c r="H163" s="216">
        <v>0.12495101241018899</v>
      </c>
      <c r="I163" s="216">
        <v>2.6631725060820001E-4</v>
      </c>
      <c r="J163" s="216">
        <v>2.6631725060820001E-4</v>
      </c>
      <c r="K163" s="216">
        <v>3.74265186152841E-2</v>
      </c>
      <c r="L163" s="216">
        <v>0</v>
      </c>
      <c r="M163" s="216">
        <v>0</v>
      </c>
      <c r="N163" s="216">
        <v>0</v>
      </c>
      <c r="O163" s="216">
        <v>0</v>
      </c>
      <c r="P163" s="216">
        <v>0</v>
      </c>
      <c r="Q163" s="216">
        <v>0.23213585891574101</v>
      </c>
      <c r="R163" s="216">
        <v>1.2597185009542401E-3</v>
      </c>
      <c r="S163" s="216">
        <v>0</v>
      </c>
      <c r="T163" s="216">
        <f>SUM(E163:S163)</f>
        <v>1.0017923530021697</v>
      </c>
      <c r="U163" s="217"/>
      <c r="W163" s="172" t="s">
        <v>485</v>
      </c>
      <c r="X163" s="172" t="s">
        <v>498</v>
      </c>
      <c r="Y163" s="218">
        <f>'Mix éner %'!Y191</f>
        <v>0</v>
      </c>
      <c r="Z163" s="218">
        <f>'Mix éner %'!Z191</f>
        <v>0</v>
      </c>
      <c r="AA163" s="218">
        <f>'Mix éner %'!AA191</f>
        <v>0.02</v>
      </c>
      <c r="AB163" s="218">
        <f>'Mix éner %'!AB191</f>
        <v>0.746</v>
      </c>
      <c r="AC163" s="218">
        <f>'Mix éner %'!AC191</f>
        <v>0.05</v>
      </c>
      <c r="AD163" s="218">
        <f>'Mix éner %'!AD191</f>
        <v>0</v>
      </c>
      <c r="AE163" s="218">
        <f>'Mix éner %'!AE191</f>
        <v>0</v>
      </c>
      <c r="AF163" s="218">
        <f>'Mix éner %'!AF191</f>
        <v>0</v>
      </c>
      <c r="AG163" s="218">
        <f>'Mix éner %'!AG191</f>
        <v>0</v>
      </c>
      <c r="AH163" s="218">
        <f>'Mix éner %'!AH191</f>
        <v>0</v>
      </c>
      <c r="AI163" s="218">
        <f>'Mix éner %'!AI191</f>
        <v>0.17477855797826</v>
      </c>
      <c r="AJ163" s="218">
        <f>'Mix éner %'!AJ191</f>
        <v>0</v>
      </c>
      <c r="AK163" s="218">
        <f>'Mix éner %'!AK191</f>
        <v>9.4626776531150699E-3</v>
      </c>
      <c r="AL163" s="218">
        <f>'Mix éner %'!AL191</f>
        <v>0</v>
      </c>
      <c r="AM163" s="218">
        <f>'Mix éner %'!AM191</f>
        <v>1.0002412356313752</v>
      </c>
    </row>
    <row r="164" spans="3:39" x14ac:dyDescent="0.35">
      <c r="C164" s="435" t="s">
        <v>488</v>
      </c>
      <c r="D164" s="435"/>
      <c r="E164" s="225"/>
      <c r="F164" s="225"/>
      <c r="G164" s="225"/>
      <c r="H164" s="225"/>
      <c r="I164" s="225"/>
      <c r="J164" s="225"/>
      <c r="K164" s="225"/>
      <c r="L164" s="225"/>
      <c r="M164" s="225"/>
      <c r="N164" s="225"/>
      <c r="O164" s="225"/>
      <c r="P164" s="225"/>
      <c r="Q164" s="225"/>
      <c r="R164" s="225"/>
      <c r="S164" s="225"/>
      <c r="T164" s="225"/>
      <c r="U164" s="217"/>
      <c r="W164" s="172" t="s">
        <v>486</v>
      </c>
      <c r="X164" s="172" t="s">
        <v>498</v>
      </c>
      <c r="Y164" s="218">
        <f>'Mix éner %'!Y195</f>
        <v>0</v>
      </c>
      <c r="Z164" s="218">
        <f>'Mix éner %'!Z195</f>
        <v>0</v>
      </c>
      <c r="AA164" s="218">
        <f>'Mix éner %'!AA195</f>
        <v>0</v>
      </c>
      <c r="AB164" s="218">
        <f>'Mix éner %'!AB195</f>
        <v>0.38</v>
      </c>
      <c r="AC164" s="218">
        <f>'Mix éner %'!AC195</f>
        <v>0.08</v>
      </c>
      <c r="AD164" s="218">
        <f>'Mix éner %'!AD195</f>
        <v>0</v>
      </c>
      <c r="AE164" s="218">
        <f>'Mix éner %'!AE195</f>
        <v>0</v>
      </c>
      <c r="AF164" s="218">
        <f>'Mix éner %'!AF195</f>
        <v>0</v>
      </c>
      <c r="AG164" s="218">
        <f>'Mix éner %'!AG195</f>
        <v>0</v>
      </c>
      <c r="AH164" s="218">
        <f>'Mix éner %'!AH195</f>
        <v>0</v>
      </c>
      <c r="AI164" s="218">
        <f>'Mix éner %'!AI195</f>
        <v>0.48399999999999999</v>
      </c>
      <c r="AJ164" s="218">
        <f>'Mix éner %'!AJ195</f>
        <v>0</v>
      </c>
      <c r="AK164" s="218">
        <f>'Mix éner %'!AK195</f>
        <v>5.5823099680444598E-2</v>
      </c>
      <c r="AL164" s="218">
        <f>'Mix éner %'!AL195</f>
        <v>0</v>
      </c>
      <c r="AM164" s="218">
        <f>'Mix éner %'!AM195</f>
        <v>0.99982309968044458</v>
      </c>
    </row>
    <row r="165" spans="3:39" x14ac:dyDescent="0.35">
      <c r="C165" s="189" t="s">
        <v>489</v>
      </c>
      <c r="D165" s="190" t="s">
        <v>498</v>
      </c>
      <c r="E165" s="216">
        <v>5.4480176252742795E-4</v>
      </c>
      <c r="F165" s="216">
        <v>0</v>
      </c>
      <c r="G165" s="216">
        <v>0</v>
      </c>
      <c r="H165" s="216">
        <v>0.24689652976749499</v>
      </c>
      <c r="I165" s="216">
        <v>0</v>
      </c>
      <c r="J165" s="216">
        <v>0</v>
      </c>
      <c r="K165" s="216">
        <v>0.20917177635277701</v>
      </c>
      <c r="L165" s="216">
        <v>0</v>
      </c>
      <c r="M165" s="216">
        <v>0</v>
      </c>
      <c r="N165" s="216">
        <v>0</v>
      </c>
      <c r="O165" s="216">
        <v>0</v>
      </c>
      <c r="P165" s="216">
        <v>0</v>
      </c>
      <c r="Q165" s="216">
        <v>0.37929983154586699</v>
      </c>
      <c r="R165" s="216">
        <v>0.16408706057133399</v>
      </c>
      <c r="S165" s="216">
        <v>0</v>
      </c>
      <c r="T165" s="216">
        <f>SUM(E165:S165)</f>
        <v>1.0000000000000004</v>
      </c>
      <c r="U165" s="217"/>
      <c r="W165" s="432" t="s">
        <v>487</v>
      </c>
      <c r="X165" s="432"/>
      <c r="Y165" s="221">
        <f>'Mix éner %'!Y199</f>
        <v>0</v>
      </c>
      <c r="Z165" s="221">
        <f>'Mix éner %'!Z199</f>
        <v>0</v>
      </c>
      <c r="AA165" s="221">
        <f>'Mix éner %'!AA199</f>
        <v>1.3414705603275699E-2</v>
      </c>
      <c r="AB165" s="221">
        <f>'Mix éner %'!AB199</f>
        <v>0.33181179367236102</v>
      </c>
      <c r="AC165" s="221">
        <f>'Mix éner %'!AC199</f>
        <v>0.03</v>
      </c>
      <c r="AD165" s="221">
        <f>'Mix éner %'!AD199</f>
        <v>0</v>
      </c>
      <c r="AE165" s="221">
        <f>'Mix éner %'!AE199</f>
        <v>0</v>
      </c>
      <c r="AF165" s="221">
        <f>'Mix éner %'!AF199</f>
        <v>0</v>
      </c>
      <c r="AG165" s="221">
        <f>'Mix éner %'!AG199</f>
        <v>0</v>
      </c>
      <c r="AH165" s="221">
        <f>'Mix éner %'!AH199</f>
        <v>0</v>
      </c>
      <c r="AI165" s="221">
        <f>'Mix éner %'!AI199</f>
        <v>0.62419922022113405</v>
      </c>
      <c r="AJ165" s="221">
        <f>'Mix éner %'!AJ199</f>
        <v>0</v>
      </c>
      <c r="AK165" s="221">
        <f>'Mix éner %'!AK199</f>
        <v>1E-3</v>
      </c>
      <c r="AL165" s="221">
        <f>'Mix éner %'!AL199</f>
        <v>0</v>
      </c>
      <c r="AM165" s="221">
        <f>'Mix éner %'!AM199</f>
        <v>1.0004257194967707</v>
      </c>
    </row>
    <row r="166" spans="3:39" x14ac:dyDescent="0.35">
      <c r="C166" s="189" t="s">
        <v>490</v>
      </c>
      <c r="D166" s="190" t="s">
        <v>498</v>
      </c>
      <c r="E166" s="216">
        <v>0</v>
      </c>
      <c r="F166" s="216">
        <v>0</v>
      </c>
      <c r="G166" s="216">
        <v>0.04</v>
      </c>
      <c r="H166" s="216">
        <v>0.31047389168022199</v>
      </c>
      <c r="I166" s="216">
        <v>0</v>
      </c>
      <c r="J166" s="216">
        <v>0</v>
      </c>
      <c r="K166" s="216">
        <v>0.06</v>
      </c>
      <c r="L166" s="216">
        <v>0</v>
      </c>
      <c r="M166" s="216">
        <v>0</v>
      </c>
      <c r="N166" s="216">
        <v>0</v>
      </c>
      <c r="O166" s="216">
        <v>0</v>
      </c>
      <c r="P166" s="216">
        <v>0</v>
      </c>
      <c r="Q166" s="216">
        <v>0.56999999999999995</v>
      </c>
      <c r="R166" s="216">
        <v>2.3504639737751201E-2</v>
      </c>
      <c r="S166" s="216">
        <v>0</v>
      </c>
      <c r="T166" s="216">
        <f>SUM(E166:S166)</f>
        <v>1.0039785314179732</v>
      </c>
      <c r="U166" s="217"/>
      <c r="W166" s="432" t="s">
        <v>31</v>
      </c>
      <c r="X166" s="432"/>
      <c r="Y166" s="221">
        <f>'Mix éner %'!Y203</f>
        <v>0</v>
      </c>
      <c r="Z166" s="221">
        <f>'Mix éner %'!Z203</f>
        <v>0</v>
      </c>
      <c r="AA166" s="221">
        <f>'Mix éner %'!AA203</f>
        <v>0.60548661005878501</v>
      </c>
      <c r="AB166" s="221">
        <f>'Mix éner %'!AB203</f>
        <v>0.12495101241018899</v>
      </c>
      <c r="AC166" s="221">
        <f>'Mix éner %'!AC203</f>
        <v>3.74265186152841E-2</v>
      </c>
      <c r="AD166" s="221">
        <f>'Mix éner %'!AD203</f>
        <v>0</v>
      </c>
      <c r="AE166" s="221">
        <f>'Mix éner %'!AE203</f>
        <v>0</v>
      </c>
      <c r="AF166" s="221">
        <f>'Mix éner %'!AF203</f>
        <v>0</v>
      </c>
      <c r="AG166" s="221">
        <f>'Mix éner %'!AG203</f>
        <v>0</v>
      </c>
      <c r="AH166" s="221">
        <f>'Mix éner %'!AH203</f>
        <v>0</v>
      </c>
      <c r="AI166" s="221">
        <f>'Mix éner %'!AI203</f>
        <v>0.23213585891574101</v>
      </c>
      <c r="AJ166" s="221">
        <f>'Mix éner %'!AJ203</f>
        <v>0</v>
      </c>
      <c r="AK166" s="221">
        <f>'Mix éner %'!AK203</f>
        <v>0</v>
      </c>
      <c r="AL166" s="221">
        <f>'Mix éner %'!AL203</f>
        <v>0</v>
      </c>
      <c r="AM166" s="221">
        <f>'Mix éner %'!AM203</f>
        <v>0.99999999999999911</v>
      </c>
    </row>
    <row r="167" spans="3:39" x14ac:dyDescent="0.35">
      <c r="W167" s="432" t="s">
        <v>488</v>
      </c>
      <c r="X167" s="432"/>
      <c r="Y167" s="440"/>
      <c r="Z167" s="440"/>
      <c r="AA167" s="440"/>
      <c r="AB167" s="440"/>
      <c r="AC167" s="440"/>
      <c r="AD167" s="440"/>
      <c r="AE167" s="440"/>
      <c r="AF167" s="440"/>
      <c r="AG167" s="440"/>
      <c r="AH167" s="440"/>
      <c r="AI167" s="440"/>
      <c r="AJ167" s="440"/>
      <c r="AK167" s="440"/>
      <c r="AL167" s="440"/>
      <c r="AM167" s="440"/>
    </row>
    <row r="168" spans="3:39" x14ac:dyDescent="0.35">
      <c r="W168" s="172" t="s">
        <v>489</v>
      </c>
      <c r="X168" s="172" t="s">
        <v>498</v>
      </c>
      <c r="Y168" s="218">
        <f>'Mix éner %'!Y208</f>
        <v>0</v>
      </c>
      <c r="Z168" s="218">
        <f>'Mix éner %'!Z208</f>
        <v>0</v>
      </c>
      <c r="AA168" s="218">
        <f>'Mix éner %'!AA208</f>
        <v>0</v>
      </c>
      <c r="AB168" s="218">
        <f>'Mix éner %'!AB208</f>
        <v>0.25</v>
      </c>
      <c r="AC168" s="218">
        <f>'Mix éner %'!AC208</f>
        <v>0.28999999999999998</v>
      </c>
      <c r="AD168" s="218">
        <f>'Mix éner %'!AD208</f>
        <v>0.04</v>
      </c>
      <c r="AE168" s="218">
        <f>'Mix éner %'!AE208</f>
        <v>0</v>
      </c>
      <c r="AF168" s="218">
        <f>'Mix éner %'!AF208</f>
        <v>0</v>
      </c>
      <c r="AG168" s="218">
        <f>'Mix éner %'!AG208</f>
        <v>0</v>
      </c>
      <c r="AH168" s="218">
        <f>'Mix éner %'!AH208</f>
        <v>0</v>
      </c>
      <c r="AI168" s="218">
        <f>'Mix éner %'!AI208</f>
        <v>0.28999999999999992</v>
      </c>
      <c r="AJ168" s="218">
        <f>'Mix éner %'!AJ208</f>
        <v>0</v>
      </c>
      <c r="AK168" s="218">
        <f>'Mix éner %'!AK208</f>
        <v>0.13</v>
      </c>
      <c r="AL168" s="218">
        <f>'Mix éner %'!AL208</f>
        <v>0</v>
      </c>
      <c r="AM168" s="218">
        <f>'Mix éner %'!AM208</f>
        <v>1</v>
      </c>
    </row>
    <row r="169" spans="3:39" x14ac:dyDescent="0.35">
      <c r="W169" s="172" t="s">
        <v>490</v>
      </c>
      <c r="X169" s="172" t="s">
        <v>498</v>
      </c>
      <c r="Y169" s="218">
        <f>'Mix éner %'!Y212</f>
        <v>0</v>
      </c>
      <c r="Z169" s="218">
        <f>'Mix éner %'!Z212</f>
        <v>0</v>
      </c>
      <c r="AA169" s="218">
        <f>'Mix éner %'!AA212</f>
        <v>3.5999999999999997E-2</v>
      </c>
      <c r="AB169" s="218">
        <f>'Mix éner %'!AB212</f>
        <v>0.31047389168022199</v>
      </c>
      <c r="AC169" s="218">
        <f>'Mix éner %'!AC212</f>
        <v>0.06</v>
      </c>
      <c r="AD169" s="218">
        <f>'Mix éner %'!AD212</f>
        <v>0</v>
      </c>
      <c r="AE169" s="218">
        <f>'Mix éner %'!AE212</f>
        <v>0</v>
      </c>
      <c r="AF169" s="218">
        <f>'Mix éner %'!AF212</f>
        <v>0</v>
      </c>
      <c r="AG169" s="218">
        <f>'Mix éner %'!AG212</f>
        <v>0</v>
      </c>
      <c r="AH169" s="218">
        <f>'Mix éner %'!AH212</f>
        <v>0</v>
      </c>
      <c r="AI169" s="218">
        <f>'Mix éner %'!AI212</f>
        <v>0.56999999999999995</v>
      </c>
      <c r="AJ169" s="218">
        <f>'Mix éner %'!AJ212</f>
        <v>0</v>
      </c>
      <c r="AK169" s="218">
        <f>'Mix éner %'!AK212</f>
        <v>2.3504639737751201E-2</v>
      </c>
      <c r="AL169" s="218">
        <f>'Mix éner %'!AL212</f>
        <v>0</v>
      </c>
      <c r="AM169" s="218">
        <f>'Mix éner %'!AM212</f>
        <v>0.9999785314179731</v>
      </c>
    </row>
  </sheetData>
  <mergeCells count="225">
    <mergeCell ref="C162:D162"/>
    <mergeCell ref="W162:X162"/>
    <mergeCell ref="Y162:AM162"/>
    <mergeCell ref="C163:D163"/>
    <mergeCell ref="C164:D164"/>
    <mergeCell ref="W165:X165"/>
    <mergeCell ref="W166:X166"/>
    <mergeCell ref="W167:X167"/>
    <mergeCell ref="Y167:AM167"/>
    <mergeCell ref="W146:X146"/>
    <mergeCell ref="Y146:AM146"/>
    <mergeCell ref="C151:D151"/>
    <mergeCell ref="W154:X154"/>
    <mergeCell ref="Y154:AM154"/>
    <mergeCell ref="C155:D155"/>
    <mergeCell ref="W158:X158"/>
    <mergeCell ref="Y158:AM158"/>
    <mergeCell ref="C159:D159"/>
    <mergeCell ref="W143:AM143"/>
    <mergeCell ref="C144:D144"/>
    <mergeCell ref="W144:X145"/>
    <mergeCell ref="Y144:Y145"/>
    <mergeCell ref="AA144:AA145"/>
    <mergeCell ref="AB144:AB145"/>
    <mergeCell ref="AC144:AF144"/>
    <mergeCell ref="AG144:AG145"/>
    <mergeCell ref="AH144:AH145"/>
    <mergeCell ref="AI144:AI145"/>
    <mergeCell ref="AK144:AK145"/>
    <mergeCell ref="AM144:AM145"/>
    <mergeCell ref="C142:T142"/>
    <mergeCell ref="C143:D143"/>
    <mergeCell ref="E143:E144"/>
    <mergeCell ref="F143:F144"/>
    <mergeCell ref="G143:G144"/>
    <mergeCell ref="H143:H144"/>
    <mergeCell ref="I143:I144"/>
    <mergeCell ref="J143:J144"/>
    <mergeCell ref="K143:P143"/>
    <mergeCell ref="Q143:Q144"/>
    <mergeCell ref="R143:R144"/>
    <mergeCell ref="S143:S144"/>
    <mergeCell ref="T143:T144"/>
    <mergeCell ref="C129:D129"/>
    <mergeCell ref="C132:D132"/>
    <mergeCell ref="W132:X132"/>
    <mergeCell ref="Y132:AM132"/>
    <mergeCell ref="C133:D133"/>
    <mergeCell ref="C134:D134"/>
    <mergeCell ref="W135:X135"/>
    <mergeCell ref="W136:X136"/>
    <mergeCell ref="W137:X137"/>
    <mergeCell ref="Y137:AM137"/>
    <mergeCell ref="AK114:AK115"/>
    <mergeCell ref="AM114:AM115"/>
    <mergeCell ref="W116:X116"/>
    <mergeCell ref="Y116:AM116"/>
    <mergeCell ref="C121:D121"/>
    <mergeCell ref="W124:X124"/>
    <mergeCell ref="Y124:AM124"/>
    <mergeCell ref="C125:D125"/>
    <mergeCell ref="W128:X128"/>
    <mergeCell ref="Y128:AM128"/>
    <mergeCell ref="C108:AN108"/>
    <mergeCell ref="C112:T112"/>
    <mergeCell ref="C113:D113"/>
    <mergeCell ref="E113:E114"/>
    <mergeCell ref="F113:F114"/>
    <mergeCell ref="G113:G114"/>
    <mergeCell ref="H113:H114"/>
    <mergeCell ref="I113:I114"/>
    <mergeCell ref="J113:J114"/>
    <mergeCell ref="K113:P113"/>
    <mergeCell ref="Q113:Q114"/>
    <mergeCell ref="R113:R114"/>
    <mergeCell ref="S113:S114"/>
    <mergeCell ref="T113:T114"/>
    <mergeCell ref="W113:AM113"/>
    <mergeCell ref="C114:D114"/>
    <mergeCell ref="W114:X115"/>
    <mergeCell ref="Y114:Y115"/>
    <mergeCell ref="AA114:AA115"/>
    <mergeCell ref="AB114:AB115"/>
    <mergeCell ref="AC114:AF114"/>
    <mergeCell ref="AG114:AG115"/>
    <mergeCell ref="AH114:AH115"/>
    <mergeCell ref="AI114:AI115"/>
    <mergeCell ref="C92:D92"/>
    <mergeCell ref="W94:X94"/>
    <mergeCell ref="Y94:AM94"/>
    <mergeCell ref="C95:D95"/>
    <mergeCell ref="C96:D96"/>
    <mergeCell ref="C97:D97"/>
    <mergeCell ref="W97:X97"/>
    <mergeCell ref="W98:X98"/>
    <mergeCell ref="W99:X99"/>
    <mergeCell ref="Y99:AM99"/>
    <mergeCell ref="C77:D77"/>
    <mergeCell ref="W78:X78"/>
    <mergeCell ref="Y78:AM78"/>
    <mergeCell ref="C84:D84"/>
    <mergeCell ref="W86:X86"/>
    <mergeCell ref="Y86:AM86"/>
    <mergeCell ref="C88:D88"/>
    <mergeCell ref="W90:X90"/>
    <mergeCell ref="Y90:AM90"/>
    <mergeCell ref="C75:T75"/>
    <mergeCell ref="W75:AM75"/>
    <mergeCell ref="C76:D76"/>
    <mergeCell ref="E76:E77"/>
    <mergeCell ref="F76:F77"/>
    <mergeCell ref="G76:G77"/>
    <mergeCell ref="H76:H77"/>
    <mergeCell ref="I76:I77"/>
    <mergeCell ref="J76:J77"/>
    <mergeCell ref="K76:P76"/>
    <mergeCell ref="Q76:Q77"/>
    <mergeCell ref="R76:R77"/>
    <mergeCell ref="S76:S77"/>
    <mergeCell ref="T76:T77"/>
    <mergeCell ref="W76:X77"/>
    <mergeCell ref="Y76:Y77"/>
    <mergeCell ref="AA76:AA77"/>
    <mergeCell ref="AB76:AB77"/>
    <mergeCell ref="AC76:AF76"/>
    <mergeCell ref="AG76:AG77"/>
    <mergeCell ref="AH76:AH77"/>
    <mergeCell ref="AI76:AI77"/>
    <mergeCell ref="AK76:AK77"/>
    <mergeCell ref="AM76:AM77"/>
    <mergeCell ref="C62:D62"/>
    <mergeCell ref="W64:X64"/>
    <mergeCell ref="Y64:AM64"/>
    <mergeCell ref="C65:D65"/>
    <mergeCell ref="C66:D66"/>
    <mergeCell ref="C67:D67"/>
    <mergeCell ref="W67:X67"/>
    <mergeCell ref="W68:X68"/>
    <mergeCell ref="W69:X69"/>
    <mergeCell ref="Y69:AM69"/>
    <mergeCell ref="AM46:AM47"/>
    <mergeCell ref="C47:D47"/>
    <mergeCell ref="W48:X48"/>
    <mergeCell ref="Y48:AM48"/>
    <mergeCell ref="C54:D54"/>
    <mergeCell ref="W56:X56"/>
    <mergeCell ref="Y56:AM56"/>
    <mergeCell ref="C58:D58"/>
    <mergeCell ref="W60:X60"/>
    <mergeCell ref="Y60:AM60"/>
    <mergeCell ref="C41:AN41"/>
    <mergeCell ref="C45:T45"/>
    <mergeCell ref="W45:AM45"/>
    <mergeCell ref="C46:D46"/>
    <mergeCell ref="E46:E47"/>
    <mergeCell ref="F46:F47"/>
    <mergeCell ref="G46:G47"/>
    <mergeCell ref="H46:H47"/>
    <mergeCell ref="I46:I47"/>
    <mergeCell ref="J46:J47"/>
    <mergeCell ref="K46:P46"/>
    <mergeCell ref="Q46:Q47"/>
    <mergeCell ref="R46:R47"/>
    <mergeCell ref="S46:S47"/>
    <mergeCell ref="T46:T47"/>
    <mergeCell ref="W46:X47"/>
    <mergeCell ref="Y46:Y47"/>
    <mergeCell ref="AA46:AA47"/>
    <mergeCell ref="AB46:AB47"/>
    <mergeCell ref="AC46:AF46"/>
    <mergeCell ref="AG46:AG47"/>
    <mergeCell ref="AH46:AH47"/>
    <mergeCell ref="AI46:AI47"/>
    <mergeCell ref="AK46:AK47"/>
    <mergeCell ref="C33:D33"/>
    <mergeCell ref="W33:X33"/>
    <mergeCell ref="AQ33:AR33"/>
    <mergeCell ref="C34:D34"/>
    <mergeCell ref="W34:X34"/>
    <mergeCell ref="AQ34:AR34"/>
    <mergeCell ref="C37:D37"/>
    <mergeCell ref="W37:X37"/>
    <mergeCell ref="AQ37:AR37"/>
    <mergeCell ref="C25:D25"/>
    <mergeCell ref="W25:X25"/>
    <mergeCell ref="AQ25:AR25"/>
    <mergeCell ref="C29:D29"/>
    <mergeCell ref="W29:X29"/>
    <mergeCell ref="AQ29:AR29"/>
    <mergeCell ref="C32:D32"/>
    <mergeCell ref="W32:X32"/>
    <mergeCell ref="AQ32:AR32"/>
    <mergeCell ref="AM11:AM12"/>
    <mergeCell ref="AS11:AT11"/>
    <mergeCell ref="AU11:AV11"/>
    <mergeCell ref="C13:D13"/>
    <mergeCell ref="W13:X13"/>
    <mergeCell ref="AQ13:AR13"/>
    <mergeCell ref="C21:D21"/>
    <mergeCell ref="W21:X21"/>
    <mergeCell ref="AQ21:AR21"/>
    <mergeCell ref="C2:J2"/>
    <mergeCell ref="C4:AN4"/>
    <mergeCell ref="C10:R10"/>
    <mergeCell ref="W10:AM10"/>
    <mergeCell ref="C11:D12"/>
    <mergeCell ref="E11:E12"/>
    <mergeCell ref="F11:F12"/>
    <mergeCell ref="G11:G12"/>
    <mergeCell ref="H11:H12"/>
    <mergeCell ref="I11:L11"/>
    <mergeCell ref="M11:M12"/>
    <mergeCell ref="N11:N12"/>
    <mergeCell ref="O11:O12"/>
    <mergeCell ref="P11:P12"/>
    <mergeCell ref="R11:R12"/>
    <mergeCell ref="W11:X12"/>
    <mergeCell ref="Y11:Y12"/>
    <mergeCell ref="AA11:AA12"/>
    <mergeCell ref="AB11:AB12"/>
    <mergeCell ref="AC11:AF11"/>
    <mergeCell ref="AG11:AG12"/>
    <mergeCell ref="AH11:AH12"/>
    <mergeCell ref="AI11:AI12"/>
    <mergeCell ref="AK11:AK12"/>
  </mergeCells>
  <hyperlinks>
    <hyperlink ref="AN15" r:id="rId1" xr:uid="{00000000-0004-0000-0500-000000000000}"/>
  </hyperlink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A6099"/>
  </sheetPr>
  <dimension ref="A7:AMK129"/>
  <sheetViews>
    <sheetView topLeftCell="A106" zoomScale="81" zoomScaleNormal="81" workbookViewId="0">
      <selection activeCell="D112" sqref="D112"/>
    </sheetView>
  </sheetViews>
  <sheetFormatPr baseColWidth="10" defaultColWidth="8.7265625" defaultRowHeight="14.5" x14ac:dyDescent="0.35"/>
  <cols>
    <col min="1" max="1" width="8.453125" style="1" customWidth="1"/>
    <col min="2" max="2" width="41.453125" style="1" customWidth="1"/>
    <col min="3" max="4" width="11.26953125" style="1" customWidth="1"/>
    <col min="5" max="5" width="12.26953125" style="1" customWidth="1"/>
    <col min="6" max="6" width="13.54296875" style="1" customWidth="1"/>
    <col min="7" max="7" width="13.26953125" style="1" customWidth="1"/>
    <col min="8" max="9" width="11.7265625" style="1" customWidth="1"/>
    <col min="10" max="10" width="16.26953125" style="1" customWidth="1"/>
    <col min="11" max="12" width="11.7265625" style="1" customWidth="1"/>
    <col min="13" max="13" width="24.26953125" style="1" customWidth="1"/>
    <col min="14" max="15" width="11.26953125" style="1" customWidth="1"/>
    <col min="16" max="17" width="8.453125" style="1" customWidth="1"/>
    <col min="18" max="18" width="19.453125" style="1" customWidth="1"/>
    <col min="19" max="23" width="8.453125" style="1" customWidth="1"/>
    <col min="24" max="24" width="12.453125" style="1" customWidth="1"/>
    <col min="25" max="1025" width="8.453125" style="1" customWidth="1"/>
  </cols>
  <sheetData>
    <row r="7" spans="2:12" x14ac:dyDescent="0.35">
      <c r="B7" s="227" t="s">
        <v>543</v>
      </c>
    </row>
    <row r="8" spans="2:12" ht="13.9" customHeight="1" x14ac:dyDescent="0.35"/>
    <row r="9" spans="2:12" ht="31.9" customHeight="1" x14ac:dyDescent="0.35">
      <c r="B9" s="442" t="s">
        <v>458</v>
      </c>
      <c r="C9" s="442"/>
      <c r="D9" s="443" t="s">
        <v>3</v>
      </c>
      <c r="E9" s="443"/>
      <c r="F9" s="443"/>
      <c r="G9" s="443"/>
      <c r="H9" s="444" t="s">
        <v>4</v>
      </c>
      <c r="I9" s="444"/>
      <c r="J9" s="444"/>
      <c r="K9" s="444"/>
    </row>
    <row r="10" spans="2:12" x14ac:dyDescent="0.35">
      <c r="B10" s="442"/>
      <c r="C10" s="442"/>
      <c r="D10" s="183">
        <v>2025</v>
      </c>
      <c r="E10" s="183">
        <v>2030</v>
      </c>
      <c r="F10" s="183">
        <v>2040</v>
      </c>
      <c r="G10" s="183">
        <v>2050</v>
      </c>
      <c r="H10" s="183">
        <v>2025</v>
      </c>
      <c r="I10" s="183">
        <v>2030</v>
      </c>
      <c r="J10" s="183">
        <v>2040</v>
      </c>
      <c r="K10" s="183">
        <v>2050</v>
      </c>
      <c r="L10" s="1" t="s">
        <v>544</v>
      </c>
    </row>
    <row r="11" spans="2:12" x14ac:dyDescent="0.35">
      <c r="B11" s="441" t="s">
        <v>24</v>
      </c>
      <c r="C11" s="441"/>
      <c r="D11" s="229"/>
      <c r="E11" s="229"/>
      <c r="F11" s="229"/>
      <c r="G11" s="229"/>
      <c r="H11" s="229"/>
      <c r="I11" s="229"/>
      <c r="J11" s="229"/>
      <c r="K11" s="229"/>
      <c r="L11" s="1" t="s">
        <v>545</v>
      </c>
    </row>
    <row r="12" spans="2:12" x14ac:dyDescent="0.35">
      <c r="B12" s="445" t="s">
        <v>461</v>
      </c>
      <c r="C12" s="445"/>
      <c r="D12" s="230">
        <v>0.95698779937530498</v>
      </c>
      <c r="E12" s="230">
        <v>0.91711330773466804</v>
      </c>
      <c r="F12" s="230"/>
      <c r="G12" s="230">
        <v>0.88720743900418897</v>
      </c>
      <c r="H12" s="230"/>
      <c r="I12" s="230"/>
      <c r="J12" s="230"/>
      <c r="K12" s="230">
        <v>0.7</v>
      </c>
      <c r="L12" s="1" t="s">
        <v>546</v>
      </c>
    </row>
    <row r="13" spans="2:12" x14ac:dyDescent="0.35">
      <c r="B13" s="445" t="s">
        <v>464</v>
      </c>
      <c r="C13" s="445"/>
      <c r="D13" s="230">
        <v>0.96129032258064495</v>
      </c>
      <c r="E13" s="230">
        <v>0.92903225806451595</v>
      </c>
      <c r="F13" s="230"/>
      <c r="G13" s="230">
        <v>0.8</v>
      </c>
      <c r="H13" s="230"/>
      <c r="I13" s="230"/>
      <c r="J13" s="230"/>
      <c r="K13" s="230">
        <v>0.8</v>
      </c>
    </row>
    <row r="14" spans="2:12" x14ac:dyDescent="0.35">
      <c r="B14" s="445" t="s">
        <v>466</v>
      </c>
      <c r="C14" s="445"/>
      <c r="D14" s="230">
        <v>1</v>
      </c>
      <c r="E14" s="230">
        <v>1</v>
      </c>
      <c r="F14" s="230"/>
      <c r="G14" s="230">
        <v>1</v>
      </c>
      <c r="H14" s="230">
        <v>1</v>
      </c>
      <c r="I14" s="230">
        <v>1</v>
      </c>
      <c r="J14" s="230"/>
      <c r="K14" s="230">
        <v>1</v>
      </c>
    </row>
    <row r="15" spans="2:12" x14ac:dyDescent="0.35">
      <c r="B15" s="445" t="s">
        <v>547</v>
      </c>
      <c r="C15" s="445"/>
      <c r="D15" s="230">
        <v>0.98645161290322603</v>
      </c>
      <c r="E15" s="230">
        <v>0.97516129032258103</v>
      </c>
      <c r="F15" s="230"/>
      <c r="G15" s="230">
        <v>0.93</v>
      </c>
      <c r="H15" s="230"/>
      <c r="I15" s="230">
        <v>0.89</v>
      </c>
      <c r="J15" s="230"/>
      <c r="K15" s="230">
        <v>0.82</v>
      </c>
    </row>
    <row r="16" spans="2:12" x14ac:dyDescent="0.35">
      <c r="B16" s="445" t="s">
        <v>548</v>
      </c>
      <c r="C16" s="445"/>
      <c r="D16" s="230">
        <v>1</v>
      </c>
      <c r="E16" s="230">
        <v>1</v>
      </c>
      <c r="F16" s="230"/>
      <c r="G16" s="230">
        <v>1</v>
      </c>
      <c r="H16" s="230"/>
      <c r="I16" s="230">
        <v>0.89</v>
      </c>
      <c r="J16" s="230"/>
      <c r="K16" s="230">
        <v>0.82</v>
      </c>
      <c r="L16" s="1" t="s">
        <v>549</v>
      </c>
    </row>
    <row r="17" spans="2:12" x14ac:dyDescent="0.35">
      <c r="B17" s="445" t="s">
        <v>473</v>
      </c>
      <c r="C17" s="445"/>
      <c r="D17" s="230">
        <v>0.97391951528057497</v>
      </c>
      <c r="E17" s="230">
        <v>0.96408194441915396</v>
      </c>
      <c r="F17" s="230"/>
      <c r="G17" s="230">
        <v>0.95424437355773495</v>
      </c>
      <c r="H17" s="230">
        <v>0.96499999999999997</v>
      </c>
      <c r="I17" s="230">
        <v>0.93</v>
      </c>
      <c r="J17" s="230"/>
      <c r="K17" s="230">
        <v>0.85</v>
      </c>
    </row>
    <row r="18" spans="2:12" x14ac:dyDescent="0.35">
      <c r="B18" s="441" t="s">
        <v>25</v>
      </c>
      <c r="C18" s="441"/>
      <c r="D18" s="229"/>
      <c r="E18" s="229"/>
      <c r="F18" s="229"/>
      <c r="G18" s="229"/>
      <c r="H18" s="229"/>
      <c r="I18" s="229"/>
      <c r="J18" s="229"/>
      <c r="K18" s="229"/>
    </row>
    <row r="19" spans="2:12" x14ac:dyDescent="0.35">
      <c r="B19" s="445" t="s">
        <v>475</v>
      </c>
      <c r="C19" s="445"/>
      <c r="D19" s="230">
        <v>0.96</v>
      </c>
      <c r="E19" s="230">
        <v>0.92</v>
      </c>
      <c r="F19" s="230"/>
      <c r="G19" s="230">
        <v>0.9</v>
      </c>
      <c r="H19" s="230"/>
      <c r="I19" s="230">
        <v>0.91</v>
      </c>
      <c r="J19" s="230"/>
      <c r="K19" s="230">
        <v>0.8</v>
      </c>
    </row>
    <row r="20" spans="2:12" x14ac:dyDescent="0.35">
      <c r="B20" s="445" t="s">
        <v>476</v>
      </c>
      <c r="C20" s="445"/>
      <c r="D20" s="230">
        <v>0.90956065615245996</v>
      </c>
      <c r="E20" s="230">
        <v>0.83281462421471797</v>
      </c>
      <c r="F20" s="230"/>
      <c r="G20" s="230">
        <v>0.82422890643930802</v>
      </c>
      <c r="H20" s="230">
        <v>0.90168552036199101</v>
      </c>
      <c r="I20" s="230">
        <v>0.80796380090497699</v>
      </c>
      <c r="J20" s="230"/>
      <c r="K20" s="230">
        <v>0.73846153846153895</v>
      </c>
      <c r="L20" s="1" t="s">
        <v>550</v>
      </c>
    </row>
    <row r="21" spans="2:12" x14ac:dyDescent="0.35">
      <c r="B21" s="445" t="s">
        <v>479</v>
      </c>
      <c r="C21" s="445"/>
      <c r="D21" s="230">
        <v>0.95506546606905796</v>
      </c>
      <c r="E21" s="230">
        <v>0.93057660796472297</v>
      </c>
      <c r="F21" s="230"/>
      <c r="G21" s="230">
        <v>0.92078106472299004</v>
      </c>
      <c r="H21" s="230">
        <v>0.92</v>
      </c>
      <c r="I21" s="230">
        <v>0.84</v>
      </c>
      <c r="J21" s="230"/>
      <c r="K21" s="230">
        <v>0.67</v>
      </c>
    </row>
    <row r="22" spans="2:12" x14ac:dyDescent="0.35">
      <c r="B22" s="441" t="s">
        <v>480</v>
      </c>
      <c r="C22" s="441"/>
      <c r="D22" s="229"/>
      <c r="E22" s="229"/>
      <c r="F22" s="229"/>
      <c r="G22" s="229"/>
      <c r="H22" s="229"/>
      <c r="I22" s="229"/>
      <c r="J22" s="229"/>
      <c r="K22" s="229"/>
    </row>
    <row r="23" spans="2:12" x14ac:dyDescent="0.35">
      <c r="B23" s="445" t="s">
        <v>551</v>
      </c>
      <c r="C23" s="445"/>
      <c r="D23" s="230"/>
      <c r="E23" s="230">
        <v>0.96</v>
      </c>
      <c r="F23" s="230"/>
      <c r="G23" s="230">
        <v>0.96</v>
      </c>
      <c r="H23" s="230"/>
      <c r="I23" s="230"/>
      <c r="J23" s="230"/>
      <c r="K23" s="230">
        <v>0.92</v>
      </c>
      <c r="L23" s="1" t="s">
        <v>552</v>
      </c>
    </row>
    <row r="24" spans="2:12" x14ac:dyDescent="0.35">
      <c r="B24" s="445" t="s">
        <v>482</v>
      </c>
      <c r="C24" s="445"/>
      <c r="D24" s="230">
        <v>0.95093921708769802</v>
      </c>
      <c r="E24" s="230">
        <v>0.90613056287937699</v>
      </c>
      <c r="F24" s="230"/>
      <c r="G24" s="230">
        <v>0.85634316931457599</v>
      </c>
      <c r="H24" s="230"/>
      <c r="I24" s="230">
        <v>0.86541652329749097</v>
      </c>
      <c r="J24" s="230"/>
      <c r="K24" s="230">
        <v>0.74160573476702496</v>
      </c>
      <c r="L24" s="1" t="s">
        <v>553</v>
      </c>
    </row>
    <row r="25" spans="2:12" x14ac:dyDescent="0.35">
      <c r="B25" s="445" t="s">
        <v>483</v>
      </c>
      <c r="C25" s="445"/>
      <c r="D25" s="230">
        <v>0.96624355022597797</v>
      </c>
      <c r="E25" s="230">
        <v>0.94146807457915704</v>
      </c>
      <c r="F25" s="230"/>
      <c r="G25" s="230">
        <v>0.93155788432042896</v>
      </c>
      <c r="H25" s="230">
        <v>0.95499999999999996</v>
      </c>
      <c r="I25" s="230">
        <v>0.91</v>
      </c>
      <c r="J25" s="230"/>
      <c r="K25" s="230">
        <v>0.8</v>
      </c>
    </row>
    <row r="26" spans="2:12" x14ac:dyDescent="0.35">
      <c r="B26" s="441" t="s">
        <v>554</v>
      </c>
      <c r="C26" s="441"/>
      <c r="D26" s="231"/>
      <c r="E26" s="229"/>
      <c r="F26" s="229"/>
      <c r="G26" s="229"/>
      <c r="H26" s="229"/>
      <c r="I26" s="229"/>
      <c r="J26" s="229"/>
      <c r="K26" s="229"/>
    </row>
    <row r="27" spans="2:12" x14ac:dyDescent="0.35">
      <c r="B27" s="445" t="s">
        <v>555</v>
      </c>
      <c r="C27" s="445"/>
      <c r="D27" s="230">
        <v>0.92509223457259904</v>
      </c>
      <c r="E27" s="230">
        <v>0.86078100970926297</v>
      </c>
      <c r="F27" s="230"/>
      <c r="G27" s="230">
        <v>0.83109890592618596</v>
      </c>
      <c r="H27" s="230"/>
      <c r="I27" s="230">
        <v>0.88</v>
      </c>
      <c r="J27" s="230"/>
      <c r="K27" s="230">
        <v>0.74</v>
      </c>
    </row>
    <row r="28" spans="2:12" x14ac:dyDescent="0.35">
      <c r="B28" s="445" t="s">
        <v>556</v>
      </c>
      <c r="C28" s="445"/>
      <c r="D28" s="230">
        <v>0.94405869564292499</v>
      </c>
      <c r="E28" s="230">
        <v>0.88911348055259598</v>
      </c>
      <c r="F28" s="230"/>
      <c r="G28" s="230">
        <v>0.85914336323059803</v>
      </c>
      <c r="H28" s="230">
        <v>0.93</v>
      </c>
      <c r="I28" s="230">
        <v>0.86</v>
      </c>
      <c r="J28" s="230"/>
      <c r="K28" s="230">
        <v>0.69</v>
      </c>
    </row>
    <row r="29" spans="2:12" x14ac:dyDescent="0.35">
      <c r="B29" s="441" t="s">
        <v>487</v>
      </c>
      <c r="C29" s="441"/>
      <c r="D29" s="230">
        <v>0.94434415173186903</v>
      </c>
      <c r="E29" s="230">
        <v>0.88938232279509399</v>
      </c>
      <c r="F29" s="230"/>
      <c r="G29" s="230">
        <v>0.82942396395497497</v>
      </c>
      <c r="H29" s="230">
        <v>0.875</v>
      </c>
      <c r="I29" s="230">
        <v>0.75</v>
      </c>
      <c r="J29" s="230"/>
      <c r="K29" s="230">
        <v>0.59</v>
      </c>
    </row>
    <row r="30" spans="2:12" x14ac:dyDescent="0.35">
      <c r="B30" s="441" t="s">
        <v>31</v>
      </c>
      <c r="C30" s="441"/>
      <c r="D30" s="230"/>
      <c r="E30" s="230">
        <v>0.98899999999999999</v>
      </c>
      <c r="F30" s="230"/>
      <c r="G30" s="230">
        <v>0.96899999999999997</v>
      </c>
      <c r="H30" s="230">
        <v>0.98350000000000004</v>
      </c>
      <c r="I30" s="230">
        <v>0.96699999999999997</v>
      </c>
      <c r="J30" s="230"/>
      <c r="K30" s="230">
        <v>0.90700000000000003</v>
      </c>
      <c r="L30" s="1" t="s">
        <v>546</v>
      </c>
    </row>
    <row r="31" spans="2:12" x14ac:dyDescent="0.35">
      <c r="B31" s="441" t="s">
        <v>488</v>
      </c>
      <c r="C31" s="441"/>
      <c r="D31" s="231"/>
      <c r="E31" s="229"/>
      <c r="F31" s="229"/>
      <c r="G31" s="229"/>
      <c r="H31" s="229"/>
      <c r="I31" s="229"/>
      <c r="J31" s="229"/>
      <c r="K31" s="229"/>
    </row>
    <row r="32" spans="2:12" x14ac:dyDescent="0.35">
      <c r="B32" s="445" t="s">
        <v>489</v>
      </c>
      <c r="C32" s="445"/>
      <c r="D32" s="230">
        <v>0.92550802079359296</v>
      </c>
      <c r="E32" s="230">
        <v>0.86306065736090198</v>
      </c>
      <c r="F32" s="230"/>
      <c r="G32" s="230">
        <v>0.86306065736090198</v>
      </c>
      <c r="H32" s="230">
        <v>0.90995383009153297</v>
      </c>
      <c r="I32" s="230">
        <v>0.82415284897025198</v>
      </c>
      <c r="J32" s="230"/>
      <c r="K32" s="230">
        <v>0.63958921052631601</v>
      </c>
      <c r="L32" s="1" t="s">
        <v>557</v>
      </c>
    </row>
    <row r="33" spans="2:31" x14ac:dyDescent="0.35">
      <c r="B33" s="445" t="s">
        <v>490</v>
      </c>
      <c r="C33" s="445"/>
      <c r="D33" s="230">
        <v>0.95406359134114704</v>
      </c>
      <c r="E33" s="230">
        <v>0.90910771530936596</v>
      </c>
      <c r="F33" s="230"/>
      <c r="G33" s="230">
        <v>0.87913713128817805</v>
      </c>
      <c r="H33" s="230">
        <v>0.92500000000000004</v>
      </c>
      <c r="I33" s="230">
        <v>0.85</v>
      </c>
      <c r="J33" s="230"/>
      <c r="K33" s="230">
        <v>0.69</v>
      </c>
    </row>
    <row r="37" spans="2:31" x14ac:dyDescent="0.35">
      <c r="B37" s="227" t="s">
        <v>558</v>
      </c>
    </row>
    <row r="39" spans="2:31" ht="13.9" customHeight="1" x14ac:dyDescent="0.35">
      <c r="B39" s="442" t="s">
        <v>559</v>
      </c>
      <c r="C39" s="446" t="s">
        <v>560</v>
      </c>
      <c r="D39" s="446"/>
      <c r="E39" s="446"/>
      <c r="F39" s="446"/>
      <c r="H39" s="442" t="s">
        <v>561</v>
      </c>
      <c r="I39" s="446" t="s">
        <v>560</v>
      </c>
      <c r="J39" s="446"/>
      <c r="K39" s="446"/>
      <c r="L39" s="446"/>
      <c r="O39" s="447" t="s">
        <v>562</v>
      </c>
      <c r="P39" s="446" t="s">
        <v>560</v>
      </c>
      <c r="Q39" s="446"/>
      <c r="R39" s="446"/>
      <c r="S39" s="446"/>
      <c r="U39" s="447" t="s">
        <v>563</v>
      </c>
      <c r="V39" s="446" t="s">
        <v>560</v>
      </c>
      <c r="W39" s="446"/>
      <c r="X39" s="446"/>
      <c r="Y39" s="446"/>
      <c r="AA39" s="232" t="s">
        <v>564</v>
      </c>
      <c r="AB39" s="232"/>
      <c r="AC39" s="232"/>
      <c r="AD39" s="232"/>
      <c r="AE39" s="232"/>
    </row>
    <row r="40" spans="2:31" ht="27" customHeight="1" x14ac:dyDescent="0.35">
      <c r="B40" s="442"/>
      <c r="C40" s="448" t="s">
        <v>565</v>
      </c>
      <c r="D40" s="448"/>
      <c r="E40" s="448" t="s">
        <v>566</v>
      </c>
      <c r="F40" s="448"/>
      <c r="H40" s="442"/>
      <c r="I40" s="448" t="s">
        <v>565</v>
      </c>
      <c r="J40" s="448"/>
      <c r="K40" s="448" t="s">
        <v>566</v>
      </c>
      <c r="L40" s="448"/>
      <c r="O40" s="447"/>
      <c r="P40" s="448" t="s">
        <v>565</v>
      </c>
      <c r="Q40" s="448"/>
      <c r="R40" s="448" t="s">
        <v>566</v>
      </c>
      <c r="S40" s="448"/>
      <c r="U40" s="447"/>
      <c r="V40" s="448" t="s">
        <v>565</v>
      </c>
      <c r="W40" s="448"/>
      <c r="X40" s="448" t="s">
        <v>566</v>
      </c>
      <c r="Y40" s="448"/>
      <c r="AA40" s="232" t="s">
        <v>567</v>
      </c>
      <c r="AB40" s="232"/>
      <c r="AC40" s="232"/>
      <c r="AD40" s="232"/>
      <c r="AE40" s="232"/>
    </row>
    <row r="41" spans="2:31" x14ac:dyDescent="0.35">
      <c r="B41" s="442"/>
      <c r="C41" s="233" t="s">
        <v>568</v>
      </c>
      <c r="D41" s="233" t="s">
        <v>569</v>
      </c>
      <c r="E41" s="233" t="s">
        <v>568</v>
      </c>
      <c r="F41" s="233" t="s">
        <v>569</v>
      </c>
      <c r="H41" s="442"/>
      <c r="I41" s="233" t="s">
        <v>570</v>
      </c>
      <c r="J41" s="233" t="s">
        <v>571</v>
      </c>
      <c r="K41" s="233" t="s">
        <v>570</v>
      </c>
      <c r="L41" s="233" t="s">
        <v>571</v>
      </c>
      <c r="O41" s="447"/>
      <c r="P41" s="233" t="s">
        <v>570</v>
      </c>
      <c r="Q41" s="233" t="s">
        <v>571</v>
      </c>
      <c r="R41" s="233" t="s">
        <v>570</v>
      </c>
      <c r="S41" s="233" t="s">
        <v>571</v>
      </c>
      <c r="U41" s="447"/>
      <c r="V41" s="233" t="s">
        <v>570</v>
      </c>
      <c r="W41" s="233" t="s">
        <v>571</v>
      </c>
      <c r="X41" s="233" t="s">
        <v>570</v>
      </c>
      <c r="Y41" s="233" t="s">
        <v>571</v>
      </c>
      <c r="AA41" s="232"/>
      <c r="AB41" s="232"/>
      <c r="AC41" s="232"/>
      <c r="AD41" s="232"/>
      <c r="AE41" s="232"/>
    </row>
    <row r="42" spans="2:31" x14ac:dyDescent="0.35">
      <c r="B42" s="187" t="s">
        <v>24</v>
      </c>
      <c r="C42" s="234">
        <v>0</v>
      </c>
      <c r="D42" s="234"/>
      <c r="E42" s="234">
        <v>0</v>
      </c>
      <c r="F42" s="234"/>
      <c r="H42" s="187" t="s">
        <v>24</v>
      </c>
      <c r="I42" s="234">
        <v>0</v>
      </c>
      <c r="J42" s="234"/>
      <c r="K42" s="234">
        <v>0</v>
      </c>
      <c r="L42" s="234"/>
      <c r="O42" s="187" t="s">
        <v>24</v>
      </c>
      <c r="P42" s="234">
        <v>0</v>
      </c>
      <c r="Q42" s="234"/>
      <c r="R42" s="234">
        <v>0</v>
      </c>
      <c r="S42" s="234"/>
      <c r="U42" s="187" t="s">
        <v>24</v>
      </c>
      <c r="V42" s="234">
        <v>0</v>
      </c>
      <c r="W42" s="234"/>
      <c r="X42" s="234">
        <v>0</v>
      </c>
      <c r="Y42" s="234"/>
      <c r="AA42" s="232"/>
      <c r="AB42" s="449" t="s">
        <v>572</v>
      </c>
      <c r="AC42" s="449"/>
      <c r="AD42" s="449" t="s">
        <v>573</v>
      </c>
      <c r="AE42" s="449"/>
    </row>
    <row r="43" spans="2:31" x14ac:dyDescent="0.35">
      <c r="B43" s="189" t="s">
        <v>574</v>
      </c>
      <c r="C43" s="230">
        <v>0.09</v>
      </c>
      <c r="D43" s="230">
        <v>8.3970606060605996E-2</v>
      </c>
      <c r="E43" s="230">
        <v>0.23</v>
      </c>
      <c r="F43" s="230">
        <v>0.109836342371079</v>
      </c>
      <c r="H43" s="189" t="s">
        <v>574</v>
      </c>
      <c r="I43" s="230"/>
      <c r="J43" s="230"/>
      <c r="K43" s="230"/>
      <c r="L43" s="230"/>
      <c r="M43" s="1" t="s">
        <v>575</v>
      </c>
      <c r="O43" s="189" t="s">
        <v>574</v>
      </c>
      <c r="P43" s="230">
        <v>-0.26</v>
      </c>
      <c r="Q43" s="230">
        <v>0.4</v>
      </c>
      <c r="R43" s="230">
        <v>-0.66</v>
      </c>
      <c r="S43" s="230">
        <v>0.66</v>
      </c>
      <c r="U43" s="189" t="s">
        <v>574</v>
      </c>
      <c r="V43" s="230">
        <v>-0.26</v>
      </c>
      <c r="W43" s="230">
        <v>0.4</v>
      </c>
      <c r="X43" s="230">
        <v>-0.66</v>
      </c>
      <c r="Y43" s="230">
        <v>0.66</v>
      </c>
      <c r="AA43" s="235"/>
      <c r="AB43" s="236">
        <v>2030</v>
      </c>
      <c r="AC43" s="236">
        <v>2050</v>
      </c>
      <c r="AD43" s="236">
        <v>2030</v>
      </c>
      <c r="AE43" s="236">
        <v>2050</v>
      </c>
    </row>
    <row r="44" spans="2:31" x14ac:dyDescent="0.35">
      <c r="B44" s="189" t="s">
        <v>576</v>
      </c>
      <c r="C44" s="230">
        <v>0.09</v>
      </c>
      <c r="D44" s="230">
        <v>0</v>
      </c>
      <c r="E44" s="230">
        <v>0.23</v>
      </c>
      <c r="F44" s="230">
        <v>0</v>
      </c>
      <c r="H44" s="189" t="s">
        <v>576</v>
      </c>
      <c r="I44" s="230">
        <v>0.11</v>
      </c>
      <c r="J44" s="230">
        <v>0.11</v>
      </c>
      <c r="K44" s="230">
        <v>0.18</v>
      </c>
      <c r="L44" s="230">
        <v>0.18</v>
      </c>
      <c r="O44" s="189" t="s">
        <v>576</v>
      </c>
      <c r="P44" s="230">
        <v>0.12</v>
      </c>
      <c r="Q44" s="230">
        <v>0.25</v>
      </c>
      <c r="R44" s="230">
        <v>0.31</v>
      </c>
      <c r="S44" s="230">
        <v>0.55000000000000004</v>
      </c>
      <c r="T44" s="1" t="s">
        <v>577</v>
      </c>
      <c r="U44" s="189" t="s">
        <v>576</v>
      </c>
      <c r="V44" s="230">
        <v>0.12</v>
      </c>
      <c r="W44" s="230">
        <v>0.25</v>
      </c>
      <c r="X44" s="230">
        <v>0.31</v>
      </c>
      <c r="Y44" s="230">
        <v>0.55000000000000004</v>
      </c>
      <c r="AA44" s="237" t="s">
        <v>578</v>
      </c>
      <c r="AB44" s="238">
        <v>0.13163889682701799</v>
      </c>
      <c r="AC44" s="238">
        <v>0.29119491792341801</v>
      </c>
      <c r="AD44" s="238">
        <v>0.16611647474244701</v>
      </c>
      <c r="AE44" s="238">
        <v>0.42601350152455503</v>
      </c>
    </row>
    <row r="45" spans="2:31" x14ac:dyDescent="0.35">
      <c r="B45" s="189" t="s">
        <v>473</v>
      </c>
      <c r="C45" s="230">
        <v>0.09</v>
      </c>
      <c r="D45" s="230">
        <v>2.4433198380566901E-2</v>
      </c>
      <c r="E45" s="230">
        <v>0.23</v>
      </c>
      <c r="F45" s="230">
        <v>3.3755060728744998E-2</v>
      </c>
      <c r="H45" s="189" t="s">
        <v>473</v>
      </c>
      <c r="I45" s="230">
        <v>7.0000000000000007E-2</v>
      </c>
      <c r="J45" s="230">
        <v>7.0000000000000007E-2</v>
      </c>
      <c r="K45" s="230">
        <v>0.15</v>
      </c>
      <c r="L45" s="230">
        <v>0.15</v>
      </c>
      <c r="O45" s="189" t="s">
        <v>473</v>
      </c>
      <c r="P45" s="230"/>
      <c r="Q45" s="230"/>
      <c r="R45" s="230"/>
      <c r="S45" s="230"/>
      <c r="U45" s="189" t="s">
        <v>473</v>
      </c>
      <c r="V45" s="230"/>
      <c r="W45" s="230"/>
      <c r="X45" s="230"/>
      <c r="Y45" s="230"/>
      <c r="AA45" s="237" t="s">
        <v>579</v>
      </c>
      <c r="AB45" s="238">
        <v>0.134445752159849</v>
      </c>
      <c r="AC45" s="238">
        <v>0.31423434150318602</v>
      </c>
      <c r="AD45" s="238">
        <v>0.237966819223311</v>
      </c>
      <c r="AE45" s="238">
        <v>0.64915746644081695</v>
      </c>
    </row>
    <row r="46" spans="2:31" x14ac:dyDescent="0.35">
      <c r="B46" s="187" t="s">
        <v>25</v>
      </c>
      <c r="C46" s="234">
        <v>0</v>
      </c>
      <c r="D46" s="234"/>
      <c r="E46" s="234">
        <v>0</v>
      </c>
      <c r="F46" s="234"/>
      <c r="H46" s="187" t="s">
        <v>25</v>
      </c>
      <c r="I46" s="234">
        <v>0</v>
      </c>
      <c r="J46" s="234">
        <v>0</v>
      </c>
      <c r="K46" s="234">
        <v>0</v>
      </c>
      <c r="L46" s="234">
        <v>0</v>
      </c>
      <c r="O46" s="187" t="s">
        <v>25</v>
      </c>
      <c r="P46" s="234"/>
      <c r="Q46" s="234"/>
      <c r="R46" s="234"/>
      <c r="S46" s="234"/>
      <c r="U46" s="187" t="s">
        <v>25</v>
      </c>
      <c r="V46" s="234"/>
      <c r="W46" s="234"/>
      <c r="X46" s="234"/>
      <c r="Y46" s="234"/>
      <c r="AA46" s="237" t="s">
        <v>580</v>
      </c>
      <c r="AB46" s="238">
        <v>0.12069069416174499</v>
      </c>
      <c r="AC46" s="238">
        <v>0.27096753910138099</v>
      </c>
      <c r="AD46" s="238">
        <v>0.108127850954112</v>
      </c>
      <c r="AE46" s="238">
        <v>0.38434619934592701</v>
      </c>
    </row>
    <row r="47" spans="2:31" x14ac:dyDescent="0.35">
      <c r="B47" s="189" t="s">
        <v>475</v>
      </c>
      <c r="C47" s="230">
        <v>0.18</v>
      </c>
      <c r="D47" s="230">
        <v>8.2307692307692207E-2</v>
      </c>
      <c r="E47" s="230">
        <v>0.21</v>
      </c>
      <c r="F47" s="230">
        <v>9.9040485829959599E-2</v>
      </c>
      <c r="H47" s="189" t="s">
        <v>475</v>
      </c>
      <c r="I47" s="230">
        <v>0.09</v>
      </c>
      <c r="J47" s="230">
        <v>0.09</v>
      </c>
      <c r="K47" s="230">
        <v>0.19</v>
      </c>
      <c r="L47" s="230">
        <v>0.2</v>
      </c>
      <c r="O47" s="189" t="s">
        <v>475</v>
      </c>
      <c r="P47" s="230"/>
      <c r="Q47" s="230"/>
      <c r="R47" s="230"/>
      <c r="S47" s="230"/>
      <c r="U47" s="189" t="s">
        <v>475</v>
      </c>
      <c r="V47" s="230"/>
      <c r="W47" s="230"/>
      <c r="X47" s="230"/>
      <c r="Y47" s="230"/>
      <c r="AA47" s="237" t="s">
        <v>581</v>
      </c>
      <c r="AB47" s="238">
        <v>5.1672667833057601E-2</v>
      </c>
      <c r="AC47" s="238">
        <v>0.13448219961156599</v>
      </c>
      <c r="AD47" s="238">
        <v>4.0205505641205001E-2</v>
      </c>
      <c r="AE47" s="238">
        <v>0.127602050362495</v>
      </c>
    </row>
    <row r="48" spans="2:31" x14ac:dyDescent="0.35">
      <c r="B48" s="189" t="s">
        <v>476</v>
      </c>
      <c r="C48" s="230">
        <v>0</v>
      </c>
      <c r="D48" s="230">
        <v>3.03030303030303E-2</v>
      </c>
      <c r="E48" s="230">
        <v>0</v>
      </c>
      <c r="F48" s="230">
        <v>4.0404040404040401E-2</v>
      </c>
      <c r="H48" s="189" t="s">
        <v>476</v>
      </c>
      <c r="I48" s="230">
        <v>5.4300000000000001E-2</v>
      </c>
      <c r="J48" s="230">
        <v>7.0000000000000007E-2</v>
      </c>
      <c r="K48" s="230">
        <v>0.12</v>
      </c>
      <c r="L48" s="230">
        <v>0.15</v>
      </c>
      <c r="M48" s="1" t="s">
        <v>582</v>
      </c>
      <c r="O48" s="189" t="s">
        <v>476</v>
      </c>
      <c r="P48" s="230"/>
      <c r="Q48" s="230"/>
      <c r="R48" s="230"/>
      <c r="S48" s="230"/>
      <c r="U48" s="189" t="s">
        <v>476</v>
      </c>
      <c r="V48" s="230"/>
      <c r="W48" s="230"/>
      <c r="X48" s="230"/>
      <c r="Y48" s="230"/>
      <c r="AA48" s="237" t="s">
        <v>583</v>
      </c>
      <c r="AB48" s="238">
        <v>2.0907369253972699E-2</v>
      </c>
      <c r="AC48" s="238">
        <v>5.5175985222707502E-2</v>
      </c>
      <c r="AD48" s="238">
        <v>9.3241702809427299E-2</v>
      </c>
      <c r="AE48" s="238">
        <v>0.128644085717529</v>
      </c>
    </row>
    <row r="49" spans="2:31" x14ac:dyDescent="0.35">
      <c r="B49" s="189" t="s">
        <v>584</v>
      </c>
      <c r="C49" s="230">
        <v>0.18</v>
      </c>
      <c r="D49" s="230">
        <v>0.125</v>
      </c>
      <c r="E49" s="230">
        <v>0.21</v>
      </c>
      <c r="F49" s="230">
        <v>0.16666666666666699</v>
      </c>
      <c r="H49" s="189" t="s">
        <v>584</v>
      </c>
      <c r="I49" s="230">
        <v>0.09</v>
      </c>
      <c r="J49" s="230"/>
      <c r="K49" s="230">
        <v>0.21</v>
      </c>
      <c r="L49" s="230"/>
      <c r="O49" s="189" t="s">
        <v>584</v>
      </c>
      <c r="P49" s="230"/>
      <c r="Q49" s="230"/>
      <c r="R49" s="230"/>
      <c r="S49" s="230"/>
      <c r="U49" s="189" t="s">
        <v>584</v>
      </c>
      <c r="V49" s="230"/>
      <c r="W49" s="230"/>
      <c r="X49" s="230"/>
      <c r="Y49" s="230"/>
      <c r="AA49" s="237" t="s">
        <v>585</v>
      </c>
      <c r="AB49" s="238">
        <v>9.2911809940207701E-2</v>
      </c>
      <c r="AC49" s="238">
        <v>0.23138320399630499</v>
      </c>
      <c r="AD49" s="238">
        <v>0.161925382730954</v>
      </c>
      <c r="AE49" s="238">
        <v>0.35063020867141897</v>
      </c>
    </row>
    <row r="50" spans="2:31" x14ac:dyDescent="0.35">
      <c r="B50" s="189" t="s">
        <v>479</v>
      </c>
      <c r="C50" s="230">
        <v>0.18</v>
      </c>
      <c r="D50" s="230">
        <v>4.8153747105944097E-2</v>
      </c>
      <c r="E50" s="230">
        <v>0.21</v>
      </c>
      <c r="F50" s="230">
        <v>6.4024698007073805E-2</v>
      </c>
      <c r="H50" s="189" t="s">
        <v>479</v>
      </c>
      <c r="I50" s="230">
        <v>0.16</v>
      </c>
      <c r="J50" s="230">
        <v>0.16</v>
      </c>
      <c r="K50" s="230">
        <v>0.33</v>
      </c>
      <c r="L50" s="230">
        <v>0.33</v>
      </c>
      <c r="O50" s="189" t="s">
        <v>479</v>
      </c>
      <c r="P50" s="230">
        <v>0.01</v>
      </c>
      <c r="Q50" s="230">
        <v>0.2</v>
      </c>
      <c r="R50" s="230">
        <v>-0.23</v>
      </c>
      <c r="S50" s="230">
        <v>0.57999999999999996</v>
      </c>
      <c r="U50" s="189" t="s">
        <v>479</v>
      </c>
      <c r="V50" s="230">
        <v>0.01</v>
      </c>
      <c r="W50" s="230">
        <v>0.2</v>
      </c>
      <c r="X50" s="230">
        <v>0.23</v>
      </c>
      <c r="Y50" s="230">
        <v>0.57999999999999996</v>
      </c>
      <c r="AA50" s="237" t="s">
        <v>586</v>
      </c>
      <c r="AB50" s="238">
        <v>8.7549525798927302E-2</v>
      </c>
      <c r="AC50" s="238">
        <v>0.261270777059665</v>
      </c>
      <c r="AD50" s="238">
        <v>0.32124128506093602</v>
      </c>
      <c r="AE50" s="238">
        <v>0.51874328161080496</v>
      </c>
    </row>
    <row r="51" spans="2:31" x14ac:dyDescent="0.35">
      <c r="B51" s="187" t="s">
        <v>480</v>
      </c>
      <c r="C51" s="234">
        <v>0</v>
      </c>
      <c r="D51" s="234"/>
      <c r="E51" s="234">
        <v>0</v>
      </c>
      <c r="F51" s="234"/>
      <c r="H51" s="187" t="s">
        <v>480</v>
      </c>
      <c r="I51" s="234">
        <v>0</v>
      </c>
      <c r="J51" s="234">
        <v>0</v>
      </c>
      <c r="K51" s="234">
        <v>0</v>
      </c>
      <c r="L51" s="234">
        <v>0</v>
      </c>
      <c r="O51" s="187" t="s">
        <v>480</v>
      </c>
      <c r="P51" s="234"/>
      <c r="Q51" s="234"/>
      <c r="R51" s="234"/>
      <c r="S51" s="234"/>
      <c r="U51" s="187" t="s">
        <v>480</v>
      </c>
      <c r="V51" s="234"/>
      <c r="W51" s="234"/>
      <c r="X51" s="234"/>
      <c r="Y51" s="234"/>
      <c r="AA51" s="237" t="s">
        <v>587</v>
      </c>
      <c r="AB51" s="238">
        <v>7.6910853679976507E-2</v>
      </c>
      <c r="AC51" s="238">
        <v>0.18580712235395699</v>
      </c>
      <c r="AD51" s="238">
        <v>8.4787016861577302E-2</v>
      </c>
      <c r="AE51" s="238">
        <v>0.16153523749550899</v>
      </c>
    </row>
    <row r="52" spans="2:31" x14ac:dyDescent="0.35">
      <c r="B52" s="189" t="s">
        <v>481</v>
      </c>
      <c r="C52" s="230">
        <v>7.0000000000000007E-2</v>
      </c>
      <c r="D52" s="230">
        <v>3.9235378539811003E-2</v>
      </c>
      <c r="E52" s="230">
        <v>0.13</v>
      </c>
      <c r="F52" s="230">
        <v>3.9100643761117798E-2</v>
      </c>
      <c r="H52" s="189" t="s">
        <v>481</v>
      </c>
      <c r="I52" s="230"/>
      <c r="J52" s="230"/>
      <c r="K52" s="230"/>
      <c r="L52" s="230"/>
      <c r="O52" s="189" t="s">
        <v>481</v>
      </c>
      <c r="P52" s="230"/>
      <c r="Q52" s="230"/>
      <c r="R52" s="230"/>
      <c r="S52" s="230"/>
      <c r="U52" s="189" t="s">
        <v>481</v>
      </c>
      <c r="V52" s="230"/>
      <c r="W52" s="230"/>
      <c r="X52" s="230"/>
      <c r="Y52" s="230"/>
      <c r="AA52" s="237" t="s">
        <v>588</v>
      </c>
      <c r="AB52" s="238">
        <v>9.01667472527726E-2</v>
      </c>
      <c r="AC52" s="238">
        <v>0.20376415567573</v>
      </c>
      <c r="AD52" s="238">
        <v>7.7720942700893497E-2</v>
      </c>
      <c r="AE52" s="238">
        <v>0.359829158785895</v>
      </c>
    </row>
    <row r="53" spans="2:31" x14ac:dyDescent="0.35">
      <c r="B53" s="189" t="s">
        <v>482</v>
      </c>
      <c r="C53" s="230">
        <v>7.0000000000000007E-2</v>
      </c>
      <c r="D53" s="230">
        <v>8.7378640776699004E-2</v>
      </c>
      <c r="E53" s="230">
        <v>0.13</v>
      </c>
      <c r="F53" s="230">
        <v>0.14077669902912601</v>
      </c>
      <c r="H53" s="189" t="s">
        <v>482</v>
      </c>
      <c r="I53" s="230">
        <v>7.0000000000000007E-2</v>
      </c>
      <c r="J53" s="230">
        <v>0.09</v>
      </c>
      <c r="K53" s="230">
        <v>0.15</v>
      </c>
      <c r="L53" s="230">
        <v>0.2</v>
      </c>
      <c r="O53" s="189" t="s">
        <v>482</v>
      </c>
      <c r="P53" s="230"/>
      <c r="Q53" s="230"/>
      <c r="R53" s="230"/>
      <c r="S53" s="230"/>
      <c r="U53" s="189" t="s">
        <v>482</v>
      </c>
      <c r="V53" s="230"/>
      <c r="W53" s="230"/>
      <c r="X53" s="230"/>
      <c r="Y53" s="230"/>
      <c r="AA53" s="237" t="s">
        <v>589</v>
      </c>
      <c r="AB53" s="238">
        <v>0.116946463478158</v>
      </c>
      <c r="AC53" s="238">
        <v>0.29504994440615101</v>
      </c>
      <c r="AD53" s="238">
        <v>8.2033165055189899E-2</v>
      </c>
      <c r="AE53" s="238">
        <v>0.18659373673466501</v>
      </c>
    </row>
    <row r="54" spans="2:31" x14ac:dyDescent="0.35">
      <c r="B54" s="189" t="s">
        <v>483</v>
      </c>
      <c r="C54" s="230">
        <v>7.0000000000000007E-2</v>
      </c>
      <c r="D54" s="230">
        <v>4.5299492385786802E-2</v>
      </c>
      <c r="E54" s="230">
        <v>0.13</v>
      </c>
      <c r="F54" s="230">
        <v>6.0512690355329898E-2</v>
      </c>
      <c r="H54" s="189" t="s">
        <v>483</v>
      </c>
      <c r="I54" s="230">
        <v>0.09</v>
      </c>
      <c r="J54" s="230">
        <v>0.09</v>
      </c>
      <c r="K54" s="230">
        <v>0.19500000000000001</v>
      </c>
      <c r="L54" s="230">
        <v>0.2</v>
      </c>
      <c r="O54" s="189" t="s">
        <v>483</v>
      </c>
      <c r="P54" s="230"/>
      <c r="Q54" s="230"/>
      <c r="R54" s="230"/>
      <c r="S54" s="230"/>
      <c r="U54" s="189" t="s">
        <v>483</v>
      </c>
      <c r="V54" s="230"/>
      <c r="W54" s="230"/>
      <c r="X54" s="230"/>
      <c r="Y54" s="230"/>
      <c r="AA54" s="237" t="s">
        <v>590</v>
      </c>
      <c r="AB54" s="238">
        <v>7.9978336791827295E-2</v>
      </c>
      <c r="AC54" s="238">
        <v>0.25191076800033502</v>
      </c>
      <c r="AD54" s="238">
        <v>9.1457917832990898E-2</v>
      </c>
      <c r="AE54" s="238">
        <v>0.23321980767919201</v>
      </c>
    </row>
    <row r="55" spans="2:31" x14ac:dyDescent="0.35">
      <c r="B55" s="187" t="s">
        <v>554</v>
      </c>
      <c r="C55" s="234">
        <v>0</v>
      </c>
      <c r="D55" s="234"/>
      <c r="E55" s="234">
        <v>0</v>
      </c>
      <c r="F55" s="234"/>
      <c r="H55" s="187" t="s">
        <v>554</v>
      </c>
      <c r="I55" s="234">
        <v>0</v>
      </c>
      <c r="J55" s="234">
        <v>0</v>
      </c>
      <c r="K55" s="234">
        <v>0</v>
      </c>
      <c r="L55" s="234">
        <v>0</v>
      </c>
      <c r="O55" s="187" t="s">
        <v>554</v>
      </c>
      <c r="P55" s="234"/>
      <c r="Q55" s="234"/>
      <c r="R55" s="234"/>
      <c r="S55" s="234"/>
      <c r="U55" s="187" t="s">
        <v>554</v>
      </c>
      <c r="V55" s="234"/>
      <c r="W55" s="234"/>
      <c r="X55" s="234"/>
      <c r="Y55" s="234"/>
      <c r="AA55" s="237" t="s">
        <v>591</v>
      </c>
      <c r="AB55" s="238">
        <v>0.11750833798906</v>
      </c>
      <c r="AC55" s="238">
        <v>0.28934159941405602</v>
      </c>
      <c r="AD55" s="238">
        <v>0.30674589968974197</v>
      </c>
      <c r="AE55" s="238">
        <v>0.81565865900575096</v>
      </c>
    </row>
    <row r="56" spans="2:31" x14ac:dyDescent="0.35">
      <c r="B56" s="189" t="s">
        <v>555</v>
      </c>
      <c r="C56" s="230">
        <v>0</v>
      </c>
      <c r="D56" s="230">
        <v>0.13350000000000001</v>
      </c>
      <c r="E56" s="230">
        <v>0</v>
      </c>
      <c r="F56" s="230">
        <v>0.1575</v>
      </c>
      <c r="H56" s="189" t="s">
        <v>555</v>
      </c>
      <c r="I56" s="230">
        <v>0.12</v>
      </c>
      <c r="J56" s="230">
        <v>0.12</v>
      </c>
      <c r="K56" s="230">
        <v>0.26</v>
      </c>
      <c r="L56" s="230">
        <v>0.26</v>
      </c>
      <c r="O56" s="189" t="s">
        <v>555</v>
      </c>
      <c r="P56" s="230"/>
      <c r="Q56" s="230"/>
      <c r="R56" s="230"/>
      <c r="S56" s="230"/>
      <c r="U56" s="189" t="s">
        <v>555</v>
      </c>
      <c r="V56" s="230"/>
      <c r="W56" s="230"/>
      <c r="X56" s="230"/>
      <c r="Y56" s="230"/>
      <c r="AA56" s="237" t="s">
        <v>592</v>
      </c>
      <c r="AB56" s="238">
        <v>0.11168342521423499</v>
      </c>
      <c r="AC56" s="238">
        <v>0.28146328374900997</v>
      </c>
      <c r="AD56" s="238">
        <v>7.3825552404749903E-2</v>
      </c>
      <c r="AE56" s="238">
        <v>0.15469847189594799</v>
      </c>
    </row>
    <row r="57" spans="2:31" x14ac:dyDescent="0.35">
      <c r="B57" s="189" t="s">
        <v>556</v>
      </c>
      <c r="C57" s="230">
        <v>0</v>
      </c>
      <c r="D57" s="230">
        <v>0.108998970133883</v>
      </c>
      <c r="E57" s="230">
        <v>0</v>
      </c>
      <c r="F57" s="230">
        <v>0.13810272914521099</v>
      </c>
      <c r="H57" s="189" t="s">
        <v>556</v>
      </c>
      <c r="I57" s="230">
        <v>0.14000000000000001</v>
      </c>
      <c r="J57" s="230">
        <v>0.14000000000000001</v>
      </c>
      <c r="K57" s="230">
        <v>0.3</v>
      </c>
      <c r="L57" s="230">
        <v>0.31</v>
      </c>
      <c r="O57" s="189" t="s">
        <v>556</v>
      </c>
      <c r="P57" s="230">
        <v>-0.22</v>
      </c>
      <c r="Q57" s="230">
        <v>0.32</v>
      </c>
      <c r="R57" s="230">
        <v>-0.23</v>
      </c>
      <c r="S57" s="230">
        <v>0.62</v>
      </c>
      <c r="U57" s="189" t="s">
        <v>556</v>
      </c>
      <c r="V57" s="230">
        <v>-0.22</v>
      </c>
      <c r="W57" s="230">
        <v>0.32</v>
      </c>
      <c r="X57" s="230">
        <v>-0.23</v>
      </c>
      <c r="Y57" s="230">
        <v>0.62</v>
      </c>
      <c r="AA57" s="237" t="s">
        <v>593</v>
      </c>
      <c r="AB57" s="238">
        <v>0.13243637042392101</v>
      </c>
      <c r="AC57" s="238">
        <v>0.30630709892305003</v>
      </c>
      <c r="AD57" s="238">
        <v>0.163037364816143</v>
      </c>
      <c r="AE57" s="238">
        <v>0.40358648811231201</v>
      </c>
    </row>
    <row r="58" spans="2:31" x14ac:dyDescent="0.35">
      <c r="B58" s="187" t="s">
        <v>487</v>
      </c>
      <c r="C58" s="239">
        <v>0.11</v>
      </c>
      <c r="D58" s="239">
        <v>0.111360327198364</v>
      </c>
      <c r="E58" s="239">
        <v>0.22</v>
      </c>
      <c r="F58" s="230">
        <v>0.172594989775051</v>
      </c>
      <c r="H58" s="187" t="s">
        <v>487</v>
      </c>
      <c r="I58" s="230">
        <v>0.18</v>
      </c>
      <c r="J58" s="230">
        <v>0.25</v>
      </c>
      <c r="K58" s="230">
        <v>0.34</v>
      </c>
      <c r="L58" s="230">
        <v>0.41</v>
      </c>
      <c r="O58" s="187" t="s">
        <v>487</v>
      </c>
      <c r="P58" s="230">
        <v>0.03</v>
      </c>
      <c r="Q58" s="230">
        <v>0.27</v>
      </c>
      <c r="R58" s="230">
        <v>0.22</v>
      </c>
      <c r="S58" s="230">
        <v>0.57999999999999996</v>
      </c>
      <c r="U58" s="187" t="s">
        <v>487</v>
      </c>
      <c r="V58" s="230">
        <v>0.03</v>
      </c>
      <c r="W58" s="230">
        <v>0.27</v>
      </c>
      <c r="X58" s="230">
        <v>0.22</v>
      </c>
      <c r="Y58" s="230">
        <v>0.57999999999999996</v>
      </c>
      <c r="AA58" s="237" t="s">
        <v>594</v>
      </c>
      <c r="AB58" s="238">
        <v>8.9401095495711194E-2</v>
      </c>
      <c r="AC58" s="238">
        <v>0.19324303769192699</v>
      </c>
      <c r="AD58" s="238">
        <v>0.12977698884306499</v>
      </c>
      <c r="AE58" s="238">
        <v>0.27431169560449797</v>
      </c>
    </row>
    <row r="59" spans="2:31" x14ac:dyDescent="0.35">
      <c r="O59" s="187" t="s">
        <v>31</v>
      </c>
      <c r="P59" s="26">
        <v>-0.14000000000000001</v>
      </c>
      <c r="Q59" s="26">
        <v>0.23</v>
      </c>
      <c r="R59" s="26">
        <v>-0.02</v>
      </c>
      <c r="S59" s="26">
        <v>0.52</v>
      </c>
      <c r="U59" s="187" t="s">
        <v>31</v>
      </c>
      <c r="V59" s="26">
        <v>-0.14000000000000001</v>
      </c>
      <c r="W59" s="26">
        <v>0.23</v>
      </c>
      <c r="X59" s="26">
        <v>-0.02</v>
      </c>
      <c r="Y59" s="26">
        <v>0.52</v>
      </c>
      <c r="AA59" s="237" t="s">
        <v>595</v>
      </c>
      <c r="AB59" s="238">
        <v>0.13913699446559399</v>
      </c>
      <c r="AC59" s="238">
        <v>0.27578510714931198</v>
      </c>
      <c r="AD59" s="238">
        <v>0.32094376605640601</v>
      </c>
      <c r="AE59" s="238">
        <v>0.64988559668475698</v>
      </c>
    </row>
    <row r="60" spans="2:31" x14ac:dyDescent="0.35">
      <c r="B60" s="187" t="s">
        <v>488</v>
      </c>
      <c r="C60" s="234">
        <v>0</v>
      </c>
      <c r="D60" s="234"/>
      <c r="E60" s="234">
        <v>0</v>
      </c>
      <c r="F60" s="234"/>
      <c r="H60" s="187" t="s">
        <v>488</v>
      </c>
      <c r="I60" s="234"/>
      <c r="J60" s="234"/>
      <c r="K60" s="234"/>
      <c r="L60" s="234"/>
      <c r="O60" s="187" t="s">
        <v>488</v>
      </c>
      <c r="P60" s="234"/>
      <c r="Q60" s="234"/>
      <c r="R60" s="234"/>
      <c r="S60" s="234"/>
      <c r="U60" s="187" t="s">
        <v>488</v>
      </c>
      <c r="V60" s="234"/>
      <c r="W60" s="234"/>
      <c r="X60" s="234"/>
      <c r="Y60" s="234"/>
      <c r="AA60" s="237" t="s">
        <v>596</v>
      </c>
      <c r="AB60" s="238">
        <v>0.10014128900777899</v>
      </c>
      <c r="AC60" s="238">
        <v>0.219583202566317</v>
      </c>
      <c r="AD60" s="238">
        <v>0.20199026898290001</v>
      </c>
      <c r="AE60" s="238">
        <v>0.38220091870306699</v>
      </c>
    </row>
    <row r="61" spans="2:31" x14ac:dyDescent="0.35">
      <c r="B61" s="189" t="s">
        <v>489</v>
      </c>
      <c r="C61" s="230">
        <v>0</v>
      </c>
      <c r="D61" s="230">
        <v>8.0645879732739401E-2</v>
      </c>
      <c r="E61" s="230">
        <v>0</v>
      </c>
      <c r="F61" s="230">
        <v>7.8942093541202601E-2</v>
      </c>
      <c r="H61" s="189" t="s">
        <v>489</v>
      </c>
      <c r="I61" s="230">
        <v>0.1</v>
      </c>
      <c r="J61" s="230">
        <v>0.09</v>
      </c>
      <c r="K61" s="230">
        <v>0.23</v>
      </c>
      <c r="L61" s="230">
        <v>0.18</v>
      </c>
      <c r="O61" s="189" t="s">
        <v>489</v>
      </c>
      <c r="P61" s="230">
        <v>-0.22</v>
      </c>
      <c r="Q61" s="230">
        <v>0.32</v>
      </c>
      <c r="R61" s="230">
        <v>-0.06</v>
      </c>
      <c r="S61" s="230">
        <v>0.68</v>
      </c>
      <c r="U61" s="189" t="s">
        <v>489</v>
      </c>
      <c r="V61" s="230">
        <v>-0.22</v>
      </c>
      <c r="W61" s="230">
        <v>0.33</v>
      </c>
      <c r="X61" s="230">
        <v>-0.06</v>
      </c>
      <c r="Y61" s="230">
        <v>0.68</v>
      </c>
      <c r="AA61" s="237" t="s">
        <v>597</v>
      </c>
      <c r="AB61" s="238">
        <v>0.112792042769062</v>
      </c>
      <c r="AC61" s="238">
        <v>0.25553952173171401</v>
      </c>
      <c r="AD61" s="238">
        <v>0.19222038893681101</v>
      </c>
      <c r="AE61" s="238">
        <v>0.40745403030442801</v>
      </c>
    </row>
    <row r="62" spans="2:31" x14ac:dyDescent="0.35">
      <c r="B62" s="189" t="s">
        <v>490</v>
      </c>
      <c r="C62" s="230">
        <v>0</v>
      </c>
      <c r="D62" s="230">
        <v>8.8373592630501499E-2</v>
      </c>
      <c r="E62" s="230">
        <v>0</v>
      </c>
      <c r="F62" s="230">
        <v>0.11502164790174001</v>
      </c>
      <c r="H62" s="189" t="s">
        <v>490</v>
      </c>
      <c r="I62" s="230">
        <v>0.15</v>
      </c>
      <c r="J62" s="230">
        <v>0.15</v>
      </c>
      <c r="K62" s="230">
        <v>0.31</v>
      </c>
      <c r="L62" s="230">
        <v>0.31</v>
      </c>
      <c r="O62" s="189" t="s">
        <v>490</v>
      </c>
      <c r="P62" s="230">
        <v>-0.08</v>
      </c>
      <c r="Q62" s="230">
        <v>0.25</v>
      </c>
      <c r="R62" s="230">
        <v>0.01</v>
      </c>
      <c r="S62" s="230">
        <v>0.47</v>
      </c>
      <c r="U62" s="189" t="s">
        <v>490</v>
      </c>
      <c r="V62" s="230">
        <v>-0.08</v>
      </c>
      <c r="W62" s="230">
        <v>0.25</v>
      </c>
      <c r="X62" s="230">
        <v>0.01</v>
      </c>
      <c r="Y62" s="230">
        <v>0.47</v>
      </c>
      <c r="AA62" s="237" t="s">
        <v>598</v>
      </c>
      <c r="AB62" s="238">
        <v>0.143930100629407</v>
      </c>
      <c r="AC62" s="238">
        <v>0.30917388250185002</v>
      </c>
      <c r="AD62" s="238">
        <v>0.24727546459194499</v>
      </c>
      <c r="AE62" s="238">
        <v>0.52402618998956296</v>
      </c>
    </row>
    <row r="63" spans="2:31" x14ac:dyDescent="0.35">
      <c r="AA63" s="237" t="s">
        <v>599</v>
      </c>
      <c r="AB63" s="238">
        <v>0.111999250154406</v>
      </c>
      <c r="AC63" s="238">
        <v>0.26437249444456901</v>
      </c>
      <c r="AD63" s="238">
        <v>0.202173824263745</v>
      </c>
      <c r="AE63" s="238">
        <v>0.452878701063818</v>
      </c>
    </row>
    <row r="64" spans="2:31" x14ac:dyDescent="0.35">
      <c r="AA64" s="237" t="s">
        <v>600</v>
      </c>
      <c r="AB64" s="238">
        <v>7.7111706407435102E-2</v>
      </c>
      <c r="AC64" s="238">
        <v>0.185840824502263</v>
      </c>
      <c r="AD64" s="238">
        <v>0.130407808938862</v>
      </c>
      <c r="AE64" s="238">
        <v>0.39332523215410298</v>
      </c>
    </row>
    <row r="65" spans="2:31" x14ac:dyDescent="0.35">
      <c r="AA65" s="237" t="s">
        <v>601</v>
      </c>
      <c r="AB65" s="238">
        <v>0.10569420834634</v>
      </c>
      <c r="AC65" s="238">
        <v>0.233825824651888</v>
      </c>
      <c r="AD65" s="238">
        <v>0.12145168517711</v>
      </c>
      <c r="AE65" s="238">
        <v>0.28456322462675498</v>
      </c>
    </row>
    <row r="66" spans="2:31" x14ac:dyDescent="0.35">
      <c r="AA66" s="237" t="s">
        <v>602</v>
      </c>
      <c r="AB66" s="238">
        <v>0.15313214879117901</v>
      </c>
      <c r="AC66" s="238">
        <v>0.28167154548697099</v>
      </c>
      <c r="AD66" s="238">
        <v>0.21745661685411</v>
      </c>
      <c r="AE66" s="238">
        <v>0.44781912952832198</v>
      </c>
    </row>
    <row r="67" spans="2:31" x14ac:dyDescent="0.35">
      <c r="AA67" s="237" t="s">
        <v>603</v>
      </c>
      <c r="AB67" s="238">
        <v>0.12668044024441</v>
      </c>
      <c r="AC67" s="238">
        <v>0.28628488326684798</v>
      </c>
      <c r="AD67" s="238">
        <v>0.18181676342213399</v>
      </c>
      <c r="AE67" s="238">
        <v>0.34758104158984798</v>
      </c>
    </row>
    <row r="68" spans="2:31" x14ac:dyDescent="0.35">
      <c r="AA68" s="240" t="s">
        <v>604</v>
      </c>
      <c r="AB68" s="241">
        <v>9.7471088903460595E-2</v>
      </c>
      <c r="AC68" s="241">
        <v>0.22824356418992101</v>
      </c>
      <c r="AD68" s="241">
        <v>0.11557689741429</v>
      </c>
      <c r="AE68" s="241">
        <v>0.26274288980216698</v>
      </c>
    </row>
    <row r="70" spans="2:31" x14ac:dyDescent="0.35">
      <c r="B70" s="227" t="s">
        <v>605</v>
      </c>
      <c r="C70" s="242"/>
      <c r="D70" s="243" t="s">
        <v>606</v>
      </c>
      <c r="E70" s="242"/>
      <c r="F70" s="242"/>
    </row>
    <row r="71" spans="2:31" ht="13.9" customHeight="1" x14ac:dyDescent="0.35">
      <c r="B71" s="242"/>
      <c r="C71" s="242"/>
      <c r="D71" s="242"/>
      <c r="E71" s="242"/>
      <c r="F71" s="242"/>
    </row>
    <row r="72" spans="2:31" ht="31.9" customHeight="1" x14ac:dyDescent="0.35">
      <c r="B72" s="244" t="s">
        <v>458</v>
      </c>
      <c r="C72" s="244"/>
      <c r="D72" s="443" t="s">
        <v>3</v>
      </c>
      <c r="E72" s="443"/>
      <c r="F72" s="443"/>
      <c r="G72" s="443"/>
    </row>
    <row r="73" spans="2:31" x14ac:dyDescent="0.35">
      <c r="B73" s="228"/>
      <c r="C73" s="228"/>
      <c r="D73" s="183">
        <v>2025</v>
      </c>
      <c r="E73" s="183">
        <v>2030</v>
      </c>
      <c r="F73" s="183">
        <v>2040</v>
      </c>
      <c r="G73" s="183">
        <v>2050</v>
      </c>
    </row>
    <row r="74" spans="2:31" x14ac:dyDescent="0.35">
      <c r="B74" s="207" t="s">
        <v>24</v>
      </c>
      <c r="C74" s="207"/>
      <c r="D74" s="229"/>
      <c r="E74" s="229"/>
      <c r="F74" s="229"/>
      <c r="G74" s="229"/>
    </row>
    <row r="75" spans="2:31" x14ac:dyDescent="0.35">
      <c r="B75" s="245" t="s">
        <v>461</v>
      </c>
      <c r="C75" s="245"/>
      <c r="D75" s="246">
        <v>0.96</v>
      </c>
      <c r="E75" s="246">
        <v>0.96</v>
      </c>
      <c r="F75" s="246">
        <f t="shared" ref="F75:F81" si="0">(E75+G75)/2</f>
        <v>0.95</v>
      </c>
      <c r="G75" s="246">
        <v>0.94</v>
      </c>
      <c r="H75" s="56" t="s">
        <v>607</v>
      </c>
      <c r="W75" s="194"/>
      <c r="X75" s="194"/>
    </row>
    <row r="76" spans="2:31" x14ac:dyDescent="0.35">
      <c r="B76" s="245" t="s">
        <v>464</v>
      </c>
      <c r="C76" s="245"/>
      <c r="D76" s="246">
        <v>0.99</v>
      </c>
      <c r="E76" s="246">
        <v>0.98</v>
      </c>
      <c r="F76" s="246">
        <f t="shared" si="0"/>
        <v>0.96499999999999997</v>
      </c>
      <c r="G76" s="246">
        <v>0.95</v>
      </c>
      <c r="H76" s="56" t="s">
        <v>608</v>
      </c>
      <c r="W76" s="194"/>
      <c r="X76" s="194"/>
    </row>
    <row r="77" spans="2:31" x14ac:dyDescent="0.35">
      <c r="B77" s="245" t="s">
        <v>466</v>
      </c>
      <c r="C77" s="245"/>
      <c r="D77" s="230">
        <v>1</v>
      </c>
      <c r="E77" s="230">
        <v>0.98</v>
      </c>
      <c r="F77" s="230">
        <f t="shared" si="0"/>
        <v>0.96499999999999997</v>
      </c>
      <c r="G77" s="246">
        <v>0.95</v>
      </c>
      <c r="H77" s="56" t="s">
        <v>609</v>
      </c>
    </row>
    <row r="78" spans="2:31" x14ac:dyDescent="0.35">
      <c r="B78" s="247" t="s">
        <v>610</v>
      </c>
      <c r="C78" s="245"/>
      <c r="D78" s="230">
        <v>1</v>
      </c>
      <c r="E78" s="230">
        <v>1</v>
      </c>
      <c r="F78" s="230">
        <f t="shared" si="0"/>
        <v>1</v>
      </c>
      <c r="G78" s="230">
        <v>1</v>
      </c>
      <c r="H78" s="56" t="s">
        <v>611</v>
      </c>
    </row>
    <row r="79" spans="2:31" x14ac:dyDescent="0.35">
      <c r="B79" s="245" t="s">
        <v>547</v>
      </c>
      <c r="C79" s="245"/>
      <c r="D79" s="230">
        <v>0.98645161290322603</v>
      </c>
      <c r="E79" s="230">
        <v>0.97516129032258103</v>
      </c>
      <c r="F79" s="230">
        <f t="shared" si="0"/>
        <v>0.9525806451612906</v>
      </c>
      <c r="G79" s="230">
        <v>0.93</v>
      </c>
      <c r="H79" s="56" t="s">
        <v>612</v>
      </c>
      <c r="W79" s="194"/>
      <c r="X79" s="194"/>
    </row>
    <row r="80" spans="2:31" x14ac:dyDescent="0.35">
      <c r="B80" s="245" t="s">
        <v>548</v>
      </c>
      <c r="C80" s="245"/>
      <c r="D80" s="246">
        <v>0.99</v>
      </c>
      <c r="E80" s="246">
        <v>0.98</v>
      </c>
      <c r="F80" s="246">
        <f t="shared" si="0"/>
        <v>0.96499999999999997</v>
      </c>
      <c r="G80" s="246">
        <v>0.95</v>
      </c>
      <c r="H80" s="56" t="s">
        <v>613</v>
      </c>
    </row>
    <row r="81" spans="2:24" x14ac:dyDescent="0.35">
      <c r="B81" s="245" t="s">
        <v>473</v>
      </c>
      <c r="C81" s="245"/>
      <c r="D81" s="230">
        <v>0.97391951528057497</v>
      </c>
      <c r="E81" s="230">
        <v>0.96408194441915396</v>
      </c>
      <c r="F81" s="230">
        <f t="shared" si="0"/>
        <v>0.9591631589884444</v>
      </c>
      <c r="G81" s="230">
        <v>0.95424437355773495</v>
      </c>
      <c r="H81" s="56" t="s">
        <v>614</v>
      </c>
      <c r="W81" s="194"/>
      <c r="X81" s="194"/>
    </row>
    <row r="82" spans="2:24" x14ac:dyDescent="0.35">
      <c r="B82" s="207" t="s">
        <v>25</v>
      </c>
      <c r="C82" s="207"/>
      <c r="D82" s="229"/>
      <c r="E82" s="229"/>
      <c r="F82" s="229"/>
      <c r="G82" s="229"/>
      <c r="H82" s="56"/>
    </row>
    <row r="83" spans="2:24" x14ac:dyDescent="0.35">
      <c r="B83" s="245" t="s">
        <v>475</v>
      </c>
      <c r="C83" s="245"/>
      <c r="D83" s="230">
        <v>0.96</v>
      </c>
      <c r="E83" s="230">
        <v>0.92</v>
      </c>
      <c r="F83" s="230">
        <f>(E83+G83)/2</f>
        <v>0.91</v>
      </c>
      <c r="G83" s="230">
        <v>0.9</v>
      </c>
      <c r="H83" s="56" t="s">
        <v>615</v>
      </c>
    </row>
    <row r="84" spans="2:24" x14ac:dyDescent="0.35">
      <c r="B84" s="245" t="s">
        <v>476</v>
      </c>
      <c r="C84" s="245"/>
      <c r="D84" s="246">
        <v>0.98</v>
      </c>
      <c r="E84" s="246">
        <v>0.97</v>
      </c>
      <c r="F84" s="246">
        <f>(E84+G84)/2</f>
        <v>0.96</v>
      </c>
      <c r="G84" s="246">
        <v>0.95</v>
      </c>
      <c r="H84" s="56" t="s">
        <v>607</v>
      </c>
      <c r="W84" s="194"/>
      <c r="X84" s="194"/>
    </row>
    <row r="85" spans="2:24" x14ac:dyDescent="0.35">
      <c r="B85" s="245" t="s">
        <v>479</v>
      </c>
      <c r="C85" s="245"/>
      <c r="D85" s="246">
        <v>0.97</v>
      </c>
      <c r="E85" s="230">
        <v>0.93057660796472297</v>
      </c>
      <c r="F85" s="230">
        <f>(E85+G85)/2</f>
        <v>0.9256788363438565</v>
      </c>
      <c r="G85" s="230">
        <v>0.92078106472299004</v>
      </c>
      <c r="H85" s="56" t="s">
        <v>614</v>
      </c>
      <c r="W85" s="194"/>
      <c r="X85" s="194"/>
    </row>
    <row r="86" spans="2:24" x14ac:dyDescent="0.35">
      <c r="B86" s="207" t="s">
        <v>480</v>
      </c>
      <c r="C86" s="207"/>
      <c r="D86" s="229"/>
      <c r="E86" s="229"/>
      <c r="F86" s="229"/>
      <c r="G86" s="229"/>
      <c r="H86" s="56"/>
    </row>
    <row r="87" spans="2:24" x14ac:dyDescent="0.35">
      <c r="B87" s="245" t="s">
        <v>551</v>
      </c>
      <c r="C87" s="245"/>
      <c r="D87" s="246">
        <v>0.95</v>
      </c>
      <c r="E87" s="246">
        <v>0.94</v>
      </c>
      <c r="F87" s="246">
        <f>(E87+G87)/2</f>
        <v>0.92999999999999994</v>
      </c>
      <c r="G87" s="246">
        <v>0.92</v>
      </c>
      <c r="H87" s="56" t="s">
        <v>607</v>
      </c>
      <c r="W87" s="194"/>
      <c r="X87" s="194"/>
    </row>
    <row r="88" spans="2:24" x14ac:dyDescent="0.35">
      <c r="B88" s="245" t="s">
        <v>482</v>
      </c>
      <c r="C88" s="245"/>
      <c r="D88" s="246">
        <v>0.95093921708769802</v>
      </c>
      <c r="E88" s="246">
        <v>0.90613056287937699</v>
      </c>
      <c r="F88" s="246">
        <f>(E88+G88)/2</f>
        <v>0.88123686609697649</v>
      </c>
      <c r="G88" s="246">
        <v>0.85634316931457599</v>
      </c>
      <c r="H88" s="56" t="s">
        <v>616</v>
      </c>
      <c r="W88" s="194"/>
      <c r="X88" s="194"/>
    </row>
    <row r="89" spans="2:24" x14ac:dyDescent="0.35">
      <c r="B89" s="245" t="s">
        <v>483</v>
      </c>
      <c r="C89" s="245"/>
      <c r="D89" s="230">
        <v>0.96624355022597797</v>
      </c>
      <c r="E89" s="230">
        <v>0.94146807457915704</v>
      </c>
      <c r="F89" s="230">
        <f>(E89+G89)/2</f>
        <v>0.93651297944979306</v>
      </c>
      <c r="G89" s="230">
        <v>0.93155788432042896</v>
      </c>
      <c r="H89" s="56" t="s">
        <v>611</v>
      </c>
    </row>
    <row r="90" spans="2:24" x14ac:dyDescent="0.35">
      <c r="B90" s="207" t="s">
        <v>554</v>
      </c>
      <c r="C90" s="207"/>
      <c r="D90" s="231"/>
      <c r="E90" s="229"/>
      <c r="F90" s="229"/>
      <c r="G90" s="229"/>
      <c r="H90" s="56"/>
    </row>
    <row r="91" spans="2:24" x14ac:dyDescent="0.35">
      <c r="B91" s="245" t="s">
        <v>555</v>
      </c>
      <c r="C91" s="245"/>
      <c r="D91" s="246">
        <v>0.96</v>
      </c>
      <c r="E91" s="246">
        <v>0.95</v>
      </c>
      <c r="F91" s="246">
        <f>(E91+G91)/2</f>
        <v>0.92999999999999994</v>
      </c>
      <c r="G91" s="246">
        <v>0.91</v>
      </c>
      <c r="H91" s="56" t="s">
        <v>617</v>
      </c>
      <c r="W91" s="194"/>
      <c r="X91" s="194"/>
    </row>
    <row r="92" spans="2:24" x14ac:dyDescent="0.35">
      <c r="B92" s="245" t="s">
        <v>556</v>
      </c>
      <c r="C92" s="245"/>
      <c r="D92" s="246">
        <v>0.99</v>
      </c>
      <c r="E92" s="246">
        <v>0.99</v>
      </c>
      <c r="F92" s="246">
        <f>(E92+G92)/2</f>
        <v>0.98</v>
      </c>
      <c r="G92" s="246">
        <v>0.97</v>
      </c>
      <c r="H92" s="56" t="s">
        <v>618</v>
      </c>
      <c r="W92" s="194"/>
      <c r="X92" s="194"/>
    </row>
    <row r="93" spans="2:24" x14ac:dyDescent="0.35">
      <c r="B93" s="207" t="s">
        <v>487</v>
      </c>
      <c r="C93" s="207"/>
      <c r="D93" s="246">
        <v>0.99</v>
      </c>
      <c r="E93" s="246">
        <v>0.97</v>
      </c>
      <c r="F93" s="246">
        <f>(E93+G93)/2</f>
        <v>0.95</v>
      </c>
      <c r="G93" s="246">
        <v>0.93</v>
      </c>
      <c r="H93" s="56" t="s">
        <v>619</v>
      </c>
      <c r="W93" s="194"/>
      <c r="X93" s="194"/>
    </row>
    <row r="94" spans="2:24" x14ac:dyDescent="0.35">
      <c r="B94" s="207" t="s">
        <v>31</v>
      </c>
      <c r="C94" s="207"/>
      <c r="D94" s="230">
        <v>0.99</v>
      </c>
      <c r="E94" s="230">
        <v>0.98899999999999999</v>
      </c>
      <c r="F94" s="230">
        <f>(E94+G94)/2</f>
        <v>0.97899999999999998</v>
      </c>
      <c r="G94" s="230">
        <v>0.96899999999999997</v>
      </c>
      <c r="H94" s="56" t="s">
        <v>620</v>
      </c>
      <c r="I94" s="248"/>
      <c r="X94" s="194"/>
    </row>
    <row r="95" spans="2:24" x14ac:dyDescent="0.35">
      <c r="B95" s="207" t="s">
        <v>488</v>
      </c>
      <c r="C95" s="207"/>
      <c r="D95" s="231"/>
      <c r="E95" s="229"/>
      <c r="F95" s="229"/>
      <c r="G95" s="229"/>
      <c r="H95" s="56"/>
    </row>
    <row r="96" spans="2:24" x14ac:dyDescent="0.35">
      <c r="B96" s="245" t="s">
        <v>489</v>
      </c>
      <c r="C96" s="245"/>
      <c r="D96" s="246">
        <v>0.93</v>
      </c>
      <c r="E96" s="246">
        <v>0.92</v>
      </c>
      <c r="F96" s="246">
        <f>(E96+G96)/2</f>
        <v>0.91</v>
      </c>
      <c r="G96" s="246">
        <v>0.9</v>
      </c>
      <c r="H96" s="56" t="s">
        <v>621</v>
      </c>
      <c r="X96" s="194"/>
    </row>
    <row r="97" spans="2:24" x14ac:dyDescent="0.35">
      <c r="B97" s="245" t="s">
        <v>490</v>
      </c>
      <c r="C97" s="245"/>
      <c r="D97" s="246">
        <v>0.99</v>
      </c>
      <c r="E97" s="246">
        <v>0.99</v>
      </c>
      <c r="F97" s="246">
        <f>(E97+G97)/2</f>
        <v>0.98</v>
      </c>
      <c r="G97" s="246">
        <v>0.97</v>
      </c>
      <c r="H97" s="56" t="s">
        <v>622</v>
      </c>
      <c r="X97" s="194"/>
    </row>
    <row r="102" spans="2:24" x14ac:dyDescent="0.35">
      <c r="B102" s="227" t="s">
        <v>623</v>
      </c>
      <c r="D102" s="249" t="s">
        <v>624</v>
      </c>
      <c r="L102" s="250" t="s">
        <v>625</v>
      </c>
    </row>
    <row r="104" spans="2:24" x14ac:dyDescent="0.35">
      <c r="B104" s="450" t="s">
        <v>458</v>
      </c>
      <c r="C104" s="450"/>
      <c r="D104" s="443" t="s">
        <v>4</v>
      </c>
      <c r="E104" s="443"/>
      <c r="F104" s="443"/>
      <c r="G104" s="443"/>
      <c r="N104" s="444" t="s">
        <v>626</v>
      </c>
      <c r="O104" s="444"/>
      <c r="P104" s="444" t="s">
        <v>627</v>
      </c>
      <c r="Q104" s="444"/>
    </row>
    <row r="105" spans="2:24" x14ac:dyDescent="0.35">
      <c r="B105" s="450"/>
      <c r="C105" s="450"/>
      <c r="D105" s="183">
        <v>2025</v>
      </c>
      <c r="E105" s="183">
        <v>2030</v>
      </c>
      <c r="F105" s="183">
        <v>2040</v>
      </c>
      <c r="G105" s="183">
        <v>2050</v>
      </c>
      <c r="I105" s="250"/>
      <c r="N105" s="183">
        <v>2030</v>
      </c>
      <c r="O105" s="183">
        <v>2050</v>
      </c>
      <c r="P105" s="183">
        <v>2030</v>
      </c>
      <c r="Q105" s="183">
        <v>2050</v>
      </c>
    </row>
    <row r="106" spans="2:24" x14ac:dyDescent="0.35">
      <c r="B106" s="441" t="s">
        <v>24</v>
      </c>
      <c r="C106" s="441"/>
      <c r="D106" s="229"/>
      <c r="E106" s="229"/>
      <c r="F106" s="229"/>
      <c r="G106" s="229"/>
      <c r="L106" s="451" t="s">
        <v>628</v>
      </c>
      <c r="M106" s="451"/>
      <c r="N106" s="251"/>
      <c r="O106" s="252"/>
      <c r="P106" s="252"/>
      <c r="Q106" s="253"/>
    </row>
    <row r="107" spans="2:24" x14ac:dyDescent="0.35">
      <c r="B107" s="445" t="s">
        <v>461</v>
      </c>
      <c r="C107" s="445"/>
      <c r="D107" s="230"/>
      <c r="E107" s="230"/>
      <c r="F107" s="230"/>
      <c r="G107" s="230">
        <v>0.7</v>
      </c>
      <c r="H107" s="1" t="s">
        <v>546</v>
      </c>
      <c r="L107" s="452" t="s">
        <v>629</v>
      </c>
      <c r="M107" s="452"/>
      <c r="N107" s="254" t="s">
        <v>630</v>
      </c>
      <c r="O107" s="255" t="s">
        <v>630</v>
      </c>
      <c r="P107" s="130">
        <v>0.91332715408090104</v>
      </c>
      <c r="Q107" s="256">
        <v>0.68832090023985404</v>
      </c>
    </row>
    <row r="108" spans="2:24" x14ac:dyDescent="0.35">
      <c r="B108" s="445" t="s">
        <v>464</v>
      </c>
      <c r="C108" s="445"/>
      <c r="D108" s="230">
        <v>0.98</v>
      </c>
      <c r="E108" s="230">
        <v>0.95</v>
      </c>
      <c r="F108" s="230"/>
      <c r="G108" s="230">
        <v>0.9</v>
      </c>
      <c r="H108" s="1" t="s">
        <v>631</v>
      </c>
      <c r="L108" s="452" t="s">
        <v>632</v>
      </c>
      <c r="M108" s="452"/>
      <c r="N108" s="257">
        <v>0.94483143582853402</v>
      </c>
      <c r="O108" s="130">
        <v>0.90539175146392803</v>
      </c>
      <c r="P108" s="130">
        <v>0.95666386576374396</v>
      </c>
      <c r="Q108" s="256">
        <v>0.93693348131920695</v>
      </c>
    </row>
    <row r="109" spans="2:24" ht="15" customHeight="1" x14ac:dyDescent="0.35">
      <c r="B109" s="445" t="s">
        <v>466</v>
      </c>
      <c r="C109" s="445"/>
      <c r="D109" s="230">
        <v>1</v>
      </c>
      <c r="E109" s="230">
        <v>0.95</v>
      </c>
      <c r="F109" s="230"/>
      <c r="G109" s="230">
        <v>0.9</v>
      </c>
      <c r="H109" s="1" t="s">
        <v>633</v>
      </c>
      <c r="L109" s="452" t="s">
        <v>634</v>
      </c>
      <c r="M109" s="452"/>
      <c r="N109" s="258"/>
      <c r="Q109" s="259"/>
    </row>
    <row r="110" spans="2:24" x14ac:dyDescent="0.35">
      <c r="B110" s="445" t="s">
        <v>635</v>
      </c>
      <c r="C110" s="445"/>
      <c r="D110" s="230">
        <v>1</v>
      </c>
      <c r="E110" s="230">
        <v>0.95</v>
      </c>
      <c r="F110" s="230"/>
      <c r="G110" s="230">
        <v>0.9</v>
      </c>
      <c r="H110" s="1" t="s">
        <v>633</v>
      </c>
      <c r="N110" s="258"/>
      <c r="Q110" s="259"/>
    </row>
    <row r="111" spans="2:24" x14ac:dyDescent="0.35">
      <c r="B111" s="445" t="s">
        <v>547</v>
      </c>
      <c r="C111" s="445"/>
      <c r="D111" s="230">
        <v>0.98</v>
      </c>
      <c r="E111" s="230">
        <v>0.95</v>
      </c>
      <c r="F111" s="230"/>
      <c r="G111" s="230">
        <v>0.9</v>
      </c>
      <c r="H111" s="260" t="s">
        <v>636</v>
      </c>
      <c r="L111" s="452" t="s">
        <v>637</v>
      </c>
      <c r="M111" s="452"/>
      <c r="N111" s="257">
        <v>0.78469454253299498</v>
      </c>
      <c r="O111" s="130">
        <v>0.448114548339413</v>
      </c>
      <c r="P111" s="130">
        <v>0.92518971064931499</v>
      </c>
      <c r="Q111" s="256">
        <v>0.85869097158293795</v>
      </c>
      <c r="R111" s="1" t="s">
        <v>638</v>
      </c>
    </row>
    <row r="112" spans="2:24" x14ac:dyDescent="0.35">
      <c r="B112" s="445" t="s">
        <v>548</v>
      </c>
      <c r="C112" s="445"/>
      <c r="D112" s="230">
        <v>0.95</v>
      </c>
      <c r="E112" s="230">
        <v>0.89</v>
      </c>
      <c r="F112" s="230"/>
      <c r="G112" s="230">
        <v>0.82</v>
      </c>
      <c r="H112" s="260" t="s">
        <v>636</v>
      </c>
      <c r="L112" s="452"/>
      <c r="M112" s="452"/>
      <c r="N112" s="257"/>
      <c r="O112" s="130"/>
      <c r="P112" s="130"/>
      <c r="Q112" s="256"/>
    </row>
    <row r="113" spans="2:18" x14ac:dyDescent="0.35">
      <c r="B113" s="445" t="s">
        <v>473</v>
      </c>
      <c r="C113" s="445"/>
      <c r="D113" s="230">
        <v>0.98</v>
      </c>
      <c r="E113" s="230">
        <v>0.95</v>
      </c>
      <c r="F113" s="230"/>
      <c r="G113" s="230">
        <v>0.9</v>
      </c>
      <c r="H113" s="260" t="s">
        <v>639</v>
      </c>
      <c r="L113" s="452" t="s">
        <v>640</v>
      </c>
      <c r="M113" s="452"/>
      <c r="N113" s="257">
        <v>1.00212918670271</v>
      </c>
      <c r="O113" s="130">
        <v>0.64012062299697503</v>
      </c>
      <c r="P113" s="130">
        <v>1.09600548090054</v>
      </c>
      <c r="Q113" s="256">
        <v>1.07589135156824</v>
      </c>
    </row>
    <row r="114" spans="2:18" x14ac:dyDescent="0.35">
      <c r="B114" s="441" t="s">
        <v>25</v>
      </c>
      <c r="C114" s="441"/>
      <c r="D114" s="229"/>
      <c r="E114" s="229"/>
      <c r="F114" s="229"/>
      <c r="G114" s="229"/>
      <c r="H114" s="260"/>
      <c r="L114" s="452"/>
      <c r="M114" s="452"/>
      <c r="N114" s="257"/>
      <c r="O114" s="130"/>
      <c r="P114" s="130"/>
      <c r="Q114" s="256"/>
    </row>
    <row r="115" spans="2:18" x14ac:dyDescent="0.35">
      <c r="B115" s="445" t="s">
        <v>475</v>
      </c>
      <c r="C115" s="445"/>
      <c r="D115" s="230">
        <v>0.9</v>
      </c>
      <c r="E115" s="230">
        <v>0.74</v>
      </c>
      <c r="F115" s="230"/>
      <c r="G115" s="230">
        <v>0.71</v>
      </c>
      <c r="H115" s="260" t="s">
        <v>631</v>
      </c>
      <c r="L115" s="452" t="s">
        <v>641</v>
      </c>
      <c r="M115" s="452"/>
      <c r="N115" s="257">
        <v>0.73576298930750905</v>
      </c>
      <c r="O115" s="130">
        <v>0.71200385889235396</v>
      </c>
      <c r="P115" s="130">
        <v>0.738328034332286</v>
      </c>
      <c r="Q115" s="256">
        <v>0.71794868560444403</v>
      </c>
    </row>
    <row r="116" spans="2:18" x14ac:dyDescent="0.35">
      <c r="B116" s="445" t="s">
        <v>476</v>
      </c>
      <c r="C116" s="445"/>
      <c r="D116" s="230">
        <v>0.93</v>
      </c>
      <c r="E116" s="230">
        <v>0.88</v>
      </c>
      <c r="F116" s="230"/>
      <c r="G116" s="230">
        <v>0.73846153846153895</v>
      </c>
      <c r="H116" s="260" t="s">
        <v>631</v>
      </c>
      <c r="L116" s="452" t="s">
        <v>642</v>
      </c>
      <c r="M116" s="452"/>
      <c r="N116" s="257">
        <v>0.95835179869901299</v>
      </c>
      <c r="O116" s="130">
        <v>0.90754207169630097</v>
      </c>
      <c r="P116" s="130">
        <v>0.88775029134714001</v>
      </c>
      <c r="Q116" s="256">
        <v>0.70941641730404303</v>
      </c>
    </row>
    <row r="117" spans="2:18" x14ac:dyDescent="0.35">
      <c r="B117" s="445" t="s">
        <v>479</v>
      </c>
      <c r="C117" s="445"/>
      <c r="D117" s="230">
        <v>0.95</v>
      </c>
      <c r="E117" s="230">
        <v>0.91</v>
      </c>
      <c r="F117" s="230"/>
      <c r="G117" s="230">
        <v>0.81</v>
      </c>
      <c r="H117" s="261" t="s">
        <v>643</v>
      </c>
      <c r="L117" s="452" t="s">
        <v>644</v>
      </c>
      <c r="M117" s="452"/>
      <c r="N117" s="257">
        <v>0.93182591586613495</v>
      </c>
      <c r="O117" s="130">
        <v>0.86133876268689902</v>
      </c>
      <c r="P117" s="130">
        <v>0.91063308904493601</v>
      </c>
      <c r="Q117" s="256">
        <v>0.80554219430119001</v>
      </c>
    </row>
    <row r="118" spans="2:18" x14ac:dyDescent="0.35">
      <c r="B118" s="441" t="s">
        <v>480</v>
      </c>
      <c r="C118" s="441"/>
      <c r="D118" s="229"/>
      <c r="E118" s="229"/>
      <c r="F118" s="229"/>
      <c r="G118" s="229"/>
      <c r="L118" s="452"/>
      <c r="M118" s="452"/>
      <c r="N118" s="257"/>
      <c r="O118" s="130"/>
      <c r="P118" s="130"/>
      <c r="Q118" s="256"/>
    </row>
    <row r="119" spans="2:18" x14ac:dyDescent="0.35">
      <c r="B119" s="445" t="s">
        <v>551</v>
      </c>
      <c r="C119" s="445"/>
      <c r="D119" s="230">
        <v>0.97</v>
      </c>
      <c r="E119" s="230">
        <v>0.93</v>
      </c>
      <c r="F119" s="230"/>
      <c r="G119" s="230">
        <v>0.86</v>
      </c>
      <c r="H119" s="1" t="s">
        <v>631</v>
      </c>
      <c r="L119" s="452" t="s">
        <v>645</v>
      </c>
      <c r="M119" s="452"/>
      <c r="N119" s="257">
        <v>0.92646664060194295</v>
      </c>
      <c r="O119" s="130">
        <v>0.83507564764822595</v>
      </c>
      <c r="P119" s="130">
        <v>0.93921392674303406</v>
      </c>
      <c r="Q119" s="256">
        <v>0.89399409480356296</v>
      </c>
    </row>
    <row r="120" spans="2:18" x14ac:dyDescent="0.35">
      <c r="B120" s="445" t="s">
        <v>482</v>
      </c>
      <c r="C120" s="445"/>
      <c r="D120" s="230">
        <v>0.93</v>
      </c>
      <c r="E120" s="230">
        <v>0.86</v>
      </c>
      <c r="F120" s="230"/>
      <c r="G120" s="230">
        <v>0.7</v>
      </c>
      <c r="H120" s="1" t="s">
        <v>646</v>
      </c>
      <c r="L120" s="452" t="s">
        <v>647</v>
      </c>
      <c r="M120" s="452"/>
      <c r="N120" s="257">
        <v>0.88605352307274998</v>
      </c>
      <c r="O120" s="130">
        <v>0.72794278444363103</v>
      </c>
      <c r="P120" s="130">
        <v>0.83604427393969605</v>
      </c>
      <c r="Q120" s="256">
        <v>0.64009664058007398</v>
      </c>
      <c r="R120" s="1" t="s">
        <v>638</v>
      </c>
    </row>
    <row r="121" spans="2:18" x14ac:dyDescent="0.35">
      <c r="B121" s="445" t="s">
        <v>483</v>
      </c>
      <c r="C121" s="445"/>
      <c r="D121" s="230">
        <v>0.95499999999999996</v>
      </c>
      <c r="E121" s="230">
        <v>0.91</v>
      </c>
      <c r="F121" s="230"/>
      <c r="G121" s="230">
        <v>0.8</v>
      </c>
      <c r="H121" s="1" t="s">
        <v>546</v>
      </c>
      <c r="L121" s="452" t="s">
        <v>648</v>
      </c>
      <c r="M121" s="452"/>
      <c r="N121" s="257">
        <v>0.96532753911166502</v>
      </c>
      <c r="O121" s="130">
        <v>0.95644668669170196</v>
      </c>
      <c r="P121" s="130">
        <v>0.90467101089674196</v>
      </c>
      <c r="Q121" s="256">
        <v>0.79108185666972197</v>
      </c>
    </row>
    <row r="122" spans="2:18" x14ac:dyDescent="0.35">
      <c r="B122" s="441" t="s">
        <v>554</v>
      </c>
      <c r="C122" s="441"/>
      <c r="D122" s="229"/>
      <c r="E122" s="229"/>
      <c r="F122" s="229"/>
      <c r="G122" s="229"/>
      <c r="L122" s="452"/>
      <c r="M122" s="452"/>
      <c r="N122" s="257"/>
      <c r="O122" s="130"/>
      <c r="P122" s="130"/>
      <c r="Q122" s="256"/>
    </row>
    <row r="123" spans="2:18" x14ac:dyDescent="0.35">
      <c r="B123" s="445" t="s">
        <v>555</v>
      </c>
      <c r="C123" s="445"/>
      <c r="D123" s="230">
        <v>0.94</v>
      </c>
      <c r="E123" s="230">
        <v>0.88</v>
      </c>
      <c r="F123" s="230"/>
      <c r="G123" s="230">
        <v>0.74</v>
      </c>
      <c r="H123" s="1" t="s">
        <v>546</v>
      </c>
      <c r="L123" s="452" t="s">
        <v>649</v>
      </c>
      <c r="M123" s="452"/>
      <c r="N123" s="257">
        <v>0.93477128004288101</v>
      </c>
      <c r="O123" s="130">
        <v>0.87881338890024596</v>
      </c>
      <c r="P123" s="130">
        <v>0.86532321515244603</v>
      </c>
      <c r="Q123" s="256">
        <v>0.70728093458586105</v>
      </c>
    </row>
    <row r="124" spans="2:18" x14ac:dyDescent="0.35">
      <c r="B124" s="445" t="s">
        <v>556</v>
      </c>
      <c r="C124" s="445"/>
      <c r="D124" s="230">
        <v>0.93</v>
      </c>
      <c r="E124" s="230">
        <v>0.86</v>
      </c>
      <c r="F124" s="230"/>
      <c r="G124" s="230">
        <v>0.73</v>
      </c>
      <c r="H124" s="1" t="s">
        <v>631</v>
      </c>
      <c r="L124" s="452" t="s">
        <v>650</v>
      </c>
      <c r="M124" s="452"/>
      <c r="N124" s="257">
        <v>0.90009674324570899</v>
      </c>
      <c r="O124" s="130">
        <v>0.76845063887382503</v>
      </c>
      <c r="P124" s="130">
        <v>0.87339442883033802</v>
      </c>
      <c r="Q124" s="256">
        <v>0.71363019095281099</v>
      </c>
    </row>
    <row r="125" spans="2:18" x14ac:dyDescent="0.35">
      <c r="B125" s="441" t="s">
        <v>487</v>
      </c>
      <c r="C125" s="441"/>
      <c r="D125" s="230">
        <v>0.94</v>
      </c>
      <c r="E125" s="230">
        <v>0.88</v>
      </c>
      <c r="F125" s="230"/>
      <c r="G125" s="230">
        <v>0.74</v>
      </c>
      <c r="H125" s="1" t="s">
        <v>631</v>
      </c>
      <c r="L125" s="452" t="s">
        <v>651</v>
      </c>
      <c r="M125" s="452"/>
      <c r="N125" s="257">
        <v>0.87734260581375201</v>
      </c>
      <c r="O125" s="130">
        <v>0.72604683341510701</v>
      </c>
      <c r="P125" s="130">
        <v>0.88569269031682696</v>
      </c>
      <c r="Q125" s="256">
        <v>0.74927516861020504</v>
      </c>
    </row>
    <row r="126" spans="2:18" x14ac:dyDescent="0.35">
      <c r="B126" s="441" t="s">
        <v>31</v>
      </c>
      <c r="C126" s="441"/>
      <c r="D126" s="230">
        <v>0.95</v>
      </c>
      <c r="E126" s="230">
        <v>0.87</v>
      </c>
      <c r="F126" s="230"/>
      <c r="G126" s="230">
        <v>0.71</v>
      </c>
      <c r="H126" s="1" t="s">
        <v>652</v>
      </c>
      <c r="L126" s="452" t="s">
        <v>648</v>
      </c>
      <c r="M126" s="452"/>
      <c r="N126" s="257">
        <v>0.96532753911166502</v>
      </c>
      <c r="O126" s="130">
        <v>0.95644668669170196</v>
      </c>
      <c r="P126" s="130">
        <v>0.90467101089674196</v>
      </c>
      <c r="Q126" s="256">
        <v>0.79108185666972197</v>
      </c>
    </row>
    <row r="127" spans="2:18" x14ac:dyDescent="0.35">
      <c r="B127" s="441" t="s">
        <v>488</v>
      </c>
      <c r="C127" s="441"/>
      <c r="D127" s="229"/>
      <c r="E127" s="229"/>
      <c r="F127" s="229"/>
      <c r="G127" s="229"/>
      <c r="L127" s="452"/>
      <c r="M127" s="452"/>
      <c r="N127" s="257"/>
      <c r="O127" s="130"/>
      <c r="P127" s="130"/>
      <c r="Q127" s="256"/>
    </row>
    <row r="128" spans="2:18" x14ac:dyDescent="0.35">
      <c r="B128" s="445" t="s">
        <v>489</v>
      </c>
      <c r="C128" s="445"/>
      <c r="D128" s="230">
        <v>0.94</v>
      </c>
      <c r="E128" s="230">
        <v>0.88</v>
      </c>
      <c r="F128" s="230"/>
      <c r="G128" s="230">
        <v>0.74</v>
      </c>
      <c r="H128" s="1" t="s">
        <v>653</v>
      </c>
      <c r="L128" s="452" t="s">
        <v>654</v>
      </c>
      <c r="M128" s="452"/>
      <c r="N128" s="262">
        <v>0.87734260581375201</v>
      </c>
      <c r="O128" s="263">
        <v>0.72604683341510701</v>
      </c>
      <c r="P128" s="263">
        <v>0.88569269031682696</v>
      </c>
      <c r="Q128" s="264">
        <v>0.74927516861020504</v>
      </c>
    </row>
    <row r="129" spans="2:8" x14ac:dyDescent="0.35">
      <c r="B129" s="445" t="s">
        <v>490</v>
      </c>
      <c r="C129" s="445"/>
      <c r="D129" s="230">
        <v>0.92500000000000004</v>
      </c>
      <c r="E129" s="230">
        <v>0.88</v>
      </c>
      <c r="F129" s="230"/>
      <c r="G129" s="230">
        <v>0.74</v>
      </c>
      <c r="H129" s="1" t="s">
        <v>655</v>
      </c>
    </row>
  </sheetData>
  <mergeCells count="95">
    <mergeCell ref="B127:C127"/>
    <mergeCell ref="L127:M127"/>
    <mergeCell ref="B128:C128"/>
    <mergeCell ref="L128:M128"/>
    <mergeCell ref="B129:C129"/>
    <mergeCell ref="B124:C124"/>
    <mergeCell ref="L124:M124"/>
    <mergeCell ref="B125:C125"/>
    <mergeCell ref="L125:M125"/>
    <mergeCell ref="B126:C126"/>
    <mergeCell ref="L126:M126"/>
    <mergeCell ref="B121:C121"/>
    <mergeCell ref="L121:M121"/>
    <mergeCell ref="B122:C122"/>
    <mergeCell ref="L122:M122"/>
    <mergeCell ref="B123:C123"/>
    <mergeCell ref="L123:M123"/>
    <mergeCell ref="B118:C118"/>
    <mergeCell ref="L118:M118"/>
    <mergeCell ref="B119:C119"/>
    <mergeCell ref="L119:M119"/>
    <mergeCell ref="B120:C120"/>
    <mergeCell ref="L120:M120"/>
    <mergeCell ref="B115:C115"/>
    <mergeCell ref="L115:M115"/>
    <mergeCell ref="B116:C116"/>
    <mergeCell ref="L116:M116"/>
    <mergeCell ref="B117:C117"/>
    <mergeCell ref="L117:M117"/>
    <mergeCell ref="B112:C112"/>
    <mergeCell ref="L112:M112"/>
    <mergeCell ref="B113:C113"/>
    <mergeCell ref="L113:M113"/>
    <mergeCell ref="B114:C114"/>
    <mergeCell ref="L114:M114"/>
    <mergeCell ref="B109:C109"/>
    <mergeCell ref="L109:M109"/>
    <mergeCell ref="B110:C110"/>
    <mergeCell ref="B111:C111"/>
    <mergeCell ref="L111:M111"/>
    <mergeCell ref="B106:C106"/>
    <mergeCell ref="L106:M106"/>
    <mergeCell ref="B107:C107"/>
    <mergeCell ref="L107:M107"/>
    <mergeCell ref="B108:C108"/>
    <mergeCell ref="L108:M108"/>
    <mergeCell ref="AB42:AC42"/>
    <mergeCell ref="AD42:AE42"/>
    <mergeCell ref="D72:G72"/>
    <mergeCell ref="B104:C105"/>
    <mergeCell ref="D104:G104"/>
    <mergeCell ref="N104:O104"/>
    <mergeCell ref="P104:Q104"/>
    <mergeCell ref="O39:O41"/>
    <mergeCell ref="P39:S39"/>
    <mergeCell ref="U39:U41"/>
    <mergeCell ref="V39:Y39"/>
    <mergeCell ref="C40:D40"/>
    <mergeCell ref="E40:F40"/>
    <mergeCell ref="I40:J40"/>
    <mergeCell ref="K40:L40"/>
    <mergeCell ref="P40:Q40"/>
    <mergeCell ref="R40:S40"/>
    <mergeCell ref="V40:W40"/>
    <mergeCell ref="X40:Y40"/>
    <mergeCell ref="B33:C33"/>
    <mergeCell ref="B39:B41"/>
    <mergeCell ref="C39:F39"/>
    <mergeCell ref="H39:H41"/>
    <mergeCell ref="I39:L39"/>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9:C10"/>
    <mergeCell ref="D9:G9"/>
    <mergeCell ref="H9:K9"/>
    <mergeCell ref="B11:C11"/>
    <mergeCell ref="B12: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A6099"/>
  </sheetPr>
  <dimension ref="A4:AMK35"/>
  <sheetViews>
    <sheetView zoomScale="65" zoomScaleNormal="65" workbookViewId="0">
      <selection activeCell="I39" sqref="I39"/>
    </sheetView>
  </sheetViews>
  <sheetFormatPr baseColWidth="10" defaultColWidth="8.7265625" defaultRowHeight="14.5" x14ac:dyDescent="0.35"/>
  <cols>
    <col min="1" max="1" width="8.453125" style="1" customWidth="1"/>
    <col min="2" max="2" width="23.26953125" style="1" customWidth="1"/>
    <col min="3" max="20" width="8.453125" style="1" customWidth="1"/>
    <col min="21" max="21" width="14.7265625" style="1" customWidth="1"/>
    <col min="22" max="22" width="15.7265625" style="1" customWidth="1"/>
    <col min="23" max="23" width="17" style="1" customWidth="1"/>
    <col min="24" max="1025" width="8.453125" style="1" customWidth="1"/>
  </cols>
  <sheetData>
    <row r="4" spans="2:38" x14ac:dyDescent="0.35">
      <c r="O4" s="1">
        <f>700*0.45</f>
        <v>315</v>
      </c>
    </row>
    <row r="7" spans="2:38" ht="13.9" customHeight="1" x14ac:dyDescent="0.35">
      <c r="B7" s="454" t="s">
        <v>656</v>
      </c>
      <c r="C7" s="454"/>
      <c r="D7" s="454"/>
      <c r="E7" s="454"/>
      <c r="F7" s="454"/>
      <c r="G7" s="454"/>
      <c r="H7" s="454"/>
      <c r="I7" s="454"/>
      <c r="J7" s="454"/>
      <c r="K7" s="454"/>
      <c r="L7" s="454"/>
      <c r="M7" s="454"/>
      <c r="N7" s="454"/>
      <c r="O7" s="454"/>
      <c r="P7" s="265"/>
      <c r="Q7" s="265"/>
      <c r="R7" s="265"/>
      <c r="S7" s="265"/>
    </row>
    <row r="9" spans="2:38" x14ac:dyDescent="0.35">
      <c r="B9" s="1" t="s">
        <v>657</v>
      </c>
      <c r="C9" s="455" t="s">
        <v>658</v>
      </c>
      <c r="D9" s="455"/>
      <c r="E9" s="455"/>
      <c r="F9" s="455"/>
      <c r="G9" s="455"/>
      <c r="H9" s="455"/>
      <c r="I9" s="453" t="s">
        <v>21</v>
      </c>
      <c r="J9" s="453"/>
      <c r="K9" s="453"/>
      <c r="L9" s="453"/>
      <c r="M9" s="453"/>
      <c r="N9" s="453"/>
      <c r="O9" s="456" t="s">
        <v>22</v>
      </c>
      <c r="P9" s="456"/>
      <c r="Q9" s="456"/>
      <c r="R9" s="456"/>
      <c r="S9" s="456"/>
      <c r="T9" s="456"/>
      <c r="Y9" s="453" t="s">
        <v>559</v>
      </c>
      <c r="Z9" s="453"/>
      <c r="AA9" s="453" t="s">
        <v>561</v>
      </c>
      <c r="AB9" s="453"/>
      <c r="AD9" s="1" t="s">
        <v>659</v>
      </c>
      <c r="AK9" s="232" t="s">
        <v>660</v>
      </c>
      <c r="AL9" s="232"/>
    </row>
    <row r="10" spans="2:38" x14ac:dyDescent="0.35">
      <c r="C10" s="266">
        <v>2010</v>
      </c>
      <c r="D10" s="266">
        <v>2015</v>
      </c>
      <c r="E10" s="266">
        <v>2016</v>
      </c>
      <c r="F10" s="266">
        <v>2017</v>
      </c>
      <c r="G10" s="266">
        <v>2018</v>
      </c>
      <c r="H10" s="266">
        <v>2019</v>
      </c>
      <c r="I10" s="267">
        <v>2025</v>
      </c>
      <c r="J10" s="267">
        <v>2030</v>
      </c>
      <c r="K10" s="267">
        <v>2035</v>
      </c>
      <c r="L10" s="267">
        <v>2040</v>
      </c>
      <c r="M10" s="267">
        <v>2045</v>
      </c>
      <c r="N10" s="267">
        <v>2050</v>
      </c>
      <c r="O10" s="268">
        <v>2025</v>
      </c>
      <c r="P10" s="268">
        <v>2030</v>
      </c>
      <c r="Q10" s="268">
        <v>2035</v>
      </c>
      <c r="R10" s="268">
        <v>2040</v>
      </c>
      <c r="S10" s="268">
        <v>2045</v>
      </c>
      <c r="T10" s="268">
        <v>2050</v>
      </c>
      <c r="U10" s="1" t="s">
        <v>661</v>
      </c>
      <c r="V10" s="1" t="s">
        <v>662</v>
      </c>
      <c r="W10" s="1" t="s">
        <v>663</v>
      </c>
      <c r="Y10" s="267">
        <v>2030</v>
      </c>
      <c r="Z10" s="267">
        <v>2050</v>
      </c>
      <c r="AA10" s="267">
        <v>2030</v>
      </c>
      <c r="AB10" s="267">
        <v>2050</v>
      </c>
      <c r="AE10" s="269" t="s">
        <v>664</v>
      </c>
      <c r="AF10" s="270" t="s">
        <v>665</v>
      </c>
      <c r="AG10" s="271" t="s">
        <v>666</v>
      </c>
      <c r="AH10" s="272" t="s">
        <v>667</v>
      </c>
      <c r="AI10" s="273" t="s">
        <v>668</v>
      </c>
      <c r="AK10" s="232"/>
      <c r="AL10" s="274" t="s">
        <v>669</v>
      </c>
    </row>
    <row r="11" spans="2:38" x14ac:dyDescent="0.35">
      <c r="B11" s="187" t="s">
        <v>24</v>
      </c>
      <c r="C11" s="234">
        <v>0</v>
      </c>
      <c r="D11" s="234"/>
      <c r="E11" s="234"/>
      <c r="F11" s="234"/>
      <c r="G11" s="234"/>
      <c r="H11" s="234"/>
      <c r="I11" s="234"/>
      <c r="J11" s="234"/>
      <c r="K11" s="234"/>
      <c r="L11" s="234"/>
      <c r="M11" s="234"/>
      <c r="N11" s="234"/>
      <c r="O11" s="234"/>
      <c r="P11" s="234">
        <v>0</v>
      </c>
      <c r="Q11" s="234"/>
      <c r="R11" s="234"/>
      <c r="S11" s="234"/>
      <c r="T11" s="234"/>
      <c r="V11" s="1" t="s">
        <v>670</v>
      </c>
      <c r="Y11" s="234"/>
      <c r="Z11" s="234"/>
      <c r="AA11" s="234"/>
      <c r="AB11" s="234"/>
      <c r="AD11" s="275" t="s">
        <v>6</v>
      </c>
      <c r="AE11" s="276">
        <v>0.43</v>
      </c>
      <c r="AF11" s="277">
        <v>0.51</v>
      </c>
      <c r="AG11" s="278">
        <v>0.7</v>
      </c>
      <c r="AH11" s="279">
        <v>0.44</v>
      </c>
      <c r="AI11" s="280">
        <v>0.4</v>
      </c>
      <c r="AK11" s="281" t="s">
        <v>6</v>
      </c>
      <c r="AL11" s="282">
        <v>0.8</v>
      </c>
    </row>
    <row r="12" spans="2:38" x14ac:dyDescent="0.35">
      <c r="B12" s="189" t="s">
        <v>574</v>
      </c>
      <c r="C12" s="283"/>
      <c r="D12" s="283">
        <f>IGCE!C3</f>
        <v>0.44389662027832999</v>
      </c>
      <c r="E12" s="283">
        <f>IGCE!D3</f>
        <v>0.44251903114186852</v>
      </c>
      <c r="F12" s="283">
        <f>IGCE!E3</f>
        <v>0.42223076923076924</v>
      </c>
      <c r="G12" s="283">
        <f>IGCE!F3</f>
        <v>0.4236893203883495</v>
      </c>
      <c r="H12" s="283">
        <f>IGCE!G3</f>
        <v>0.41677861549006168</v>
      </c>
      <c r="I12" s="230">
        <f>(H12+J12)/2</f>
        <v>0.44338930774503083</v>
      </c>
      <c r="J12" s="230">
        <f>46%+1%</f>
        <v>0.47000000000000003</v>
      </c>
      <c r="K12" s="230">
        <f>(J12+L12)/2</f>
        <v>0.47499999999999998</v>
      </c>
      <c r="L12" s="230">
        <f>(J12+N12)/2</f>
        <v>0.48</v>
      </c>
      <c r="M12" s="230">
        <f>(L12+N12)/2</f>
        <v>0.48499999999999999</v>
      </c>
      <c r="N12" s="230">
        <f>46%+3%</f>
        <v>0.49</v>
      </c>
      <c r="O12" s="284">
        <f>(H12+P12)/2</f>
        <v>0.5233893077450309</v>
      </c>
      <c r="P12" s="284">
        <v>0.63</v>
      </c>
      <c r="Q12" s="284">
        <f>(P12+R12)/2</f>
        <v>0.64749999999999996</v>
      </c>
      <c r="R12" s="284">
        <f>(P12+T12)/2</f>
        <v>0.66500000000000004</v>
      </c>
      <c r="S12" s="284">
        <f>(R12+T12)/2</f>
        <v>0.6825</v>
      </c>
      <c r="T12" s="284">
        <v>0.7</v>
      </c>
      <c r="U12" s="1" t="s">
        <v>671</v>
      </c>
      <c r="V12" s="1" t="s">
        <v>672</v>
      </c>
      <c r="W12" s="1" t="s">
        <v>673</v>
      </c>
      <c r="Y12" s="230">
        <v>0.36</v>
      </c>
      <c r="Z12" s="230">
        <v>0.36</v>
      </c>
      <c r="AA12" s="230">
        <v>0.48</v>
      </c>
      <c r="AB12" s="230">
        <v>0.8</v>
      </c>
      <c r="AD12" s="275" t="s">
        <v>10</v>
      </c>
      <c r="AE12" s="276">
        <v>0.55000000000000004</v>
      </c>
      <c r="AF12" s="277">
        <v>0.75</v>
      </c>
      <c r="AG12" s="278">
        <v>0.85</v>
      </c>
      <c r="AH12" s="279">
        <v>0.55000000000000004</v>
      </c>
      <c r="AI12" s="280">
        <v>0.45</v>
      </c>
      <c r="AK12" s="285" t="s">
        <v>10</v>
      </c>
      <c r="AL12" s="286">
        <v>0.7</v>
      </c>
    </row>
    <row r="13" spans="2:38" x14ac:dyDescent="0.35">
      <c r="B13" s="189" t="s">
        <v>576</v>
      </c>
      <c r="C13" s="283">
        <v>0.55944846292947603</v>
      </c>
      <c r="D13" s="283">
        <v>0.52855543113101899</v>
      </c>
      <c r="E13" s="283">
        <v>0.53159041394335504</v>
      </c>
      <c r="F13" s="283">
        <v>0.53927813163481997</v>
      </c>
      <c r="G13" s="283">
        <v>0.56492027334851902</v>
      </c>
      <c r="H13" s="283">
        <v>0.53243847874720396</v>
      </c>
      <c r="I13" s="230">
        <f>(H13+J13)/2</f>
        <v>0.53743847874720396</v>
      </c>
      <c r="J13" s="230">
        <f>H13+1%</f>
        <v>0.54243847874720397</v>
      </c>
      <c r="K13" s="230">
        <f>(J13+L13)/2</f>
        <v>0.54993847874720392</v>
      </c>
      <c r="L13" s="230">
        <f>(J13+N13)/2</f>
        <v>0.55743847874720398</v>
      </c>
      <c r="M13" s="230">
        <f>(L13+N13)/2</f>
        <v>0.56493847874720404</v>
      </c>
      <c r="N13" s="230">
        <f>J13+3%</f>
        <v>0.57243847874720399</v>
      </c>
      <c r="O13" s="284">
        <f>(H13+P13)/2</f>
        <v>0.56621923937360197</v>
      </c>
      <c r="P13" s="284">
        <v>0.6</v>
      </c>
      <c r="Q13" s="284">
        <f>(P13+R13)/2</f>
        <v>0.64999999999999991</v>
      </c>
      <c r="R13" s="284">
        <f>(P13+T13)/2</f>
        <v>0.7</v>
      </c>
      <c r="S13" s="284">
        <f>(R13+T13)/2</f>
        <v>0.75</v>
      </c>
      <c r="T13" s="284">
        <v>0.8</v>
      </c>
      <c r="U13" s="1" t="s">
        <v>674</v>
      </c>
      <c r="V13" s="1" t="s">
        <v>675</v>
      </c>
      <c r="W13" s="1" t="s">
        <v>676</v>
      </c>
      <c r="Y13" s="230">
        <v>0.46571428571428602</v>
      </c>
      <c r="Z13" s="230">
        <v>0.62</v>
      </c>
      <c r="AA13" s="230">
        <v>0.55000000000000004</v>
      </c>
      <c r="AB13" s="230">
        <v>0.8</v>
      </c>
      <c r="AD13" s="275" t="s">
        <v>16</v>
      </c>
      <c r="AE13" s="276">
        <v>0.52</v>
      </c>
      <c r="AF13" s="277">
        <v>0.85</v>
      </c>
      <c r="AG13" s="278">
        <v>0.85</v>
      </c>
      <c r="AH13" s="279">
        <v>0.65</v>
      </c>
      <c r="AI13" s="280">
        <v>0.52</v>
      </c>
      <c r="AK13" s="285" t="s">
        <v>16</v>
      </c>
      <c r="AL13" s="286">
        <v>0.8</v>
      </c>
    </row>
    <row r="14" spans="2:38" x14ac:dyDescent="0.35">
      <c r="B14" s="189" t="s">
        <v>473</v>
      </c>
      <c r="C14" s="283"/>
      <c r="D14" s="283"/>
      <c r="E14" s="283"/>
      <c r="F14" s="283"/>
      <c r="G14" s="283"/>
      <c r="H14" s="283"/>
      <c r="I14" s="230"/>
      <c r="J14" s="230"/>
      <c r="K14" s="230"/>
      <c r="L14" s="230"/>
      <c r="M14" s="230"/>
      <c r="N14" s="230"/>
      <c r="O14" s="284"/>
      <c r="P14" s="284"/>
      <c r="Q14" s="284"/>
      <c r="R14" s="284"/>
      <c r="S14" s="284"/>
      <c r="T14" s="284"/>
      <c r="Y14" s="230">
        <v>0</v>
      </c>
      <c r="Z14" s="230">
        <v>0</v>
      </c>
      <c r="AA14" s="230">
        <v>0</v>
      </c>
      <c r="AB14" s="230">
        <v>0</v>
      </c>
      <c r="AD14" s="275" t="s">
        <v>17</v>
      </c>
      <c r="AE14" s="276">
        <v>0.73</v>
      </c>
      <c r="AF14" s="277">
        <v>0.85</v>
      </c>
      <c r="AG14" s="278">
        <v>0.95</v>
      </c>
      <c r="AH14" s="279">
        <v>0.85</v>
      </c>
      <c r="AI14" s="280">
        <v>0.73</v>
      </c>
      <c r="AK14" s="285" t="s">
        <v>17</v>
      </c>
      <c r="AL14" s="286">
        <v>0.87</v>
      </c>
    </row>
    <row r="15" spans="2:38" x14ac:dyDescent="0.35">
      <c r="B15" s="187" t="s">
        <v>25</v>
      </c>
      <c r="C15" s="234">
        <v>0</v>
      </c>
      <c r="D15" s="234"/>
      <c r="E15" s="234"/>
      <c r="F15" s="234"/>
      <c r="G15" s="234"/>
      <c r="H15" s="234"/>
      <c r="I15" s="234"/>
      <c r="J15" s="234"/>
      <c r="K15" s="234"/>
      <c r="L15" s="234"/>
      <c r="M15" s="234"/>
      <c r="N15" s="234"/>
      <c r="O15" s="234"/>
      <c r="P15" s="234"/>
      <c r="Q15" s="234"/>
      <c r="R15" s="234"/>
      <c r="S15" s="234"/>
      <c r="T15" s="234"/>
      <c r="Y15" s="234">
        <v>0</v>
      </c>
      <c r="Z15" s="234">
        <v>0</v>
      </c>
      <c r="AA15" s="234">
        <v>0</v>
      </c>
      <c r="AB15" s="234">
        <v>0</v>
      </c>
      <c r="AD15" s="287" t="s">
        <v>677</v>
      </c>
      <c r="AE15" s="288">
        <v>5.8693594193752002E-2</v>
      </c>
      <c r="AF15" s="289">
        <v>0.8</v>
      </c>
      <c r="AG15" s="290">
        <v>0.8</v>
      </c>
      <c r="AH15" s="291">
        <v>0.4</v>
      </c>
      <c r="AI15" s="292">
        <v>5.8693594193752002E-2</v>
      </c>
      <c r="AK15" s="293" t="s">
        <v>677</v>
      </c>
      <c r="AL15" s="294">
        <v>0.35</v>
      </c>
    </row>
    <row r="16" spans="2:38" x14ac:dyDescent="0.35">
      <c r="B16" s="189" t="s">
        <v>475</v>
      </c>
      <c r="C16" s="283"/>
      <c r="D16" s="283"/>
      <c r="E16" s="283"/>
      <c r="F16" s="283"/>
      <c r="G16" s="283"/>
      <c r="H16" s="283"/>
      <c r="I16" s="230"/>
      <c r="J16" s="230"/>
      <c r="K16" s="230"/>
      <c r="L16" s="230"/>
      <c r="M16" s="230"/>
      <c r="N16" s="230"/>
      <c r="O16" s="284"/>
      <c r="P16" s="284"/>
      <c r="Q16" s="284"/>
      <c r="R16" s="284"/>
      <c r="S16" s="284"/>
      <c r="T16" s="284"/>
      <c r="Y16" s="230">
        <v>0</v>
      </c>
      <c r="Z16" s="230">
        <v>0</v>
      </c>
      <c r="AA16" s="230">
        <v>0</v>
      </c>
      <c r="AB16" s="230">
        <v>0</v>
      </c>
    </row>
    <row r="17" spans="2:38" x14ac:dyDescent="0.35">
      <c r="B17" s="189" t="s">
        <v>476</v>
      </c>
      <c r="C17" s="283" t="s">
        <v>678</v>
      </c>
      <c r="D17" s="283" t="s">
        <v>678</v>
      </c>
      <c r="E17" s="283" t="s">
        <v>678</v>
      </c>
      <c r="F17" s="283" t="s">
        <v>678</v>
      </c>
      <c r="G17" s="283" t="s">
        <v>678</v>
      </c>
      <c r="H17" s="283">
        <v>0.14499999999999999</v>
      </c>
      <c r="I17" s="230">
        <f>(H17+J17)/2</f>
        <v>0.22249999999999998</v>
      </c>
      <c r="J17" s="230">
        <f>29%+1%</f>
        <v>0.3</v>
      </c>
      <c r="K17" s="230">
        <f>(J17+L17)/2</f>
        <v>0.3075</v>
      </c>
      <c r="L17" s="230">
        <f>(J17+N17)/2</f>
        <v>0.31499999999999995</v>
      </c>
      <c r="M17" s="230">
        <f>(L17+N17)/2</f>
        <v>0.32249999999999995</v>
      </c>
      <c r="N17" s="230">
        <f>J17+3%</f>
        <v>0.32999999999999996</v>
      </c>
      <c r="O17" s="284">
        <f>(H17+P17)/2</f>
        <v>0.2475</v>
      </c>
      <c r="P17" s="284">
        <v>0.35</v>
      </c>
      <c r="Q17" s="284">
        <f>(P17+R17)/2</f>
        <v>0.46249999999999997</v>
      </c>
      <c r="R17" s="284">
        <f>(P17+T17)/2</f>
        <v>0.57499999999999996</v>
      </c>
      <c r="S17" s="284">
        <f>(R17+T17)/2</f>
        <v>0.6875</v>
      </c>
      <c r="T17" s="284">
        <v>0.8</v>
      </c>
      <c r="U17" s="1" t="s">
        <v>679</v>
      </c>
      <c r="V17" s="1" t="s">
        <v>680</v>
      </c>
      <c r="W17" s="1" t="s">
        <v>681</v>
      </c>
      <c r="Y17" s="230">
        <v>0</v>
      </c>
      <c r="Z17" s="230">
        <v>0</v>
      </c>
      <c r="AA17" s="230">
        <v>0.3</v>
      </c>
      <c r="AB17" s="230">
        <v>0.8</v>
      </c>
    </row>
    <row r="18" spans="2:38" x14ac:dyDescent="0.35">
      <c r="B18" s="189" t="s">
        <v>479</v>
      </c>
      <c r="C18" s="283"/>
      <c r="D18" s="283"/>
      <c r="E18" s="283"/>
      <c r="F18" s="283"/>
      <c r="G18" s="283"/>
      <c r="H18" s="283"/>
      <c r="I18" s="230"/>
      <c r="J18" s="230"/>
      <c r="K18" s="230"/>
      <c r="L18" s="230"/>
      <c r="M18" s="230"/>
      <c r="N18" s="230"/>
      <c r="O18" s="284"/>
      <c r="P18" s="284"/>
      <c r="Q18" s="284"/>
      <c r="R18" s="284"/>
      <c r="S18" s="284"/>
      <c r="T18" s="284"/>
      <c r="Y18" s="230">
        <v>0</v>
      </c>
      <c r="Z18" s="230">
        <v>0</v>
      </c>
      <c r="AA18" s="230">
        <v>0</v>
      </c>
      <c r="AB18" s="230">
        <v>0</v>
      </c>
      <c r="AD18" s="1" t="s">
        <v>563</v>
      </c>
    </row>
    <row r="19" spans="2:38" x14ac:dyDescent="0.35">
      <c r="B19" s="187" t="s">
        <v>480</v>
      </c>
      <c r="C19" s="234">
        <v>0</v>
      </c>
      <c r="D19" s="234"/>
      <c r="E19" s="234"/>
      <c r="F19" s="234"/>
      <c r="G19" s="234"/>
      <c r="H19" s="234"/>
      <c r="I19" s="234"/>
      <c r="J19" s="234"/>
      <c r="K19" s="234"/>
      <c r="L19" s="234"/>
      <c r="M19" s="234"/>
      <c r="N19" s="234"/>
      <c r="O19" s="234"/>
      <c r="P19" s="234"/>
      <c r="Q19" s="234"/>
      <c r="R19" s="234"/>
      <c r="S19" s="234"/>
      <c r="T19" s="234"/>
      <c r="Y19" s="234">
        <v>0</v>
      </c>
      <c r="Z19" s="234">
        <v>0</v>
      </c>
      <c r="AA19" s="234">
        <v>0</v>
      </c>
      <c r="AB19" s="234">
        <v>0</v>
      </c>
      <c r="AD19" s="134" t="s">
        <v>682</v>
      </c>
      <c r="AE19" s="295">
        <v>2015</v>
      </c>
      <c r="AF19" s="295">
        <v>2020</v>
      </c>
      <c r="AG19" s="295">
        <v>2025</v>
      </c>
      <c r="AH19" s="295">
        <v>2030</v>
      </c>
      <c r="AI19" s="295">
        <v>2035</v>
      </c>
      <c r="AJ19" s="295">
        <v>2040</v>
      </c>
      <c r="AK19" s="295">
        <v>2045</v>
      </c>
      <c r="AL19" s="295">
        <v>2050</v>
      </c>
    </row>
    <row r="20" spans="2:38" x14ac:dyDescent="0.35">
      <c r="B20" s="189" t="s">
        <v>481</v>
      </c>
      <c r="C20" s="283"/>
      <c r="D20" s="283"/>
      <c r="E20" s="283"/>
      <c r="F20" s="283"/>
      <c r="G20" s="283"/>
      <c r="H20" s="283"/>
      <c r="I20" s="230"/>
      <c r="J20" s="230"/>
      <c r="K20" s="230"/>
      <c r="L20" s="230"/>
      <c r="M20" s="230"/>
      <c r="N20" s="230"/>
      <c r="O20" s="284"/>
      <c r="P20" s="284"/>
      <c r="Q20" s="284"/>
      <c r="R20" s="284"/>
      <c r="S20" s="284"/>
      <c r="T20" s="284"/>
      <c r="Y20" s="230">
        <v>0</v>
      </c>
      <c r="Z20" s="230">
        <v>0</v>
      </c>
      <c r="AA20" s="230">
        <v>0</v>
      </c>
      <c r="AB20" s="230">
        <v>0</v>
      </c>
      <c r="AD20" s="296" t="s">
        <v>683</v>
      </c>
      <c r="AE20" s="297">
        <v>0.33270114063888501</v>
      </c>
      <c r="AF20" s="297">
        <v>0.33270114063888601</v>
      </c>
      <c r="AG20" s="297">
        <v>0.33270114063888501</v>
      </c>
      <c r="AH20" s="297">
        <v>0.33270114063888601</v>
      </c>
      <c r="AI20" s="297">
        <v>0.33270114063888501</v>
      </c>
      <c r="AJ20" s="297">
        <v>0.33270114063888501</v>
      </c>
      <c r="AK20" s="297">
        <v>0.33270114063888501</v>
      </c>
      <c r="AL20" s="297">
        <v>0.33270114063888501</v>
      </c>
    </row>
    <row r="21" spans="2:38" x14ac:dyDescent="0.35">
      <c r="B21" s="189" t="s">
        <v>482</v>
      </c>
      <c r="C21" s="283">
        <v>0.58040243709647399</v>
      </c>
      <c r="D21" s="283">
        <v>0.60967320261437896</v>
      </c>
      <c r="E21" s="283">
        <v>0.64116379310344795</v>
      </c>
      <c r="F21" s="283">
        <v>0.60014763779527602</v>
      </c>
      <c r="G21" s="283">
        <v>0.59520958083832298</v>
      </c>
      <c r="H21" s="283">
        <v>0.60669056152927103</v>
      </c>
      <c r="I21" s="230">
        <f>(H21+J21)/2</f>
        <v>0.61169056152927104</v>
      </c>
      <c r="J21" s="230">
        <f>H21+1%</f>
        <v>0.61669056152927104</v>
      </c>
      <c r="K21" s="230">
        <f>(J21+L21)/2</f>
        <v>0.6241905615292711</v>
      </c>
      <c r="L21" s="230">
        <f>(J21+N21)/2</f>
        <v>0.63169056152927106</v>
      </c>
      <c r="M21" s="230">
        <f>(L21+N21)/2</f>
        <v>0.63919056152927101</v>
      </c>
      <c r="N21" s="230">
        <f>J21+3%</f>
        <v>0.64669056152927107</v>
      </c>
      <c r="O21" s="284">
        <f>(H21+P21)/2</f>
        <v>0.68834528076463553</v>
      </c>
      <c r="P21" s="284">
        <v>0.77</v>
      </c>
      <c r="Q21" s="284">
        <f>(P21+R21)/2</f>
        <v>0.79</v>
      </c>
      <c r="R21" s="284">
        <f>(P21+T21)/2</f>
        <v>0.81</v>
      </c>
      <c r="S21" s="284">
        <f>(R21+T21)/2</f>
        <v>0.83000000000000007</v>
      </c>
      <c r="T21" s="284">
        <v>0.85</v>
      </c>
      <c r="U21" s="1" t="s">
        <v>684</v>
      </c>
      <c r="V21" s="1" t="s">
        <v>675</v>
      </c>
      <c r="W21" s="1" t="s">
        <v>681</v>
      </c>
      <c r="Y21" s="230">
        <v>0.65</v>
      </c>
      <c r="Z21" s="230">
        <v>0.65</v>
      </c>
      <c r="AA21" s="230">
        <v>0.77</v>
      </c>
      <c r="AB21" s="230">
        <v>0.85</v>
      </c>
      <c r="AD21" s="296" t="s">
        <v>10</v>
      </c>
      <c r="AE21" s="297">
        <v>0.55146126248309901</v>
      </c>
      <c r="AF21" s="297">
        <v>0.55146126248309901</v>
      </c>
      <c r="AG21" s="297">
        <v>0.55146126248309901</v>
      </c>
      <c r="AH21" s="297">
        <v>0.55146126248309901</v>
      </c>
      <c r="AI21" s="297">
        <v>0.55146126248309901</v>
      </c>
      <c r="AJ21" s="297">
        <v>0.55146126248309901</v>
      </c>
      <c r="AK21" s="297">
        <v>0.55146126248309901</v>
      </c>
      <c r="AL21" s="297">
        <v>0.55146126248309901</v>
      </c>
    </row>
    <row r="22" spans="2:38" x14ac:dyDescent="0.35">
      <c r="B22" s="189" t="s">
        <v>483</v>
      </c>
      <c r="C22" s="283"/>
      <c r="D22" s="283"/>
      <c r="E22" s="283"/>
      <c r="F22" s="283"/>
      <c r="G22" s="283"/>
      <c r="H22" s="283"/>
      <c r="I22" s="230"/>
      <c r="J22" s="230"/>
      <c r="K22" s="230"/>
      <c r="L22" s="230"/>
      <c r="M22" s="230"/>
      <c r="N22" s="230"/>
      <c r="O22" s="284"/>
      <c r="P22" s="284"/>
      <c r="Q22" s="284"/>
      <c r="R22" s="284"/>
      <c r="S22" s="284"/>
      <c r="T22" s="284"/>
      <c r="Y22" s="230">
        <v>0</v>
      </c>
      <c r="Z22" s="230">
        <v>0</v>
      </c>
      <c r="AA22" s="230">
        <v>0</v>
      </c>
      <c r="AB22" s="230">
        <v>0</v>
      </c>
      <c r="AD22" s="296" t="s">
        <v>677</v>
      </c>
      <c r="AE22" s="297">
        <v>5.7066663521714203E-2</v>
      </c>
      <c r="AF22" s="297">
        <v>5.8536352971927302E-2</v>
      </c>
      <c r="AG22" s="297">
        <v>5.87989042969028E-2</v>
      </c>
      <c r="AH22" s="297">
        <v>5.8572799636290099E-2</v>
      </c>
      <c r="AI22" s="297">
        <v>5.8933693518077701E-2</v>
      </c>
      <c r="AJ22" s="297">
        <v>5.9581338780711299E-2</v>
      </c>
      <c r="AK22" s="297">
        <v>5.9854465916222697E-2</v>
      </c>
      <c r="AL22" s="297">
        <v>5.9739646602975302E-2</v>
      </c>
    </row>
    <row r="23" spans="2:38" x14ac:dyDescent="0.35">
      <c r="B23" s="187" t="s">
        <v>554</v>
      </c>
      <c r="C23" s="234">
        <v>0</v>
      </c>
      <c r="D23" s="234"/>
      <c r="E23" s="234"/>
      <c r="F23" s="234"/>
      <c r="G23" s="234"/>
      <c r="H23" s="234"/>
      <c r="I23" s="234"/>
      <c r="J23" s="234"/>
      <c r="K23" s="234"/>
      <c r="L23" s="234"/>
      <c r="M23" s="234"/>
      <c r="N23" s="234"/>
      <c r="O23" s="234"/>
      <c r="P23" s="234"/>
      <c r="Q23" s="234"/>
      <c r="R23" s="234"/>
      <c r="S23" s="234"/>
      <c r="T23" s="234"/>
      <c r="Y23" s="234">
        <v>0</v>
      </c>
      <c r="Z23" s="234">
        <v>0</v>
      </c>
      <c r="AA23" s="234">
        <v>0</v>
      </c>
      <c r="AB23" s="234">
        <v>0</v>
      </c>
      <c r="AD23" s="296" t="s">
        <v>16</v>
      </c>
      <c r="AE23" s="297">
        <v>0.52685210709501795</v>
      </c>
      <c r="AF23" s="297">
        <v>0.53259414951223205</v>
      </c>
      <c r="AG23" s="297">
        <v>0.53320912605541304</v>
      </c>
      <c r="AH23" s="297">
        <v>0.53259545767970495</v>
      </c>
      <c r="AI23" s="297">
        <v>0.53316252448429402</v>
      </c>
      <c r="AJ23" s="297">
        <v>0.53425086203415495</v>
      </c>
      <c r="AK23" s="297">
        <v>0.53598296837786696</v>
      </c>
      <c r="AL23" s="297">
        <v>0.53663799361387499</v>
      </c>
    </row>
    <row r="24" spans="2:38" x14ac:dyDescent="0.35">
      <c r="B24" s="189" t="s">
        <v>555</v>
      </c>
      <c r="C24" s="283"/>
      <c r="D24" s="283"/>
      <c r="E24" s="283"/>
      <c r="F24" s="283"/>
      <c r="G24" s="283"/>
      <c r="H24" s="283"/>
      <c r="I24" s="230"/>
      <c r="J24" s="230"/>
      <c r="K24" s="230"/>
      <c r="L24" s="230"/>
      <c r="M24" s="230"/>
      <c r="N24" s="230"/>
      <c r="O24" s="284"/>
      <c r="P24" s="284"/>
      <c r="Q24" s="284"/>
      <c r="R24" s="284"/>
      <c r="S24" s="284"/>
      <c r="T24" s="284"/>
      <c r="Y24" s="230">
        <v>0</v>
      </c>
      <c r="Z24" s="230">
        <v>0</v>
      </c>
      <c r="AA24" s="230">
        <v>0</v>
      </c>
      <c r="AB24" s="230">
        <v>0</v>
      </c>
      <c r="AD24" s="296" t="s">
        <v>17</v>
      </c>
      <c r="AE24" s="297">
        <v>0.72548371093104003</v>
      </c>
      <c r="AF24" s="297">
        <v>0.72548371093104003</v>
      </c>
      <c r="AG24" s="297">
        <v>0.72548371093104003</v>
      </c>
      <c r="AH24" s="297">
        <v>0.72548371093104003</v>
      </c>
      <c r="AI24" s="297">
        <v>0.72548371093104003</v>
      </c>
      <c r="AJ24" s="297">
        <v>0.72548371093104003</v>
      </c>
      <c r="AK24" s="297">
        <v>0.72548371093104003</v>
      </c>
      <c r="AL24" s="297">
        <v>0.72548371093104003</v>
      </c>
    </row>
    <row r="25" spans="2:38" x14ac:dyDescent="0.35">
      <c r="B25" s="189" t="s">
        <v>685</v>
      </c>
      <c r="C25" s="283"/>
      <c r="D25" s="283"/>
      <c r="E25" s="283"/>
      <c r="F25" s="283"/>
      <c r="G25" s="283"/>
      <c r="H25" s="283"/>
      <c r="I25" s="230"/>
      <c r="J25" s="230"/>
      <c r="K25" s="230"/>
      <c r="L25" s="230"/>
      <c r="M25" s="230"/>
      <c r="N25" s="230"/>
      <c r="O25" s="284"/>
      <c r="P25" s="284"/>
      <c r="Q25" s="284"/>
      <c r="R25" s="284"/>
      <c r="S25" s="284"/>
      <c r="T25" s="284"/>
      <c r="Y25" s="230">
        <v>0</v>
      </c>
      <c r="Z25" s="230">
        <v>0</v>
      </c>
      <c r="AA25" s="230">
        <v>0</v>
      </c>
      <c r="AB25" s="230">
        <v>0</v>
      </c>
      <c r="AD25" s="296"/>
      <c r="AE25" s="297"/>
      <c r="AF25" s="297"/>
      <c r="AG25" s="297"/>
      <c r="AH25" s="297"/>
      <c r="AI25" s="297"/>
      <c r="AJ25" s="297"/>
      <c r="AK25" s="297"/>
      <c r="AL25" s="297"/>
    </row>
    <row r="26" spans="2:38" x14ac:dyDescent="0.35">
      <c r="B26" s="187" t="s">
        <v>487</v>
      </c>
      <c r="C26" s="283"/>
      <c r="D26" s="283"/>
      <c r="E26" s="283"/>
      <c r="F26" s="283"/>
      <c r="G26" s="283"/>
      <c r="H26" s="283"/>
      <c r="I26" s="230"/>
      <c r="J26" s="230"/>
      <c r="K26" s="230"/>
      <c r="L26" s="230"/>
      <c r="M26" s="230"/>
      <c r="N26" s="230"/>
      <c r="O26" s="284"/>
      <c r="P26" s="284"/>
      <c r="Q26" s="284"/>
      <c r="R26" s="284"/>
      <c r="S26" s="284"/>
      <c r="T26" s="284"/>
      <c r="Y26" s="230">
        <v>0</v>
      </c>
      <c r="Z26" s="230">
        <v>0</v>
      </c>
      <c r="AA26" s="230">
        <v>0</v>
      </c>
      <c r="AB26" s="230">
        <v>0</v>
      </c>
      <c r="AD26" s="134" t="s">
        <v>686</v>
      </c>
      <c r="AE26" s="295">
        <v>2015</v>
      </c>
      <c r="AF26" s="295">
        <v>2020</v>
      </c>
      <c r="AG26" s="295">
        <v>2025</v>
      </c>
      <c r="AH26" s="295">
        <v>2030</v>
      </c>
      <c r="AI26" s="295">
        <v>2035</v>
      </c>
      <c r="AJ26" s="295">
        <v>2040</v>
      </c>
      <c r="AK26" s="295">
        <v>2045</v>
      </c>
      <c r="AL26" s="295">
        <v>2050</v>
      </c>
    </row>
    <row r="27" spans="2:38" x14ac:dyDescent="0.35">
      <c r="B27" s="187" t="s">
        <v>31</v>
      </c>
      <c r="C27" s="283"/>
      <c r="D27" s="283"/>
      <c r="E27" s="283"/>
      <c r="F27" s="283"/>
      <c r="G27" s="283"/>
      <c r="H27" s="283"/>
      <c r="I27" s="230"/>
      <c r="J27" s="230"/>
      <c r="K27" s="230"/>
      <c r="L27" s="230"/>
      <c r="M27" s="230"/>
      <c r="N27" s="230"/>
      <c r="O27" s="284"/>
      <c r="P27" s="284"/>
      <c r="Q27" s="284"/>
      <c r="R27" s="284"/>
      <c r="S27" s="284"/>
      <c r="T27" s="284"/>
      <c r="Y27" s="230"/>
      <c r="Z27" s="230"/>
      <c r="AA27" s="230"/>
      <c r="AB27" s="230"/>
      <c r="AD27" s="296" t="s">
        <v>683</v>
      </c>
      <c r="AE27" s="297">
        <v>0.33270114063888501</v>
      </c>
      <c r="AF27" s="297">
        <v>0.33270114063888501</v>
      </c>
      <c r="AG27" s="297">
        <v>0.475641191070998</v>
      </c>
      <c r="AH27" s="297">
        <v>0.60127170916472295</v>
      </c>
      <c r="AI27" s="297">
        <v>0.58305097012585405</v>
      </c>
      <c r="AJ27" s="297">
        <v>0.60000913580246895</v>
      </c>
      <c r="AK27" s="297">
        <v>0.61703162415752599</v>
      </c>
      <c r="AL27" s="297">
        <v>0.63637500000000002</v>
      </c>
    </row>
    <row r="28" spans="2:38" x14ac:dyDescent="0.35">
      <c r="B28" s="187" t="s">
        <v>488</v>
      </c>
      <c r="C28" s="234">
        <v>0</v>
      </c>
      <c r="D28" s="234"/>
      <c r="E28" s="234"/>
      <c r="F28" s="234"/>
      <c r="G28" s="234"/>
      <c r="H28" s="234"/>
      <c r="I28" s="234"/>
      <c r="J28" s="234"/>
      <c r="K28" s="234"/>
      <c r="L28" s="234"/>
      <c r="M28" s="234"/>
      <c r="N28" s="234"/>
      <c r="O28" s="234"/>
      <c r="P28" s="234"/>
      <c r="Q28" s="234"/>
      <c r="R28" s="234"/>
      <c r="S28" s="234"/>
      <c r="T28" s="234"/>
      <c r="Y28" s="234">
        <v>0</v>
      </c>
      <c r="Z28" s="234">
        <v>0</v>
      </c>
      <c r="AA28" s="234"/>
      <c r="AB28" s="234"/>
      <c r="AD28" s="296" t="s">
        <v>10</v>
      </c>
      <c r="AE28" s="297">
        <v>0.55146126248309901</v>
      </c>
      <c r="AF28" s="297">
        <v>0.55146126248309901</v>
      </c>
      <c r="AG28" s="297">
        <v>0.65073063124154895</v>
      </c>
      <c r="AH28" s="297">
        <v>0.73222253898475298</v>
      </c>
      <c r="AI28" s="297">
        <v>0.77500000000000002</v>
      </c>
      <c r="AJ28" s="297">
        <v>0.78406324434227304</v>
      </c>
      <c r="AK28" s="297">
        <v>0.82499999999999996</v>
      </c>
      <c r="AL28" s="297">
        <v>0.85</v>
      </c>
    </row>
    <row r="29" spans="2:38" x14ac:dyDescent="0.35">
      <c r="B29" s="189" t="s">
        <v>489</v>
      </c>
      <c r="C29" s="298">
        <v>0.59752202767899598</v>
      </c>
      <c r="D29" s="298">
        <v>0.66287521844239194</v>
      </c>
      <c r="E29" s="298">
        <v>0.67060224312977701</v>
      </c>
      <c r="F29" s="298">
        <v>0.67109968334704695</v>
      </c>
      <c r="G29" s="283">
        <v>0.68641752544569701</v>
      </c>
      <c r="H29" s="283">
        <v>0.712442132000492</v>
      </c>
      <c r="I29" s="230">
        <f>(H29+J29)/2</f>
        <v>0.73622106600024595</v>
      </c>
      <c r="J29" s="230">
        <f>75%+1%</f>
        <v>0.76</v>
      </c>
      <c r="K29" s="230">
        <f>(J29+L29)/2</f>
        <v>0.76500000000000001</v>
      </c>
      <c r="L29" s="230">
        <f>(J29+N29)/2</f>
        <v>0.77</v>
      </c>
      <c r="M29" s="230">
        <f>(L29+N29)/2</f>
        <v>0.77500000000000002</v>
      </c>
      <c r="N29" s="230">
        <f>75%+3%</f>
        <v>0.78</v>
      </c>
      <c r="O29" s="284">
        <f>(H29+P29)/2</f>
        <v>0.74622106600024596</v>
      </c>
      <c r="P29" s="284">
        <v>0.78</v>
      </c>
      <c r="Q29" s="284">
        <f>(P29+R29)/2</f>
        <v>0.80249999999999999</v>
      </c>
      <c r="R29" s="284">
        <f>(P29+T29)/2</f>
        <v>0.82499999999999996</v>
      </c>
      <c r="S29" s="284">
        <f>(R29+T29)/2</f>
        <v>0.84749999999999992</v>
      </c>
      <c r="T29" s="284">
        <v>0.87</v>
      </c>
      <c r="U29" s="1" t="s">
        <v>687</v>
      </c>
      <c r="V29" s="1" t="s">
        <v>688</v>
      </c>
      <c r="W29" s="1" t="s">
        <v>689</v>
      </c>
      <c r="Y29" s="230">
        <v>0.66428571428571404</v>
      </c>
      <c r="Z29" s="230">
        <v>0.75</v>
      </c>
      <c r="AA29" s="230">
        <v>0.75</v>
      </c>
      <c r="AB29" s="230">
        <v>0.85</v>
      </c>
      <c r="AC29" s="1" t="s">
        <v>690</v>
      </c>
      <c r="AD29" s="296" t="s">
        <v>677</v>
      </c>
      <c r="AE29" s="297">
        <v>5.70608458699082E-2</v>
      </c>
      <c r="AF29" s="297">
        <v>5.8338849772418801E-2</v>
      </c>
      <c r="AG29" s="297">
        <v>0.106072912611664</v>
      </c>
      <c r="AH29" s="297">
        <v>0.16787362025272101</v>
      </c>
      <c r="AI29" s="297">
        <v>0.21794869910293199</v>
      </c>
      <c r="AJ29" s="297">
        <v>0.27113887909074802</v>
      </c>
      <c r="AK29" s="297">
        <v>0.34396393890592403</v>
      </c>
      <c r="AL29" s="297">
        <v>0.44322454619600998</v>
      </c>
    </row>
    <row r="30" spans="2:38" x14ac:dyDescent="0.35">
      <c r="B30" s="189" t="s">
        <v>490</v>
      </c>
      <c r="C30" s="283"/>
      <c r="D30" s="283"/>
      <c r="E30" s="283"/>
      <c r="F30" s="283"/>
      <c r="G30" s="283"/>
      <c r="H30" s="283"/>
      <c r="I30" s="230"/>
      <c r="J30" s="230"/>
      <c r="K30" s="230"/>
      <c r="L30" s="230"/>
      <c r="M30" s="230"/>
      <c r="N30" s="230"/>
      <c r="O30" s="284"/>
      <c r="P30" s="284"/>
      <c r="Q30" s="284"/>
      <c r="R30" s="284"/>
      <c r="S30" s="284"/>
      <c r="T30" s="284"/>
      <c r="Y30" s="230">
        <v>0</v>
      </c>
      <c r="Z30" s="230">
        <v>0</v>
      </c>
      <c r="AA30" s="230">
        <v>0</v>
      </c>
      <c r="AB30" s="230">
        <v>0</v>
      </c>
      <c r="AD30" s="296" t="s">
        <v>16</v>
      </c>
      <c r="AE30" s="297">
        <v>0.526834875580798</v>
      </c>
      <c r="AF30" s="297">
        <v>0.53247579743719997</v>
      </c>
      <c r="AG30" s="297">
        <v>0.51774813550098997</v>
      </c>
      <c r="AH30" s="297">
        <v>0.50320799254434401</v>
      </c>
      <c r="AI30" s="297">
        <v>0.49111046916615397</v>
      </c>
      <c r="AJ30" s="297">
        <v>0.48509278886499702</v>
      </c>
      <c r="AK30" s="297">
        <v>0.50931796149268704</v>
      </c>
      <c r="AL30" s="297">
        <v>0.516662374176724</v>
      </c>
    </row>
    <row r="31" spans="2:38" x14ac:dyDescent="0.35">
      <c r="AD31" s="296" t="s">
        <v>17</v>
      </c>
      <c r="AE31" s="297">
        <v>0.72548371093104003</v>
      </c>
      <c r="AF31" s="297">
        <v>0.72548371093104003</v>
      </c>
      <c r="AG31" s="297">
        <v>0.72548371093104003</v>
      </c>
      <c r="AH31" s="297">
        <v>0.72548371093104003</v>
      </c>
      <c r="AI31" s="297">
        <v>0.74411278319828</v>
      </c>
      <c r="AJ31" s="297">
        <v>0.76274185546551998</v>
      </c>
      <c r="AK31" s="297">
        <v>0.78137092773275996</v>
      </c>
      <c r="AL31" s="297">
        <v>0.8</v>
      </c>
    </row>
    <row r="35" spans="8:9" x14ac:dyDescent="0.35">
      <c r="H35" s="26"/>
      <c r="I35" s="26"/>
    </row>
  </sheetData>
  <mergeCells count="6">
    <mergeCell ref="AA9:AB9"/>
    <mergeCell ref="B7:O7"/>
    <mergeCell ref="C9:H9"/>
    <mergeCell ref="I9:N9"/>
    <mergeCell ref="O9:T9"/>
    <mergeCell ref="Y9:Z9"/>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A6099"/>
  </sheetPr>
  <dimension ref="A2:AMK97"/>
  <sheetViews>
    <sheetView topLeftCell="A67" zoomScale="81" zoomScaleNormal="81" workbookViewId="0">
      <selection activeCell="K110" sqref="K110"/>
    </sheetView>
  </sheetViews>
  <sheetFormatPr baseColWidth="10" defaultColWidth="8.7265625" defaultRowHeight="14.5" x14ac:dyDescent="0.35"/>
  <cols>
    <col min="1" max="1" width="8.453125" style="1" customWidth="1"/>
    <col min="2" max="2" width="41" style="1" customWidth="1"/>
    <col min="3" max="5" width="12.7265625" style="1" customWidth="1"/>
    <col min="6" max="14" width="8.453125" style="1" customWidth="1"/>
    <col min="15" max="15" width="32.453125" style="1" customWidth="1"/>
    <col min="16" max="16" width="8.453125" style="1" customWidth="1"/>
    <col min="17" max="17" width="16" style="1" customWidth="1"/>
    <col min="18" max="18" width="21" style="1" customWidth="1"/>
    <col min="19" max="25" width="8.453125" style="1" customWidth="1"/>
    <col min="26" max="26" width="27.54296875" style="1" customWidth="1"/>
    <col min="27" max="36" width="8.453125" style="1" customWidth="1"/>
    <col min="37" max="37" width="32.7265625" style="1" customWidth="1"/>
    <col min="38" max="47" width="8.453125" style="1" customWidth="1"/>
    <col min="48" max="48" width="28.7265625" style="1" customWidth="1"/>
    <col min="49" max="58" width="8.453125" style="1" customWidth="1"/>
    <col min="59" max="59" width="29.7265625" style="1" customWidth="1"/>
    <col min="60" max="1025" width="8.453125" style="1" customWidth="1"/>
  </cols>
  <sheetData>
    <row r="2" spans="2:21" ht="15.75" customHeight="1" x14ac:dyDescent="0.35">
      <c r="B2" s="457" t="s">
        <v>691</v>
      </c>
      <c r="C2" s="457"/>
      <c r="D2" s="457"/>
      <c r="E2" s="457"/>
      <c r="F2" s="457"/>
      <c r="G2" s="457"/>
      <c r="H2" s="457"/>
      <c r="I2" s="457"/>
      <c r="J2" s="457"/>
      <c r="K2" s="457"/>
      <c r="L2" s="457"/>
      <c r="M2" s="457"/>
    </row>
    <row r="3" spans="2:21" x14ac:dyDescent="0.35">
      <c r="B3" s="457"/>
      <c r="C3" s="457"/>
      <c r="D3" s="457"/>
      <c r="E3" s="457"/>
      <c r="F3" s="457"/>
      <c r="G3" s="457"/>
      <c r="H3" s="457"/>
      <c r="I3" s="457"/>
      <c r="J3" s="457"/>
      <c r="K3" s="457"/>
      <c r="L3" s="457"/>
      <c r="M3" s="457"/>
    </row>
    <row r="4" spans="2:21" ht="31.5" customHeight="1" x14ac:dyDescent="0.35">
      <c r="B4" s="457"/>
      <c r="C4" s="457"/>
      <c r="D4" s="457"/>
      <c r="E4" s="457"/>
      <c r="F4" s="457"/>
      <c r="G4" s="457"/>
      <c r="H4" s="457"/>
      <c r="I4" s="457"/>
      <c r="J4" s="457"/>
      <c r="K4" s="457"/>
      <c r="L4" s="457"/>
      <c r="M4" s="457"/>
    </row>
    <row r="6" spans="2:21" x14ac:dyDescent="0.35">
      <c r="B6" s="415" t="s">
        <v>35</v>
      </c>
      <c r="C6" s="415"/>
      <c r="D6" s="415"/>
      <c r="E6" s="415"/>
    </row>
    <row r="8" spans="2:21" x14ac:dyDescent="0.35">
      <c r="B8" s="1" t="s">
        <v>692</v>
      </c>
      <c r="C8" s="1" t="s">
        <v>693</v>
      </c>
      <c r="D8" s="1" t="s">
        <v>694</v>
      </c>
      <c r="E8" s="1" t="s">
        <v>695</v>
      </c>
      <c r="F8" s="1" t="s">
        <v>696</v>
      </c>
      <c r="G8" s="1" t="s">
        <v>697</v>
      </c>
      <c r="H8" s="1" t="s">
        <v>698</v>
      </c>
      <c r="I8" s="1" t="s">
        <v>699</v>
      </c>
      <c r="J8" s="1" t="s">
        <v>700</v>
      </c>
      <c r="K8" s="1" t="s">
        <v>701</v>
      </c>
    </row>
    <row r="9" spans="2:21" x14ac:dyDescent="0.35">
      <c r="B9" s="1" t="s">
        <v>702</v>
      </c>
      <c r="C9" s="130">
        <v>0.25185800000000003</v>
      </c>
      <c r="D9" s="130">
        <v>0.26766899999999999</v>
      </c>
      <c r="E9" s="130">
        <v>0.34481699999999998</v>
      </c>
      <c r="F9" s="130">
        <v>0.30367499999999997</v>
      </c>
      <c r="G9" s="130">
        <v>0.31878499999999999</v>
      </c>
      <c r="H9" s="130">
        <v>0.29667700299999999</v>
      </c>
      <c r="I9" s="130">
        <v>0.33257187500000002</v>
      </c>
      <c r="J9" s="130">
        <v>0.26835721000000001</v>
      </c>
      <c r="K9" s="130">
        <v>0.21152071</v>
      </c>
      <c r="L9" s="1" t="s">
        <v>703</v>
      </c>
      <c r="U9" s="1" t="s">
        <v>704</v>
      </c>
    </row>
    <row r="10" spans="2:21" x14ac:dyDescent="0.35">
      <c r="B10" s="1" t="s">
        <v>705</v>
      </c>
      <c r="C10" s="130">
        <v>1.02154206792777</v>
      </c>
      <c r="D10" s="130">
        <v>1.0747438736027499</v>
      </c>
      <c r="E10" s="130">
        <v>1.07953325451419</v>
      </c>
      <c r="F10" s="130">
        <v>1.13712777300086</v>
      </c>
      <c r="G10" s="130">
        <v>1.1746692605330999</v>
      </c>
      <c r="H10" s="130">
        <v>1.1758214316422999</v>
      </c>
      <c r="I10" s="130">
        <v>1.1997218830610501</v>
      </c>
      <c r="J10" s="130">
        <v>1.18694877472055</v>
      </c>
      <c r="K10" s="130">
        <v>1.0813103396388599</v>
      </c>
      <c r="L10" s="1" t="s">
        <v>706</v>
      </c>
      <c r="U10" s="1" t="s">
        <v>707</v>
      </c>
    </row>
    <row r="11" spans="2:21" x14ac:dyDescent="0.35">
      <c r="B11" s="1" t="s">
        <v>708</v>
      </c>
      <c r="C11" s="130">
        <v>12.742173731199999</v>
      </c>
      <c r="D11" s="130">
        <v>12.3697754229</v>
      </c>
      <c r="E11" s="130">
        <v>12.9426425058</v>
      </c>
      <c r="F11" s="130">
        <v>12.430739516399999</v>
      </c>
      <c r="G11" s="130">
        <v>11.8719980654</v>
      </c>
      <c r="H11" s="130">
        <v>12.6198719878</v>
      </c>
      <c r="I11" s="130">
        <v>11.7601136131</v>
      </c>
      <c r="J11" s="130">
        <v>11.960882294399999</v>
      </c>
      <c r="K11" s="130">
        <v>11.315100597700001</v>
      </c>
      <c r="L11" s="1" t="s">
        <v>709</v>
      </c>
      <c r="U11" s="1" t="s">
        <v>710</v>
      </c>
    </row>
    <row r="12" spans="2:21" x14ac:dyDescent="0.35">
      <c r="B12" s="299" t="s">
        <v>711</v>
      </c>
      <c r="C12" s="130">
        <v>12.411117731199999</v>
      </c>
      <c r="D12" s="130">
        <v>12.0648026229</v>
      </c>
      <c r="E12" s="130">
        <v>12.6466985058</v>
      </c>
      <c r="F12" s="130">
        <v>12.1207507164</v>
      </c>
      <c r="G12" s="130">
        <v>11.556993265399999</v>
      </c>
      <c r="H12" s="130">
        <v>12.3299471878</v>
      </c>
      <c r="I12" s="130">
        <v>11.453636013100001</v>
      </c>
      <c r="J12" s="130">
        <v>11.675244168000001</v>
      </c>
      <c r="K12" s="130">
        <v>11.056536832900001</v>
      </c>
      <c r="U12" s="1" t="s">
        <v>712</v>
      </c>
    </row>
    <row r="13" spans="2:21" x14ac:dyDescent="0.35">
      <c r="B13" s="300" t="s">
        <v>713</v>
      </c>
      <c r="C13" s="130">
        <v>9.2301915000000001</v>
      </c>
      <c r="D13" s="130">
        <v>8.9492195999999993</v>
      </c>
      <c r="E13" s="130">
        <v>9.7781280000000006</v>
      </c>
      <c r="F13" s="130">
        <v>9.2906921823000008</v>
      </c>
      <c r="G13" s="130">
        <v>8.6343027297999999</v>
      </c>
      <c r="H13" s="130">
        <v>9.3188314215000005</v>
      </c>
      <c r="I13" s="130">
        <v>8.3445133995000003</v>
      </c>
      <c r="J13" s="130">
        <v>8.6976094480999997</v>
      </c>
      <c r="K13" s="130">
        <v>8.3579907388999999</v>
      </c>
      <c r="U13" s="1" t="s">
        <v>714</v>
      </c>
    </row>
    <row r="14" spans="2:21" x14ac:dyDescent="0.35">
      <c r="B14" s="300" t="s">
        <v>715</v>
      </c>
      <c r="C14" s="130">
        <v>2.5308855000000001</v>
      </c>
      <c r="D14" s="130">
        <v>2.4954885</v>
      </c>
      <c r="E14" s="130">
        <v>2.2924215000000001</v>
      </c>
      <c r="F14" s="130">
        <v>2.2393260000000001</v>
      </c>
      <c r="G14" s="130">
        <v>2.3427224999999998</v>
      </c>
      <c r="H14" s="130">
        <v>2.4293520000000002</v>
      </c>
      <c r="I14" s="130">
        <v>2.5206390000000001</v>
      </c>
      <c r="J14" s="130">
        <v>2.5011520200000001</v>
      </c>
      <c r="K14" s="130">
        <v>2.3104804904999998</v>
      </c>
    </row>
    <row r="15" spans="2:21" x14ac:dyDescent="0.35">
      <c r="B15" s="300" t="s">
        <v>716</v>
      </c>
      <c r="C15" s="130">
        <v>0.65004073119999894</v>
      </c>
      <c r="D15" s="130">
        <v>0.620094522899999</v>
      </c>
      <c r="E15" s="130">
        <v>0.57614900580000095</v>
      </c>
      <c r="F15" s="130">
        <v>0.59073253410000104</v>
      </c>
      <c r="G15" s="130">
        <v>0.57996803559999899</v>
      </c>
      <c r="H15" s="130">
        <v>0.58176376630000004</v>
      </c>
      <c r="I15" s="130">
        <v>0.58848361360000001</v>
      </c>
      <c r="J15" s="130">
        <v>0.47648269989999698</v>
      </c>
      <c r="K15" s="130">
        <v>0.38806560349999902</v>
      </c>
      <c r="L15" s="26"/>
    </row>
    <row r="16" spans="2:21" x14ac:dyDescent="0.35">
      <c r="B16" s="1" t="s">
        <v>717</v>
      </c>
      <c r="C16" s="130">
        <v>14.0155737991278</v>
      </c>
      <c r="D16" s="130">
        <v>13.7121882965028</v>
      </c>
      <c r="E16" s="130">
        <v>14.366992760314201</v>
      </c>
      <c r="F16" s="130">
        <v>13.8715422894009</v>
      </c>
      <c r="G16" s="130">
        <v>13.3654523259331</v>
      </c>
      <c r="H16" s="130">
        <v>14.092370422442301</v>
      </c>
      <c r="I16" s="130">
        <v>13.292407371161101</v>
      </c>
      <c r="J16" s="130">
        <v>13.416188279120499</v>
      </c>
      <c r="K16" s="130">
        <v>12.6079316473389</v>
      </c>
    </row>
    <row r="18" spans="2:17" x14ac:dyDescent="0.35">
      <c r="B18" s="1" t="s">
        <v>718</v>
      </c>
      <c r="C18" s="1">
        <v>12.750199331199999</v>
      </c>
      <c r="D18" s="1">
        <v>12.3778010229</v>
      </c>
      <c r="E18" s="1">
        <v>12.9506681058</v>
      </c>
      <c r="F18" s="1">
        <v>12.438765116400001</v>
      </c>
      <c r="G18" s="1">
        <v>11.8800236654</v>
      </c>
      <c r="H18" s="1">
        <v>12.6278975878</v>
      </c>
      <c r="I18" s="1">
        <v>11.7706472131</v>
      </c>
      <c r="J18" s="1">
        <v>11.971338648</v>
      </c>
      <c r="K18" s="1">
        <v>11.3255740057</v>
      </c>
    </row>
    <row r="20" spans="2:17" s="301" customFormat="1" x14ac:dyDescent="0.35"/>
    <row r="21" spans="2:17" s="302" customFormat="1" x14ac:dyDescent="0.35">
      <c r="B21" s="415">
        <v>2019</v>
      </c>
      <c r="C21" s="415"/>
      <c r="D21" s="415"/>
      <c r="E21" s="415"/>
    </row>
    <row r="22" spans="2:17" s="301" customFormat="1" x14ac:dyDescent="0.35"/>
    <row r="23" spans="2:17" s="301" customFormat="1" x14ac:dyDescent="0.35">
      <c r="B23" s="43" t="s">
        <v>719</v>
      </c>
      <c r="C23" s="43" t="s">
        <v>702</v>
      </c>
      <c r="D23" s="43" t="s">
        <v>720</v>
      </c>
      <c r="E23" s="43" t="s">
        <v>708</v>
      </c>
      <c r="F23" s="43" t="s">
        <v>721</v>
      </c>
      <c r="G23" s="43" t="s">
        <v>722</v>
      </c>
      <c r="H23" s="43" t="s">
        <v>52</v>
      </c>
      <c r="K23" s="43" t="s">
        <v>457</v>
      </c>
      <c r="L23" s="43" t="s">
        <v>702</v>
      </c>
      <c r="M23" s="43" t="s">
        <v>720</v>
      </c>
      <c r="N23" s="43" t="s">
        <v>708</v>
      </c>
      <c r="O23" s="43" t="s">
        <v>721</v>
      </c>
      <c r="P23" s="43" t="s">
        <v>722</v>
      </c>
      <c r="Q23" s="43" t="s">
        <v>52</v>
      </c>
    </row>
    <row r="24" spans="2:17" s="301" customFormat="1" x14ac:dyDescent="0.35">
      <c r="B24" s="43" t="s">
        <v>723</v>
      </c>
      <c r="C24" s="303">
        <f>J9</f>
        <v>0.26835721000000001</v>
      </c>
      <c r="D24" s="303"/>
      <c r="E24" s="303"/>
      <c r="F24" s="303"/>
      <c r="G24" s="303"/>
      <c r="H24" s="303">
        <f t="shared" ref="H24:H30" si="0">SUM(C24:G24)</f>
        <v>0.26835721000000001</v>
      </c>
      <c r="K24" s="43" t="s">
        <v>723</v>
      </c>
      <c r="L24" s="303">
        <f>C24*11.63</f>
        <v>3.1209943523000003</v>
      </c>
      <c r="M24" s="303"/>
      <c r="N24" s="303"/>
      <c r="O24" s="303"/>
      <c r="P24" s="303"/>
      <c r="Q24" s="303">
        <f t="shared" ref="Q24:Q29" si="1">H24*11.63</f>
        <v>3.1209943523000003</v>
      </c>
    </row>
    <row r="25" spans="2:17" s="301" customFormat="1" x14ac:dyDescent="0.35">
      <c r="B25" s="43" t="s">
        <v>14</v>
      </c>
      <c r="C25" s="303"/>
      <c r="D25" s="303">
        <f>J10*41%</f>
        <v>0.48664899763542552</v>
      </c>
      <c r="E25" s="303"/>
      <c r="F25" s="303"/>
      <c r="G25" s="303"/>
      <c r="H25" s="303">
        <f t="shared" si="0"/>
        <v>0.48664899763542552</v>
      </c>
      <c r="K25" s="43" t="s">
        <v>14</v>
      </c>
      <c r="L25" s="303"/>
      <c r="M25" s="303">
        <f>D25*11.63</f>
        <v>5.6597278424999988</v>
      </c>
      <c r="N25" s="303"/>
      <c r="O25" s="303"/>
      <c r="P25" s="303"/>
      <c r="Q25" s="303">
        <f t="shared" si="1"/>
        <v>5.6597278424999988</v>
      </c>
    </row>
    <row r="26" spans="2:17" s="301" customFormat="1" x14ac:dyDescent="0.35">
      <c r="B26" s="43" t="s">
        <v>724</v>
      </c>
      <c r="C26" s="303"/>
      <c r="D26" s="303">
        <f>J10*0.09</f>
        <v>0.10682538972484951</v>
      </c>
      <c r="E26" s="303">
        <f>J13</f>
        <v>8.6976094480999997</v>
      </c>
      <c r="F26" s="303"/>
      <c r="G26" s="303"/>
      <c r="H26" s="303">
        <f t="shared" si="0"/>
        <v>8.80443483782485</v>
      </c>
      <c r="K26" s="43" t="s">
        <v>724</v>
      </c>
      <c r="L26" s="303"/>
      <c r="M26" s="303">
        <f>D26*11.63</f>
        <v>1.2423792824999997</v>
      </c>
      <c r="N26" s="303">
        <f>E26*11.63</f>
        <v>101.153197881403</v>
      </c>
      <c r="O26" s="303"/>
      <c r="P26" s="303"/>
      <c r="Q26" s="303">
        <f t="shared" si="1"/>
        <v>102.39557716390301</v>
      </c>
    </row>
    <row r="27" spans="2:17" s="301" customFormat="1" x14ac:dyDescent="0.35">
      <c r="B27" s="43" t="s">
        <v>725</v>
      </c>
      <c r="C27" s="303"/>
      <c r="D27" s="303">
        <f>J10*0.5</f>
        <v>0.59347438736027502</v>
      </c>
      <c r="E27" s="303">
        <f>J15*0.5</f>
        <v>0.23824134994999849</v>
      </c>
      <c r="F27" s="303"/>
      <c r="G27" s="303"/>
      <c r="H27" s="303">
        <f t="shared" si="0"/>
        <v>0.83171573731027348</v>
      </c>
      <c r="K27" s="43" t="s">
        <v>725</v>
      </c>
      <c r="L27" s="303"/>
      <c r="M27" s="303">
        <f>D27*11.63</f>
        <v>6.9021071249999988</v>
      </c>
      <c r="N27" s="303">
        <f>E27*11.63</f>
        <v>2.7707468999184828</v>
      </c>
      <c r="O27" s="303"/>
      <c r="P27" s="303"/>
      <c r="Q27" s="303">
        <f t="shared" si="1"/>
        <v>9.6728540249184807</v>
      </c>
    </row>
    <row r="28" spans="2:17" s="301" customFormat="1" x14ac:dyDescent="0.35">
      <c r="B28" s="43" t="s">
        <v>726</v>
      </c>
      <c r="C28" s="303"/>
      <c r="D28" s="303"/>
      <c r="E28" s="303">
        <f>J14</f>
        <v>2.5011520200000001</v>
      </c>
      <c r="F28" s="302"/>
      <c r="G28" s="303"/>
      <c r="H28" s="303">
        <f t="shared" si="0"/>
        <v>2.5011520200000001</v>
      </c>
      <c r="K28" s="43" t="s">
        <v>726</v>
      </c>
      <c r="L28" s="303"/>
      <c r="M28" s="303"/>
      <c r="N28" s="303">
        <f>E28*11.63</f>
        <v>29.088397992600004</v>
      </c>
      <c r="O28" s="303"/>
      <c r="P28" s="303"/>
      <c r="Q28" s="303">
        <f t="shared" si="1"/>
        <v>29.088397992600004</v>
      </c>
    </row>
    <row r="29" spans="2:17" s="301" customFormat="1" x14ac:dyDescent="0.35">
      <c r="B29" s="43" t="s">
        <v>727</v>
      </c>
      <c r="C29" s="303"/>
      <c r="D29" s="303"/>
      <c r="E29" s="303">
        <f>J15*0.5</f>
        <v>0.23824134994999849</v>
      </c>
      <c r="F29" s="303"/>
      <c r="G29" s="303"/>
      <c r="H29" s="303">
        <f t="shared" si="0"/>
        <v>0.23824134994999849</v>
      </c>
      <c r="K29" s="43" t="s">
        <v>727</v>
      </c>
      <c r="L29" s="303"/>
      <c r="M29" s="303"/>
      <c r="N29" s="303">
        <f>E29*11.63</f>
        <v>2.7707468999184828</v>
      </c>
      <c r="O29" s="303"/>
      <c r="P29" s="303"/>
      <c r="Q29" s="303">
        <f t="shared" si="1"/>
        <v>2.7707468999184828</v>
      </c>
    </row>
    <row r="30" spans="2:17" s="301" customFormat="1" x14ac:dyDescent="0.35">
      <c r="B30" s="43" t="s">
        <v>52</v>
      </c>
      <c r="C30" s="303">
        <f>+SUM(C24:C29)</f>
        <v>0.26835721000000001</v>
      </c>
      <c r="D30" s="303">
        <f>+SUM(D24:D29)</f>
        <v>1.18694877472055</v>
      </c>
      <c r="E30" s="303">
        <f>+SUM(E24:E29)</f>
        <v>11.675244167999995</v>
      </c>
      <c r="F30" s="303">
        <f>+SUM(F24:F29)</f>
        <v>0</v>
      </c>
      <c r="G30" s="303">
        <f>+SUM(G24:G29)</f>
        <v>0</v>
      </c>
      <c r="H30" s="303">
        <f t="shared" si="0"/>
        <v>13.130550152720545</v>
      </c>
      <c r="K30" s="43" t="s">
        <v>52</v>
      </c>
      <c r="L30" s="303">
        <f>C30*11.63</f>
        <v>3.1209943523000003</v>
      </c>
      <c r="M30" s="303">
        <f>D30*11.63</f>
        <v>13.804214249999998</v>
      </c>
      <c r="N30" s="303">
        <f>E30*11.63</f>
        <v>135.78308967383995</v>
      </c>
      <c r="O30" s="303"/>
      <c r="P30" s="303"/>
      <c r="Q30" s="303">
        <f>SUM(Q24:Q29)</f>
        <v>152.70829827613997</v>
      </c>
    </row>
    <row r="31" spans="2:17" s="301" customFormat="1" x14ac:dyDescent="0.35"/>
    <row r="34" spans="2:5" x14ac:dyDescent="0.35">
      <c r="B34" s="227" t="s">
        <v>728</v>
      </c>
    </row>
    <row r="37" spans="2:5" x14ac:dyDescent="0.35">
      <c r="B37" s="415" t="s">
        <v>729</v>
      </c>
      <c r="C37" s="415"/>
      <c r="D37" s="415"/>
      <c r="E37" s="415"/>
    </row>
    <row r="39" spans="2:5" x14ac:dyDescent="0.35">
      <c r="C39" s="425" t="s">
        <v>730</v>
      </c>
      <c r="D39" s="425"/>
      <c r="E39" s="425"/>
    </row>
    <row r="40" spans="2:5" x14ac:dyDescent="0.35">
      <c r="C40" s="304">
        <v>2019</v>
      </c>
      <c r="D40" s="304">
        <v>2030</v>
      </c>
      <c r="E40" s="304">
        <v>2050</v>
      </c>
    </row>
    <row r="41" spans="2:5" x14ac:dyDescent="0.35">
      <c r="B41" s="5" t="s">
        <v>723</v>
      </c>
      <c r="C41" s="305" t="s">
        <v>731</v>
      </c>
    </row>
    <row r="42" spans="2:5" x14ac:dyDescent="0.35">
      <c r="B42" s="306" t="s">
        <v>10</v>
      </c>
      <c r="C42" s="307"/>
      <c r="D42" s="307"/>
      <c r="E42" s="307"/>
    </row>
    <row r="43" spans="2:5" x14ac:dyDescent="0.35">
      <c r="B43" s="308" t="s">
        <v>732</v>
      </c>
      <c r="C43" s="309">
        <v>1</v>
      </c>
      <c r="D43" s="309">
        <v>0</v>
      </c>
      <c r="E43" s="309">
        <v>0</v>
      </c>
    </row>
    <row r="44" spans="2:5" x14ac:dyDescent="0.35">
      <c r="B44" s="308" t="s">
        <v>733</v>
      </c>
      <c r="C44" s="309">
        <v>0</v>
      </c>
      <c r="D44" s="309">
        <v>0</v>
      </c>
      <c r="E44" s="309">
        <v>0</v>
      </c>
    </row>
    <row r="45" spans="2:5" x14ac:dyDescent="0.35">
      <c r="B45" s="308" t="s">
        <v>734</v>
      </c>
      <c r="C45" s="309">
        <v>0</v>
      </c>
      <c r="D45" s="309">
        <v>0</v>
      </c>
      <c r="E45" s="309">
        <v>0</v>
      </c>
    </row>
    <row r="46" spans="2:5" x14ac:dyDescent="0.35">
      <c r="B46" s="306" t="s">
        <v>14</v>
      </c>
      <c r="C46" s="307"/>
      <c r="D46" s="307"/>
      <c r="E46" s="307"/>
    </row>
    <row r="47" spans="2:5" x14ac:dyDescent="0.35">
      <c r="B47" s="308" t="s">
        <v>735</v>
      </c>
      <c r="C47" s="309">
        <v>1</v>
      </c>
      <c r="D47" s="309">
        <v>0</v>
      </c>
      <c r="E47" s="309">
        <v>0</v>
      </c>
    </row>
    <row r="48" spans="2:5" x14ac:dyDescent="0.35">
      <c r="B48" s="308" t="s">
        <v>736</v>
      </c>
      <c r="C48" s="309">
        <v>0</v>
      </c>
      <c r="D48" s="309">
        <v>0</v>
      </c>
      <c r="E48" s="309">
        <v>0</v>
      </c>
    </row>
    <row r="49" spans="2:5" x14ac:dyDescent="0.35">
      <c r="B49" s="306" t="s">
        <v>724</v>
      </c>
      <c r="C49" s="307"/>
      <c r="D49" s="307"/>
      <c r="E49" s="307"/>
    </row>
    <row r="50" spans="2:5" x14ac:dyDescent="0.35">
      <c r="B50" s="308" t="s">
        <v>737</v>
      </c>
      <c r="C50" s="309">
        <v>1</v>
      </c>
      <c r="D50" s="309">
        <v>0</v>
      </c>
      <c r="E50" s="309">
        <v>0</v>
      </c>
    </row>
    <row r="51" spans="2:5" x14ac:dyDescent="0.35">
      <c r="B51" s="308" t="s">
        <v>738</v>
      </c>
      <c r="C51" s="309">
        <v>0</v>
      </c>
      <c r="D51" s="309">
        <v>0</v>
      </c>
      <c r="E51" s="309">
        <v>0</v>
      </c>
    </row>
    <row r="52" spans="2:5" x14ac:dyDescent="0.35">
      <c r="B52" s="308" t="s">
        <v>739</v>
      </c>
      <c r="C52" s="309">
        <v>0</v>
      </c>
      <c r="D52" s="309">
        <v>0</v>
      </c>
      <c r="E52" s="309">
        <v>0</v>
      </c>
    </row>
    <row r="53" spans="2:5" x14ac:dyDescent="0.35">
      <c r="B53" s="306" t="s">
        <v>725</v>
      </c>
      <c r="C53" s="307"/>
      <c r="D53" s="307"/>
      <c r="E53" s="307"/>
    </row>
    <row r="54" spans="2:5" x14ac:dyDescent="0.35">
      <c r="B54" s="308" t="s">
        <v>708</v>
      </c>
      <c r="C54" s="309">
        <v>0.28644564394135302</v>
      </c>
      <c r="D54" s="309">
        <v>0.28644564394135302</v>
      </c>
      <c r="E54" s="309">
        <v>0.28644564394135302</v>
      </c>
    </row>
    <row r="55" spans="2:5" x14ac:dyDescent="0.35">
      <c r="B55" s="308" t="s">
        <v>442</v>
      </c>
      <c r="C55" s="309">
        <v>0.71355435605864703</v>
      </c>
      <c r="D55" s="309">
        <v>0.71355435605864703</v>
      </c>
      <c r="E55" s="309">
        <f>D55-E58</f>
        <v>0.56355435605864701</v>
      </c>
    </row>
    <row r="56" spans="2:5" x14ac:dyDescent="0.35">
      <c r="B56" s="308" t="s">
        <v>740</v>
      </c>
      <c r="C56" s="309">
        <v>0</v>
      </c>
      <c r="D56" s="309">
        <v>0</v>
      </c>
      <c r="E56" s="309">
        <v>0</v>
      </c>
    </row>
    <row r="57" spans="2:5" x14ac:dyDescent="0.35">
      <c r="B57" s="308" t="s">
        <v>741</v>
      </c>
      <c r="C57" s="309">
        <v>0</v>
      </c>
      <c r="D57" s="309">
        <v>0</v>
      </c>
      <c r="E57" s="309">
        <v>0</v>
      </c>
    </row>
    <row r="58" spans="2:5" x14ac:dyDescent="0.35">
      <c r="B58" s="308" t="s">
        <v>448</v>
      </c>
      <c r="C58" s="309">
        <v>0</v>
      </c>
      <c r="D58" s="309">
        <v>0</v>
      </c>
      <c r="E58" s="309">
        <f>15%</f>
        <v>0.15</v>
      </c>
    </row>
    <row r="59" spans="2:5" x14ac:dyDescent="0.35">
      <c r="B59" s="306" t="s">
        <v>726</v>
      </c>
      <c r="C59" s="307"/>
      <c r="D59" s="307"/>
      <c r="E59" s="307"/>
    </row>
    <row r="60" spans="2:5" x14ac:dyDescent="0.35">
      <c r="B60" s="308" t="s">
        <v>742</v>
      </c>
      <c r="C60" s="309">
        <v>1</v>
      </c>
      <c r="D60" s="309">
        <f>C60</f>
        <v>1</v>
      </c>
      <c r="E60" s="309">
        <f>D60</f>
        <v>1</v>
      </c>
    </row>
    <row r="61" spans="2:5" x14ac:dyDescent="0.35">
      <c r="B61" s="308" t="s">
        <v>743</v>
      </c>
      <c r="C61" s="309">
        <v>0</v>
      </c>
      <c r="D61" s="309">
        <v>0</v>
      </c>
      <c r="E61" s="309">
        <v>0</v>
      </c>
    </row>
    <row r="62" spans="2:5" x14ac:dyDescent="0.35">
      <c r="B62" s="308" t="s">
        <v>744</v>
      </c>
      <c r="C62" s="309">
        <v>0</v>
      </c>
      <c r="D62" s="309">
        <v>0</v>
      </c>
      <c r="E62" s="309">
        <v>0</v>
      </c>
    </row>
    <row r="63" spans="2:5" x14ac:dyDescent="0.35">
      <c r="B63" s="306" t="s">
        <v>727</v>
      </c>
      <c r="C63" s="307"/>
      <c r="D63" s="307"/>
      <c r="E63" s="307"/>
    </row>
    <row r="64" spans="2:5" x14ac:dyDescent="0.35">
      <c r="B64" s="308" t="s">
        <v>745</v>
      </c>
      <c r="C64" s="309">
        <v>1</v>
      </c>
      <c r="D64" s="309">
        <f>C64</f>
        <v>1</v>
      </c>
      <c r="E64" s="309">
        <f>D64</f>
        <v>1</v>
      </c>
    </row>
    <row r="65" spans="2:9" x14ac:dyDescent="0.35">
      <c r="B65" s="308" t="s">
        <v>746</v>
      </c>
      <c r="C65" s="309">
        <v>0</v>
      </c>
      <c r="D65" s="309">
        <v>0</v>
      </c>
      <c r="E65" s="309">
        <v>0</v>
      </c>
    </row>
    <row r="68" spans="2:9" x14ac:dyDescent="0.35">
      <c r="B68" s="415" t="s">
        <v>747</v>
      </c>
      <c r="C68" s="415"/>
      <c r="D68" s="415"/>
      <c r="E68" s="415"/>
    </row>
    <row r="71" spans="2:9" x14ac:dyDescent="0.35">
      <c r="C71" s="425" t="s">
        <v>730</v>
      </c>
      <c r="D71" s="425"/>
      <c r="E71" s="425"/>
    </row>
    <row r="72" spans="2:9" x14ac:dyDescent="0.35">
      <c r="C72" s="304">
        <v>2019</v>
      </c>
      <c r="D72" s="304">
        <v>2030</v>
      </c>
      <c r="E72" s="304">
        <v>2050</v>
      </c>
    </row>
    <row r="73" spans="2:9" x14ac:dyDescent="0.35">
      <c r="B73" s="310" t="s">
        <v>723</v>
      </c>
      <c r="C73" s="311" t="s">
        <v>731</v>
      </c>
      <c r="D73" s="252"/>
      <c r="E73" s="253"/>
    </row>
    <row r="74" spans="2:9" x14ac:dyDescent="0.35">
      <c r="B74" s="312" t="s">
        <v>10</v>
      </c>
      <c r="C74" s="307"/>
      <c r="D74" s="307"/>
      <c r="E74" s="313"/>
    </row>
    <row r="75" spans="2:9" x14ac:dyDescent="0.35">
      <c r="B75" s="314" t="s">
        <v>732</v>
      </c>
      <c r="C75" s="315">
        <v>1</v>
      </c>
      <c r="D75" s="315">
        <f>1-SUM(D76:D77)</f>
        <v>0.8</v>
      </c>
      <c r="E75" s="316">
        <f>1-SUM(E76:E77)</f>
        <v>0</v>
      </c>
    </row>
    <row r="76" spans="2:9" x14ac:dyDescent="0.35">
      <c r="B76" s="314" t="s">
        <v>733</v>
      </c>
      <c r="C76" s="315">
        <v>0</v>
      </c>
      <c r="D76" s="315">
        <v>0.05</v>
      </c>
      <c r="E76" s="316">
        <v>0.3</v>
      </c>
    </row>
    <row r="77" spans="2:9" x14ac:dyDescent="0.35">
      <c r="B77" s="314" t="s">
        <v>734</v>
      </c>
      <c r="C77" s="315">
        <v>0</v>
      </c>
      <c r="D77" s="315">
        <v>0.15</v>
      </c>
      <c r="E77" s="316">
        <v>0.7</v>
      </c>
      <c r="G77" s="317" t="s">
        <v>748</v>
      </c>
    </row>
    <row r="78" spans="2:9" x14ac:dyDescent="0.35">
      <c r="B78" s="312" t="s">
        <v>14</v>
      </c>
      <c r="C78" s="307"/>
      <c r="D78" s="307"/>
      <c r="E78" s="313"/>
    </row>
    <row r="79" spans="2:9" x14ac:dyDescent="0.35">
      <c r="B79" s="314" t="s">
        <v>735</v>
      </c>
      <c r="C79" s="309">
        <v>1</v>
      </c>
      <c r="D79" s="309">
        <f>1-D80</f>
        <v>0.25</v>
      </c>
      <c r="E79" s="318">
        <f>1-E80</f>
        <v>0</v>
      </c>
    </row>
    <row r="80" spans="2:9" x14ac:dyDescent="0.35">
      <c r="B80" s="314" t="s">
        <v>736</v>
      </c>
      <c r="C80" s="309">
        <v>0</v>
      </c>
      <c r="D80" s="309">
        <v>0.75</v>
      </c>
      <c r="E80" s="319">
        <v>1</v>
      </c>
      <c r="G80" s="248"/>
      <c r="I80" s="194"/>
    </row>
    <row r="81" spans="2:11" x14ac:dyDescent="0.35">
      <c r="B81" s="312" t="s">
        <v>724</v>
      </c>
      <c r="C81" s="307"/>
      <c r="D81" s="307"/>
      <c r="E81" s="313"/>
    </row>
    <row r="82" spans="2:11" x14ac:dyDescent="0.35">
      <c r="B82" s="314" t="s">
        <v>737</v>
      </c>
      <c r="C82" s="309">
        <v>1</v>
      </c>
      <c r="D82" s="309">
        <f>1-SUM(D83:D84)</f>
        <v>0.85</v>
      </c>
      <c r="E82" s="318">
        <f>1-SUM(E83:E84)</f>
        <v>0.19999999999999996</v>
      </c>
    </row>
    <row r="83" spans="2:11" x14ac:dyDescent="0.35">
      <c r="B83" s="314" t="s">
        <v>749</v>
      </c>
      <c r="C83" s="315">
        <v>0</v>
      </c>
      <c r="D83" s="320">
        <v>0.1</v>
      </c>
      <c r="E83" s="319">
        <v>0.4</v>
      </c>
    </row>
    <row r="84" spans="2:11" x14ac:dyDescent="0.35">
      <c r="B84" s="314" t="s">
        <v>739</v>
      </c>
      <c r="C84" s="315">
        <v>0</v>
      </c>
      <c r="D84" s="320">
        <v>0.05</v>
      </c>
      <c r="E84" s="319">
        <v>0.4</v>
      </c>
      <c r="G84" s="317" t="s">
        <v>750</v>
      </c>
      <c r="K84" s="1" t="s">
        <v>751</v>
      </c>
    </row>
    <row r="85" spans="2:11" x14ac:dyDescent="0.35">
      <c r="B85" s="312" t="s">
        <v>725</v>
      </c>
      <c r="C85" s="307"/>
      <c r="D85" s="307"/>
      <c r="E85" s="313"/>
      <c r="G85" s="248"/>
      <c r="I85" s="194"/>
    </row>
    <row r="86" spans="2:11" x14ac:dyDescent="0.35">
      <c r="B86" s="314" t="s">
        <v>708</v>
      </c>
      <c r="C86" s="309">
        <v>0.28644564394135302</v>
      </c>
      <c r="D86" s="309">
        <f>C86-D88</f>
        <v>0.25644564394135305</v>
      </c>
      <c r="E86" s="318">
        <f>D86-E88</f>
        <v>0.15644564394135305</v>
      </c>
    </row>
    <row r="87" spans="2:11" x14ac:dyDescent="0.35">
      <c r="B87" s="314" t="s">
        <v>442</v>
      </c>
      <c r="C87" s="309">
        <v>0.71355435605864703</v>
      </c>
      <c r="D87" s="309">
        <f>C87-D89</f>
        <v>0.673554356058647</v>
      </c>
      <c r="E87" s="318">
        <f>D87-E90-E89</f>
        <v>0.12355435605864698</v>
      </c>
    </row>
    <row r="88" spans="2:11" x14ac:dyDescent="0.35">
      <c r="B88" s="314" t="s">
        <v>740</v>
      </c>
      <c r="C88" s="309">
        <v>0</v>
      </c>
      <c r="D88" s="320">
        <v>0.03</v>
      </c>
      <c r="E88" s="318">
        <v>0.1</v>
      </c>
    </row>
    <row r="89" spans="2:11" x14ac:dyDescent="0.35">
      <c r="B89" s="314" t="s">
        <v>741</v>
      </c>
      <c r="C89" s="309">
        <v>0</v>
      </c>
      <c r="D89" s="320">
        <v>0.04</v>
      </c>
      <c r="E89" s="319">
        <v>0.15</v>
      </c>
      <c r="G89" s="248"/>
      <c r="I89" s="194"/>
    </row>
    <row r="90" spans="2:11" x14ac:dyDescent="0.35">
      <c r="B90" s="314" t="s">
        <v>448</v>
      </c>
      <c r="C90" s="309">
        <v>0</v>
      </c>
      <c r="D90" s="309">
        <v>0</v>
      </c>
      <c r="E90" s="318">
        <v>0.4</v>
      </c>
    </row>
    <row r="91" spans="2:11" x14ac:dyDescent="0.35">
      <c r="B91" s="312" t="s">
        <v>726</v>
      </c>
      <c r="C91" s="307"/>
      <c r="D91" s="307"/>
      <c r="E91" s="313"/>
    </row>
    <row r="92" spans="2:11" x14ac:dyDescent="0.35">
      <c r="B92" s="314" t="s">
        <v>742</v>
      </c>
      <c r="C92" s="309">
        <v>1</v>
      </c>
      <c r="D92" s="309">
        <f>1-D94</f>
        <v>0.95</v>
      </c>
      <c r="E92" s="318">
        <f>1-E94</f>
        <v>0.8</v>
      </c>
    </row>
    <row r="93" spans="2:11" x14ac:dyDescent="0.35">
      <c r="B93" s="314" t="s">
        <v>743</v>
      </c>
      <c r="C93" s="309">
        <v>0</v>
      </c>
      <c r="D93" s="309">
        <v>0</v>
      </c>
      <c r="E93" s="318">
        <v>0</v>
      </c>
    </row>
    <row r="94" spans="2:11" x14ac:dyDescent="0.35">
      <c r="B94" s="314" t="s">
        <v>752</v>
      </c>
      <c r="C94" s="309">
        <v>0</v>
      </c>
      <c r="D94" s="309">
        <v>0.05</v>
      </c>
      <c r="E94" s="318">
        <v>0.2</v>
      </c>
    </row>
    <row r="95" spans="2:11" x14ac:dyDescent="0.35">
      <c r="B95" s="312" t="s">
        <v>727</v>
      </c>
      <c r="C95" s="307"/>
      <c r="D95" s="307"/>
      <c r="E95" s="313"/>
    </row>
    <row r="96" spans="2:11" x14ac:dyDescent="0.35">
      <c r="B96" s="314" t="s">
        <v>745</v>
      </c>
      <c r="C96" s="309">
        <v>1</v>
      </c>
      <c r="D96" s="309">
        <f>C96</f>
        <v>1</v>
      </c>
      <c r="E96" s="318">
        <v>0.8</v>
      </c>
    </row>
    <row r="97" spans="2:5" x14ac:dyDescent="0.35">
      <c r="B97" s="321" t="s">
        <v>746</v>
      </c>
      <c r="C97" s="322">
        <v>0</v>
      </c>
      <c r="D97" s="322">
        <v>0</v>
      </c>
      <c r="E97" s="323">
        <v>0.2</v>
      </c>
    </row>
  </sheetData>
  <mergeCells count="7">
    <mergeCell ref="B68:E68"/>
    <mergeCell ref="C71:E71"/>
    <mergeCell ref="B2:M4"/>
    <mergeCell ref="B6:E6"/>
    <mergeCell ref="B21:E21"/>
    <mergeCell ref="B37:E37"/>
    <mergeCell ref="C39:E39"/>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F5597"/>
  </sheetPr>
  <dimension ref="A2:AMK106"/>
  <sheetViews>
    <sheetView topLeftCell="F1" zoomScale="70" zoomScaleNormal="70" workbookViewId="0">
      <selection activeCell="L51" sqref="L51"/>
    </sheetView>
  </sheetViews>
  <sheetFormatPr baseColWidth="10" defaultColWidth="8.7265625" defaultRowHeight="14.5" x14ac:dyDescent="0.35"/>
  <cols>
    <col min="1" max="1" width="10.453125" style="45" customWidth="1"/>
    <col min="2" max="2" width="39.7265625" style="45" customWidth="1"/>
    <col min="3" max="1025" width="10.453125" style="45" customWidth="1"/>
  </cols>
  <sheetData>
    <row r="2" spans="2:22" x14ac:dyDescent="0.35">
      <c r="B2" s="45" t="s">
        <v>753</v>
      </c>
      <c r="C2" s="324">
        <v>1.2600000000000001E-3</v>
      </c>
      <c r="D2" s="45" t="s">
        <v>754</v>
      </c>
      <c r="O2" s="404" t="s">
        <v>849</v>
      </c>
      <c r="P2" s="404"/>
      <c r="Q2" s="404"/>
      <c r="R2" s="404"/>
      <c r="S2" s="404"/>
      <c r="T2" s="404"/>
    </row>
    <row r="4" spans="2:22" x14ac:dyDescent="0.35">
      <c r="B4" s="232"/>
      <c r="C4" s="1"/>
      <c r="D4" s="1"/>
      <c r="E4" s="1"/>
      <c r="F4" s="1"/>
      <c r="G4" s="1"/>
      <c r="H4" s="1"/>
      <c r="I4" s="1"/>
      <c r="J4" s="1"/>
      <c r="K4" s="1"/>
      <c r="L4" s="1"/>
      <c r="M4" s="1"/>
      <c r="N4" s="1"/>
      <c r="O4" s="1"/>
      <c r="P4" s="1"/>
      <c r="Q4" s="1"/>
      <c r="R4" s="1"/>
      <c r="S4" s="1"/>
      <c r="T4" s="1"/>
    </row>
    <row r="5" spans="2:22" x14ac:dyDescent="0.35">
      <c r="B5" s="442"/>
      <c r="C5" s="1"/>
      <c r="D5" s="458" t="s">
        <v>3</v>
      </c>
      <c r="E5" s="458"/>
      <c r="F5" s="458"/>
      <c r="G5" s="458"/>
      <c r="H5" s="458"/>
      <c r="I5" s="458"/>
      <c r="J5" s="1"/>
      <c r="K5" s="1"/>
      <c r="L5" s="1"/>
      <c r="M5" s="1"/>
      <c r="N5" s="1"/>
      <c r="O5" s="444" t="s">
        <v>4</v>
      </c>
      <c r="P5" s="444"/>
      <c r="Q5" s="444"/>
      <c r="R5" s="444"/>
      <c r="S5" s="444"/>
      <c r="T5" s="444"/>
    </row>
    <row r="6" spans="2:22" x14ac:dyDescent="0.35">
      <c r="B6" s="442"/>
      <c r="C6" s="1"/>
      <c r="D6" s="325">
        <v>2025</v>
      </c>
      <c r="E6" s="326">
        <v>2030</v>
      </c>
      <c r="F6" s="326">
        <v>2035</v>
      </c>
      <c r="G6" s="326">
        <v>2040</v>
      </c>
      <c r="H6" s="326">
        <v>2045</v>
      </c>
      <c r="I6" s="327">
        <v>2050</v>
      </c>
      <c r="J6" s="1"/>
      <c r="K6" s="1"/>
      <c r="L6" s="1"/>
      <c r="M6" s="1"/>
      <c r="N6" s="1"/>
      <c r="O6" s="326">
        <v>2025</v>
      </c>
      <c r="P6" s="326">
        <v>2030</v>
      </c>
      <c r="Q6" s="326">
        <v>2035</v>
      </c>
      <c r="R6" s="326">
        <v>2040</v>
      </c>
      <c r="S6" s="171">
        <v>2045</v>
      </c>
      <c r="T6" s="171">
        <v>2050</v>
      </c>
      <c r="U6" s="405"/>
    </row>
    <row r="7" spans="2:22" x14ac:dyDescent="0.35">
      <c r="B7" s="187" t="s">
        <v>24</v>
      </c>
      <c r="C7" s="1"/>
      <c r="D7" s="328">
        <v>0.5</v>
      </c>
      <c r="E7" s="329">
        <v>1.5</v>
      </c>
      <c r="F7" s="329">
        <v>2</v>
      </c>
      <c r="G7" s="329">
        <v>3</v>
      </c>
      <c r="H7" s="329">
        <v>4</v>
      </c>
      <c r="I7" s="330">
        <v>5</v>
      </c>
      <c r="J7" s="1"/>
      <c r="K7" s="1" t="s">
        <v>755</v>
      </c>
      <c r="L7" s="1"/>
      <c r="M7" s="1"/>
      <c r="N7" s="1"/>
      <c r="O7" s="329">
        <v>0.5</v>
      </c>
      <c r="P7" s="329">
        <v>1.5</v>
      </c>
      <c r="Q7" s="329">
        <v>2</v>
      </c>
      <c r="R7" s="329">
        <v>2</v>
      </c>
      <c r="S7" s="406">
        <v>2</v>
      </c>
      <c r="T7" s="406">
        <v>2</v>
      </c>
      <c r="U7" s="407" t="s">
        <v>862</v>
      </c>
    </row>
    <row r="8" spans="2:22" x14ac:dyDescent="0.35">
      <c r="B8" s="189" t="s">
        <v>756</v>
      </c>
      <c r="C8" s="1"/>
      <c r="D8" s="180">
        <f>E8</f>
        <v>0.03</v>
      </c>
      <c r="E8" s="180">
        <v>0.03</v>
      </c>
      <c r="F8" s="180">
        <f>(E8+G8)/2</f>
        <v>2.75E-2</v>
      </c>
      <c r="G8" s="180">
        <f>(E8+I8)/2</f>
        <v>2.5000000000000001E-2</v>
      </c>
      <c r="H8" s="180">
        <f>(G8+I8)/2</f>
        <v>2.2499999999999999E-2</v>
      </c>
      <c r="I8" s="180">
        <v>0.02</v>
      </c>
      <c r="J8" s="1"/>
      <c r="L8" s="1"/>
      <c r="M8" s="1"/>
      <c r="N8" s="1"/>
      <c r="O8" s="180">
        <v>7.0000000000000007E-2</v>
      </c>
      <c r="P8" s="180">
        <v>0.14000000000000001</v>
      </c>
      <c r="Q8" s="180">
        <f>(P8+R8)/2</f>
        <v>0.28749999999999998</v>
      </c>
      <c r="R8" s="180">
        <f>(P8+T8)/2</f>
        <v>0.435</v>
      </c>
      <c r="S8" s="180">
        <f>(R8+T8)/2</f>
        <v>0.58250000000000002</v>
      </c>
      <c r="T8" s="180">
        <v>0.73</v>
      </c>
      <c r="V8" s="45" t="s">
        <v>850</v>
      </c>
    </row>
    <row r="9" spans="2:22" x14ac:dyDescent="0.35">
      <c r="B9" s="189" t="s">
        <v>757</v>
      </c>
      <c r="C9" s="1"/>
      <c r="D9" s="180">
        <v>0</v>
      </c>
      <c r="E9" s="180">
        <v>0.15</v>
      </c>
      <c r="F9" s="180">
        <v>0.3</v>
      </c>
      <c r="G9" s="180">
        <v>0.45</v>
      </c>
      <c r="H9" s="180">
        <v>0.6</v>
      </c>
      <c r="I9" s="180">
        <v>0.75</v>
      </c>
      <c r="J9" s="1"/>
      <c r="L9" s="1"/>
      <c r="M9" s="1"/>
      <c r="N9" s="1"/>
      <c r="O9" s="408">
        <v>1</v>
      </c>
      <c r="P9" s="408">
        <v>0.9</v>
      </c>
      <c r="Q9" s="408">
        <v>0.82</v>
      </c>
      <c r="R9" s="408">
        <v>0.75</v>
      </c>
      <c r="S9" s="408">
        <v>0.68</v>
      </c>
      <c r="T9" s="408">
        <v>0.6</v>
      </c>
    </row>
    <row r="10" spans="2:22" x14ac:dyDescent="0.35">
      <c r="B10" s="189" t="s">
        <v>758</v>
      </c>
      <c r="C10" s="1"/>
      <c r="D10" s="180">
        <f t="shared" ref="D10:I10" si="0">1-D9</f>
        <v>1</v>
      </c>
      <c r="E10" s="180">
        <f t="shared" si="0"/>
        <v>0.85</v>
      </c>
      <c r="F10" s="180">
        <f t="shared" si="0"/>
        <v>0.7</v>
      </c>
      <c r="G10" s="180">
        <f t="shared" si="0"/>
        <v>0.55000000000000004</v>
      </c>
      <c r="H10" s="180">
        <f t="shared" si="0"/>
        <v>0.4</v>
      </c>
      <c r="I10" s="180">
        <f t="shared" si="0"/>
        <v>0.25</v>
      </c>
      <c r="J10" s="1"/>
      <c r="K10" s="1"/>
      <c r="L10" s="1"/>
      <c r="M10" s="1"/>
      <c r="N10" s="1"/>
      <c r="O10" s="408">
        <f t="shared" ref="O10:T10" si="1">1-O9</f>
        <v>0</v>
      </c>
      <c r="P10" s="408">
        <f t="shared" si="1"/>
        <v>9.9999999999999978E-2</v>
      </c>
      <c r="Q10" s="408">
        <f t="shared" si="1"/>
        <v>0.18000000000000005</v>
      </c>
      <c r="R10" s="408">
        <f t="shared" si="1"/>
        <v>0.25</v>
      </c>
      <c r="S10" s="408">
        <f t="shared" si="1"/>
        <v>0.31999999999999995</v>
      </c>
      <c r="T10" s="408">
        <f t="shared" si="1"/>
        <v>0.4</v>
      </c>
      <c r="U10" s="405"/>
    </row>
    <row r="11" spans="2:22" x14ac:dyDescent="0.35">
      <c r="B11" s="187" t="s">
        <v>25</v>
      </c>
      <c r="C11" s="1"/>
      <c r="D11" s="328">
        <v>0</v>
      </c>
      <c r="E11" s="329">
        <v>0.2</v>
      </c>
      <c r="F11" s="329">
        <v>2</v>
      </c>
      <c r="G11" s="329">
        <v>2.25</v>
      </c>
      <c r="H11" s="329">
        <v>2.5</v>
      </c>
      <c r="I11" s="330">
        <v>2.75</v>
      </c>
      <c r="J11" s="1"/>
      <c r="K11" s="1" t="s">
        <v>759</v>
      </c>
      <c r="L11" s="1"/>
      <c r="M11" s="1"/>
      <c r="N11" s="1"/>
      <c r="O11" s="329">
        <v>0</v>
      </c>
      <c r="P11" s="329">
        <v>1</v>
      </c>
      <c r="Q11" s="329">
        <v>3</v>
      </c>
      <c r="R11" s="329">
        <v>4</v>
      </c>
      <c r="S11" s="409">
        <v>6</v>
      </c>
      <c r="T11" s="409">
        <v>8</v>
      </c>
      <c r="U11" s="407" t="s">
        <v>851</v>
      </c>
      <c r="V11" s="45" t="s">
        <v>760</v>
      </c>
    </row>
    <row r="12" spans="2:22" x14ac:dyDescent="0.35">
      <c r="B12" s="189" t="s">
        <v>756</v>
      </c>
      <c r="C12" s="1"/>
      <c r="D12" s="180">
        <f>E12</f>
        <v>0.03</v>
      </c>
      <c r="E12" s="180">
        <v>0.03</v>
      </c>
      <c r="F12" s="180">
        <f>(E12+G12)/2</f>
        <v>0.03</v>
      </c>
      <c r="G12" s="180">
        <f>(E12+I12)/2</f>
        <v>0.03</v>
      </c>
      <c r="H12" s="180">
        <f>(G12+I12)/2</f>
        <v>0.03</v>
      </c>
      <c r="I12" s="180">
        <v>0.03</v>
      </c>
      <c r="J12" s="1"/>
      <c r="K12" s="45" t="s">
        <v>761</v>
      </c>
      <c r="L12" s="1"/>
      <c r="M12" s="1"/>
      <c r="N12" s="1"/>
      <c r="O12" s="180">
        <v>0.1</v>
      </c>
      <c r="P12" s="180">
        <v>0.22</v>
      </c>
      <c r="Q12" s="180">
        <f>(P12+R12)/2</f>
        <v>0.28999999999999998</v>
      </c>
      <c r="R12" s="180">
        <f>(P12+T12)/2</f>
        <v>0.36</v>
      </c>
      <c r="S12" s="180">
        <f>(R12+T12)/2</f>
        <v>0.43</v>
      </c>
      <c r="T12" s="180">
        <v>0.5</v>
      </c>
      <c r="V12" s="1" t="s">
        <v>852</v>
      </c>
    </row>
    <row r="13" spans="2:22" x14ac:dyDescent="0.35">
      <c r="B13" s="189" t="s">
        <v>757</v>
      </c>
      <c r="C13" s="1"/>
      <c r="D13" s="180">
        <v>0.8</v>
      </c>
      <c r="E13" s="180">
        <v>0.8</v>
      </c>
      <c r="F13" s="180">
        <v>0.7</v>
      </c>
      <c r="G13" s="180">
        <v>0.66</v>
      </c>
      <c r="H13" s="180">
        <v>0.6</v>
      </c>
      <c r="I13" s="180">
        <v>0.6</v>
      </c>
      <c r="J13" s="1"/>
      <c r="K13" s="1" t="s">
        <v>762</v>
      </c>
      <c r="L13" s="1"/>
      <c r="M13" s="1"/>
      <c r="N13" s="1"/>
      <c r="O13" s="408">
        <v>1</v>
      </c>
      <c r="P13" s="408">
        <v>0.9</v>
      </c>
      <c r="Q13" s="408">
        <v>0.82</v>
      </c>
      <c r="R13" s="408">
        <v>0.75</v>
      </c>
      <c r="S13" s="408">
        <v>0.68</v>
      </c>
      <c r="T13" s="408">
        <v>0.6</v>
      </c>
    </row>
    <row r="14" spans="2:22" x14ac:dyDescent="0.35">
      <c r="B14" s="189" t="s">
        <v>758</v>
      </c>
      <c r="C14" s="1"/>
      <c r="D14" s="180">
        <f t="shared" ref="D14:I14" si="2">1-D13</f>
        <v>0.19999999999999996</v>
      </c>
      <c r="E14" s="180">
        <f t="shared" si="2"/>
        <v>0.19999999999999996</v>
      </c>
      <c r="F14" s="180">
        <f t="shared" si="2"/>
        <v>0.30000000000000004</v>
      </c>
      <c r="G14" s="180">
        <f t="shared" si="2"/>
        <v>0.33999999999999997</v>
      </c>
      <c r="H14" s="180">
        <f t="shared" si="2"/>
        <v>0.4</v>
      </c>
      <c r="I14" s="180">
        <f t="shared" si="2"/>
        <v>0.4</v>
      </c>
      <c r="J14" s="1"/>
      <c r="K14" s="1"/>
      <c r="L14" s="1"/>
      <c r="M14" s="1"/>
      <c r="N14" s="1"/>
      <c r="O14" s="408">
        <f t="shared" ref="O14:T14" si="3">1-O13</f>
        <v>0</v>
      </c>
      <c r="P14" s="408">
        <f t="shared" si="3"/>
        <v>9.9999999999999978E-2</v>
      </c>
      <c r="Q14" s="408">
        <f t="shared" si="3"/>
        <v>0.18000000000000005</v>
      </c>
      <c r="R14" s="408">
        <f t="shared" si="3"/>
        <v>0.25</v>
      </c>
      <c r="S14" s="408">
        <f t="shared" si="3"/>
        <v>0.31999999999999995</v>
      </c>
      <c r="T14" s="408">
        <f t="shared" si="3"/>
        <v>0.4</v>
      </c>
      <c r="U14" s="405"/>
    </row>
    <row r="15" spans="2:22" x14ac:dyDescent="0.35">
      <c r="B15" s="187" t="s">
        <v>480</v>
      </c>
      <c r="C15" s="1"/>
      <c r="D15" s="328">
        <v>0.5</v>
      </c>
      <c r="E15" s="328">
        <v>1.5</v>
      </c>
      <c r="F15" s="328">
        <v>2</v>
      </c>
      <c r="G15" s="328">
        <v>2.5</v>
      </c>
      <c r="H15" s="328">
        <v>3</v>
      </c>
      <c r="I15" s="328">
        <v>3</v>
      </c>
      <c r="J15" s="1"/>
      <c r="K15" s="1" t="s">
        <v>763</v>
      </c>
      <c r="L15" s="1"/>
      <c r="M15" s="1"/>
      <c r="N15" s="1"/>
      <c r="O15" s="329">
        <v>0.5</v>
      </c>
      <c r="P15" s="406">
        <v>2.2999999999999998</v>
      </c>
      <c r="Q15" s="406">
        <v>4</v>
      </c>
      <c r="R15" s="406">
        <v>5</v>
      </c>
      <c r="S15" s="406">
        <v>5.5</v>
      </c>
      <c r="T15" s="406">
        <v>5.5</v>
      </c>
      <c r="U15" s="407" t="s">
        <v>863</v>
      </c>
      <c r="V15" s="45" t="s">
        <v>764</v>
      </c>
    </row>
    <row r="16" spans="2:22" x14ac:dyDescent="0.35">
      <c r="B16" s="189" t="s">
        <v>756</v>
      </c>
      <c r="C16" s="1"/>
      <c r="D16" s="180">
        <f>E16</f>
        <v>0.15</v>
      </c>
      <c r="E16" s="180">
        <v>0.15</v>
      </c>
      <c r="F16" s="180">
        <f>(E16+G16)/2</f>
        <v>0.14500000000000002</v>
      </c>
      <c r="G16" s="180">
        <f>(E16+I16)/2</f>
        <v>0.14000000000000001</v>
      </c>
      <c r="H16" s="180">
        <f>(G16+I16)/2</f>
        <v>0.13500000000000001</v>
      </c>
      <c r="I16" s="180">
        <v>0.13</v>
      </c>
      <c r="J16" s="1"/>
      <c r="K16" s="45" t="s">
        <v>761</v>
      </c>
      <c r="L16" s="1"/>
      <c r="M16" s="1"/>
      <c r="N16" s="1"/>
      <c r="O16" s="180">
        <v>0.12</v>
      </c>
      <c r="P16" s="180">
        <v>0.19</v>
      </c>
      <c r="Q16" s="180">
        <f>(P16+R16)/2</f>
        <v>0.25</v>
      </c>
      <c r="R16" s="180">
        <f>(P16+T16)/2</f>
        <v>0.31</v>
      </c>
      <c r="S16" s="180">
        <f>(R16+T16)/2</f>
        <v>0.37</v>
      </c>
      <c r="T16" s="180">
        <v>0.43</v>
      </c>
      <c r="V16" s="1" t="s">
        <v>853</v>
      </c>
    </row>
    <row r="17" spans="2:22" x14ac:dyDescent="0.35">
      <c r="B17" s="189" t="s">
        <v>757</v>
      </c>
      <c r="C17" s="1"/>
      <c r="D17" s="180">
        <v>0.8</v>
      </c>
      <c r="E17" s="180">
        <v>0.8</v>
      </c>
      <c r="F17" s="180">
        <v>0.75</v>
      </c>
      <c r="G17" s="180">
        <v>0.7</v>
      </c>
      <c r="H17" s="180">
        <v>0.65</v>
      </c>
      <c r="I17" s="180">
        <v>0.6</v>
      </c>
      <c r="J17" s="1"/>
      <c r="K17" s="1"/>
      <c r="L17" s="1"/>
      <c r="M17" s="1"/>
      <c r="N17" s="1"/>
      <c r="O17" s="408">
        <v>1</v>
      </c>
      <c r="P17" s="408">
        <v>0.9</v>
      </c>
      <c r="Q17" s="408">
        <v>0.9</v>
      </c>
      <c r="R17" s="408">
        <v>0.8</v>
      </c>
      <c r="S17" s="408">
        <v>0.8</v>
      </c>
      <c r="T17" s="408">
        <v>0.6</v>
      </c>
    </row>
    <row r="18" spans="2:22" x14ac:dyDescent="0.35">
      <c r="B18" s="189" t="s">
        <v>758</v>
      </c>
      <c r="C18" s="1"/>
      <c r="D18" s="180">
        <f t="shared" ref="D18:I18" si="4">1-D17</f>
        <v>0.19999999999999996</v>
      </c>
      <c r="E18" s="180">
        <f t="shared" si="4"/>
        <v>0.19999999999999996</v>
      </c>
      <c r="F18" s="180">
        <f t="shared" si="4"/>
        <v>0.25</v>
      </c>
      <c r="G18" s="180">
        <f t="shared" si="4"/>
        <v>0.30000000000000004</v>
      </c>
      <c r="H18" s="180">
        <f t="shared" si="4"/>
        <v>0.35</v>
      </c>
      <c r="I18" s="180">
        <f t="shared" si="4"/>
        <v>0.4</v>
      </c>
      <c r="J18" s="1"/>
      <c r="K18" s="1"/>
      <c r="L18" s="1"/>
      <c r="M18" s="1"/>
      <c r="N18" s="1"/>
      <c r="O18" s="408">
        <f t="shared" ref="O18:T18" si="5">1-O17</f>
        <v>0</v>
      </c>
      <c r="P18" s="408">
        <f t="shared" si="5"/>
        <v>9.9999999999999978E-2</v>
      </c>
      <c r="Q18" s="408">
        <f t="shared" si="5"/>
        <v>9.9999999999999978E-2</v>
      </c>
      <c r="R18" s="408">
        <f t="shared" si="5"/>
        <v>0.19999999999999996</v>
      </c>
      <c r="S18" s="408">
        <f t="shared" si="5"/>
        <v>0.19999999999999996</v>
      </c>
      <c r="T18" s="408">
        <f t="shared" si="5"/>
        <v>0.4</v>
      </c>
    </row>
    <row r="19" spans="2:22" x14ac:dyDescent="0.35">
      <c r="B19" s="187" t="s">
        <v>554</v>
      </c>
      <c r="C19" s="1"/>
      <c r="D19" s="328">
        <v>0</v>
      </c>
      <c r="E19" s="329">
        <v>0</v>
      </c>
      <c r="F19" s="329">
        <v>0</v>
      </c>
      <c r="G19" s="329">
        <v>0</v>
      </c>
      <c r="H19" s="329">
        <v>0</v>
      </c>
      <c r="I19" s="330">
        <v>0</v>
      </c>
      <c r="J19" s="1"/>
      <c r="K19" s="1"/>
      <c r="L19" s="1"/>
      <c r="M19" s="1"/>
      <c r="N19" s="1"/>
      <c r="O19" s="329">
        <v>0</v>
      </c>
      <c r="P19" s="329">
        <v>0</v>
      </c>
      <c r="Q19" s="329">
        <v>0</v>
      </c>
      <c r="R19" s="329">
        <v>0</v>
      </c>
      <c r="S19" s="409">
        <v>1</v>
      </c>
      <c r="T19" s="409">
        <v>1.5</v>
      </c>
      <c r="U19" s="407" t="s">
        <v>854</v>
      </c>
      <c r="V19" s="45" t="s">
        <v>765</v>
      </c>
    </row>
    <row r="20" spans="2:22" x14ac:dyDescent="0.35">
      <c r="B20" s="189" t="s">
        <v>756</v>
      </c>
      <c r="C20" s="1"/>
      <c r="D20" s="180">
        <f>E20</f>
        <v>0.19</v>
      </c>
      <c r="E20" s="180">
        <v>0.19</v>
      </c>
      <c r="F20" s="180">
        <f>(E20+G20)/2</f>
        <v>0.22</v>
      </c>
      <c r="G20" s="180">
        <f>(E20+I20)/2</f>
        <v>0.25</v>
      </c>
      <c r="H20" s="180">
        <f>(G20+I20)/2</f>
        <v>0.28000000000000003</v>
      </c>
      <c r="I20" s="180">
        <v>0.31</v>
      </c>
      <c r="J20" s="1"/>
      <c r="K20" s="45" t="s">
        <v>761</v>
      </c>
      <c r="L20" s="1"/>
      <c r="M20" s="1"/>
      <c r="N20" s="1"/>
      <c r="O20" s="180">
        <v>0.25</v>
      </c>
      <c r="P20" s="180">
        <v>0.45</v>
      </c>
      <c r="Q20" s="180">
        <f>(P20+R20)/2</f>
        <v>0.58750000000000002</v>
      </c>
      <c r="R20" s="180">
        <f>(P20+T20)/2</f>
        <v>0.72499999999999998</v>
      </c>
      <c r="S20" s="180">
        <f>(R20+T20)/2</f>
        <v>0.86250000000000004</v>
      </c>
      <c r="T20" s="180">
        <v>1</v>
      </c>
      <c r="V20" s="1" t="s">
        <v>855</v>
      </c>
    </row>
    <row r="21" spans="2:22" x14ac:dyDescent="0.35">
      <c r="B21" s="189" t="s">
        <v>757</v>
      </c>
      <c r="C21" s="1"/>
      <c r="D21" s="180">
        <v>0.8</v>
      </c>
      <c r="E21" s="180">
        <v>0.8</v>
      </c>
      <c r="F21" s="180">
        <v>0.75</v>
      </c>
      <c r="G21" s="180">
        <v>0.7</v>
      </c>
      <c r="H21" s="180">
        <v>0.65</v>
      </c>
      <c r="I21" s="180">
        <v>0.6</v>
      </c>
      <c r="J21" s="1"/>
      <c r="K21" s="1"/>
      <c r="L21" s="1"/>
      <c r="M21" s="1"/>
      <c r="N21" s="1"/>
      <c r="O21" s="408">
        <v>1</v>
      </c>
      <c r="P21" s="408">
        <v>0.9</v>
      </c>
      <c r="Q21" s="408">
        <v>0.9</v>
      </c>
      <c r="R21" s="408">
        <v>0.8</v>
      </c>
      <c r="S21" s="410">
        <v>0.5</v>
      </c>
      <c r="T21" s="410">
        <v>0.5</v>
      </c>
      <c r="U21" s="407" t="s">
        <v>856</v>
      </c>
    </row>
    <row r="22" spans="2:22" x14ac:dyDescent="0.35">
      <c r="B22" s="189" t="s">
        <v>758</v>
      </c>
      <c r="C22" s="1"/>
      <c r="D22" s="180">
        <f t="shared" ref="D22:I22" si="6">1-D21</f>
        <v>0.19999999999999996</v>
      </c>
      <c r="E22" s="180">
        <f t="shared" si="6"/>
        <v>0.19999999999999996</v>
      </c>
      <c r="F22" s="180">
        <f t="shared" si="6"/>
        <v>0.25</v>
      </c>
      <c r="G22" s="180">
        <f t="shared" si="6"/>
        <v>0.30000000000000004</v>
      </c>
      <c r="H22" s="180">
        <f t="shared" si="6"/>
        <v>0.35</v>
      </c>
      <c r="I22" s="180">
        <f t="shared" si="6"/>
        <v>0.4</v>
      </c>
      <c r="J22" s="1"/>
      <c r="K22" s="1"/>
      <c r="L22" s="1"/>
      <c r="M22" s="1"/>
      <c r="N22" s="1"/>
      <c r="O22" s="408">
        <f t="shared" ref="O22:T22" si="7">1-O21</f>
        <v>0</v>
      </c>
      <c r="P22" s="408">
        <f t="shared" si="7"/>
        <v>9.9999999999999978E-2</v>
      </c>
      <c r="Q22" s="408">
        <f t="shared" si="7"/>
        <v>9.9999999999999978E-2</v>
      </c>
      <c r="R22" s="408">
        <f t="shared" si="7"/>
        <v>0.19999999999999996</v>
      </c>
      <c r="S22" s="410">
        <f t="shared" si="7"/>
        <v>0.5</v>
      </c>
      <c r="T22" s="410">
        <f t="shared" si="7"/>
        <v>0.5</v>
      </c>
    </row>
    <row r="23" spans="2:22" x14ac:dyDescent="0.35">
      <c r="B23" s="187" t="s">
        <v>487</v>
      </c>
      <c r="C23" s="1"/>
      <c r="D23" s="180"/>
      <c r="E23" s="180"/>
      <c r="F23" s="180"/>
      <c r="G23" s="180"/>
      <c r="H23" s="180"/>
      <c r="I23" s="180"/>
      <c r="J23" s="1"/>
      <c r="K23" s="1"/>
      <c r="L23" s="1"/>
      <c r="M23" s="1"/>
      <c r="N23" s="1"/>
      <c r="O23" s="180"/>
      <c r="P23" s="180"/>
      <c r="Q23" s="180"/>
      <c r="R23" s="180"/>
      <c r="S23" s="180"/>
      <c r="T23" s="180"/>
    </row>
    <row r="24" spans="2:22" x14ac:dyDescent="0.35">
      <c r="B24" s="187" t="s">
        <v>31</v>
      </c>
      <c r="C24" s="1"/>
      <c r="D24" s="180"/>
      <c r="E24" s="180"/>
      <c r="F24" s="180"/>
      <c r="G24" s="180"/>
      <c r="H24" s="180"/>
      <c r="I24" s="180"/>
      <c r="J24" s="1"/>
      <c r="K24" s="1"/>
      <c r="L24" s="1"/>
      <c r="M24" s="1"/>
      <c r="N24" s="1"/>
      <c r="O24" s="180"/>
      <c r="P24" s="180"/>
      <c r="Q24" s="180"/>
      <c r="R24" s="180"/>
      <c r="S24" s="180"/>
      <c r="T24" s="180"/>
    </row>
    <row r="25" spans="2:22" x14ac:dyDescent="0.35">
      <c r="B25" s="187" t="s">
        <v>488</v>
      </c>
      <c r="C25" s="1"/>
      <c r="D25" s="328">
        <v>0</v>
      </c>
      <c r="E25" s="329">
        <v>0</v>
      </c>
      <c r="F25" s="329">
        <v>0</v>
      </c>
      <c r="G25" s="329">
        <v>0</v>
      </c>
      <c r="H25" s="329">
        <v>0</v>
      </c>
      <c r="I25" s="330">
        <v>0</v>
      </c>
      <c r="J25" s="1"/>
      <c r="K25" s="1"/>
      <c r="L25" s="1"/>
      <c r="M25" s="1"/>
      <c r="N25" s="1"/>
      <c r="O25" s="329">
        <v>0</v>
      </c>
      <c r="P25" s="329">
        <v>0</v>
      </c>
      <c r="Q25" s="329">
        <v>0.5</v>
      </c>
      <c r="R25" s="329">
        <v>1</v>
      </c>
      <c r="S25" s="409">
        <v>2</v>
      </c>
      <c r="T25" s="409">
        <v>3</v>
      </c>
    </row>
    <row r="26" spans="2:22" x14ac:dyDescent="0.35">
      <c r="B26" s="189" t="s">
        <v>756</v>
      </c>
      <c r="C26" s="1"/>
      <c r="D26" s="180">
        <f>E26</f>
        <v>0.61</v>
      </c>
      <c r="E26" s="180">
        <v>0.61</v>
      </c>
      <c r="F26" s="180">
        <f>(E26+G26)/2</f>
        <v>0.60499999999999998</v>
      </c>
      <c r="G26" s="180">
        <f>(E26+I26)/2</f>
        <v>0.6</v>
      </c>
      <c r="H26" s="180">
        <f>(G26+I26)/2</f>
        <v>0.59499999999999997</v>
      </c>
      <c r="I26" s="180">
        <v>0.59</v>
      </c>
      <c r="J26" s="1"/>
      <c r="K26" s="45" t="s">
        <v>761</v>
      </c>
      <c r="L26" s="1"/>
      <c r="M26" s="1"/>
      <c r="N26" s="1"/>
      <c r="O26" s="180">
        <v>0.55000000000000004</v>
      </c>
      <c r="P26" s="180">
        <v>0.67</v>
      </c>
      <c r="Q26" s="180">
        <f>(P26+R26)/2</f>
        <v>0.75249999999999995</v>
      </c>
      <c r="R26" s="180">
        <f>(P26+T26)/2</f>
        <v>0.83499999999999996</v>
      </c>
      <c r="S26" s="180">
        <f>(R26+T26)/2</f>
        <v>0.91749999999999998</v>
      </c>
      <c r="T26" s="180">
        <v>1</v>
      </c>
      <c r="V26" s="1" t="s">
        <v>857</v>
      </c>
    </row>
    <row r="27" spans="2:22" x14ac:dyDescent="0.35">
      <c r="B27" s="189" t="s">
        <v>757</v>
      </c>
      <c r="C27" s="1"/>
      <c r="D27" s="180">
        <v>0.8</v>
      </c>
      <c r="E27" s="180">
        <v>0.8</v>
      </c>
      <c r="F27" s="180">
        <v>0.75</v>
      </c>
      <c r="G27" s="180">
        <v>0.7</v>
      </c>
      <c r="H27" s="180">
        <v>0.65</v>
      </c>
      <c r="I27" s="180">
        <v>0.6</v>
      </c>
      <c r="J27" s="1"/>
      <c r="K27" s="1"/>
      <c r="L27" s="1"/>
      <c r="M27" s="1"/>
      <c r="N27" s="1"/>
      <c r="O27" s="180">
        <v>0.5</v>
      </c>
      <c r="P27" s="180">
        <v>0.5</v>
      </c>
      <c r="Q27" s="180">
        <v>0.5</v>
      </c>
      <c r="R27" s="180">
        <v>0.5</v>
      </c>
      <c r="S27" s="180">
        <v>0.5</v>
      </c>
      <c r="T27" s="180">
        <v>0.5</v>
      </c>
    </row>
    <row r="28" spans="2:22" x14ac:dyDescent="0.35">
      <c r="B28" s="189" t="s">
        <v>758</v>
      </c>
      <c r="C28" s="1"/>
      <c r="D28" s="180">
        <f t="shared" ref="D28:I28" si="8">1-D27</f>
        <v>0.19999999999999996</v>
      </c>
      <c r="E28" s="180">
        <f t="shared" si="8"/>
        <v>0.19999999999999996</v>
      </c>
      <c r="F28" s="180">
        <f t="shared" si="8"/>
        <v>0.25</v>
      </c>
      <c r="G28" s="180">
        <f t="shared" si="8"/>
        <v>0.30000000000000004</v>
      </c>
      <c r="H28" s="180">
        <f t="shared" si="8"/>
        <v>0.35</v>
      </c>
      <c r="I28" s="180">
        <f t="shared" si="8"/>
        <v>0.4</v>
      </c>
      <c r="J28" s="1"/>
      <c r="K28" s="1"/>
      <c r="L28" s="1"/>
      <c r="M28" s="1"/>
      <c r="N28" s="1"/>
      <c r="O28" s="180">
        <f t="shared" ref="O28:T28" si="9">1-O27</f>
        <v>0.5</v>
      </c>
      <c r="P28" s="180">
        <f t="shared" si="9"/>
        <v>0.5</v>
      </c>
      <c r="Q28" s="180">
        <f t="shared" si="9"/>
        <v>0.5</v>
      </c>
      <c r="R28" s="180">
        <f t="shared" si="9"/>
        <v>0.5</v>
      </c>
      <c r="S28" s="180">
        <f t="shared" si="9"/>
        <v>0.5</v>
      </c>
      <c r="T28" s="180">
        <f t="shared" si="9"/>
        <v>0.5</v>
      </c>
    </row>
    <row r="29" spans="2:22" x14ac:dyDescent="0.35">
      <c r="B29" s="331" t="s">
        <v>766</v>
      </c>
      <c r="C29" s="1"/>
      <c r="D29" s="332">
        <f t="shared" ref="D29:I29" si="10">D25+D19+D15+D11+D7</f>
        <v>1</v>
      </c>
      <c r="E29" s="332">
        <f t="shared" si="10"/>
        <v>3.2</v>
      </c>
      <c r="F29" s="332">
        <f t="shared" si="10"/>
        <v>6</v>
      </c>
      <c r="G29" s="332">
        <f t="shared" si="10"/>
        <v>7.75</v>
      </c>
      <c r="H29" s="332">
        <f t="shared" si="10"/>
        <v>9.5</v>
      </c>
      <c r="I29" s="332">
        <f t="shared" si="10"/>
        <v>10.75</v>
      </c>
      <c r="J29" s="1"/>
      <c r="K29" s="1"/>
      <c r="L29" s="1"/>
      <c r="M29" s="1"/>
      <c r="N29" s="1"/>
      <c r="O29" s="333">
        <f t="shared" ref="O29:T29" si="11">O25+O19+O15+O11+O7</f>
        <v>1</v>
      </c>
      <c r="P29" s="333">
        <f t="shared" si="11"/>
        <v>4.8</v>
      </c>
      <c r="Q29" s="333">
        <f t="shared" si="11"/>
        <v>9.5</v>
      </c>
      <c r="R29" s="333">
        <f t="shared" si="11"/>
        <v>12</v>
      </c>
      <c r="S29" s="333">
        <f t="shared" si="11"/>
        <v>16.5</v>
      </c>
      <c r="T29" s="333">
        <f t="shared" si="11"/>
        <v>20</v>
      </c>
    </row>
    <row r="30" spans="2:22" x14ac:dyDescent="0.35">
      <c r="B30" s="1"/>
      <c r="C30" s="1"/>
      <c r="D30" s="1"/>
      <c r="E30" s="1"/>
      <c r="F30" s="1"/>
      <c r="G30" s="1"/>
      <c r="H30" s="1"/>
      <c r="I30" s="1"/>
      <c r="J30" s="1"/>
      <c r="K30" s="1"/>
      <c r="L30" s="1"/>
      <c r="M30" s="1"/>
      <c r="N30" s="1"/>
      <c r="O30" s="1"/>
      <c r="P30" s="1"/>
      <c r="Q30" s="1"/>
      <c r="R30" s="1"/>
      <c r="S30" s="1"/>
      <c r="T30" s="1"/>
    </row>
    <row r="31" spans="2:22" x14ac:dyDescent="0.35">
      <c r="B31" s="187" t="s">
        <v>767</v>
      </c>
      <c r="C31" s="1"/>
      <c r="D31" s="1"/>
      <c r="E31" s="1"/>
      <c r="F31" s="1"/>
      <c r="G31" s="1"/>
      <c r="H31" s="1"/>
      <c r="I31" s="1"/>
      <c r="J31" s="1"/>
      <c r="K31" s="1"/>
      <c r="L31" s="1"/>
      <c r="M31" s="1"/>
      <c r="N31" s="1"/>
      <c r="O31" s="1"/>
      <c r="P31" s="1"/>
      <c r="Q31" s="1"/>
      <c r="R31" s="1"/>
      <c r="S31" s="1"/>
      <c r="T31" s="1"/>
    </row>
    <row r="32" spans="2:22" x14ac:dyDescent="0.35">
      <c r="B32" s="334" t="s">
        <v>768</v>
      </c>
      <c r="C32" s="1"/>
      <c r="D32" s="5">
        <v>0</v>
      </c>
      <c r="E32" s="5">
        <v>0</v>
      </c>
      <c r="F32" s="5">
        <v>0</v>
      </c>
      <c r="G32" s="5">
        <v>0</v>
      </c>
      <c r="H32" s="5">
        <v>0</v>
      </c>
      <c r="I32" s="5">
        <v>0</v>
      </c>
      <c r="J32" s="1"/>
      <c r="K32" s="1"/>
      <c r="L32" s="1"/>
      <c r="M32" s="1"/>
      <c r="N32" s="1"/>
      <c r="O32" s="5">
        <v>0</v>
      </c>
      <c r="P32" s="5">
        <v>0</v>
      </c>
      <c r="Q32" s="5">
        <v>0</v>
      </c>
      <c r="R32" s="5">
        <v>0</v>
      </c>
      <c r="S32" s="5">
        <v>0</v>
      </c>
      <c r="T32" s="5">
        <v>0</v>
      </c>
      <c r="V32" s="45" t="s">
        <v>858</v>
      </c>
    </row>
    <row r="33" spans="2:22" x14ac:dyDescent="0.35">
      <c r="B33" s="189" t="s">
        <v>756</v>
      </c>
      <c r="C33" s="1"/>
      <c r="D33" s="335">
        <v>2.7799999999999998E-2</v>
      </c>
      <c r="E33" s="335">
        <v>2.4E-2</v>
      </c>
      <c r="F33" s="335">
        <v>2.3699999999999999E-2</v>
      </c>
      <c r="G33" s="335">
        <v>2.3599999999999999E-2</v>
      </c>
      <c r="H33" s="335">
        <v>2.35E-2</v>
      </c>
      <c r="I33" s="335">
        <v>2.5000000000000001E-2</v>
      </c>
      <c r="J33" s="1"/>
      <c r="K33" s="1"/>
      <c r="L33" s="1"/>
      <c r="M33" s="1"/>
      <c r="N33" s="1"/>
      <c r="O33" s="336">
        <v>0.36799999999999999</v>
      </c>
      <c r="P33" s="336">
        <v>0.42299999999999999</v>
      </c>
      <c r="Q33" s="336">
        <v>0.54200000000000004</v>
      </c>
      <c r="R33" s="336">
        <v>0.80200000000000005</v>
      </c>
      <c r="S33" s="336">
        <v>0.90800000000000003</v>
      </c>
      <c r="T33" s="337">
        <v>1</v>
      </c>
    </row>
    <row r="34" spans="2:22" x14ac:dyDescent="0.35">
      <c r="B34" s="189" t="s">
        <v>757</v>
      </c>
      <c r="C34" s="1"/>
      <c r="D34" s="180">
        <v>0.8</v>
      </c>
      <c r="E34" s="180">
        <v>0.8</v>
      </c>
      <c r="F34" s="180">
        <v>0.75</v>
      </c>
      <c r="G34" s="180">
        <v>0.7</v>
      </c>
      <c r="H34" s="180">
        <v>0.65</v>
      </c>
      <c r="I34" s="180">
        <v>0.6</v>
      </c>
      <c r="J34" s="1"/>
      <c r="K34" s="1"/>
      <c r="L34" s="1"/>
      <c r="M34" s="1"/>
      <c r="N34" s="1"/>
      <c r="O34" s="408">
        <v>1</v>
      </c>
      <c r="P34" s="408">
        <v>0.9</v>
      </c>
      <c r="Q34" s="408">
        <v>0.9</v>
      </c>
      <c r="R34" s="408">
        <v>0.8</v>
      </c>
      <c r="S34" s="408">
        <v>0.8</v>
      </c>
      <c r="T34" s="408">
        <v>0.6</v>
      </c>
    </row>
    <row r="35" spans="2:22" x14ac:dyDescent="0.35">
      <c r="B35" s="189" t="s">
        <v>758</v>
      </c>
      <c r="C35" s="1"/>
      <c r="D35" s="180">
        <f t="shared" ref="D35:I35" si="12">1-D34</f>
        <v>0.19999999999999996</v>
      </c>
      <c r="E35" s="180">
        <f t="shared" si="12"/>
        <v>0.19999999999999996</v>
      </c>
      <c r="F35" s="180">
        <f t="shared" si="12"/>
        <v>0.25</v>
      </c>
      <c r="G35" s="180">
        <f t="shared" si="12"/>
        <v>0.30000000000000004</v>
      </c>
      <c r="H35" s="180">
        <f t="shared" si="12"/>
        <v>0.35</v>
      </c>
      <c r="I35" s="180">
        <f t="shared" si="12"/>
        <v>0.4</v>
      </c>
      <c r="J35" s="1"/>
      <c r="K35" s="1"/>
      <c r="L35" s="1"/>
      <c r="M35" s="1"/>
      <c r="N35" s="1"/>
      <c r="O35" s="408">
        <f t="shared" ref="O35:T35" si="13">1-O34</f>
        <v>0</v>
      </c>
      <c r="P35" s="408">
        <f t="shared" si="13"/>
        <v>9.9999999999999978E-2</v>
      </c>
      <c r="Q35" s="408">
        <f t="shared" si="13"/>
        <v>9.9999999999999978E-2</v>
      </c>
      <c r="R35" s="408">
        <f t="shared" si="13"/>
        <v>0.19999999999999996</v>
      </c>
      <c r="S35" s="408">
        <f t="shared" si="13"/>
        <v>0.19999999999999996</v>
      </c>
      <c r="T35" s="408">
        <f t="shared" si="13"/>
        <v>0.4</v>
      </c>
    </row>
    <row r="36" spans="2:22" x14ac:dyDescent="0.35">
      <c r="B36" s="334" t="s">
        <v>769</v>
      </c>
      <c r="C36" s="1"/>
      <c r="D36" s="5">
        <v>0</v>
      </c>
      <c r="E36" s="5">
        <v>0</v>
      </c>
      <c r="F36" s="5">
        <v>0</v>
      </c>
      <c r="G36" s="5">
        <v>0</v>
      </c>
      <c r="H36" s="5">
        <v>0</v>
      </c>
      <c r="I36" s="5">
        <v>0</v>
      </c>
      <c r="J36" s="1"/>
      <c r="K36" s="1"/>
      <c r="L36" s="1"/>
      <c r="M36" s="1"/>
      <c r="N36" s="1"/>
      <c r="O36" s="5">
        <v>0</v>
      </c>
      <c r="P36" s="5">
        <v>0</v>
      </c>
      <c r="Q36" s="411">
        <v>1</v>
      </c>
      <c r="R36" s="411">
        <v>1.5</v>
      </c>
      <c r="S36" s="411">
        <v>2</v>
      </c>
      <c r="T36" s="412">
        <v>3</v>
      </c>
      <c r="V36" s="45" t="s">
        <v>859</v>
      </c>
    </row>
    <row r="37" spans="2:22" x14ac:dyDescent="0.35">
      <c r="B37" s="189" t="s">
        <v>756</v>
      </c>
      <c r="C37" s="1"/>
      <c r="D37" s="337">
        <v>0.62</v>
      </c>
      <c r="E37" s="337">
        <v>0.62</v>
      </c>
      <c r="F37" s="337">
        <v>0.62</v>
      </c>
      <c r="G37" s="337">
        <v>0.62</v>
      </c>
      <c r="H37" s="337">
        <v>0.62</v>
      </c>
      <c r="I37" s="337">
        <v>0.62</v>
      </c>
      <c r="J37" s="1"/>
      <c r="K37" s="1"/>
      <c r="L37" s="1"/>
      <c r="M37" s="1"/>
      <c r="N37" s="1"/>
      <c r="O37" s="336">
        <v>0.70299999999999996</v>
      </c>
      <c r="P37" s="336">
        <v>0.75900000000000001</v>
      </c>
      <c r="Q37" s="336">
        <v>0.80800000000000005</v>
      </c>
      <c r="R37" s="336">
        <v>0.86199999999999999</v>
      </c>
      <c r="S37" s="336">
        <v>0.91900000000000004</v>
      </c>
      <c r="T37" s="337">
        <v>1</v>
      </c>
    </row>
    <row r="38" spans="2:22" x14ac:dyDescent="0.35">
      <c r="B38" s="189" t="s">
        <v>757</v>
      </c>
      <c r="C38" s="1"/>
      <c r="D38" s="180">
        <v>0.8</v>
      </c>
      <c r="E38" s="180">
        <v>0.8</v>
      </c>
      <c r="F38" s="180">
        <v>0.75</v>
      </c>
      <c r="G38" s="180">
        <v>0.7</v>
      </c>
      <c r="H38" s="180">
        <v>0.65</v>
      </c>
      <c r="I38" s="180">
        <v>0.6</v>
      </c>
      <c r="J38" s="1"/>
      <c r="K38" s="1"/>
      <c r="L38" s="1"/>
      <c r="M38" s="1"/>
      <c r="N38" s="1"/>
      <c r="O38" s="408">
        <v>1</v>
      </c>
      <c r="P38" s="408">
        <v>0.9</v>
      </c>
      <c r="Q38" s="408">
        <v>0.9</v>
      </c>
      <c r="R38" s="408">
        <v>0.8</v>
      </c>
      <c r="S38" s="408">
        <v>0.8</v>
      </c>
      <c r="T38" s="408">
        <v>0.6</v>
      </c>
    </row>
    <row r="39" spans="2:22" x14ac:dyDescent="0.35">
      <c r="B39" s="189" t="s">
        <v>758</v>
      </c>
      <c r="C39" s="1"/>
      <c r="D39" s="180">
        <f t="shared" ref="D39:I39" si="14">1-D38</f>
        <v>0.19999999999999996</v>
      </c>
      <c r="E39" s="180">
        <f t="shared" si="14"/>
        <v>0.19999999999999996</v>
      </c>
      <c r="F39" s="180">
        <f t="shared" si="14"/>
        <v>0.25</v>
      </c>
      <c r="G39" s="180">
        <f t="shared" si="14"/>
        <v>0.30000000000000004</v>
      </c>
      <c r="H39" s="180">
        <f t="shared" si="14"/>
        <v>0.35</v>
      </c>
      <c r="I39" s="180">
        <f t="shared" si="14"/>
        <v>0.4</v>
      </c>
      <c r="J39" s="1"/>
      <c r="K39" s="1"/>
      <c r="L39" s="1"/>
      <c r="M39" s="1"/>
      <c r="N39" s="1"/>
      <c r="O39" s="408">
        <f t="shared" ref="O39:T39" si="15">1-O38</f>
        <v>0</v>
      </c>
      <c r="P39" s="408">
        <f t="shared" si="15"/>
        <v>9.9999999999999978E-2</v>
      </c>
      <c r="Q39" s="408">
        <f t="shared" si="15"/>
        <v>9.9999999999999978E-2</v>
      </c>
      <c r="R39" s="408">
        <f t="shared" si="15"/>
        <v>0.19999999999999996</v>
      </c>
      <c r="S39" s="408">
        <f t="shared" si="15"/>
        <v>0.19999999999999996</v>
      </c>
      <c r="T39" s="408">
        <f t="shared" si="15"/>
        <v>0.4</v>
      </c>
    </row>
    <row r="40" spans="2:22" x14ac:dyDescent="0.35">
      <c r="B40" s="334" t="s">
        <v>770</v>
      </c>
      <c r="C40" s="1"/>
      <c r="D40" s="5">
        <v>0</v>
      </c>
      <c r="E40" s="5">
        <v>0</v>
      </c>
      <c r="F40" s="5">
        <v>0.5</v>
      </c>
      <c r="G40" s="5">
        <v>0.75</v>
      </c>
      <c r="H40" s="5">
        <v>1</v>
      </c>
      <c r="I40" s="5">
        <v>1.25</v>
      </c>
      <c r="J40" s="1"/>
      <c r="K40" s="1" t="s">
        <v>771</v>
      </c>
      <c r="L40" s="1"/>
      <c r="M40" s="1"/>
      <c r="N40" s="1"/>
      <c r="O40" s="5">
        <v>0</v>
      </c>
      <c r="P40" s="5">
        <v>0</v>
      </c>
      <c r="Q40" s="5">
        <v>0</v>
      </c>
      <c r="R40" s="411">
        <v>1</v>
      </c>
      <c r="S40" s="411">
        <v>2</v>
      </c>
      <c r="T40" s="411">
        <v>3</v>
      </c>
      <c r="V40" s="45" t="s">
        <v>860</v>
      </c>
    </row>
    <row r="41" spans="2:22" x14ac:dyDescent="0.35">
      <c r="B41" s="189" t="s">
        <v>756</v>
      </c>
      <c r="C41" s="1"/>
      <c r="D41" s="338"/>
      <c r="E41" s="338"/>
      <c r="F41" s="338"/>
      <c r="G41" s="338"/>
      <c r="H41" s="338"/>
      <c r="I41" s="338"/>
      <c r="J41" s="1"/>
      <c r="K41" s="1"/>
      <c r="L41" s="1"/>
      <c r="M41" s="1"/>
      <c r="N41" s="1"/>
      <c r="O41" s="338"/>
      <c r="P41" s="338"/>
      <c r="Q41" s="338"/>
      <c r="R41" s="338"/>
      <c r="S41" s="338"/>
      <c r="T41" s="338"/>
    </row>
    <row r="42" spans="2:22" x14ac:dyDescent="0.35">
      <c r="B42" s="189" t="s">
        <v>757</v>
      </c>
      <c r="C42" s="1"/>
      <c r="D42" s="180">
        <v>0.8</v>
      </c>
      <c r="E42" s="180">
        <v>0.8</v>
      </c>
      <c r="F42" s="180">
        <v>0.75</v>
      </c>
      <c r="G42" s="180">
        <v>0.7</v>
      </c>
      <c r="H42" s="180">
        <v>0.65</v>
      </c>
      <c r="I42" s="180">
        <v>0.6</v>
      </c>
      <c r="J42" s="1"/>
      <c r="K42" s="1"/>
      <c r="L42" s="1"/>
      <c r="M42" s="1"/>
      <c r="N42" s="1"/>
      <c r="O42" s="408">
        <v>1</v>
      </c>
      <c r="P42" s="408">
        <v>0.9</v>
      </c>
      <c r="Q42" s="408">
        <v>0.9</v>
      </c>
      <c r="R42" s="408">
        <v>0.8</v>
      </c>
      <c r="S42" s="408">
        <v>0.8</v>
      </c>
      <c r="T42" s="408">
        <v>0.6</v>
      </c>
    </row>
    <row r="43" spans="2:22" x14ac:dyDescent="0.35">
      <c r="B43" s="189" t="s">
        <v>758</v>
      </c>
      <c r="C43" s="1"/>
      <c r="D43" s="180">
        <f t="shared" ref="D43:I43" si="16">1-D42</f>
        <v>0.19999999999999996</v>
      </c>
      <c r="E43" s="180">
        <f t="shared" si="16"/>
        <v>0.19999999999999996</v>
      </c>
      <c r="F43" s="180">
        <f t="shared" si="16"/>
        <v>0.25</v>
      </c>
      <c r="G43" s="180">
        <f t="shared" si="16"/>
        <v>0.30000000000000004</v>
      </c>
      <c r="H43" s="180">
        <f t="shared" si="16"/>
        <v>0.35</v>
      </c>
      <c r="I43" s="180">
        <f t="shared" si="16"/>
        <v>0.4</v>
      </c>
      <c r="J43" s="1"/>
      <c r="K43" s="1"/>
      <c r="L43" s="1"/>
      <c r="M43" s="1"/>
      <c r="N43" s="1"/>
      <c r="O43" s="408">
        <f t="shared" ref="O43:T43" si="17">1-O42</f>
        <v>0</v>
      </c>
      <c r="P43" s="408">
        <f t="shared" si="17"/>
        <v>9.9999999999999978E-2</v>
      </c>
      <c r="Q43" s="408">
        <f t="shared" si="17"/>
        <v>9.9999999999999978E-2</v>
      </c>
      <c r="R43" s="408">
        <f t="shared" si="17"/>
        <v>0.19999999999999996</v>
      </c>
      <c r="S43" s="408">
        <f t="shared" si="17"/>
        <v>0.19999999999999996</v>
      </c>
      <c r="T43" s="408">
        <f t="shared" si="17"/>
        <v>0.4</v>
      </c>
    </row>
    <row r="44" spans="2:22" x14ac:dyDescent="0.35">
      <c r="B44" s="331" t="s">
        <v>772</v>
      </c>
      <c r="C44" s="1"/>
      <c r="D44" s="332">
        <f t="shared" ref="D44:I44" si="18">D32+D36+D40</f>
        <v>0</v>
      </c>
      <c r="E44" s="332">
        <f t="shared" si="18"/>
        <v>0</v>
      </c>
      <c r="F44" s="332">
        <f t="shared" si="18"/>
        <v>0.5</v>
      </c>
      <c r="G44" s="332">
        <f t="shared" si="18"/>
        <v>0.75</v>
      </c>
      <c r="H44" s="332">
        <f t="shared" si="18"/>
        <v>1</v>
      </c>
      <c r="I44" s="332">
        <f t="shared" si="18"/>
        <v>1.25</v>
      </c>
      <c r="J44" s="1"/>
      <c r="K44" s="1"/>
      <c r="L44" s="1"/>
      <c r="M44" s="1"/>
      <c r="N44" s="1"/>
      <c r="O44" s="332">
        <f t="shared" ref="O44:S44" si="19">O32+O36+O40</f>
        <v>0</v>
      </c>
      <c r="P44" s="332">
        <f t="shared" si="19"/>
        <v>0</v>
      </c>
      <c r="Q44" s="332">
        <f t="shared" si="19"/>
        <v>1</v>
      </c>
      <c r="R44" s="332">
        <f t="shared" si="19"/>
        <v>2.5</v>
      </c>
      <c r="S44" s="332">
        <f t="shared" si="19"/>
        <v>4</v>
      </c>
      <c r="T44" s="332">
        <f>T32+T36+T40</f>
        <v>6</v>
      </c>
    </row>
    <row r="45" spans="2:22" x14ac:dyDescent="0.35">
      <c r="B45" s="1"/>
      <c r="C45" s="1"/>
      <c r="D45" s="1"/>
      <c r="E45" s="1"/>
      <c r="F45" s="1"/>
      <c r="G45" s="1"/>
      <c r="H45" s="1"/>
      <c r="I45" s="1"/>
      <c r="J45" s="1"/>
      <c r="K45" s="1"/>
      <c r="L45" s="1"/>
      <c r="M45" s="1"/>
      <c r="N45" s="1"/>
      <c r="O45" s="1"/>
      <c r="P45" s="1"/>
      <c r="Q45" s="1"/>
      <c r="R45" s="1"/>
      <c r="S45" s="1"/>
      <c r="T45" s="1"/>
    </row>
    <row r="46" spans="2:22" x14ac:dyDescent="0.35">
      <c r="B46" s="331" t="s">
        <v>773</v>
      </c>
      <c r="C46" s="1"/>
      <c r="D46" s="339">
        <f t="shared" ref="D46:I46" si="20">D44+D29</f>
        <v>1</v>
      </c>
      <c r="E46" s="339">
        <f t="shared" si="20"/>
        <v>3.2</v>
      </c>
      <c r="F46" s="339">
        <f t="shared" si="20"/>
        <v>6.5</v>
      </c>
      <c r="G46" s="339">
        <f t="shared" si="20"/>
        <v>8.5</v>
      </c>
      <c r="H46" s="339">
        <f t="shared" si="20"/>
        <v>10.5</v>
      </c>
      <c r="I46" s="339">
        <f t="shared" si="20"/>
        <v>12</v>
      </c>
      <c r="J46" s="1"/>
      <c r="K46" s="1"/>
      <c r="L46" s="1"/>
      <c r="M46" s="1"/>
      <c r="N46" s="1"/>
      <c r="O46" s="340">
        <f>O44+O29</f>
        <v>1</v>
      </c>
      <c r="P46" s="340">
        <f t="shared" ref="P46:T46" si="21">P44+P29</f>
        <v>4.8</v>
      </c>
      <c r="Q46" s="340">
        <f t="shared" si="21"/>
        <v>10.5</v>
      </c>
      <c r="R46" s="340">
        <f t="shared" si="21"/>
        <v>14.5</v>
      </c>
      <c r="S46" s="340">
        <f t="shared" si="21"/>
        <v>20.5</v>
      </c>
      <c r="T46" s="340">
        <f t="shared" si="21"/>
        <v>26</v>
      </c>
    </row>
    <row r="47" spans="2:22" x14ac:dyDescent="0.35">
      <c r="B47" s="1"/>
      <c r="C47" s="1"/>
      <c r="D47" s="1"/>
      <c r="E47" s="1"/>
      <c r="F47" s="1"/>
      <c r="G47" s="1"/>
      <c r="H47" s="1"/>
      <c r="I47" s="1"/>
      <c r="J47" s="1"/>
      <c r="K47" s="1"/>
      <c r="L47" s="1"/>
      <c r="M47" s="1"/>
      <c r="N47" s="1"/>
      <c r="O47" s="1"/>
      <c r="P47" s="1"/>
      <c r="Q47" s="1"/>
      <c r="R47" s="1"/>
      <c r="S47" s="1"/>
      <c r="T47" s="1"/>
    </row>
    <row r="48" spans="2:22" x14ac:dyDescent="0.35">
      <c r="B48" s="331" t="s">
        <v>774</v>
      </c>
      <c r="D48" s="339">
        <v>0</v>
      </c>
      <c r="E48" s="339">
        <v>0</v>
      </c>
      <c r="F48" s="339">
        <v>0</v>
      </c>
      <c r="G48" s="339">
        <v>0</v>
      </c>
      <c r="H48" s="339">
        <v>0</v>
      </c>
      <c r="I48" s="339">
        <v>0</v>
      </c>
      <c r="O48" s="340">
        <v>0</v>
      </c>
      <c r="P48" s="340">
        <v>0</v>
      </c>
      <c r="Q48" s="413">
        <v>0</v>
      </c>
      <c r="R48" s="340">
        <v>1</v>
      </c>
      <c r="S48" s="340">
        <v>2</v>
      </c>
      <c r="T48" s="414">
        <v>5</v>
      </c>
      <c r="U48" s="407" t="s">
        <v>861</v>
      </c>
    </row>
    <row r="49" spans="2:21" x14ac:dyDescent="0.35">
      <c r="B49" s="189" t="s">
        <v>757</v>
      </c>
      <c r="D49" s="324">
        <v>0</v>
      </c>
      <c r="E49" s="324">
        <v>0</v>
      </c>
      <c r="F49" s="324">
        <v>0</v>
      </c>
      <c r="G49" s="324">
        <v>0.15</v>
      </c>
      <c r="H49" s="324">
        <v>0.35</v>
      </c>
      <c r="I49" s="324">
        <v>0.5</v>
      </c>
      <c r="O49" s="324">
        <v>0</v>
      </c>
      <c r="P49" s="324">
        <v>0</v>
      </c>
      <c r="Q49" s="324">
        <v>0</v>
      </c>
      <c r="R49" s="324">
        <v>0</v>
      </c>
      <c r="S49" s="324">
        <v>0</v>
      </c>
      <c r="T49" s="324">
        <v>0</v>
      </c>
    </row>
    <row r="50" spans="2:21" x14ac:dyDescent="0.35">
      <c r="B50" s="189" t="s">
        <v>758</v>
      </c>
      <c r="D50" s="324">
        <f t="shared" ref="D50:I50" si="22">1-D49</f>
        <v>1</v>
      </c>
      <c r="E50" s="324">
        <f t="shared" si="22"/>
        <v>1</v>
      </c>
      <c r="F50" s="324">
        <f t="shared" si="22"/>
        <v>1</v>
      </c>
      <c r="G50" s="324">
        <f t="shared" si="22"/>
        <v>0.85</v>
      </c>
      <c r="H50" s="324">
        <f t="shared" si="22"/>
        <v>0.65</v>
      </c>
      <c r="I50" s="324">
        <f t="shared" si="22"/>
        <v>0.5</v>
      </c>
      <c r="O50" s="324">
        <f t="shared" ref="O50:T50" si="23">1-O49</f>
        <v>1</v>
      </c>
      <c r="P50" s="324">
        <f t="shared" si="23"/>
        <v>1</v>
      </c>
      <c r="Q50" s="324">
        <f t="shared" si="23"/>
        <v>1</v>
      </c>
      <c r="R50" s="324">
        <f t="shared" si="23"/>
        <v>1</v>
      </c>
      <c r="S50" s="324">
        <f t="shared" si="23"/>
        <v>1</v>
      </c>
      <c r="T50" s="324">
        <f t="shared" si="23"/>
        <v>1</v>
      </c>
    </row>
    <row r="52" spans="2:21" x14ac:dyDescent="0.35">
      <c r="B52" s="45" t="s">
        <v>775</v>
      </c>
      <c r="D52" s="119">
        <f t="shared" ref="D52:I52" si="24">D7*(1-D8)*D9+D11*(1-D12)*D13+D15*(1-D16)*D17+D19*(1-D20)*D21+D25*(1-D26)*D27+D32*(1-D33)*D34+D36*(1-D37)*D38+D40*(1-D41)*D42</f>
        <v>0.34</v>
      </c>
      <c r="E52" s="119">
        <f t="shared" si="24"/>
        <v>1.3934500000000001</v>
      </c>
      <c r="F52" s="119">
        <f t="shared" si="24"/>
        <v>3.5990000000000002</v>
      </c>
      <c r="G52" s="119">
        <f t="shared" si="24"/>
        <v>4.7866999999999997</v>
      </c>
      <c r="H52" s="119">
        <f t="shared" si="24"/>
        <v>6.1377500000000005</v>
      </c>
      <c r="I52" s="119">
        <f t="shared" si="24"/>
        <v>7.5914999999999999</v>
      </c>
      <c r="O52" s="119">
        <f t="shared" ref="O52:S52" si="25">O7*(1-O8)*O9+O11*(1-O12)*O13+O15*(1-O16)*O17+O19*(1-O20)*O21+O25*(1-O26)*O27+O32*(1-O33)*O34+O36*(1-O37)*O38+O40*(1-O41)*O42</f>
        <v>0.90500000000000003</v>
      </c>
      <c r="P52" s="119">
        <f t="shared" si="25"/>
        <v>3.5396999999999998</v>
      </c>
      <c r="Q52" s="119">
        <f t="shared" si="25"/>
        <v>5.8497749999999993</v>
      </c>
      <c r="R52" s="119">
        <f t="shared" si="25"/>
        <v>6.5755999999999997</v>
      </c>
      <c r="S52" s="119">
        <f t="shared" si="25"/>
        <v>7.5462500000000006</v>
      </c>
      <c r="T52" s="119">
        <f>T7*(1-T8)*T9+T11*(1-T12)*T13+T15*(1-T16)*T17+T19*(1-T20)*T21+T25*(1-T26)*T27+T32*(1-T33)*T34+T36*(1-T37)*T38+T40*(1-T41)*T42</f>
        <v>6.4049999999999994</v>
      </c>
    </row>
    <row r="53" spans="2:21" x14ac:dyDescent="0.35">
      <c r="B53" s="45" t="s">
        <v>776</v>
      </c>
      <c r="D53" s="119">
        <f t="shared" ref="D53:I53" si="26">D7*(1-D8)*D10+D11*(1-D12)*D14+D15*(1-D16)*D18+D19*(1-D20)*D22+D25*(1-D26)*D28+D32*(1-D33)*D35+D36*(1-D37)*D39+D40*(1-D41)*D43</f>
        <v>0.56999999999999995</v>
      </c>
      <c r="E53" s="119">
        <f t="shared" si="26"/>
        <v>1.5305499999999999</v>
      </c>
      <c r="F53" s="119">
        <f t="shared" si="26"/>
        <v>2.496</v>
      </c>
      <c r="G53" s="119">
        <f t="shared" si="26"/>
        <v>3.2208000000000001</v>
      </c>
      <c r="H53" s="119">
        <f t="shared" si="26"/>
        <v>3.7922499999999997</v>
      </c>
      <c r="I53" s="119">
        <f t="shared" si="26"/>
        <v>3.8359999999999999</v>
      </c>
      <c r="O53" s="119">
        <f t="shared" ref="O53:S53" si="27">O7*(1-O8)*O10+O11*(1-O12)*O14+O15*(1-O16)*O18+O19*(1-O20)*O22+O25*(1-O26)*O28+O32*(1-O33)*O35+O36*(1-O37)*O39+O40*(1-O41)*O43</f>
        <v>0</v>
      </c>
      <c r="P53" s="119">
        <f t="shared" si="27"/>
        <v>0.39329999999999993</v>
      </c>
      <c r="Q53" s="119">
        <f t="shared" si="27"/>
        <v>1.020975</v>
      </c>
      <c r="R53" s="119">
        <f t="shared" si="27"/>
        <v>1.9363999999999997</v>
      </c>
      <c r="S53" s="119">
        <f t="shared" si="27"/>
        <v>2.6382499999999998</v>
      </c>
      <c r="T53" s="119">
        <f>T7*(1-T8)*T10+T11*(1-T12)*T14+T15*(1-T16)*T18+T19*(1-T20)*T22+T25*(1-T26)*T28+T32*(1-T33)*T35+T36*(1-T37)*T39+T40*(1-T41)*T43</f>
        <v>4.2700000000000005</v>
      </c>
    </row>
    <row r="54" spans="2:21" x14ac:dyDescent="0.35">
      <c r="B54" s="45" t="s">
        <v>777</v>
      </c>
      <c r="D54" s="119">
        <f t="shared" ref="D54:I54" si="28">D7*(D8)*D9+D11*(D12)*D13+D15*(D16)*D17+D19*(D20)*D21+D25*(D26)*D27+D32*(D33)*D34+D36*(D37)*D38+D40*(D41)*D42</f>
        <v>0.06</v>
      </c>
      <c r="E54" s="119">
        <f t="shared" si="28"/>
        <v>0.19155</v>
      </c>
      <c r="F54" s="119">
        <f t="shared" si="28"/>
        <v>0.27600000000000002</v>
      </c>
      <c r="G54" s="119">
        <f t="shared" si="28"/>
        <v>0.32330000000000003</v>
      </c>
      <c r="H54" s="119">
        <f t="shared" si="28"/>
        <v>0.36225000000000007</v>
      </c>
      <c r="I54" s="119">
        <f t="shared" si="28"/>
        <v>0.35849999999999999</v>
      </c>
      <c r="O54" s="119">
        <f t="shared" ref="O54:S54" si="29">O7*(O8)*O9+O11*(O12)*O13+O15*(O16)*O17+O19*(O20)*O21+O25*(O26)*O27+O32*(O33)*O34+O36*(O37)*O38+O40*(O41)*O42</f>
        <v>9.5000000000000001E-2</v>
      </c>
      <c r="P54" s="119">
        <f t="shared" si="29"/>
        <v>0.78029999999999999</v>
      </c>
      <c r="Q54" s="119">
        <f t="shared" si="29"/>
        <v>3.0002249999999995</v>
      </c>
      <c r="R54" s="119">
        <f t="shared" si="29"/>
        <v>4.4244000000000003</v>
      </c>
      <c r="S54" s="119">
        <f t="shared" si="29"/>
        <v>6.9937500000000004</v>
      </c>
      <c r="T54" s="119">
        <f>T7*(T8)*T9+T11*(T12)*T13+T15*(T16)*T17+T19*(T20)*T21+T25*(T26)*T27+T32*(T33)*T34+T36*(T37)*T38+T40*(T41)*T42</f>
        <v>8.7449999999999992</v>
      </c>
    </row>
    <row r="55" spans="2:21" x14ac:dyDescent="0.35">
      <c r="B55" s="45" t="s">
        <v>778</v>
      </c>
      <c r="D55" s="119">
        <f t="shared" ref="D55:I55" si="30">D7*(D8)*D10+D11*(D12)*D14+D15*(D16)*D18+D19*(D20)*D22+D25*(D26)*D28+D32*(D33)*D35+D36*(D37)*D39+D40*(D41)*D43</f>
        <v>2.9999999999999995E-2</v>
      </c>
      <c r="E55" s="119">
        <f t="shared" si="30"/>
        <v>8.4449999999999983E-2</v>
      </c>
      <c r="F55" s="119">
        <f t="shared" si="30"/>
        <v>0.129</v>
      </c>
      <c r="G55" s="119">
        <f t="shared" si="30"/>
        <v>0.16920000000000002</v>
      </c>
      <c r="H55" s="119">
        <f t="shared" si="30"/>
        <v>0.20774999999999999</v>
      </c>
      <c r="I55" s="119">
        <f t="shared" si="30"/>
        <v>0.21400000000000002</v>
      </c>
      <c r="O55" s="119">
        <f t="shared" ref="O55:S55" si="31">O7*(O8)*O10+O11*(O12)*O14+O15*(O16)*O18+O19*(O20)*O22+O25*(O26)*O28+O32*(O33)*O35+O36*(O37)*O39+O40*(O41)*O43</f>
        <v>0</v>
      </c>
      <c r="P55" s="119">
        <f t="shared" si="31"/>
        <v>8.6699999999999972E-2</v>
      </c>
      <c r="Q55" s="119">
        <f t="shared" si="31"/>
        <v>0.62902499999999995</v>
      </c>
      <c r="R55" s="119">
        <f t="shared" si="31"/>
        <v>1.5635999999999999</v>
      </c>
      <c r="S55" s="119">
        <f t="shared" si="31"/>
        <v>3.3217499999999998</v>
      </c>
      <c r="T55" s="119">
        <f>T7*(T8)*T10+T11*(T12)*T14+T15*(T16)*T18+T19*(T20)*T22+T25*(T26)*T28+T32*(T33)*T35+T36*(T37)*T39+T40*(T41)*T43</f>
        <v>6.58</v>
      </c>
    </row>
    <row r="56" spans="2:21" x14ac:dyDescent="0.35">
      <c r="B56" s="45" t="s">
        <v>779</v>
      </c>
      <c r="D56" s="119">
        <f t="shared" ref="D56:I56" si="32">D48*D49</f>
        <v>0</v>
      </c>
      <c r="E56" s="119">
        <f t="shared" si="32"/>
        <v>0</v>
      </c>
      <c r="F56" s="119">
        <f t="shared" si="32"/>
        <v>0</v>
      </c>
      <c r="G56" s="119">
        <f t="shared" si="32"/>
        <v>0</v>
      </c>
      <c r="H56" s="119">
        <f t="shared" si="32"/>
        <v>0</v>
      </c>
      <c r="I56" s="119">
        <f t="shared" si="32"/>
        <v>0</v>
      </c>
      <c r="O56" s="119">
        <f t="shared" ref="O56:T56" si="33">O48*O49</f>
        <v>0</v>
      </c>
      <c r="P56" s="119">
        <f t="shared" si="33"/>
        <v>0</v>
      </c>
      <c r="Q56" s="119">
        <f t="shared" si="33"/>
        <v>0</v>
      </c>
      <c r="R56" s="119">
        <f t="shared" si="33"/>
        <v>0</v>
      </c>
      <c r="S56" s="119">
        <f t="shared" si="33"/>
        <v>0</v>
      </c>
      <c r="T56" s="119">
        <f t="shared" si="33"/>
        <v>0</v>
      </c>
    </row>
    <row r="57" spans="2:21" x14ac:dyDescent="0.35">
      <c r="B57" s="45" t="s">
        <v>780</v>
      </c>
      <c r="D57" s="119">
        <f t="shared" ref="D57:I57" si="34">D48*D50</f>
        <v>0</v>
      </c>
      <c r="E57" s="119">
        <f t="shared" si="34"/>
        <v>0</v>
      </c>
      <c r="F57" s="119">
        <f t="shared" si="34"/>
        <v>0</v>
      </c>
      <c r="G57" s="119">
        <f t="shared" si="34"/>
        <v>0</v>
      </c>
      <c r="H57" s="119">
        <f t="shared" si="34"/>
        <v>0</v>
      </c>
      <c r="I57" s="119">
        <f t="shared" si="34"/>
        <v>0</v>
      </c>
      <c r="O57" s="119">
        <f t="shared" ref="O57:S57" si="35">O48*O50</f>
        <v>0</v>
      </c>
      <c r="P57" s="119">
        <f t="shared" si="35"/>
        <v>0</v>
      </c>
      <c r="Q57" s="119">
        <f t="shared" si="35"/>
        <v>0</v>
      </c>
      <c r="R57" s="119">
        <f t="shared" si="35"/>
        <v>1</v>
      </c>
      <c r="S57" s="119">
        <f t="shared" si="35"/>
        <v>2</v>
      </c>
      <c r="T57" s="119">
        <f>T48*T50</f>
        <v>5</v>
      </c>
    </row>
    <row r="58" spans="2:21" x14ac:dyDescent="0.35">
      <c r="B58" s="45" t="s">
        <v>781</v>
      </c>
    </row>
    <row r="60" spans="2:21" x14ac:dyDescent="0.35">
      <c r="B60" s="331" t="s">
        <v>782</v>
      </c>
      <c r="C60" s="1"/>
      <c r="D60" s="339">
        <f t="shared" ref="D60:I60" si="36">D52+D54+D56</f>
        <v>0.4</v>
      </c>
      <c r="E60" s="339">
        <f t="shared" si="36"/>
        <v>1.585</v>
      </c>
      <c r="F60" s="339">
        <f t="shared" si="36"/>
        <v>3.875</v>
      </c>
      <c r="G60" s="339">
        <f t="shared" si="36"/>
        <v>5.1099999999999994</v>
      </c>
      <c r="H60" s="339">
        <f t="shared" si="36"/>
        <v>6.5000000000000009</v>
      </c>
      <c r="I60" s="339">
        <f t="shared" si="36"/>
        <v>7.95</v>
      </c>
      <c r="J60" s="1"/>
      <c r="K60" s="1"/>
      <c r="L60" s="1"/>
      <c r="M60" s="1"/>
      <c r="N60" s="1"/>
      <c r="O60" s="340">
        <f t="shared" ref="O60:S60" si="37">O52+O54+O56</f>
        <v>1</v>
      </c>
      <c r="P60" s="340">
        <f t="shared" si="37"/>
        <v>4.32</v>
      </c>
      <c r="Q60" s="340">
        <f t="shared" si="37"/>
        <v>8.8499999999999979</v>
      </c>
      <c r="R60" s="340">
        <f t="shared" si="37"/>
        <v>11</v>
      </c>
      <c r="S60" s="340">
        <f t="shared" si="37"/>
        <v>14.540000000000001</v>
      </c>
      <c r="T60" s="340">
        <f>T52+T54+T56</f>
        <v>15.149999999999999</v>
      </c>
    </row>
    <row r="62" spans="2:21" x14ac:dyDescent="0.35">
      <c r="B62" s="45" t="s">
        <v>783</v>
      </c>
      <c r="D62" s="119">
        <f t="shared" ref="D62:I62" si="38">D53+D55+D57</f>
        <v>0.6</v>
      </c>
      <c r="E62" s="119">
        <f t="shared" si="38"/>
        <v>1.6149999999999998</v>
      </c>
      <c r="F62" s="119">
        <f t="shared" si="38"/>
        <v>2.625</v>
      </c>
      <c r="G62" s="119">
        <f t="shared" si="38"/>
        <v>3.39</v>
      </c>
      <c r="H62" s="119">
        <f t="shared" si="38"/>
        <v>3.9999999999999996</v>
      </c>
      <c r="I62" s="119">
        <f t="shared" si="38"/>
        <v>4.05</v>
      </c>
      <c r="O62" s="119">
        <f t="shared" ref="O62:S62" si="39">O53+O55+O57</f>
        <v>0</v>
      </c>
      <c r="P62" s="119">
        <f t="shared" si="39"/>
        <v>0.47999999999999987</v>
      </c>
      <c r="Q62" s="119">
        <f t="shared" si="39"/>
        <v>1.65</v>
      </c>
      <c r="R62" s="119">
        <f t="shared" si="39"/>
        <v>4.5</v>
      </c>
      <c r="S62" s="119">
        <f t="shared" si="39"/>
        <v>7.9599999999999991</v>
      </c>
      <c r="T62" s="119">
        <f>T53+T55+T57</f>
        <v>15.850000000000001</v>
      </c>
      <c r="U62" s="45" t="s">
        <v>864</v>
      </c>
    </row>
    <row r="63" spans="2:21" x14ac:dyDescent="0.35">
      <c r="B63" s="45" t="s">
        <v>784</v>
      </c>
      <c r="D63" s="119">
        <f t="shared" ref="D63:I63" si="40">D52</f>
        <v>0.34</v>
      </c>
      <c r="E63" s="119">
        <f t="shared" si="40"/>
        <v>1.3934500000000001</v>
      </c>
      <c r="F63" s="119">
        <f t="shared" si="40"/>
        <v>3.5990000000000002</v>
      </c>
      <c r="G63" s="119">
        <f t="shared" si="40"/>
        <v>4.7866999999999997</v>
      </c>
      <c r="H63" s="119">
        <f t="shared" si="40"/>
        <v>6.1377500000000005</v>
      </c>
      <c r="I63" s="119">
        <f t="shared" si="40"/>
        <v>7.5914999999999999</v>
      </c>
      <c r="O63" s="119">
        <f t="shared" ref="O63:S63" si="41">O52</f>
        <v>0.90500000000000003</v>
      </c>
      <c r="P63" s="119">
        <f t="shared" si="41"/>
        <v>3.5396999999999998</v>
      </c>
      <c r="Q63" s="119">
        <f t="shared" si="41"/>
        <v>5.8497749999999993</v>
      </c>
      <c r="R63" s="119">
        <f t="shared" si="41"/>
        <v>6.5755999999999997</v>
      </c>
      <c r="S63" s="119">
        <f t="shared" si="41"/>
        <v>7.5462500000000006</v>
      </c>
      <c r="T63" s="119">
        <f>T52</f>
        <v>6.4049999999999994</v>
      </c>
    </row>
    <row r="64" spans="2:21" x14ac:dyDescent="0.35">
      <c r="B64" s="45" t="s">
        <v>785</v>
      </c>
      <c r="D64" s="119">
        <f t="shared" ref="D64:I64" si="42">D54+D56</f>
        <v>0.06</v>
      </c>
      <c r="E64" s="119">
        <f t="shared" si="42"/>
        <v>0.19155</v>
      </c>
      <c r="F64" s="119">
        <f t="shared" si="42"/>
        <v>0.27600000000000002</v>
      </c>
      <c r="G64" s="119">
        <f t="shared" si="42"/>
        <v>0.32330000000000003</v>
      </c>
      <c r="H64" s="119">
        <f t="shared" si="42"/>
        <v>0.36225000000000007</v>
      </c>
      <c r="I64" s="119">
        <f t="shared" si="42"/>
        <v>0.35849999999999999</v>
      </c>
      <c r="O64" s="119">
        <f t="shared" ref="O64:T64" si="43">O54+O56</f>
        <v>9.5000000000000001E-2</v>
      </c>
      <c r="P64" s="119">
        <f t="shared" si="43"/>
        <v>0.78029999999999999</v>
      </c>
      <c r="Q64" s="119">
        <f t="shared" si="43"/>
        <v>3.0002249999999995</v>
      </c>
      <c r="R64" s="119">
        <f t="shared" si="43"/>
        <v>4.4244000000000003</v>
      </c>
      <c r="S64" s="119">
        <f t="shared" si="43"/>
        <v>6.9937500000000004</v>
      </c>
      <c r="T64" s="119">
        <f t="shared" si="43"/>
        <v>8.7449999999999992</v>
      </c>
    </row>
    <row r="67" spans="2:22" x14ac:dyDescent="0.35">
      <c r="B67" s="1" t="s">
        <v>786</v>
      </c>
    </row>
    <row r="68" spans="2:22" x14ac:dyDescent="0.35">
      <c r="B68" s="1" t="s">
        <v>787</v>
      </c>
    </row>
    <row r="69" spans="2:22" x14ac:dyDescent="0.35">
      <c r="B69" s="1" t="s">
        <v>788</v>
      </c>
    </row>
    <row r="70" spans="2:22" x14ac:dyDescent="0.35">
      <c r="B70" s="1" t="s">
        <v>789</v>
      </c>
    </row>
    <row r="71" spans="2:22" x14ac:dyDescent="0.35">
      <c r="B71" s="1" t="s">
        <v>790</v>
      </c>
    </row>
    <row r="76" spans="2:22" x14ac:dyDescent="0.35">
      <c r="P76" s="1"/>
      <c r="Q76" s="1">
        <v>2025</v>
      </c>
      <c r="R76" s="1">
        <v>2030</v>
      </c>
      <c r="S76" s="1">
        <f>R76+5</f>
        <v>2035</v>
      </c>
      <c r="T76" s="1">
        <f>S76+5</f>
        <v>2040</v>
      </c>
      <c r="U76" s="1">
        <f>T76+5</f>
        <v>2045</v>
      </c>
      <c r="V76" s="1">
        <v>2050</v>
      </c>
    </row>
    <row r="77" spans="2:22" x14ac:dyDescent="0.35">
      <c r="P77" s="1" t="s">
        <v>791</v>
      </c>
      <c r="Q77" s="1">
        <v>0</v>
      </c>
      <c r="R77" s="1">
        <v>1</v>
      </c>
      <c r="S77" s="1">
        <v>4.5</v>
      </c>
      <c r="T77" s="1">
        <v>8</v>
      </c>
      <c r="U77" s="1">
        <v>11.5</v>
      </c>
      <c r="V77" s="1">
        <v>15</v>
      </c>
    </row>
    <row r="97" spans="2:20" x14ac:dyDescent="0.35">
      <c r="B97" t="s">
        <v>843</v>
      </c>
      <c r="C97"/>
      <c r="D97"/>
      <c r="E97"/>
      <c r="F97"/>
      <c r="G97"/>
      <c r="H97"/>
      <c r="I97"/>
    </row>
    <row r="98" spans="2:20" x14ac:dyDescent="0.35">
      <c r="B98"/>
      <c r="C98"/>
      <c r="D98"/>
      <c r="E98"/>
      <c r="F98"/>
      <c r="G98"/>
      <c r="H98"/>
      <c r="I98"/>
    </row>
    <row r="99" spans="2:20" x14ac:dyDescent="0.35">
      <c r="B99" t="s">
        <v>844</v>
      </c>
      <c r="C99"/>
      <c r="D99">
        <f t="shared" ref="D99:I99" si="44">D100+D101</f>
        <v>0.4</v>
      </c>
      <c r="E99">
        <f t="shared" si="44"/>
        <v>1.585</v>
      </c>
      <c r="F99">
        <f t="shared" si="44"/>
        <v>3.5</v>
      </c>
      <c r="G99">
        <f t="shared" si="44"/>
        <v>4.585</v>
      </c>
      <c r="H99">
        <f t="shared" si="44"/>
        <v>5.8500000000000005</v>
      </c>
      <c r="I99">
        <f t="shared" si="44"/>
        <v>7.2</v>
      </c>
      <c r="M99" t="s">
        <v>844</v>
      </c>
      <c r="N99"/>
      <c r="O99">
        <f t="shared" ref="O99" si="45">O100+O101</f>
        <v>1</v>
      </c>
      <c r="P99">
        <f t="shared" ref="P99" si="46">P100+P101</f>
        <v>4.32</v>
      </c>
      <c r="Q99">
        <f t="shared" ref="Q99" si="47">Q100+Q101</f>
        <v>7.9499999999999993</v>
      </c>
      <c r="R99">
        <f t="shared" ref="R99" si="48">R100+R101</f>
        <v>9</v>
      </c>
      <c r="S99">
        <f t="shared" ref="S99" si="49">S100+S101</f>
        <v>11.340000000000002</v>
      </c>
      <c r="T99">
        <f t="shared" ref="T99" si="50">T100+T101</f>
        <v>11.549999999999999</v>
      </c>
    </row>
    <row r="100" spans="2:20" x14ac:dyDescent="0.35">
      <c r="B100" t="s">
        <v>845</v>
      </c>
      <c r="C100"/>
      <c r="D100">
        <f t="shared" ref="D100:I100" si="51">D7*(D8)*D9+D11*(D12)*D13+D15*(D16)*D17+D19*(D20)*D21+D25*(D26)*D27</f>
        <v>0.06</v>
      </c>
      <c r="E100">
        <f t="shared" si="51"/>
        <v>0.19155</v>
      </c>
      <c r="F100">
        <f t="shared" si="51"/>
        <v>0.27600000000000002</v>
      </c>
      <c r="G100">
        <f t="shared" si="51"/>
        <v>0.32330000000000003</v>
      </c>
      <c r="H100">
        <f t="shared" si="51"/>
        <v>0.36225000000000007</v>
      </c>
      <c r="I100">
        <f t="shared" si="51"/>
        <v>0.35849999999999999</v>
      </c>
      <c r="M100" t="s">
        <v>845</v>
      </c>
      <c r="N100"/>
      <c r="O100">
        <f t="shared" ref="O100:T100" si="52">O7*(O8)*O9+O11*(O12)*O13+O15*(O16)*O17+O19*(O20)*O21+O25*(O26)*O27</f>
        <v>9.5000000000000001E-2</v>
      </c>
      <c r="P100">
        <f t="shared" si="52"/>
        <v>0.78029999999999999</v>
      </c>
      <c r="Q100">
        <f t="shared" si="52"/>
        <v>2.2730249999999996</v>
      </c>
      <c r="R100">
        <f t="shared" si="52"/>
        <v>3.39</v>
      </c>
      <c r="S100">
        <f t="shared" si="52"/>
        <v>5.5233500000000006</v>
      </c>
      <c r="T100">
        <f t="shared" si="52"/>
        <v>6.9449999999999994</v>
      </c>
    </row>
    <row r="101" spans="2:20" x14ac:dyDescent="0.35">
      <c r="B101" t="s">
        <v>846</v>
      </c>
      <c r="C101"/>
      <c r="D101">
        <f t="shared" ref="D101:H101" si="53">D7*(1-D8)*D9+D11*(1-D12)*D13+D15*(1-D16)*D17+D19*(1-D20)*D21+D25*(1-D26)*D27</f>
        <v>0.34</v>
      </c>
      <c r="E101">
        <f t="shared" si="53"/>
        <v>1.3934500000000001</v>
      </c>
      <c r="F101">
        <f t="shared" si="53"/>
        <v>3.2240000000000002</v>
      </c>
      <c r="G101">
        <f t="shared" si="53"/>
        <v>4.2617000000000003</v>
      </c>
      <c r="H101">
        <f t="shared" si="53"/>
        <v>5.4877500000000001</v>
      </c>
      <c r="I101">
        <f>I7*(1-I8)*I9+I11*(1-I12)*I13+I15*(1-I16)*I17+I19*(1-I20)*I21+I25*(1-I26)*I27</f>
        <v>6.8414999999999999</v>
      </c>
      <c r="M101" t="s">
        <v>846</v>
      </c>
      <c r="N101"/>
      <c r="O101">
        <f t="shared" ref="O101:S101" si="54">O7*(1-O8)*O9+O11*(1-O12)*O13+O15*(1-O16)*O17+O19*(1-O20)*O21+O25*(1-O26)*O27</f>
        <v>0.90500000000000003</v>
      </c>
      <c r="P101">
        <f t="shared" si="54"/>
        <v>3.5396999999999998</v>
      </c>
      <c r="Q101">
        <f t="shared" si="54"/>
        <v>5.6769749999999997</v>
      </c>
      <c r="R101">
        <f t="shared" si="54"/>
        <v>5.6099999999999994</v>
      </c>
      <c r="S101">
        <f t="shared" si="54"/>
        <v>5.816650000000001</v>
      </c>
      <c r="T101">
        <f>T7*(1-T8)*T9+T11*(1-T12)*T13+T15*(1-T16)*T17+T19*(1-T20)*T21+T25*(1-T26)*T27</f>
        <v>4.6049999999999995</v>
      </c>
    </row>
    <row r="103" spans="2:20" x14ac:dyDescent="0.35">
      <c r="B103" t="s">
        <v>847</v>
      </c>
      <c r="C103"/>
      <c r="D103">
        <f t="shared" ref="D103:I103" si="55">D32*(1-D33)*D34+D36*(1-D37)*D38+D40*(1-D41)*D42</f>
        <v>0</v>
      </c>
      <c r="E103">
        <f t="shared" si="55"/>
        <v>0</v>
      </c>
      <c r="F103">
        <f t="shared" si="55"/>
        <v>0.375</v>
      </c>
      <c r="G103">
        <f t="shared" si="55"/>
        <v>0.52499999999999991</v>
      </c>
      <c r="H103">
        <f t="shared" si="55"/>
        <v>0.65</v>
      </c>
      <c r="I103">
        <f t="shared" si="55"/>
        <v>0.75</v>
      </c>
      <c r="M103" t="s">
        <v>847</v>
      </c>
      <c r="N103"/>
      <c r="O103">
        <f t="shared" ref="O103:T103" si="56">O32*(1-O33)*O34+O36*(1-O37)*O38+O40*(1-O41)*O42</f>
        <v>0</v>
      </c>
      <c r="P103">
        <f t="shared" si="56"/>
        <v>0</v>
      </c>
      <c r="Q103">
        <f t="shared" si="56"/>
        <v>0.17279999999999995</v>
      </c>
      <c r="R103">
        <f t="shared" si="56"/>
        <v>0.96560000000000001</v>
      </c>
      <c r="S103">
        <f t="shared" si="56"/>
        <v>1.7296</v>
      </c>
      <c r="T103">
        <f t="shared" si="56"/>
        <v>1.7999999999999998</v>
      </c>
    </row>
    <row r="104" spans="2:20" x14ac:dyDescent="0.35">
      <c r="B104" t="s">
        <v>848</v>
      </c>
      <c r="C104"/>
      <c r="D104">
        <f t="shared" ref="D104:I104" si="57">D32*(D33)*D34+D36*(D37)*D38+D40*(D41)*D42</f>
        <v>0</v>
      </c>
      <c r="E104">
        <f t="shared" si="57"/>
        <v>0</v>
      </c>
      <c r="F104">
        <f t="shared" si="57"/>
        <v>0</v>
      </c>
      <c r="G104">
        <f t="shared" si="57"/>
        <v>0</v>
      </c>
      <c r="H104">
        <f t="shared" si="57"/>
        <v>0</v>
      </c>
      <c r="I104">
        <f t="shared" si="57"/>
        <v>0</v>
      </c>
      <c r="M104" t="s">
        <v>848</v>
      </c>
      <c r="N104"/>
      <c r="O104">
        <f t="shared" ref="O104:T104" si="58">O32*(O33)*O34+O36*(O37)*O38+O40*(O41)*O42</f>
        <v>0</v>
      </c>
      <c r="P104">
        <f t="shared" si="58"/>
        <v>0</v>
      </c>
      <c r="Q104">
        <f t="shared" si="58"/>
        <v>0.72720000000000007</v>
      </c>
      <c r="R104">
        <f t="shared" si="58"/>
        <v>1.0344</v>
      </c>
      <c r="S104">
        <f t="shared" si="58"/>
        <v>1.4704000000000002</v>
      </c>
      <c r="T104">
        <f t="shared" si="58"/>
        <v>1.7999999999999998</v>
      </c>
    </row>
    <row r="106" spans="2:20" x14ac:dyDescent="0.35">
      <c r="O106" s="45">
        <f>O99+O103+O104</f>
        <v>1</v>
      </c>
      <c r="P106" s="45">
        <f t="shared" ref="P106:T106" si="59">P99+P103+P104</f>
        <v>4.32</v>
      </c>
      <c r="Q106" s="45">
        <f t="shared" si="59"/>
        <v>8.85</v>
      </c>
      <c r="R106" s="45">
        <f t="shared" si="59"/>
        <v>11</v>
      </c>
      <c r="S106" s="45">
        <f t="shared" si="59"/>
        <v>14.540000000000001</v>
      </c>
      <c r="T106" s="45">
        <f t="shared" si="59"/>
        <v>15.149999999999999</v>
      </c>
    </row>
  </sheetData>
  <mergeCells count="3">
    <mergeCell ref="B5:B6"/>
    <mergeCell ref="D5:I5"/>
    <mergeCell ref="O5:T5"/>
  </mergeCells>
  <hyperlinks>
    <hyperlink ref="B71" r:id="rId1" display="Projet K6 - Cimenterie Eqilum - Lumbres Nord par de Calais. 5Mt en 2050 ciment. Mise en service 2026.  https://www.usinenouvelle.com/article/le-projet-de-captage-et-stockage-de-co2-d-eqiom-finance-par-le-fonds-innovation-europeen.N1162387 et https://www.legifrance.gouv.fr/jorf/id/JORFTEXT000044319595" xr:uid="{00000000-0004-0000-0900-000000000000}"/>
  </hyperlink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A5A5A5"/>
  </sheetPr>
  <dimension ref="A2:AMK55"/>
  <sheetViews>
    <sheetView zoomScale="65" zoomScaleNormal="65" workbookViewId="0">
      <pane xSplit="2" ySplit="5" topLeftCell="AL6" activePane="bottomRight" state="frozen"/>
      <selection pane="topRight" activeCell="C1" sqref="C1"/>
      <selection pane="bottomLeft" activeCell="A6" sqref="A6"/>
      <selection pane="bottomRight" activeCell="M18" sqref="M18"/>
    </sheetView>
  </sheetViews>
  <sheetFormatPr baseColWidth="10" defaultColWidth="8.7265625" defaultRowHeight="14.5" x14ac:dyDescent="0.35"/>
  <cols>
    <col min="1" max="1025" width="10.453125" style="45" customWidth="1"/>
  </cols>
  <sheetData>
    <row r="2" spans="2:60" x14ac:dyDescent="0.35">
      <c r="B2" s="45" t="s">
        <v>3</v>
      </c>
    </row>
    <row r="4" spans="2:60" ht="14.65" customHeight="1" x14ac:dyDescent="0.35">
      <c r="B4" s="460" t="s">
        <v>792</v>
      </c>
      <c r="C4" s="460"/>
      <c r="D4" s="459" t="s">
        <v>793</v>
      </c>
      <c r="E4" s="459"/>
      <c r="F4" s="459"/>
      <c r="G4" s="459"/>
      <c r="H4" s="459"/>
      <c r="I4" s="459"/>
      <c r="J4" s="459"/>
      <c r="K4" s="459"/>
      <c r="L4" s="459"/>
      <c r="M4" s="459" t="s">
        <v>794</v>
      </c>
      <c r="N4" s="459"/>
      <c r="O4" s="459"/>
      <c r="P4" s="459"/>
      <c r="Q4" s="459"/>
      <c r="R4" s="459"/>
      <c r="S4" s="459"/>
      <c r="T4" s="459"/>
      <c r="U4" s="459"/>
      <c r="V4" s="459" t="s">
        <v>795</v>
      </c>
      <c r="W4" s="459"/>
      <c r="X4" s="459"/>
      <c r="Y4" s="459"/>
      <c r="Z4" s="459"/>
      <c r="AA4" s="459"/>
      <c r="AB4" s="459"/>
      <c r="AC4" s="459"/>
      <c r="AD4" s="459"/>
      <c r="AE4" s="459" t="s">
        <v>796</v>
      </c>
      <c r="AF4" s="459"/>
      <c r="AG4" s="459"/>
      <c r="AH4" s="459"/>
      <c r="AI4" s="459"/>
      <c r="AJ4" s="459"/>
      <c r="AK4" s="459"/>
      <c r="AL4" s="459"/>
      <c r="AM4" s="459"/>
      <c r="AN4" s="459" t="s">
        <v>797</v>
      </c>
      <c r="AO4" s="459"/>
      <c r="AP4" s="459"/>
      <c r="AQ4" s="459"/>
      <c r="AR4" s="459"/>
      <c r="AS4" s="459"/>
      <c r="AT4" s="459"/>
      <c r="AU4" s="459"/>
      <c r="AV4" s="459"/>
      <c r="AW4" s="459" t="s">
        <v>798</v>
      </c>
      <c r="AX4" s="459"/>
      <c r="AY4" s="459"/>
      <c r="AZ4" s="459"/>
      <c r="BA4" s="459"/>
      <c r="BB4" s="459"/>
      <c r="BC4" s="459"/>
      <c r="BD4" s="459"/>
      <c r="BE4" s="459"/>
    </row>
    <row r="5" spans="2:60" x14ac:dyDescent="0.35">
      <c r="B5" s="460"/>
      <c r="C5" s="460"/>
      <c r="D5" s="341" t="s">
        <v>6</v>
      </c>
      <c r="E5" s="341" t="s">
        <v>10</v>
      </c>
      <c r="F5" s="341" t="s">
        <v>16</v>
      </c>
      <c r="G5" s="341" t="s">
        <v>15</v>
      </c>
      <c r="H5" s="341" t="s">
        <v>14</v>
      </c>
      <c r="I5" s="341" t="s">
        <v>799</v>
      </c>
      <c r="J5" s="342" t="s">
        <v>12</v>
      </c>
      <c r="K5" s="342" t="s">
        <v>17</v>
      </c>
      <c r="L5" s="342" t="s">
        <v>18</v>
      </c>
      <c r="M5" s="341" t="s">
        <v>6</v>
      </c>
      <c r="N5" s="341" t="s">
        <v>10</v>
      </c>
      <c r="O5" s="341" t="s">
        <v>16</v>
      </c>
      <c r="P5" s="341" t="s">
        <v>15</v>
      </c>
      <c r="Q5" s="341" t="s">
        <v>14</v>
      </c>
      <c r="R5" s="341" t="s">
        <v>799</v>
      </c>
      <c r="S5" s="342" t="s">
        <v>12</v>
      </c>
      <c r="T5" s="342" t="s">
        <v>17</v>
      </c>
      <c r="U5" s="342" t="s">
        <v>18</v>
      </c>
      <c r="V5" s="341" t="s">
        <v>6</v>
      </c>
      <c r="W5" s="341" t="s">
        <v>10</v>
      </c>
      <c r="X5" s="341" t="s">
        <v>16</v>
      </c>
      <c r="Y5" s="341" t="s">
        <v>15</v>
      </c>
      <c r="Z5" s="341" t="s">
        <v>14</v>
      </c>
      <c r="AA5" s="341" t="s">
        <v>799</v>
      </c>
      <c r="AB5" s="342" t="s">
        <v>12</v>
      </c>
      <c r="AC5" s="342" t="s">
        <v>17</v>
      </c>
      <c r="AD5" s="342" t="s">
        <v>18</v>
      </c>
      <c r="AE5" s="341" t="s">
        <v>6</v>
      </c>
      <c r="AF5" s="341" t="s">
        <v>10</v>
      </c>
      <c r="AG5" s="341" t="s">
        <v>16</v>
      </c>
      <c r="AH5" s="341" t="s">
        <v>15</v>
      </c>
      <c r="AI5" s="341" t="s">
        <v>14</v>
      </c>
      <c r="AJ5" s="341" t="s">
        <v>799</v>
      </c>
      <c r="AK5" s="342" t="s">
        <v>12</v>
      </c>
      <c r="AL5" s="342" t="s">
        <v>17</v>
      </c>
      <c r="AM5" s="342" t="s">
        <v>18</v>
      </c>
      <c r="AN5" s="341" t="s">
        <v>6</v>
      </c>
      <c r="AO5" s="341" t="s">
        <v>10</v>
      </c>
      <c r="AP5" s="341" t="s">
        <v>16</v>
      </c>
      <c r="AQ5" s="341" t="s">
        <v>15</v>
      </c>
      <c r="AR5" s="341" t="s">
        <v>14</v>
      </c>
      <c r="AS5" s="341" t="s">
        <v>799</v>
      </c>
      <c r="AT5" s="342" t="s">
        <v>12</v>
      </c>
      <c r="AU5" s="342" t="s">
        <v>17</v>
      </c>
      <c r="AV5" s="342" t="s">
        <v>18</v>
      </c>
      <c r="AW5" s="341" t="s">
        <v>6</v>
      </c>
      <c r="AX5" s="341" t="s">
        <v>10</v>
      </c>
      <c r="AY5" s="341" t="s">
        <v>16</v>
      </c>
      <c r="AZ5" s="341" t="s">
        <v>15</v>
      </c>
      <c r="BA5" s="341" t="s">
        <v>14</v>
      </c>
      <c r="BB5" s="341" t="s">
        <v>799</v>
      </c>
      <c r="BC5" s="342" t="s">
        <v>12</v>
      </c>
      <c r="BD5" s="342" t="s">
        <v>17</v>
      </c>
      <c r="BE5" s="342" t="s">
        <v>18</v>
      </c>
    </row>
    <row r="6" spans="2:60" x14ac:dyDescent="0.35">
      <c r="B6" s="343" t="s">
        <v>800</v>
      </c>
      <c r="C6" s="344" t="s">
        <v>801</v>
      </c>
      <c r="D6" s="345">
        <v>3.0855467839999999</v>
      </c>
      <c r="E6" s="345">
        <v>0.45881</v>
      </c>
      <c r="F6" s="345">
        <v>0.52264500000000003</v>
      </c>
      <c r="G6" s="345">
        <v>0</v>
      </c>
      <c r="H6" s="345">
        <v>0.48256920961041</v>
      </c>
      <c r="I6" s="345">
        <v>0.27113667699007099</v>
      </c>
      <c r="J6" s="345">
        <v>0.45102890040768601</v>
      </c>
      <c r="K6" s="345">
        <v>0</v>
      </c>
      <c r="L6" s="345">
        <v>0</v>
      </c>
      <c r="M6" s="345">
        <v>3.0840223231969399</v>
      </c>
      <c r="N6" s="345">
        <v>0.46509831930825302</v>
      </c>
      <c r="O6" s="345">
        <v>0.52823776727000904</v>
      </c>
      <c r="P6" s="345">
        <v>0</v>
      </c>
      <c r="Q6" s="345">
        <v>0.493487822033645</v>
      </c>
      <c r="R6" s="345">
        <v>0.27354228134493203</v>
      </c>
      <c r="S6" s="345">
        <v>0.44568883173850898</v>
      </c>
      <c r="T6" s="345">
        <v>0</v>
      </c>
      <c r="U6" s="345">
        <v>0</v>
      </c>
      <c r="V6" s="345">
        <v>3.2205782939236198</v>
      </c>
      <c r="W6" s="345">
        <v>0.50026376914374504</v>
      </c>
      <c r="X6" s="345">
        <v>0.54049410528064501</v>
      </c>
      <c r="Y6" s="345">
        <v>0</v>
      </c>
      <c r="Z6" s="345">
        <v>0.52628421859239105</v>
      </c>
      <c r="AA6" s="345">
        <v>0.28700266853787798</v>
      </c>
      <c r="AB6" s="345">
        <v>0.46045705481474503</v>
      </c>
      <c r="AC6" s="345">
        <v>0</v>
      </c>
      <c r="AD6" s="345">
        <v>0</v>
      </c>
      <c r="AE6" s="345">
        <v>3.3610140150791601</v>
      </c>
      <c r="AF6" s="345">
        <v>0.55819536400437098</v>
      </c>
      <c r="AG6" s="345">
        <v>0.55936627836813402</v>
      </c>
      <c r="AH6" s="345">
        <v>0</v>
      </c>
      <c r="AI6" s="345">
        <v>0.589493457968983</v>
      </c>
      <c r="AJ6" s="345">
        <v>0.30778126978495601</v>
      </c>
      <c r="AK6" s="345">
        <v>0.45804255625405299</v>
      </c>
      <c r="AL6" s="345">
        <v>0</v>
      </c>
      <c r="AM6" s="345">
        <v>0</v>
      </c>
      <c r="AN6" s="345">
        <v>3.3684793111392302</v>
      </c>
      <c r="AO6" s="345">
        <v>0.56133497888224204</v>
      </c>
      <c r="AP6" s="345">
        <v>0.560354624050309</v>
      </c>
      <c r="AQ6" s="345">
        <v>0</v>
      </c>
      <c r="AR6" s="345">
        <v>0.59291647134137404</v>
      </c>
      <c r="AS6" s="345">
        <v>0.30888265269971898</v>
      </c>
      <c r="AT6" s="345">
        <v>0.45764842151836399</v>
      </c>
      <c r="AU6" s="345">
        <v>0</v>
      </c>
      <c r="AV6" s="345">
        <v>0</v>
      </c>
      <c r="AW6" s="345">
        <v>3.3684793111392302</v>
      </c>
      <c r="AX6" s="345">
        <v>0.56133497888224204</v>
      </c>
      <c r="AY6" s="345">
        <v>0.560354624050309</v>
      </c>
      <c r="AZ6" s="345">
        <v>0</v>
      </c>
      <c r="BA6" s="345">
        <v>0.59291647134137404</v>
      </c>
      <c r="BB6" s="345">
        <v>0.30888265269971898</v>
      </c>
      <c r="BC6" s="345">
        <v>0.45764842151836399</v>
      </c>
      <c r="BD6" s="345">
        <v>0</v>
      </c>
      <c r="BE6" s="345">
        <v>0</v>
      </c>
      <c r="BG6" s="77">
        <f>SUM(AE6:AM6)</f>
        <v>5.8338929414596574</v>
      </c>
      <c r="BH6" s="77">
        <f>SUM(AW6:BE6)</f>
        <v>5.8496164596312372</v>
      </c>
    </row>
    <row r="7" spans="2:60" x14ac:dyDescent="0.35">
      <c r="B7" s="346" t="s">
        <v>802</v>
      </c>
      <c r="C7" s="344" t="s">
        <v>801</v>
      </c>
      <c r="D7" s="347">
        <v>2.7054697600000002</v>
      </c>
      <c r="E7" s="347">
        <v>0.26743</v>
      </c>
      <c r="F7" s="347">
        <v>0</v>
      </c>
      <c r="G7" s="347">
        <v>0</v>
      </c>
      <c r="H7" s="348">
        <v>0</v>
      </c>
      <c r="I7" s="348">
        <v>0</v>
      </c>
      <c r="J7" s="348">
        <v>0</v>
      </c>
      <c r="K7" s="348">
        <v>0</v>
      </c>
      <c r="L7" s="348">
        <v>0</v>
      </c>
      <c r="M7" s="348">
        <v>2.67450212807378</v>
      </c>
      <c r="N7" s="348">
        <v>0.264368914665219</v>
      </c>
      <c r="O7" s="348">
        <v>0</v>
      </c>
      <c r="P7" s="348">
        <v>0</v>
      </c>
      <c r="Q7" s="348">
        <v>0</v>
      </c>
      <c r="R7" s="348">
        <v>0</v>
      </c>
      <c r="S7" s="348">
        <v>0</v>
      </c>
      <c r="T7" s="348">
        <v>0</v>
      </c>
      <c r="U7" s="348">
        <v>0</v>
      </c>
      <c r="V7" s="347">
        <v>2.7065291866482699</v>
      </c>
      <c r="W7" s="347">
        <v>0.26753472209770501</v>
      </c>
      <c r="X7" s="347">
        <v>0</v>
      </c>
      <c r="Y7" s="347">
        <v>0</v>
      </c>
      <c r="Z7" s="348">
        <v>0</v>
      </c>
      <c r="AA7" s="348">
        <v>0</v>
      </c>
      <c r="AB7" s="348">
        <v>0</v>
      </c>
      <c r="AC7" s="348">
        <v>0</v>
      </c>
      <c r="AD7" s="348">
        <v>0</v>
      </c>
      <c r="AE7" s="347">
        <v>2.6294328589335301</v>
      </c>
      <c r="AF7" s="347">
        <v>0.25991391212762699</v>
      </c>
      <c r="AG7" s="347">
        <v>0</v>
      </c>
      <c r="AH7" s="347">
        <v>0</v>
      </c>
      <c r="AI7" s="348">
        <v>0</v>
      </c>
      <c r="AJ7" s="348">
        <v>0</v>
      </c>
      <c r="AK7" s="348">
        <v>0</v>
      </c>
      <c r="AL7" s="348">
        <v>0</v>
      </c>
      <c r="AM7" s="348">
        <v>0</v>
      </c>
      <c r="AN7" s="347">
        <v>2.6250041282698899</v>
      </c>
      <c r="AO7" s="347">
        <v>0.25947614140888298</v>
      </c>
      <c r="AP7" s="347">
        <v>0</v>
      </c>
      <c r="AQ7" s="347">
        <v>0</v>
      </c>
      <c r="AR7" s="348">
        <v>0</v>
      </c>
      <c r="AS7" s="348">
        <v>0</v>
      </c>
      <c r="AT7" s="348">
        <v>0</v>
      </c>
      <c r="AU7" s="348">
        <v>0</v>
      </c>
      <c r="AV7" s="348">
        <v>0</v>
      </c>
      <c r="AW7" s="347">
        <v>2.6250041282698899</v>
      </c>
      <c r="AX7" s="347">
        <v>0.25947614140888298</v>
      </c>
      <c r="AY7" s="347">
        <v>0</v>
      </c>
      <c r="AZ7" s="347">
        <v>0</v>
      </c>
      <c r="BA7" s="348">
        <v>0</v>
      </c>
      <c r="BB7" s="348">
        <v>0</v>
      </c>
      <c r="BC7" s="348">
        <v>0</v>
      </c>
      <c r="BD7" s="348">
        <v>0</v>
      </c>
      <c r="BE7" s="348">
        <v>0</v>
      </c>
    </row>
    <row r="8" spans="2:60" x14ac:dyDescent="0.35">
      <c r="B8" s="346" t="s">
        <v>572</v>
      </c>
      <c r="C8" s="344" t="s">
        <v>801</v>
      </c>
      <c r="D8" s="347">
        <v>0.38007702399999999</v>
      </c>
      <c r="E8" s="347">
        <v>0.10936</v>
      </c>
      <c r="F8" s="347">
        <v>0</v>
      </c>
      <c r="G8" s="347">
        <v>0</v>
      </c>
      <c r="H8" s="348">
        <v>8.5353554350616895E-2</v>
      </c>
      <c r="I8" s="348">
        <v>3.7468890101210003E-2</v>
      </c>
      <c r="J8" s="348">
        <v>7.0715481985624801E-2</v>
      </c>
      <c r="K8" s="348">
        <v>0</v>
      </c>
      <c r="L8" s="348">
        <v>0</v>
      </c>
      <c r="M8" s="348">
        <v>0.40952019512316301</v>
      </c>
      <c r="N8" s="348">
        <v>0.11783171754857</v>
      </c>
      <c r="O8" s="348">
        <v>0</v>
      </c>
      <c r="P8" s="348">
        <v>0</v>
      </c>
      <c r="Q8" s="348">
        <v>9.1992249491242101E-2</v>
      </c>
      <c r="R8" s="348">
        <v>4.0132314977550099E-2</v>
      </c>
      <c r="S8" s="348">
        <v>7.3080860522054494E-2</v>
      </c>
      <c r="T8" s="348">
        <v>0</v>
      </c>
      <c r="U8" s="348">
        <v>0</v>
      </c>
      <c r="V8" s="347">
        <v>0.51404910727535602</v>
      </c>
      <c r="W8" s="347">
        <v>0.14790794186925901</v>
      </c>
      <c r="X8" s="347">
        <v>0</v>
      </c>
      <c r="Y8" s="347">
        <v>0</v>
      </c>
      <c r="Z8" s="348">
        <v>0.115473020110773</v>
      </c>
      <c r="AA8" s="348">
        <v>5.0154898381019102E-2</v>
      </c>
      <c r="AB8" s="348">
        <v>8.8684105425968995E-2</v>
      </c>
      <c r="AC8" s="348">
        <v>0</v>
      </c>
      <c r="AD8" s="348">
        <v>0</v>
      </c>
      <c r="AE8" s="347">
        <v>0.73158115614563701</v>
      </c>
      <c r="AF8" s="347">
        <v>0.21049868890808501</v>
      </c>
      <c r="AG8" s="347">
        <v>0</v>
      </c>
      <c r="AH8" s="347">
        <v>0</v>
      </c>
      <c r="AI8" s="348">
        <v>0.16433816217293101</v>
      </c>
      <c r="AJ8" s="348">
        <v>7.0246692694474602E-2</v>
      </c>
      <c r="AK8" s="348">
        <v>0.110492357420523</v>
      </c>
      <c r="AL8" s="348">
        <v>0</v>
      </c>
      <c r="AM8" s="348">
        <v>0</v>
      </c>
      <c r="AN8" s="347">
        <v>0.743475182869337</v>
      </c>
      <c r="AO8" s="347">
        <v>0.21392097092033299</v>
      </c>
      <c r="AP8" s="347">
        <v>0</v>
      </c>
      <c r="AQ8" s="347">
        <v>0</v>
      </c>
      <c r="AR8" s="348">
        <v>0.16700996758534301</v>
      </c>
      <c r="AS8" s="348">
        <v>7.1328190509976894E-2</v>
      </c>
      <c r="AT8" s="348">
        <v>0.111447891266963</v>
      </c>
      <c r="AU8" s="348">
        <v>0</v>
      </c>
      <c r="AV8" s="348">
        <v>0</v>
      </c>
      <c r="AW8" s="347">
        <v>0.743475182869337</v>
      </c>
      <c r="AX8" s="347">
        <v>0.21392097092033299</v>
      </c>
      <c r="AY8" s="347">
        <v>0</v>
      </c>
      <c r="AZ8" s="347">
        <v>0</v>
      </c>
      <c r="BA8" s="348">
        <v>0.16700996758534301</v>
      </c>
      <c r="BB8" s="348">
        <v>7.1328190509976894E-2</v>
      </c>
      <c r="BC8" s="348">
        <v>0.111447891266963</v>
      </c>
      <c r="BD8" s="348">
        <v>0</v>
      </c>
      <c r="BE8" s="348">
        <v>0</v>
      </c>
    </row>
    <row r="9" spans="2:60" x14ac:dyDescent="0.35">
      <c r="B9" s="346" t="s">
        <v>803</v>
      </c>
      <c r="C9" s="344" t="s">
        <v>801</v>
      </c>
      <c r="D9" s="347">
        <v>0</v>
      </c>
      <c r="E9" s="347">
        <v>0</v>
      </c>
      <c r="F9" s="347">
        <v>0</v>
      </c>
      <c r="G9" s="347">
        <v>0</v>
      </c>
      <c r="H9" s="348">
        <v>0</v>
      </c>
      <c r="I9" s="348">
        <v>0</v>
      </c>
      <c r="J9" s="348">
        <v>0</v>
      </c>
      <c r="K9" s="348">
        <v>0</v>
      </c>
      <c r="L9" s="348">
        <v>0</v>
      </c>
      <c r="M9" s="348">
        <v>0</v>
      </c>
      <c r="N9" s="348">
        <v>0</v>
      </c>
      <c r="O9" s="348">
        <v>0</v>
      </c>
      <c r="P9" s="348">
        <v>0</v>
      </c>
      <c r="Q9" s="348">
        <v>0</v>
      </c>
      <c r="R9" s="348">
        <v>0</v>
      </c>
      <c r="S9" s="348">
        <v>0</v>
      </c>
      <c r="T9" s="348">
        <v>0</v>
      </c>
      <c r="U9" s="348">
        <v>0</v>
      </c>
      <c r="V9" s="347">
        <v>0</v>
      </c>
      <c r="W9" s="347">
        <v>0</v>
      </c>
      <c r="X9" s="347">
        <v>0</v>
      </c>
      <c r="Y9" s="347">
        <v>0</v>
      </c>
      <c r="Z9" s="348">
        <v>0</v>
      </c>
      <c r="AA9" s="348">
        <v>0</v>
      </c>
      <c r="AB9" s="348">
        <v>0</v>
      </c>
      <c r="AC9" s="348">
        <v>0</v>
      </c>
      <c r="AD9" s="348">
        <v>0</v>
      </c>
      <c r="AE9" s="347">
        <v>0</v>
      </c>
      <c r="AF9" s="347">
        <v>0</v>
      </c>
      <c r="AG9" s="347">
        <v>0</v>
      </c>
      <c r="AH9" s="347">
        <v>0</v>
      </c>
      <c r="AI9" s="348">
        <v>0</v>
      </c>
      <c r="AJ9" s="348">
        <v>0</v>
      </c>
      <c r="AK9" s="348">
        <v>0</v>
      </c>
      <c r="AL9" s="348">
        <v>0</v>
      </c>
      <c r="AM9" s="348">
        <v>0</v>
      </c>
      <c r="AN9" s="347">
        <v>0</v>
      </c>
      <c r="AO9" s="347">
        <v>0</v>
      </c>
      <c r="AP9" s="347">
        <v>0</v>
      </c>
      <c r="AQ9" s="347">
        <v>0</v>
      </c>
      <c r="AR9" s="348">
        <v>0</v>
      </c>
      <c r="AS9" s="348">
        <v>0</v>
      </c>
      <c r="AT9" s="348">
        <v>0</v>
      </c>
      <c r="AU9" s="348">
        <v>0</v>
      </c>
      <c r="AV9" s="348">
        <v>0</v>
      </c>
      <c r="AW9" s="347">
        <v>0</v>
      </c>
      <c r="AX9" s="347">
        <v>0</v>
      </c>
      <c r="AY9" s="347">
        <v>0</v>
      </c>
      <c r="AZ9" s="347">
        <v>0</v>
      </c>
      <c r="BA9" s="348">
        <v>0</v>
      </c>
      <c r="BB9" s="348">
        <v>0</v>
      </c>
      <c r="BC9" s="348">
        <v>0</v>
      </c>
      <c r="BD9" s="348">
        <v>0</v>
      </c>
      <c r="BE9" s="348">
        <v>0</v>
      </c>
    </row>
    <row r="10" spans="2:60" x14ac:dyDescent="0.35">
      <c r="B10" s="346" t="s">
        <v>804</v>
      </c>
      <c r="C10" s="344" t="s">
        <v>801</v>
      </c>
      <c r="D10" s="347">
        <v>0</v>
      </c>
      <c r="E10" s="347">
        <v>0</v>
      </c>
      <c r="F10" s="347">
        <v>0</v>
      </c>
      <c r="G10" s="347">
        <v>0</v>
      </c>
      <c r="H10" s="348">
        <v>0</v>
      </c>
      <c r="I10" s="348">
        <v>0</v>
      </c>
      <c r="J10" s="348">
        <v>7.3700000000000002E-2</v>
      </c>
      <c r="K10" s="348">
        <v>0</v>
      </c>
      <c r="L10" s="348">
        <v>0</v>
      </c>
      <c r="M10" s="348">
        <v>0</v>
      </c>
      <c r="N10" s="348">
        <v>0</v>
      </c>
      <c r="O10" s="348">
        <v>0</v>
      </c>
      <c r="P10" s="348">
        <v>0</v>
      </c>
      <c r="Q10" s="348">
        <v>0</v>
      </c>
      <c r="R10" s="348">
        <v>0</v>
      </c>
      <c r="S10" s="348">
        <v>7.2730583469592894E-2</v>
      </c>
      <c r="T10" s="348">
        <v>0</v>
      </c>
      <c r="U10" s="348">
        <v>0</v>
      </c>
      <c r="V10" s="347">
        <v>0</v>
      </c>
      <c r="W10" s="347">
        <v>0</v>
      </c>
      <c r="X10" s="347">
        <v>0</v>
      </c>
      <c r="Y10" s="347">
        <v>0</v>
      </c>
      <c r="Z10" s="348">
        <v>0</v>
      </c>
      <c r="AA10" s="348">
        <v>0</v>
      </c>
      <c r="AB10" s="348">
        <v>7.2739172807993094E-2</v>
      </c>
      <c r="AC10" s="348">
        <v>0</v>
      </c>
      <c r="AD10" s="348">
        <v>0</v>
      </c>
      <c r="AE10" s="347">
        <v>0</v>
      </c>
      <c r="AF10" s="347">
        <v>0</v>
      </c>
      <c r="AG10" s="347">
        <v>0</v>
      </c>
      <c r="AH10" s="347">
        <v>0</v>
      </c>
      <c r="AI10" s="348">
        <v>0</v>
      </c>
      <c r="AJ10" s="348">
        <v>0</v>
      </c>
      <c r="AK10" s="348">
        <v>6.8122311937718297E-2</v>
      </c>
      <c r="AL10" s="348">
        <v>0</v>
      </c>
      <c r="AM10" s="348">
        <v>0</v>
      </c>
      <c r="AN10" s="347">
        <v>0</v>
      </c>
      <c r="AO10" s="347">
        <v>0</v>
      </c>
      <c r="AP10" s="347">
        <v>0</v>
      </c>
      <c r="AQ10" s="347">
        <v>0</v>
      </c>
      <c r="AR10" s="348">
        <v>0</v>
      </c>
      <c r="AS10" s="348">
        <v>0</v>
      </c>
      <c r="AT10" s="348">
        <v>6.7863142507480601E-2</v>
      </c>
      <c r="AU10" s="348">
        <v>0</v>
      </c>
      <c r="AV10" s="348">
        <v>0</v>
      </c>
      <c r="AW10" s="347">
        <v>0</v>
      </c>
      <c r="AX10" s="347">
        <v>0</v>
      </c>
      <c r="AY10" s="347">
        <v>0</v>
      </c>
      <c r="AZ10" s="347">
        <v>0</v>
      </c>
      <c r="BA10" s="348">
        <v>0</v>
      </c>
      <c r="BB10" s="348">
        <v>0</v>
      </c>
      <c r="BC10" s="348">
        <v>6.7863142507480601E-2</v>
      </c>
      <c r="BD10" s="348">
        <v>0</v>
      </c>
      <c r="BE10" s="348">
        <v>0</v>
      </c>
    </row>
    <row r="11" spans="2:60" x14ac:dyDescent="0.35">
      <c r="B11" s="349" t="s">
        <v>805</v>
      </c>
      <c r="C11" s="344" t="s">
        <v>801</v>
      </c>
      <c r="D11" s="347">
        <v>0</v>
      </c>
      <c r="E11" s="347">
        <v>8.2019999999999996E-2</v>
      </c>
      <c r="F11" s="347">
        <v>0.52264500000000003</v>
      </c>
      <c r="G11" s="347">
        <v>0</v>
      </c>
      <c r="H11" s="348">
        <v>0.39721565525979302</v>
      </c>
      <c r="I11" s="348">
        <v>0.233667786888861</v>
      </c>
      <c r="J11" s="348">
        <v>0.30661341842206102</v>
      </c>
      <c r="K11" s="348">
        <v>0</v>
      </c>
      <c r="L11" s="348">
        <v>0</v>
      </c>
      <c r="M11" s="348">
        <v>0</v>
      </c>
      <c r="N11" s="348">
        <v>8.2897687094464101E-2</v>
      </c>
      <c r="O11" s="348">
        <v>0.52823776727000904</v>
      </c>
      <c r="P11" s="348">
        <v>0</v>
      </c>
      <c r="Q11" s="348">
        <v>0.40149557254240298</v>
      </c>
      <c r="R11" s="348">
        <v>0.23340996636738201</v>
      </c>
      <c r="S11" s="348">
        <v>0.29987738774686201</v>
      </c>
      <c r="T11" s="348">
        <v>0</v>
      </c>
      <c r="U11" s="348">
        <v>0</v>
      </c>
      <c r="V11" s="347">
        <v>0</v>
      </c>
      <c r="W11" s="347">
        <v>8.4821105176780695E-2</v>
      </c>
      <c r="X11" s="347">
        <v>0.54049410528064501</v>
      </c>
      <c r="Y11" s="347">
        <v>0</v>
      </c>
      <c r="Z11" s="348">
        <v>0.41081119848161801</v>
      </c>
      <c r="AA11" s="348">
        <v>0.23684777015685901</v>
      </c>
      <c r="AB11" s="348">
        <v>0.29903377658078301</v>
      </c>
      <c r="AC11" s="348">
        <v>0</v>
      </c>
      <c r="AD11" s="348">
        <v>0</v>
      </c>
      <c r="AE11" s="347">
        <v>0</v>
      </c>
      <c r="AF11" s="347">
        <v>8.7782762968658098E-2</v>
      </c>
      <c r="AG11" s="347">
        <v>0.55936627836813402</v>
      </c>
      <c r="AH11" s="347">
        <v>0</v>
      </c>
      <c r="AI11" s="348">
        <v>0.42515529579605199</v>
      </c>
      <c r="AJ11" s="348">
        <v>0.23753457709048101</v>
      </c>
      <c r="AK11" s="348">
        <v>0.27942788689581199</v>
      </c>
      <c r="AL11" s="348">
        <v>0</v>
      </c>
      <c r="AM11" s="348">
        <v>0</v>
      </c>
      <c r="AN11" s="347">
        <v>0</v>
      </c>
      <c r="AO11" s="347">
        <v>8.7937866553026101E-2</v>
      </c>
      <c r="AP11" s="347">
        <v>0.560354624050309</v>
      </c>
      <c r="AQ11" s="347">
        <v>0</v>
      </c>
      <c r="AR11" s="348">
        <v>0.42590650375603101</v>
      </c>
      <c r="AS11" s="348">
        <v>0.23755446218974199</v>
      </c>
      <c r="AT11" s="348">
        <v>0.27833738774391997</v>
      </c>
      <c r="AU11" s="348">
        <v>0</v>
      </c>
      <c r="AV11" s="348">
        <v>0</v>
      </c>
      <c r="AW11" s="347">
        <v>0</v>
      </c>
      <c r="AX11" s="347">
        <v>8.7937866553026101E-2</v>
      </c>
      <c r="AY11" s="347">
        <v>0.560354624050309</v>
      </c>
      <c r="AZ11" s="347">
        <v>0</v>
      </c>
      <c r="BA11" s="348">
        <v>0.42590650375603101</v>
      </c>
      <c r="BB11" s="348">
        <v>0.23755446218974199</v>
      </c>
      <c r="BC11" s="348">
        <v>0.27833738774391997</v>
      </c>
      <c r="BD11" s="348">
        <v>0</v>
      </c>
      <c r="BE11" s="348">
        <v>0</v>
      </c>
    </row>
    <row r="12" spans="2:60" x14ac:dyDescent="0.35">
      <c r="B12" s="350" t="s">
        <v>806</v>
      </c>
      <c r="C12" s="344" t="s">
        <v>801</v>
      </c>
      <c r="D12" s="351">
        <v>0.47199999999999998</v>
      </c>
      <c r="E12" s="351">
        <v>0.129</v>
      </c>
      <c r="F12" s="351">
        <v>3.2250000000000001</v>
      </c>
      <c r="G12" s="351">
        <v>0</v>
      </c>
      <c r="H12" s="351">
        <v>5.0241974510259E-3</v>
      </c>
      <c r="I12" s="351">
        <v>9.7934215665656504E-3</v>
      </c>
      <c r="J12" s="351">
        <v>1.0574619742197899</v>
      </c>
      <c r="K12" s="351">
        <v>3.6507849999999999</v>
      </c>
      <c r="L12" s="351">
        <v>0</v>
      </c>
      <c r="M12" s="351">
        <v>0.47229944660151302</v>
      </c>
      <c r="N12" s="351">
        <v>0.121269246678803</v>
      </c>
      <c r="O12" s="351">
        <v>3.1436165524496098</v>
      </c>
      <c r="P12" s="351">
        <v>0</v>
      </c>
      <c r="Q12" s="351">
        <v>4.7142340369556203E-3</v>
      </c>
      <c r="R12" s="351">
        <v>8.6925223790535796E-3</v>
      </c>
      <c r="S12" s="351">
        <v>1.09303072578199</v>
      </c>
      <c r="T12" s="351">
        <v>3.8884363513616198</v>
      </c>
      <c r="U12" s="351">
        <v>0</v>
      </c>
      <c r="V12" s="351">
        <v>0.49271964422582298</v>
      </c>
      <c r="W12" s="352">
        <v>0.102785563651352</v>
      </c>
      <c r="X12" s="351">
        <v>3.1094460662600998</v>
      </c>
      <c r="Y12" s="351">
        <v>0</v>
      </c>
      <c r="Z12" s="351">
        <v>3.0309897682157098E-3</v>
      </c>
      <c r="AA12" s="351">
        <v>5.36509154803432E-3</v>
      </c>
      <c r="AB12" s="351">
        <v>0.65874266337388998</v>
      </c>
      <c r="AC12" s="351">
        <v>4.5624557158814998</v>
      </c>
      <c r="AD12" s="351">
        <v>0</v>
      </c>
      <c r="AE12" s="351">
        <v>0.486792497605464</v>
      </c>
      <c r="AF12" s="352">
        <v>6.7833905613718701E-2</v>
      </c>
      <c r="AG12" s="351">
        <v>2.6942801958918099</v>
      </c>
      <c r="AH12" s="351">
        <v>0</v>
      </c>
      <c r="AI12" s="351">
        <v>5.1111327305519304E-4</v>
      </c>
      <c r="AJ12" s="351">
        <v>7.6572627278627598E-4</v>
      </c>
      <c r="AK12" s="351">
        <v>8.9085682305819494E-2</v>
      </c>
      <c r="AL12" s="351">
        <v>6.0392857737735302</v>
      </c>
      <c r="AM12" s="351">
        <v>0</v>
      </c>
      <c r="AN12" s="351">
        <v>0.48605527621399203</v>
      </c>
      <c r="AO12" s="351">
        <v>0.105026771181434</v>
      </c>
      <c r="AP12" s="351">
        <v>3.1416520812547502</v>
      </c>
      <c r="AQ12" s="351">
        <v>0</v>
      </c>
      <c r="AR12" s="351">
        <v>3.7108196006756499E-4</v>
      </c>
      <c r="AS12" s="351">
        <v>5.5062696202502705E-4</v>
      </c>
      <c r="AT12" s="351">
        <v>6.3838028605139693E-2</v>
      </c>
      <c r="AU12" s="351">
        <v>4.6569870393792101</v>
      </c>
      <c r="AV12" s="351">
        <v>0</v>
      </c>
      <c r="AW12" s="351">
        <v>0.48605527621399203</v>
      </c>
      <c r="AX12" s="353">
        <v>6.6000000000000003E-2</v>
      </c>
      <c r="AY12" s="353">
        <v>2.66</v>
      </c>
      <c r="AZ12" s="351">
        <v>0</v>
      </c>
      <c r="BA12" s="351">
        <v>3.7108196006756499E-4</v>
      </c>
      <c r="BB12" s="351">
        <v>5.5062696202502705E-4</v>
      </c>
      <c r="BC12" s="353">
        <v>0.08</v>
      </c>
      <c r="BD12" s="353">
        <v>6.1</v>
      </c>
      <c r="BE12" s="351">
        <v>0</v>
      </c>
      <c r="BG12" s="77">
        <f>SUM(AE12:AM12)</f>
        <v>9.3785548947361832</v>
      </c>
      <c r="BH12" s="77">
        <f>SUM(AW12:BE12)</f>
        <v>9.3929769851360838</v>
      </c>
    </row>
    <row r="13" spans="2:60" x14ac:dyDescent="0.35">
      <c r="B13" s="354" t="s">
        <v>807</v>
      </c>
      <c r="C13" s="344" t="s">
        <v>801</v>
      </c>
      <c r="D13" s="355">
        <v>0.47199999999999998</v>
      </c>
      <c r="E13" s="355">
        <v>0.129</v>
      </c>
      <c r="F13" s="355">
        <v>3.2250000000000001</v>
      </c>
      <c r="G13" s="355">
        <v>0</v>
      </c>
      <c r="H13" s="356">
        <v>5.0241974510259E-3</v>
      </c>
      <c r="I13" s="356">
        <v>9.7934215665656504E-3</v>
      </c>
      <c r="J13" s="356">
        <v>1.0574619742197899</v>
      </c>
      <c r="K13" s="356">
        <v>3.6507849999999999</v>
      </c>
      <c r="L13" s="356">
        <v>0</v>
      </c>
      <c r="M13" s="356">
        <v>0.47229944660151302</v>
      </c>
      <c r="N13" s="356">
        <v>0.121269246678803</v>
      </c>
      <c r="O13" s="356">
        <v>3.1436165524496098</v>
      </c>
      <c r="P13" s="356">
        <v>0</v>
      </c>
      <c r="Q13" s="356">
        <v>4.7142340369556203E-3</v>
      </c>
      <c r="R13" s="356">
        <v>8.6925223790535796E-3</v>
      </c>
      <c r="S13" s="356">
        <v>1.09303072578199</v>
      </c>
      <c r="T13" s="356">
        <v>3.8884363513616198</v>
      </c>
      <c r="U13" s="356">
        <v>0</v>
      </c>
      <c r="V13" s="355">
        <v>0.49271964422582298</v>
      </c>
      <c r="W13" s="355">
        <v>0.102785563651352</v>
      </c>
      <c r="X13" s="355">
        <v>3.1094460662600998</v>
      </c>
      <c r="Y13" s="355">
        <v>0</v>
      </c>
      <c r="Z13" s="356">
        <v>3.0309897682157098E-3</v>
      </c>
      <c r="AA13" s="356">
        <v>5.36509154803432E-3</v>
      </c>
      <c r="AB13" s="356">
        <v>0.65874266337388998</v>
      </c>
      <c r="AC13" s="356">
        <v>4.5624557158814998</v>
      </c>
      <c r="AD13" s="356">
        <v>0</v>
      </c>
      <c r="AE13" s="355">
        <v>0.486792497605464</v>
      </c>
      <c r="AF13" s="355">
        <v>6.7833905613718701E-2</v>
      </c>
      <c r="AG13" s="355">
        <v>2.6942801958918099</v>
      </c>
      <c r="AH13" s="355">
        <v>0</v>
      </c>
      <c r="AI13" s="356">
        <v>5.1111327305519304E-4</v>
      </c>
      <c r="AJ13" s="356">
        <v>7.6572627278627598E-4</v>
      </c>
      <c r="AK13" s="356">
        <v>8.9085682305819494E-2</v>
      </c>
      <c r="AL13" s="356">
        <v>6.0392857737735302</v>
      </c>
      <c r="AM13" s="356">
        <v>0</v>
      </c>
      <c r="AN13" s="355">
        <v>0.48605527621399203</v>
      </c>
      <c r="AO13" s="355">
        <v>0.105026771181434</v>
      </c>
      <c r="AP13" s="355">
        <v>3.1416520812547502</v>
      </c>
      <c r="AQ13" s="355">
        <v>0</v>
      </c>
      <c r="AR13" s="356">
        <v>3.7108196006756499E-4</v>
      </c>
      <c r="AS13" s="356">
        <v>5.5062696202502705E-4</v>
      </c>
      <c r="AT13" s="356">
        <v>6.3838028605139693E-2</v>
      </c>
      <c r="AU13" s="356">
        <v>4.6569870393792101</v>
      </c>
      <c r="AV13" s="356">
        <v>0</v>
      </c>
      <c r="AW13" s="355">
        <v>0.48605527621399203</v>
      </c>
      <c r="AX13" s="357">
        <v>7.0000000000000007E-2</v>
      </c>
      <c r="AY13" s="357">
        <v>2.66</v>
      </c>
      <c r="AZ13" s="355">
        <v>0</v>
      </c>
      <c r="BA13" s="356">
        <v>3.7108196006756499E-4</v>
      </c>
      <c r="BB13" s="356">
        <v>5.5062696202502705E-4</v>
      </c>
      <c r="BC13" s="358">
        <v>0.08</v>
      </c>
      <c r="BD13" s="358">
        <v>6.1</v>
      </c>
      <c r="BE13" s="356">
        <v>0</v>
      </c>
    </row>
    <row r="14" spans="2:60" x14ac:dyDescent="0.35">
      <c r="B14" s="359" t="s">
        <v>808</v>
      </c>
      <c r="C14" s="344" t="s">
        <v>801</v>
      </c>
      <c r="D14" s="360">
        <v>3.0200613631105</v>
      </c>
      <c r="E14" s="360">
        <v>0.44015162419749998</v>
      </c>
      <c r="F14" s="360">
        <v>0.10675770492</v>
      </c>
      <c r="G14" s="360">
        <v>0</v>
      </c>
      <c r="H14" s="360">
        <v>0.17388883742158701</v>
      </c>
      <c r="I14" s="360">
        <v>9.3357908935547199E-2</v>
      </c>
      <c r="J14" s="360">
        <v>0.37326955346134799</v>
      </c>
      <c r="K14" s="360">
        <v>0</v>
      </c>
      <c r="L14" s="360">
        <v>0</v>
      </c>
      <c r="M14" s="360">
        <v>3.2157321595065498</v>
      </c>
      <c r="N14" s="360">
        <v>0.50304478644531303</v>
      </c>
      <c r="O14" s="360">
        <v>0.106131403062222</v>
      </c>
      <c r="P14" s="360">
        <v>0</v>
      </c>
      <c r="Q14" s="360">
        <v>0.18475835603471699</v>
      </c>
      <c r="R14" s="360">
        <v>9.8233477756070095E-2</v>
      </c>
      <c r="S14" s="360">
        <v>0.366153392556894</v>
      </c>
      <c r="T14" s="360">
        <v>0</v>
      </c>
      <c r="U14" s="360">
        <v>0</v>
      </c>
      <c r="V14" s="361">
        <v>3.7067891783198399</v>
      </c>
      <c r="W14" s="360">
        <v>0.673234144938056</v>
      </c>
      <c r="X14" s="360">
        <v>0.110003745138209</v>
      </c>
      <c r="Y14" s="360">
        <v>0</v>
      </c>
      <c r="Z14" s="360">
        <v>0.21959900372148</v>
      </c>
      <c r="AA14" s="360">
        <v>0.115629255305643</v>
      </c>
      <c r="AB14" s="360">
        <v>0.376661387404156</v>
      </c>
      <c r="AC14" s="360">
        <v>0</v>
      </c>
      <c r="AD14" s="360">
        <v>0</v>
      </c>
      <c r="AE14" s="361">
        <v>5.2278645300337301</v>
      </c>
      <c r="AF14" s="360">
        <v>1.09755605292712</v>
      </c>
      <c r="AG14" s="360">
        <v>0.12893322046395</v>
      </c>
      <c r="AH14" s="360">
        <v>0</v>
      </c>
      <c r="AI14" s="360">
        <v>0.31606316745445201</v>
      </c>
      <c r="AJ14" s="360">
        <v>0.16248398383350701</v>
      </c>
      <c r="AK14" s="360">
        <v>0.40538608244894597</v>
      </c>
      <c r="AL14" s="360">
        <v>0</v>
      </c>
      <c r="AM14" s="360">
        <v>0</v>
      </c>
      <c r="AN14" s="361">
        <v>5.3174400922828804</v>
      </c>
      <c r="AO14" s="360">
        <v>1.11458020841451</v>
      </c>
      <c r="AP14" s="360">
        <v>0.13003586197407499</v>
      </c>
      <c r="AQ14" s="360">
        <v>0</v>
      </c>
      <c r="AR14" s="360">
        <v>0.32185724115008202</v>
      </c>
      <c r="AS14" s="360">
        <v>0.1652714230874</v>
      </c>
      <c r="AT14" s="360">
        <v>0.40563834922070902</v>
      </c>
      <c r="AU14" s="360">
        <v>0</v>
      </c>
      <c r="AV14" s="360">
        <v>0</v>
      </c>
      <c r="AW14" s="361">
        <v>5.3174400922828804</v>
      </c>
      <c r="AX14" s="360">
        <v>1.11458020841451</v>
      </c>
      <c r="AY14" s="360">
        <v>0.13003586197407499</v>
      </c>
      <c r="AZ14" s="360">
        <v>0</v>
      </c>
      <c r="BA14" s="360">
        <v>0.32185724115008202</v>
      </c>
      <c r="BB14" s="360">
        <v>0.1652714230874</v>
      </c>
      <c r="BC14" s="360">
        <v>0.40563834922070902</v>
      </c>
      <c r="BD14" s="360">
        <v>0</v>
      </c>
      <c r="BE14" s="360">
        <v>0</v>
      </c>
      <c r="BG14" s="77">
        <f>SUM(AE14:AM14)</f>
        <v>7.3382870371617059</v>
      </c>
      <c r="BH14" s="77">
        <f>SUM(AW14:BE14)</f>
        <v>7.4548231761296559</v>
      </c>
    </row>
    <row r="15" spans="2:60" x14ac:dyDescent="0.35">
      <c r="B15" s="362" t="s">
        <v>809</v>
      </c>
      <c r="C15" s="344" t="s">
        <v>801</v>
      </c>
      <c r="D15" s="361">
        <v>2.8304276828604999</v>
      </c>
      <c r="E15" s="361">
        <v>0.29845278552249999</v>
      </c>
      <c r="F15" s="361">
        <v>0.10675770492</v>
      </c>
      <c r="G15" s="361">
        <v>0</v>
      </c>
      <c r="H15" s="363">
        <v>0.17313813080340401</v>
      </c>
      <c r="I15" s="363">
        <v>9.29780919153219E-2</v>
      </c>
      <c r="J15" s="363">
        <v>0.35630325677625502</v>
      </c>
      <c r="K15" s="363">
        <v>0</v>
      </c>
      <c r="L15" s="363">
        <v>0</v>
      </c>
      <c r="M15" s="363">
        <v>3.0203516417702301</v>
      </c>
      <c r="N15" s="363">
        <v>0.34058380006014499</v>
      </c>
      <c r="O15" s="363">
        <v>0.106131403062222</v>
      </c>
      <c r="P15" s="363">
        <v>0</v>
      </c>
      <c r="Q15" s="363">
        <v>0.18389359669835401</v>
      </c>
      <c r="R15" s="363">
        <v>9.7795959162146603E-2</v>
      </c>
      <c r="S15" s="363">
        <v>0.34804660027780199</v>
      </c>
      <c r="T15" s="363">
        <v>0</v>
      </c>
      <c r="U15" s="363">
        <v>0</v>
      </c>
      <c r="V15" s="361">
        <v>3.5442878863053702</v>
      </c>
      <c r="W15" s="361">
        <v>0.45734135193964098</v>
      </c>
      <c r="X15" s="361">
        <v>0.110003745138209</v>
      </c>
      <c r="Y15" s="361">
        <v>0</v>
      </c>
      <c r="Z15" s="363">
        <v>0.218451723892509</v>
      </c>
      <c r="AA15" s="363">
        <v>0.115048797557667</v>
      </c>
      <c r="AB15" s="363">
        <v>0.35447458908213803</v>
      </c>
      <c r="AC15" s="363">
        <v>0</v>
      </c>
      <c r="AD15" s="363">
        <v>0</v>
      </c>
      <c r="AE15" s="361">
        <v>5.0138979825097696</v>
      </c>
      <c r="AF15" s="361">
        <v>0.76020673310887699</v>
      </c>
      <c r="AG15" s="361">
        <v>0.12893322046395</v>
      </c>
      <c r="AH15" s="361">
        <v>0</v>
      </c>
      <c r="AI15" s="363">
        <v>0.3141793964881</v>
      </c>
      <c r="AJ15" s="363">
        <v>0.16153090384077701</v>
      </c>
      <c r="AK15" s="363">
        <v>0.37724510082046803</v>
      </c>
      <c r="AL15" s="363">
        <v>0</v>
      </c>
      <c r="AM15" s="363">
        <v>0</v>
      </c>
      <c r="AN15" s="361">
        <v>5.1013015921590901</v>
      </c>
      <c r="AO15" s="361">
        <v>0.77888611871016999</v>
      </c>
      <c r="AP15" s="361">
        <v>0.13003586197407499</v>
      </c>
      <c r="AQ15" s="361">
        <v>0</v>
      </c>
      <c r="AR15" s="363">
        <v>0.31993218329260498</v>
      </c>
      <c r="AS15" s="363">
        <v>0.16429745429741299</v>
      </c>
      <c r="AT15" s="363">
        <v>0.37790586269496101</v>
      </c>
      <c r="AU15" s="363">
        <v>0</v>
      </c>
      <c r="AV15" s="363">
        <v>0</v>
      </c>
      <c r="AW15" s="361">
        <v>5.1013015921590901</v>
      </c>
      <c r="AX15" s="361">
        <v>0.77888611871016999</v>
      </c>
      <c r="AY15" s="361">
        <v>0.13003586197407499</v>
      </c>
      <c r="AZ15" s="361">
        <v>0</v>
      </c>
      <c r="BA15" s="363">
        <v>0.31993218329260498</v>
      </c>
      <c r="BB15" s="363">
        <v>0.16429745429741299</v>
      </c>
      <c r="BC15" s="363">
        <v>0.37790586269496101</v>
      </c>
      <c r="BD15" s="363">
        <v>0</v>
      </c>
      <c r="BE15" s="363">
        <v>0</v>
      </c>
    </row>
    <row r="16" spans="2:60" ht="29" x14ac:dyDescent="0.35">
      <c r="B16" s="364" t="s">
        <v>810</v>
      </c>
      <c r="C16" s="344" t="s">
        <v>801</v>
      </c>
      <c r="D16" s="361">
        <v>0.18963368024999999</v>
      </c>
      <c r="E16" s="361">
        <v>0.14169883867499999</v>
      </c>
      <c r="F16" s="361">
        <v>0</v>
      </c>
      <c r="G16" s="361">
        <v>0</v>
      </c>
      <c r="H16" s="363">
        <v>7.5070661818359304E-4</v>
      </c>
      <c r="I16" s="363">
        <v>3.7981702022522499E-4</v>
      </c>
      <c r="J16" s="363">
        <v>1.6966296685092801E-2</v>
      </c>
      <c r="K16" s="363">
        <v>0</v>
      </c>
      <c r="L16" s="363">
        <v>0</v>
      </c>
      <c r="M16" s="363">
        <v>0.19538051773632001</v>
      </c>
      <c r="N16" s="363">
        <v>0.16246098638516701</v>
      </c>
      <c r="O16" s="363">
        <v>0</v>
      </c>
      <c r="P16" s="363">
        <v>0</v>
      </c>
      <c r="Q16" s="363">
        <v>8.6475933636328401E-4</v>
      </c>
      <c r="R16" s="363">
        <v>4.37518593923517E-4</v>
      </c>
      <c r="S16" s="363">
        <v>1.8106792279092E-2</v>
      </c>
      <c r="T16" s="363">
        <v>0</v>
      </c>
      <c r="U16" s="363">
        <v>0</v>
      </c>
      <c r="V16" s="361">
        <v>0.162501292014474</v>
      </c>
      <c r="W16" s="361">
        <v>0.21589279299841499</v>
      </c>
      <c r="X16" s="361">
        <v>0</v>
      </c>
      <c r="Y16" s="361">
        <v>0</v>
      </c>
      <c r="Z16" s="363">
        <v>1.1472798289716599E-3</v>
      </c>
      <c r="AA16" s="363">
        <v>5.8045774797649296E-4</v>
      </c>
      <c r="AB16" s="363">
        <v>2.2186798322018302E-2</v>
      </c>
      <c r="AC16" s="363">
        <v>0</v>
      </c>
      <c r="AD16" s="363">
        <v>0</v>
      </c>
      <c r="AE16" s="361">
        <v>0.213966547523951</v>
      </c>
      <c r="AF16" s="361">
        <v>0.33734931981824501</v>
      </c>
      <c r="AG16" s="361">
        <v>0</v>
      </c>
      <c r="AH16" s="361">
        <v>0</v>
      </c>
      <c r="AI16" s="363">
        <v>1.8837709663523401E-3</v>
      </c>
      <c r="AJ16" s="363">
        <v>9.5307999273038597E-4</v>
      </c>
      <c r="AK16" s="363">
        <v>2.8140981628477401E-2</v>
      </c>
      <c r="AL16" s="363">
        <v>0</v>
      </c>
      <c r="AM16" s="363">
        <v>0</v>
      </c>
      <c r="AN16" s="361">
        <v>0.216138500123783</v>
      </c>
      <c r="AO16" s="361">
        <v>0.335694089704342</v>
      </c>
      <c r="AP16" s="361">
        <v>0</v>
      </c>
      <c r="AQ16" s="361">
        <v>0</v>
      </c>
      <c r="AR16" s="363">
        <v>1.92505785747691E-3</v>
      </c>
      <c r="AS16" s="363">
        <v>9.7396878998660898E-4</v>
      </c>
      <c r="AT16" s="363">
        <v>2.77324865257483E-2</v>
      </c>
      <c r="AU16" s="363">
        <v>0</v>
      </c>
      <c r="AV16" s="363">
        <v>0</v>
      </c>
      <c r="AW16" s="361">
        <v>0.216138500123783</v>
      </c>
      <c r="AX16" s="361">
        <v>0.335694089704342</v>
      </c>
      <c r="AY16" s="361">
        <v>0</v>
      </c>
      <c r="AZ16" s="361">
        <v>0</v>
      </c>
      <c r="BA16" s="363">
        <v>1.92505785747691E-3</v>
      </c>
      <c r="BB16" s="363">
        <v>9.7396878998660898E-4</v>
      </c>
      <c r="BC16" s="363">
        <v>2.77324865257483E-2</v>
      </c>
      <c r="BD16" s="363">
        <v>0</v>
      </c>
      <c r="BE16" s="363">
        <v>0</v>
      </c>
    </row>
    <row r="17" spans="2:60" x14ac:dyDescent="0.35">
      <c r="B17" s="365" t="s">
        <v>811</v>
      </c>
      <c r="C17" s="344" t="s">
        <v>801</v>
      </c>
      <c r="D17" s="366">
        <v>5.8579592548119797</v>
      </c>
      <c r="E17" s="367">
        <v>0.33786776018916098</v>
      </c>
      <c r="F17" s="366">
        <v>1.0751321085718999</v>
      </c>
      <c r="G17" s="366">
        <v>13.304506527272199</v>
      </c>
      <c r="H17" s="366">
        <v>0.18352956758981201</v>
      </c>
      <c r="I17" s="366">
        <v>0.34633279205505202</v>
      </c>
      <c r="J17" s="366">
        <v>0.71500585526861804</v>
      </c>
      <c r="K17" s="366">
        <v>0</v>
      </c>
      <c r="L17" s="366">
        <v>0</v>
      </c>
      <c r="M17" s="366">
        <v>5.4357527304441202</v>
      </c>
      <c r="N17" s="366">
        <v>0.340336447074366</v>
      </c>
      <c r="O17" s="366">
        <v>1.0877200210403399</v>
      </c>
      <c r="P17" s="366">
        <v>12.374536818341699</v>
      </c>
      <c r="Q17" s="366">
        <v>0.18160348245223101</v>
      </c>
      <c r="R17" s="366">
        <v>0.31898143577178201</v>
      </c>
      <c r="S17" s="366">
        <v>0.65708549017962503</v>
      </c>
      <c r="T17" s="366">
        <v>0</v>
      </c>
      <c r="U17" s="366">
        <v>0</v>
      </c>
      <c r="V17" s="366">
        <v>4.68287748306241</v>
      </c>
      <c r="W17" s="367">
        <v>0.32645804325622901</v>
      </c>
      <c r="X17" s="366">
        <v>1.03531838677382</v>
      </c>
      <c r="Y17" s="366">
        <v>11.5299133824051</v>
      </c>
      <c r="Z17" s="366">
        <v>0.168102960439653</v>
      </c>
      <c r="AA17" s="366">
        <v>0.282463095173064</v>
      </c>
      <c r="AB17" s="366">
        <v>0.58256373730612399</v>
      </c>
      <c r="AC17" s="366">
        <v>0</v>
      </c>
      <c r="AD17" s="366">
        <v>0</v>
      </c>
      <c r="AE17" s="366">
        <v>3.5653094514171499</v>
      </c>
      <c r="AF17" s="367">
        <v>0.27154138451394999</v>
      </c>
      <c r="AG17" s="366">
        <v>0.67486589657000995</v>
      </c>
      <c r="AH17" s="366">
        <v>9.0375236589511392</v>
      </c>
      <c r="AI17" s="366">
        <v>0.115591679357865</v>
      </c>
      <c r="AJ17" s="366">
        <v>0.16344438623320401</v>
      </c>
      <c r="AK17" s="366">
        <v>0.32834052826278198</v>
      </c>
      <c r="AL17" s="366">
        <v>0</v>
      </c>
      <c r="AM17" s="366">
        <v>0</v>
      </c>
      <c r="AN17" s="366">
        <v>3.5065980201845299</v>
      </c>
      <c r="AO17" s="367">
        <v>0.26865290365070099</v>
      </c>
      <c r="AP17" s="366">
        <v>0.65589471287507295</v>
      </c>
      <c r="AQ17" s="366">
        <v>7.9269145918858603</v>
      </c>
      <c r="AR17" s="366">
        <v>0.112827927721981</v>
      </c>
      <c r="AS17" s="366">
        <v>0.15788428640948801</v>
      </c>
      <c r="AT17" s="366">
        <v>0.31655963691592198</v>
      </c>
      <c r="AU17" s="366">
        <v>0</v>
      </c>
      <c r="AV17" s="366">
        <v>0</v>
      </c>
      <c r="AW17" s="366">
        <v>3.5065980201845299</v>
      </c>
      <c r="AX17" s="367">
        <v>0.26865290365070099</v>
      </c>
      <c r="AY17" s="366">
        <v>0.65589471287507295</v>
      </c>
      <c r="AZ17" s="368">
        <v>8.9</v>
      </c>
      <c r="BA17" s="366">
        <v>0.112827927721981</v>
      </c>
      <c r="BB17" s="366">
        <v>0.15788428640948801</v>
      </c>
      <c r="BC17" s="366">
        <v>0.31655963691592198</v>
      </c>
      <c r="BD17" s="366">
        <v>0</v>
      </c>
      <c r="BE17" s="366">
        <v>0</v>
      </c>
      <c r="BG17" s="77">
        <f>SUM(AE17:AM17)</f>
        <v>14.156616985306099</v>
      </c>
      <c r="BH17" s="77">
        <f>SUM(AW17:BE17)</f>
        <v>13.918417487757694</v>
      </c>
    </row>
    <row r="18" spans="2:60" x14ac:dyDescent="0.35">
      <c r="B18" s="369" t="s">
        <v>812</v>
      </c>
      <c r="C18" s="344" t="s">
        <v>801</v>
      </c>
      <c r="D18" s="370">
        <v>4.54911010836123</v>
      </c>
      <c r="E18" s="370">
        <v>0.16123727018916101</v>
      </c>
      <c r="F18" s="370">
        <v>1.0751321085718999</v>
      </c>
      <c r="G18" s="370">
        <v>8.4159742006043494</v>
      </c>
      <c r="H18" s="370">
        <v>0.18352956758981201</v>
      </c>
      <c r="I18" s="371">
        <v>0.30968679597871002</v>
      </c>
      <c r="J18" s="371">
        <v>0.63639326859890799</v>
      </c>
      <c r="K18" s="371">
        <v>0</v>
      </c>
      <c r="L18" s="371">
        <v>0</v>
      </c>
      <c r="M18" s="371">
        <v>4.1547029745459199</v>
      </c>
      <c r="N18" s="371">
        <v>0.16366230288945</v>
      </c>
      <c r="O18" s="371">
        <v>1.0877200210403399</v>
      </c>
      <c r="P18" s="371">
        <v>7.6216808558845699</v>
      </c>
      <c r="Q18" s="371">
        <v>0.18160348245223101</v>
      </c>
      <c r="R18" s="371">
        <v>0.28806525083953399</v>
      </c>
      <c r="S18" s="371">
        <v>0.590701511825099</v>
      </c>
      <c r="T18" s="371">
        <v>0</v>
      </c>
      <c r="U18" s="371">
        <v>0</v>
      </c>
      <c r="V18" s="371">
        <v>3.4349794421886499</v>
      </c>
      <c r="W18" s="370">
        <v>0.14968785986450001</v>
      </c>
      <c r="X18" s="370">
        <v>1.03531838677382</v>
      </c>
      <c r="Y18" s="370">
        <v>6.7077360276515696</v>
      </c>
      <c r="Z18" s="370">
        <v>0.168102960439653</v>
      </c>
      <c r="AA18" s="371">
        <v>0.257241668505441</v>
      </c>
      <c r="AB18" s="371">
        <v>0.52840053967686695</v>
      </c>
      <c r="AC18" s="371">
        <v>0</v>
      </c>
      <c r="AD18" s="371">
        <v>0</v>
      </c>
      <c r="AE18" s="371">
        <v>2.3722381739965601</v>
      </c>
      <c r="AF18" s="370">
        <v>9.4505852666008999E-2</v>
      </c>
      <c r="AG18" s="370">
        <v>0.67486589657000995</v>
      </c>
      <c r="AH18" s="370">
        <v>4.2566387585963197</v>
      </c>
      <c r="AI18" s="370">
        <v>0.115591679357865</v>
      </c>
      <c r="AJ18" s="371">
        <v>0.149065789386749</v>
      </c>
      <c r="AK18" s="371">
        <v>0.29746002702350799</v>
      </c>
      <c r="AL18" s="371">
        <v>0</v>
      </c>
      <c r="AM18" s="371">
        <v>0</v>
      </c>
      <c r="AN18" s="371">
        <v>2.3163044230390799</v>
      </c>
      <c r="AO18" s="370">
        <v>9.1601536497667294E-2</v>
      </c>
      <c r="AP18" s="370">
        <v>0.65589471287507295</v>
      </c>
      <c r="AQ18" s="370">
        <v>3.6697156585714401</v>
      </c>
      <c r="AR18" s="370">
        <v>0.112827927721981</v>
      </c>
      <c r="AS18" s="371">
        <v>0.143998560959683</v>
      </c>
      <c r="AT18" s="371">
        <v>0.28673748619915801</v>
      </c>
      <c r="AU18" s="371">
        <v>0</v>
      </c>
      <c r="AV18" s="371">
        <v>0</v>
      </c>
      <c r="AW18" s="371">
        <v>2.3163044230390799</v>
      </c>
      <c r="AX18" s="370">
        <v>9.1601536497667294E-2</v>
      </c>
      <c r="AY18" s="370">
        <v>0.65589471287507295</v>
      </c>
      <c r="AZ18" s="372">
        <v>4.1900000000000004</v>
      </c>
      <c r="BA18" s="370">
        <v>0.112827927721981</v>
      </c>
      <c r="BB18" s="371">
        <v>0.143998560959683</v>
      </c>
      <c r="BC18" s="371">
        <v>0.28673748619915801</v>
      </c>
      <c r="BD18" s="371">
        <v>0</v>
      </c>
      <c r="BE18" s="371">
        <v>0</v>
      </c>
      <c r="BF18" s="77"/>
    </row>
    <row r="19" spans="2:60" x14ac:dyDescent="0.35">
      <c r="B19" s="373" t="s">
        <v>813</v>
      </c>
      <c r="C19" s="344" t="s">
        <v>801</v>
      </c>
      <c r="D19" s="370">
        <v>0.74507999999999996</v>
      </c>
      <c r="E19" s="370">
        <v>7.5999999999999998E-2</v>
      </c>
      <c r="F19" s="370">
        <v>0</v>
      </c>
      <c r="G19" s="370">
        <v>1.1216235006494</v>
      </c>
      <c r="H19" s="370">
        <v>0</v>
      </c>
      <c r="I19" s="371">
        <v>0</v>
      </c>
      <c r="J19" s="371">
        <v>0</v>
      </c>
      <c r="K19" s="371">
        <v>0</v>
      </c>
      <c r="L19" s="371">
        <v>0</v>
      </c>
      <c r="M19" s="371">
        <v>0.74528552029003903</v>
      </c>
      <c r="N19" s="371">
        <v>7.6039535137296305E-2</v>
      </c>
      <c r="O19" s="371">
        <v>0</v>
      </c>
      <c r="P19" s="371">
        <v>1.12195686642152</v>
      </c>
      <c r="Q19" s="371">
        <v>0</v>
      </c>
      <c r="R19" s="371">
        <v>0</v>
      </c>
      <c r="S19" s="371">
        <v>0</v>
      </c>
      <c r="T19" s="371">
        <v>0</v>
      </c>
      <c r="U19" s="371">
        <v>0</v>
      </c>
      <c r="V19" s="371">
        <v>0.74573766492812599</v>
      </c>
      <c r="W19" s="370">
        <v>7.6126512439347996E-2</v>
      </c>
      <c r="X19" s="370">
        <v>0</v>
      </c>
      <c r="Y19" s="370">
        <v>1.1818415533085</v>
      </c>
      <c r="Z19" s="370">
        <v>0</v>
      </c>
      <c r="AA19" s="371">
        <v>0</v>
      </c>
      <c r="AB19" s="371">
        <v>0</v>
      </c>
      <c r="AC19" s="371">
        <v>0</v>
      </c>
      <c r="AD19" s="371">
        <v>0</v>
      </c>
      <c r="AE19" s="371">
        <v>0.74699860819234198</v>
      </c>
      <c r="AF19" s="370">
        <v>7.6369075181274698E-2</v>
      </c>
      <c r="AG19" s="370">
        <v>0</v>
      </c>
      <c r="AH19" s="370">
        <v>1.25880543634205</v>
      </c>
      <c r="AI19" s="370">
        <v>0</v>
      </c>
      <c r="AJ19" s="371">
        <v>0</v>
      </c>
      <c r="AK19" s="371">
        <v>0</v>
      </c>
      <c r="AL19" s="371">
        <v>0</v>
      </c>
      <c r="AM19" s="371">
        <v>0</v>
      </c>
      <c r="AN19" s="371">
        <v>0.74707399554763998</v>
      </c>
      <c r="AO19" s="370">
        <v>7.6383577153033996E-2</v>
      </c>
      <c r="AP19" s="370">
        <v>0</v>
      </c>
      <c r="AQ19" s="370">
        <v>1.12530886723917</v>
      </c>
      <c r="AR19" s="370">
        <v>0</v>
      </c>
      <c r="AS19" s="371">
        <v>0</v>
      </c>
      <c r="AT19" s="371">
        <v>0</v>
      </c>
      <c r="AU19" s="371">
        <v>0</v>
      </c>
      <c r="AV19" s="371">
        <v>0</v>
      </c>
      <c r="AW19" s="371">
        <v>0.74707399554763998</v>
      </c>
      <c r="AX19" s="370">
        <v>7.6383577153033996E-2</v>
      </c>
      <c r="AY19" s="370">
        <v>0</v>
      </c>
      <c r="AZ19" s="372">
        <v>1.25</v>
      </c>
      <c r="BA19" s="370">
        <v>0</v>
      </c>
      <c r="BB19" s="371">
        <v>0</v>
      </c>
      <c r="BC19" s="371">
        <v>0</v>
      </c>
      <c r="BD19" s="371">
        <v>0</v>
      </c>
      <c r="BE19" s="371">
        <v>0</v>
      </c>
      <c r="BF19" s="77"/>
    </row>
    <row r="20" spans="2:60" x14ac:dyDescent="0.35">
      <c r="B20" s="373" t="s">
        <v>814</v>
      </c>
      <c r="C20" s="344" t="s">
        <v>801</v>
      </c>
      <c r="D20" s="370">
        <v>5.7976023913043503E-2</v>
      </c>
      <c r="E20" s="370">
        <v>7.7700000000000005E-5</v>
      </c>
      <c r="F20" s="370">
        <v>0</v>
      </c>
      <c r="G20" s="370">
        <v>4.39419140499656E-2</v>
      </c>
      <c r="H20" s="370">
        <v>0</v>
      </c>
      <c r="I20" s="371">
        <v>0</v>
      </c>
      <c r="J20" s="371">
        <v>0</v>
      </c>
      <c r="K20" s="371">
        <v>0</v>
      </c>
      <c r="L20" s="371">
        <v>0</v>
      </c>
      <c r="M20" s="371">
        <v>6.0155906521739098E-2</v>
      </c>
      <c r="N20" s="371">
        <v>8.1819047619047605E-5</v>
      </c>
      <c r="O20" s="371">
        <v>0</v>
      </c>
      <c r="P20" s="371">
        <v>4.50753767658299E-2</v>
      </c>
      <c r="Q20" s="371">
        <v>0</v>
      </c>
      <c r="R20" s="371">
        <v>0</v>
      </c>
      <c r="S20" s="371">
        <v>0</v>
      </c>
      <c r="T20" s="371">
        <v>0</v>
      </c>
      <c r="U20" s="371">
        <v>0</v>
      </c>
      <c r="V20" s="371">
        <v>6.4951648260869493E-2</v>
      </c>
      <c r="W20" s="370">
        <v>9.0880952380952405E-5</v>
      </c>
      <c r="X20" s="370">
        <v>0</v>
      </c>
      <c r="Y20" s="370">
        <v>5.0073418758221598E-2</v>
      </c>
      <c r="Z20" s="370">
        <v>0</v>
      </c>
      <c r="AA20" s="371">
        <v>0</v>
      </c>
      <c r="AB20" s="371">
        <v>0</v>
      </c>
      <c r="AC20" s="371">
        <v>0</v>
      </c>
      <c r="AD20" s="371">
        <v>0</v>
      </c>
      <c r="AE20" s="371">
        <v>7.84975830434783E-2</v>
      </c>
      <c r="AF20" s="370">
        <v>1.13666666666667E-4</v>
      </c>
      <c r="AG20" s="370">
        <v>0</v>
      </c>
      <c r="AH20" s="370">
        <v>6.1650234415524099E-2</v>
      </c>
      <c r="AI20" s="370">
        <v>0</v>
      </c>
      <c r="AJ20" s="371">
        <v>0</v>
      </c>
      <c r="AK20" s="371">
        <v>0</v>
      </c>
      <c r="AL20" s="371">
        <v>0</v>
      </c>
      <c r="AM20" s="371">
        <v>0</v>
      </c>
      <c r="AN20" s="371">
        <v>7.9309443913043495E-2</v>
      </c>
      <c r="AO20" s="370">
        <v>1.15E-4</v>
      </c>
      <c r="AP20" s="370">
        <v>0</v>
      </c>
      <c r="AQ20" s="370">
        <v>5.5561930961362201E-2</v>
      </c>
      <c r="AR20" s="370">
        <v>0</v>
      </c>
      <c r="AS20" s="371">
        <v>0</v>
      </c>
      <c r="AT20" s="371">
        <v>0</v>
      </c>
      <c r="AU20" s="371">
        <v>0</v>
      </c>
      <c r="AV20" s="371">
        <v>0</v>
      </c>
      <c r="AW20" s="371">
        <v>7.9309443913043495E-2</v>
      </c>
      <c r="AX20" s="370">
        <v>1.15E-4</v>
      </c>
      <c r="AY20" s="370">
        <v>0</v>
      </c>
      <c r="AZ20" s="372">
        <v>5.1372232440230099E-2</v>
      </c>
      <c r="BA20" s="370">
        <v>0</v>
      </c>
      <c r="BB20" s="371">
        <v>0</v>
      </c>
      <c r="BC20" s="371">
        <v>0</v>
      </c>
      <c r="BD20" s="371">
        <v>0</v>
      </c>
      <c r="BE20" s="371">
        <v>0</v>
      </c>
      <c r="BF20" s="77"/>
    </row>
    <row r="21" spans="2:60" x14ac:dyDescent="0.35">
      <c r="B21" s="373" t="s">
        <v>815</v>
      </c>
      <c r="C21" s="344" t="s">
        <v>801</v>
      </c>
      <c r="D21" s="370">
        <v>0.50579312253770703</v>
      </c>
      <c r="E21" s="370">
        <v>0.10055279</v>
      </c>
      <c r="F21" s="370">
        <v>0</v>
      </c>
      <c r="G21" s="370">
        <v>3.7229669119684998</v>
      </c>
      <c r="H21" s="370">
        <v>0</v>
      </c>
      <c r="I21" s="371">
        <v>3.6645996076342002E-2</v>
      </c>
      <c r="J21" s="371">
        <v>7.86125866697098E-2</v>
      </c>
      <c r="K21" s="371">
        <v>0</v>
      </c>
      <c r="L21" s="371">
        <v>0</v>
      </c>
      <c r="M21" s="371">
        <v>0.47560832908642098</v>
      </c>
      <c r="N21" s="371">
        <v>0.10055279</v>
      </c>
      <c r="O21" s="371">
        <v>0</v>
      </c>
      <c r="P21" s="371">
        <v>3.5858237192697402</v>
      </c>
      <c r="Q21" s="371">
        <v>0</v>
      </c>
      <c r="R21" s="371">
        <v>3.0916184932247799E-2</v>
      </c>
      <c r="S21" s="371">
        <v>6.6383978354526099E-2</v>
      </c>
      <c r="T21" s="371">
        <v>0</v>
      </c>
      <c r="U21" s="371">
        <v>0</v>
      </c>
      <c r="V21" s="371">
        <v>0.43720872768476599</v>
      </c>
      <c r="W21" s="370">
        <v>0.10055279</v>
      </c>
      <c r="X21" s="370">
        <v>0</v>
      </c>
      <c r="Y21" s="370">
        <v>3.5902623826867499</v>
      </c>
      <c r="Z21" s="370">
        <v>0</v>
      </c>
      <c r="AA21" s="371">
        <v>2.5221426667623299E-2</v>
      </c>
      <c r="AB21" s="371">
        <v>5.4163197629256997E-2</v>
      </c>
      <c r="AC21" s="371">
        <v>0</v>
      </c>
      <c r="AD21" s="371">
        <v>0</v>
      </c>
      <c r="AE21" s="371">
        <v>0.36757508618476598</v>
      </c>
      <c r="AF21" s="370">
        <v>0.10055279</v>
      </c>
      <c r="AG21" s="370">
        <v>0</v>
      </c>
      <c r="AH21" s="370">
        <v>3.4604292295972501</v>
      </c>
      <c r="AI21" s="370">
        <v>0</v>
      </c>
      <c r="AJ21" s="371">
        <v>1.4378596846455099E-2</v>
      </c>
      <c r="AK21" s="371">
        <v>3.0880501239274501E-2</v>
      </c>
      <c r="AL21" s="371">
        <v>0</v>
      </c>
      <c r="AM21" s="371">
        <v>0</v>
      </c>
      <c r="AN21" s="371">
        <v>0.36391015768476598</v>
      </c>
      <c r="AO21" s="370">
        <v>0.10055279</v>
      </c>
      <c r="AP21" s="370">
        <v>0</v>
      </c>
      <c r="AQ21" s="370">
        <v>3.07632813511389</v>
      </c>
      <c r="AR21" s="370">
        <v>0</v>
      </c>
      <c r="AS21" s="371">
        <v>1.3885725449804801E-2</v>
      </c>
      <c r="AT21" s="371">
        <v>2.98221507167639E-2</v>
      </c>
      <c r="AU21" s="371">
        <v>0</v>
      </c>
      <c r="AV21" s="371">
        <v>0</v>
      </c>
      <c r="AW21" s="371">
        <v>0.36391015768476598</v>
      </c>
      <c r="AX21" s="370">
        <v>0.10055279</v>
      </c>
      <c r="AY21" s="370">
        <v>0</v>
      </c>
      <c r="AZ21" s="372">
        <v>3.41</v>
      </c>
      <c r="BA21" s="370">
        <v>0</v>
      </c>
      <c r="BB21" s="371">
        <v>1.3885725449804801E-2</v>
      </c>
      <c r="BC21" s="371">
        <v>2.98221507167639E-2</v>
      </c>
      <c r="BD21" s="371">
        <v>0</v>
      </c>
      <c r="BE21" s="371">
        <v>0</v>
      </c>
    </row>
    <row r="22" spans="2:60" x14ac:dyDescent="0.35">
      <c r="B22" s="365" t="s">
        <v>816</v>
      </c>
      <c r="C22" s="344" t="s">
        <v>801</v>
      </c>
      <c r="D22" s="366">
        <v>1.71499915586572E-2</v>
      </c>
      <c r="E22" s="366">
        <v>8.2271462011564199E-4</v>
      </c>
      <c r="F22" s="366">
        <v>1.3591720000992E-3</v>
      </c>
      <c r="G22" s="366">
        <v>3.0402678894089E-3</v>
      </c>
      <c r="H22" s="366">
        <v>0</v>
      </c>
      <c r="I22" s="366">
        <v>3.0046340433633301E-6</v>
      </c>
      <c r="J22" s="366">
        <v>1.3748762325047E-5</v>
      </c>
      <c r="K22" s="366">
        <v>0</v>
      </c>
      <c r="L22" s="366">
        <v>0</v>
      </c>
      <c r="M22" s="366">
        <v>3.3077311107787798E-2</v>
      </c>
      <c r="N22" s="366">
        <v>1.2239795203443701E-2</v>
      </c>
      <c r="O22" s="366">
        <v>1.13706492667394E-2</v>
      </c>
      <c r="P22" s="366">
        <v>3.7689237845972001E-3</v>
      </c>
      <c r="Q22" s="366">
        <v>0</v>
      </c>
      <c r="R22" s="366">
        <v>2.8130931972484E-6</v>
      </c>
      <c r="S22" s="366">
        <v>1.33499663401418E-5</v>
      </c>
      <c r="T22" s="366">
        <v>0</v>
      </c>
      <c r="U22" s="366">
        <v>0</v>
      </c>
      <c r="V22" s="366">
        <v>0.101484541555397</v>
      </c>
      <c r="W22" s="366">
        <v>6.4092964620095602E-2</v>
      </c>
      <c r="X22" s="366">
        <v>4.9819575999999997E-2</v>
      </c>
      <c r="Y22" s="366">
        <v>6.2546247972210603E-3</v>
      </c>
      <c r="Z22" s="366">
        <v>0</v>
      </c>
      <c r="AA22" s="366">
        <v>2.67886145412675E-6</v>
      </c>
      <c r="AB22" s="366">
        <v>1.30043302411082E-5</v>
      </c>
      <c r="AC22" s="366">
        <v>0</v>
      </c>
      <c r="AD22" s="366">
        <v>0</v>
      </c>
      <c r="AE22" s="366">
        <v>0.189099152742711</v>
      </c>
      <c r="AF22" s="366">
        <v>0.180339673305243</v>
      </c>
      <c r="AG22" s="366">
        <v>0.1575489588</v>
      </c>
      <c r="AH22" s="366">
        <v>5.4332907672144598E-3</v>
      </c>
      <c r="AI22" s="366">
        <v>0</v>
      </c>
      <c r="AJ22" s="366">
        <v>1.1173697975125099E-6</v>
      </c>
      <c r="AK22" s="366">
        <v>6.2178949557760904E-6</v>
      </c>
      <c r="AL22" s="366">
        <v>0</v>
      </c>
      <c r="AM22" s="366">
        <v>0</v>
      </c>
      <c r="AN22" s="366">
        <v>0.195078446505211</v>
      </c>
      <c r="AO22" s="366">
        <v>0.18772400824274299</v>
      </c>
      <c r="AP22" s="366">
        <v>0.1647882</v>
      </c>
      <c r="AQ22" s="366">
        <v>4.9076815679791703E-3</v>
      </c>
      <c r="AR22" s="366">
        <v>0</v>
      </c>
      <c r="AS22" s="366">
        <v>1.10396451412669E-6</v>
      </c>
      <c r="AT22" s="366">
        <v>6.1832691826350799E-6</v>
      </c>
      <c r="AU22" s="366">
        <v>0</v>
      </c>
      <c r="AV22" s="366">
        <v>0</v>
      </c>
      <c r="AW22" s="366">
        <v>0.195078446505211</v>
      </c>
      <c r="AX22" s="366">
        <v>0.18772400824274299</v>
      </c>
      <c r="AY22" s="366">
        <v>0.1647882</v>
      </c>
      <c r="AZ22" s="366">
        <v>4.5376133242774203E-3</v>
      </c>
      <c r="BA22" s="366">
        <v>0</v>
      </c>
      <c r="BB22" s="366">
        <v>1.10396451412669E-6</v>
      </c>
      <c r="BC22" s="366">
        <v>6.1832691826350799E-6</v>
      </c>
      <c r="BD22" s="366">
        <v>0</v>
      </c>
      <c r="BE22" s="366">
        <v>0</v>
      </c>
      <c r="BG22" s="77">
        <f>SUM(AE22:AM22)</f>
        <v>0.53242841087992165</v>
      </c>
      <c r="BH22" s="77">
        <f>SUM(AW22:BE22)</f>
        <v>0.55213555530592817</v>
      </c>
    </row>
    <row r="23" spans="2:60" x14ac:dyDescent="0.35">
      <c r="B23" s="373" t="s">
        <v>817</v>
      </c>
      <c r="C23" s="344" t="s">
        <v>801</v>
      </c>
      <c r="D23" s="370">
        <v>1.618400000326E-2</v>
      </c>
      <c r="E23" s="370">
        <v>2.3120000001999999E-4</v>
      </c>
      <c r="F23" s="370">
        <v>7.8839200009920001E-4</v>
      </c>
      <c r="G23" s="370">
        <v>1.8338086641478499E-3</v>
      </c>
      <c r="H23" s="371">
        <v>0</v>
      </c>
      <c r="I23" s="371">
        <v>0</v>
      </c>
      <c r="J23" s="371">
        <v>0</v>
      </c>
      <c r="K23" s="371">
        <v>0</v>
      </c>
      <c r="L23" s="371">
        <v>0</v>
      </c>
      <c r="M23" s="371">
        <v>2.1108426669057299E-2</v>
      </c>
      <c r="N23" s="371">
        <v>2.7242666668133301E-4</v>
      </c>
      <c r="O23" s="371">
        <v>9.6295093340607798E-4</v>
      </c>
      <c r="P23" s="371">
        <v>2.4075696607390598E-3</v>
      </c>
      <c r="Q23" s="371">
        <v>0</v>
      </c>
      <c r="R23" s="371">
        <v>0</v>
      </c>
      <c r="S23" s="371">
        <v>0</v>
      </c>
      <c r="T23" s="371">
        <v>0</v>
      </c>
      <c r="U23" s="371">
        <v>0</v>
      </c>
      <c r="V23" s="370">
        <v>3.2661999999999997E-2</v>
      </c>
      <c r="W23" s="370">
        <v>3.7359999999999997E-4</v>
      </c>
      <c r="X23" s="370">
        <v>1.3824760000000001E-3</v>
      </c>
      <c r="Y23" s="370">
        <v>3.9483428721205404E-3</v>
      </c>
      <c r="Z23" s="371">
        <v>0</v>
      </c>
      <c r="AA23" s="371">
        <v>0</v>
      </c>
      <c r="AB23" s="371">
        <v>0</v>
      </c>
      <c r="AC23" s="371">
        <v>0</v>
      </c>
      <c r="AD23" s="371">
        <v>0</v>
      </c>
      <c r="AE23" s="370">
        <v>1.5692600000000001E-2</v>
      </c>
      <c r="AF23" s="370">
        <v>2.2418000000000001E-4</v>
      </c>
      <c r="AG23" s="370">
        <v>7.6445379999999996E-4</v>
      </c>
      <c r="AH23" s="370">
        <v>1.98596058911995E-3</v>
      </c>
      <c r="AI23" s="371">
        <v>0</v>
      </c>
      <c r="AJ23" s="371">
        <v>0</v>
      </c>
      <c r="AK23" s="371">
        <v>0</v>
      </c>
      <c r="AL23" s="371">
        <v>0</v>
      </c>
      <c r="AM23" s="371">
        <v>0</v>
      </c>
      <c r="AN23" s="370">
        <v>1.54E-2</v>
      </c>
      <c r="AO23" s="370">
        <v>2.2000000000000001E-4</v>
      </c>
      <c r="AP23" s="370">
        <v>7.5020000000000002E-4</v>
      </c>
      <c r="AQ23" s="370">
        <v>1.7419156107612E-3</v>
      </c>
      <c r="AR23" s="371">
        <v>0</v>
      </c>
      <c r="AS23" s="371">
        <v>0</v>
      </c>
      <c r="AT23" s="371">
        <v>0</v>
      </c>
      <c r="AU23" s="371">
        <v>0</v>
      </c>
      <c r="AV23" s="371">
        <v>0</v>
      </c>
      <c r="AW23" s="370">
        <v>1.54E-2</v>
      </c>
      <c r="AX23" s="370">
        <v>2.2000000000000001E-4</v>
      </c>
      <c r="AY23" s="370">
        <v>7.5020000000000002E-4</v>
      </c>
      <c r="AZ23" s="370">
        <v>1.61056486156895E-3</v>
      </c>
      <c r="BA23" s="371">
        <v>0</v>
      </c>
      <c r="BB23" s="371">
        <v>0</v>
      </c>
      <c r="BC23" s="371">
        <v>0</v>
      </c>
      <c r="BD23" s="371">
        <v>0</v>
      </c>
      <c r="BE23" s="371">
        <v>0</v>
      </c>
    </row>
    <row r="24" spans="2:60" x14ac:dyDescent="0.35">
      <c r="B24" s="374" t="s">
        <v>818</v>
      </c>
      <c r="C24" s="344" t="s">
        <v>801</v>
      </c>
      <c r="D24" s="370">
        <v>5.1208500000000001E-4</v>
      </c>
      <c r="E24" s="370">
        <v>5.9147500000000005E-4</v>
      </c>
      <c r="F24" s="370">
        <v>5.7078000000000001E-4</v>
      </c>
      <c r="G24" s="370">
        <v>6.96870883948354E-6</v>
      </c>
      <c r="H24" s="371">
        <v>0</v>
      </c>
      <c r="I24" s="371">
        <v>0</v>
      </c>
      <c r="J24" s="371">
        <v>0</v>
      </c>
      <c r="K24" s="371">
        <v>0</v>
      </c>
      <c r="L24" s="371">
        <v>0</v>
      </c>
      <c r="M24" s="371">
        <v>1.15149778833333E-2</v>
      </c>
      <c r="N24" s="371">
        <v>1.19673289166667E-2</v>
      </c>
      <c r="O24" s="371">
        <v>1.04076983333333E-2</v>
      </c>
      <c r="P24" s="371">
        <v>1.6213093316411401E-4</v>
      </c>
      <c r="Q24" s="371">
        <v>0</v>
      </c>
      <c r="R24" s="371">
        <v>0</v>
      </c>
      <c r="S24" s="371">
        <v>0</v>
      </c>
      <c r="T24" s="371">
        <v>0</v>
      </c>
      <c r="U24" s="371">
        <v>0</v>
      </c>
      <c r="V24" s="370">
        <v>6.8368634999999997E-2</v>
      </c>
      <c r="W24" s="370">
        <v>6.3719324999999993E-2</v>
      </c>
      <c r="X24" s="370">
        <v>4.8437099999999997E-2</v>
      </c>
      <c r="Y24" s="370">
        <v>1.0444932293596401E-3</v>
      </c>
      <c r="Z24" s="371">
        <v>0</v>
      </c>
      <c r="AA24" s="371">
        <v>0</v>
      </c>
      <c r="AB24" s="371">
        <v>0</v>
      </c>
      <c r="AC24" s="371">
        <v>0</v>
      </c>
      <c r="AD24" s="371">
        <v>0</v>
      </c>
      <c r="AE24" s="370">
        <v>0.17316330623750001</v>
      </c>
      <c r="AF24" s="370">
        <v>0.1801154850625</v>
      </c>
      <c r="AG24" s="370">
        <v>0.15678450499999999</v>
      </c>
      <c r="AH24" s="370">
        <v>2.7230379483070299E-3</v>
      </c>
      <c r="AI24" s="371">
        <v>0</v>
      </c>
      <c r="AJ24" s="371">
        <v>0</v>
      </c>
      <c r="AK24" s="371">
        <v>0</v>
      </c>
      <c r="AL24" s="371">
        <v>0</v>
      </c>
      <c r="AM24" s="371">
        <v>0</v>
      </c>
      <c r="AN24" s="370">
        <v>0.17943519999999999</v>
      </c>
      <c r="AO24" s="370">
        <v>0.187504</v>
      </c>
      <c r="AP24" s="370">
        <v>0.16403799999999999</v>
      </c>
      <c r="AQ24" s="370">
        <v>2.5184079926351402E-3</v>
      </c>
      <c r="AR24" s="371">
        <v>0</v>
      </c>
      <c r="AS24" s="371">
        <v>0</v>
      </c>
      <c r="AT24" s="371">
        <v>0</v>
      </c>
      <c r="AU24" s="371">
        <v>0</v>
      </c>
      <c r="AV24" s="371">
        <v>0</v>
      </c>
      <c r="AW24" s="370">
        <v>0.17943519999999999</v>
      </c>
      <c r="AX24" s="370">
        <v>0.187504</v>
      </c>
      <c r="AY24" s="370">
        <v>0.16403799999999999</v>
      </c>
      <c r="AZ24" s="370">
        <v>2.3285051210144899E-3</v>
      </c>
      <c r="BA24" s="371">
        <v>0</v>
      </c>
      <c r="BB24" s="371">
        <v>0</v>
      </c>
      <c r="BC24" s="371">
        <v>0</v>
      </c>
      <c r="BD24" s="371">
        <v>0</v>
      </c>
      <c r="BE24" s="371">
        <v>0</v>
      </c>
    </row>
    <row r="25" spans="2:60" x14ac:dyDescent="0.35">
      <c r="B25" s="374" t="s">
        <v>819</v>
      </c>
      <c r="C25" s="344" t="s">
        <v>801</v>
      </c>
      <c r="D25" s="370">
        <v>4.5390655539714799E-4</v>
      </c>
      <c r="E25" s="370">
        <v>3.9620095641651102E-8</v>
      </c>
      <c r="F25" s="370">
        <v>0</v>
      </c>
      <c r="G25" s="370">
        <v>1.1994905164215701E-3</v>
      </c>
      <c r="H25" s="371">
        <v>0</v>
      </c>
      <c r="I25" s="371">
        <v>3.0046340433633301E-6</v>
      </c>
      <c r="J25" s="371">
        <v>1.3748762325047E-5</v>
      </c>
      <c r="K25" s="371">
        <v>0</v>
      </c>
      <c r="L25" s="371">
        <v>0</v>
      </c>
      <c r="M25" s="371">
        <v>4.5390655539714799E-4</v>
      </c>
      <c r="N25" s="371">
        <v>3.9620095641651102E-8</v>
      </c>
      <c r="O25" s="371">
        <v>0</v>
      </c>
      <c r="P25" s="371">
        <v>1.1992231906940299E-3</v>
      </c>
      <c r="Q25" s="371">
        <v>0</v>
      </c>
      <c r="R25" s="371">
        <v>2.8130931972484E-6</v>
      </c>
      <c r="S25" s="371">
        <v>1.33499663401418E-5</v>
      </c>
      <c r="T25" s="371">
        <v>0</v>
      </c>
      <c r="U25" s="371">
        <v>0</v>
      </c>
      <c r="V25" s="370">
        <v>4.5390655539714799E-4</v>
      </c>
      <c r="W25" s="370">
        <v>3.9620095641651102E-8</v>
      </c>
      <c r="X25" s="370">
        <v>0</v>
      </c>
      <c r="Y25" s="370">
        <v>1.26178869574089E-3</v>
      </c>
      <c r="Z25" s="371">
        <v>0</v>
      </c>
      <c r="AA25" s="371">
        <v>2.67886145412675E-6</v>
      </c>
      <c r="AB25" s="371">
        <v>1.30043302411082E-5</v>
      </c>
      <c r="AC25" s="371">
        <v>0</v>
      </c>
      <c r="AD25" s="371">
        <v>0</v>
      </c>
      <c r="AE25" s="370">
        <v>2.43246505210592E-4</v>
      </c>
      <c r="AF25" s="370">
        <v>8.2427433628318608E-9</v>
      </c>
      <c r="AG25" s="370">
        <v>0</v>
      </c>
      <c r="AH25" s="370">
        <v>7.2429222978747504E-4</v>
      </c>
      <c r="AI25" s="371">
        <v>0</v>
      </c>
      <c r="AJ25" s="371">
        <v>1.1173697975125099E-6</v>
      </c>
      <c r="AK25" s="371">
        <v>6.2178949557760904E-6</v>
      </c>
      <c r="AL25" s="371">
        <v>0</v>
      </c>
      <c r="AM25" s="371">
        <v>0</v>
      </c>
      <c r="AN25" s="370">
        <v>2.43246505210592E-4</v>
      </c>
      <c r="AO25" s="370">
        <v>8.2427433628318608E-9</v>
      </c>
      <c r="AP25" s="370">
        <v>0</v>
      </c>
      <c r="AQ25" s="370">
        <v>6.4735796458283395E-4</v>
      </c>
      <c r="AR25" s="371">
        <v>0</v>
      </c>
      <c r="AS25" s="371">
        <v>1.10396451412669E-6</v>
      </c>
      <c r="AT25" s="371">
        <v>6.1832691826350799E-6</v>
      </c>
      <c r="AU25" s="371">
        <v>0</v>
      </c>
      <c r="AV25" s="371">
        <v>0</v>
      </c>
      <c r="AW25" s="370">
        <v>2.43246505210592E-4</v>
      </c>
      <c r="AX25" s="370">
        <v>8.2427433628318608E-9</v>
      </c>
      <c r="AY25" s="370">
        <v>0</v>
      </c>
      <c r="AZ25" s="370">
        <v>5.98543341693974E-4</v>
      </c>
      <c r="BA25" s="371">
        <v>0</v>
      </c>
      <c r="BB25" s="371">
        <v>1.10396451412669E-6</v>
      </c>
      <c r="BC25" s="371">
        <v>6.1832691826350799E-6</v>
      </c>
      <c r="BD25" s="371">
        <v>0</v>
      </c>
      <c r="BE25" s="371">
        <v>0</v>
      </c>
    </row>
    <row r="26" spans="2:60" x14ac:dyDescent="0.35">
      <c r="B26" s="375" t="s">
        <v>820</v>
      </c>
      <c r="C26" s="344" t="s">
        <v>801</v>
      </c>
      <c r="D26" s="376">
        <v>0</v>
      </c>
      <c r="E26" s="376">
        <v>0</v>
      </c>
      <c r="F26" s="376">
        <v>0</v>
      </c>
      <c r="G26" s="376">
        <v>0</v>
      </c>
      <c r="H26" s="376">
        <v>1.2422142857142899</v>
      </c>
      <c r="I26" s="376">
        <v>0.25816612540944101</v>
      </c>
      <c r="J26" s="376">
        <v>0.23583999999999999</v>
      </c>
      <c r="K26" s="376">
        <v>0</v>
      </c>
      <c r="L26" s="376">
        <v>0</v>
      </c>
      <c r="M26" s="376">
        <v>0</v>
      </c>
      <c r="N26" s="376">
        <v>0</v>
      </c>
      <c r="O26" s="376">
        <v>0</v>
      </c>
      <c r="P26" s="376">
        <v>0</v>
      </c>
      <c r="Q26" s="376">
        <v>1.1704205956385501</v>
      </c>
      <c r="R26" s="376">
        <v>0.26012220719702001</v>
      </c>
      <c r="S26" s="376">
        <v>0.23798141807050299</v>
      </c>
      <c r="T26" s="376">
        <v>0</v>
      </c>
      <c r="U26" s="376">
        <v>0</v>
      </c>
      <c r="V26" s="376">
        <v>0</v>
      </c>
      <c r="W26" s="376">
        <v>0</v>
      </c>
      <c r="X26" s="376">
        <v>0</v>
      </c>
      <c r="Y26" s="376">
        <v>0</v>
      </c>
      <c r="Z26" s="376">
        <v>1.1283185305005701</v>
      </c>
      <c r="AA26" s="376">
        <v>0.26486472392492499</v>
      </c>
      <c r="AB26" s="376">
        <v>0.24296588837663299</v>
      </c>
      <c r="AC26" s="376">
        <v>0</v>
      </c>
      <c r="AD26" s="376">
        <v>0</v>
      </c>
      <c r="AE26" s="376">
        <v>0</v>
      </c>
      <c r="AF26" s="376">
        <v>0</v>
      </c>
      <c r="AG26" s="376">
        <v>0</v>
      </c>
      <c r="AH26" s="376">
        <v>0</v>
      </c>
      <c r="AI26" s="376">
        <v>0.95926510863304204</v>
      </c>
      <c r="AJ26" s="376">
        <v>0.26919421855235198</v>
      </c>
      <c r="AK26" s="376">
        <v>0.248883733602177</v>
      </c>
      <c r="AL26" s="376">
        <v>0</v>
      </c>
      <c r="AM26" s="376">
        <v>0</v>
      </c>
      <c r="AN26" s="376">
        <v>0</v>
      </c>
      <c r="AO26" s="376">
        <v>0</v>
      </c>
      <c r="AP26" s="376">
        <v>0</v>
      </c>
      <c r="AQ26" s="376">
        <v>0</v>
      </c>
      <c r="AR26" s="376">
        <v>0.949964541998086</v>
      </c>
      <c r="AS26" s="376">
        <v>0.26940878455461997</v>
      </c>
      <c r="AT26" s="376">
        <v>0.24918724887927801</v>
      </c>
      <c r="AU26" s="376">
        <v>0</v>
      </c>
      <c r="AV26" s="376">
        <v>0</v>
      </c>
      <c r="AW26" s="376">
        <v>0</v>
      </c>
      <c r="AX26" s="376">
        <v>0</v>
      </c>
      <c r="AY26" s="376">
        <v>0</v>
      </c>
      <c r="AZ26" s="376">
        <v>0</v>
      </c>
      <c r="BA26" s="377">
        <v>0.93</v>
      </c>
      <c r="BB26" s="376">
        <v>0.26940878455461997</v>
      </c>
      <c r="BC26" s="376">
        <v>0.24918724887927801</v>
      </c>
      <c r="BD26" s="376">
        <v>0</v>
      </c>
      <c r="BE26" s="376">
        <v>0</v>
      </c>
      <c r="BG26" s="77">
        <f>SUM(AE26:AM26)</f>
        <v>1.477343060787571</v>
      </c>
      <c r="BH26" s="77">
        <f>SUM(AW26:BE26)</f>
        <v>1.4485960334338981</v>
      </c>
    </row>
    <row r="27" spans="2:60" x14ac:dyDescent="0.35">
      <c r="B27" s="378" t="s">
        <v>821</v>
      </c>
      <c r="C27" s="344" t="s">
        <v>801</v>
      </c>
      <c r="D27" s="379">
        <v>0</v>
      </c>
      <c r="E27" s="379">
        <v>0</v>
      </c>
      <c r="F27" s="379">
        <v>0</v>
      </c>
      <c r="G27" s="379">
        <v>0</v>
      </c>
      <c r="H27" s="380">
        <v>1.2422142857142899</v>
      </c>
      <c r="I27" s="380">
        <v>0</v>
      </c>
      <c r="J27" s="380">
        <v>0</v>
      </c>
      <c r="K27" s="380">
        <v>0</v>
      </c>
      <c r="L27" s="380">
        <v>0</v>
      </c>
      <c r="M27" s="380">
        <v>0</v>
      </c>
      <c r="N27" s="380">
        <v>0</v>
      </c>
      <c r="O27" s="380">
        <v>0</v>
      </c>
      <c r="P27" s="380">
        <v>0</v>
      </c>
      <c r="Q27" s="380">
        <v>1.1704205956385501</v>
      </c>
      <c r="R27" s="380">
        <v>0</v>
      </c>
      <c r="S27" s="380">
        <v>0</v>
      </c>
      <c r="T27" s="380">
        <v>0</v>
      </c>
      <c r="U27" s="380">
        <v>0</v>
      </c>
      <c r="V27" s="379">
        <v>0</v>
      </c>
      <c r="W27" s="379">
        <v>0</v>
      </c>
      <c r="X27" s="379">
        <v>0</v>
      </c>
      <c r="Y27" s="379">
        <v>0</v>
      </c>
      <c r="Z27" s="380">
        <v>1.1283185305005701</v>
      </c>
      <c r="AA27" s="380">
        <v>0</v>
      </c>
      <c r="AB27" s="380">
        <v>0</v>
      </c>
      <c r="AC27" s="380">
        <v>0</v>
      </c>
      <c r="AD27" s="380">
        <v>0</v>
      </c>
      <c r="AE27" s="379">
        <v>0</v>
      </c>
      <c r="AF27" s="379">
        <v>0</v>
      </c>
      <c r="AG27" s="379">
        <v>0</v>
      </c>
      <c r="AH27" s="379">
        <v>0</v>
      </c>
      <c r="AI27" s="380">
        <v>0.95926510863304204</v>
      </c>
      <c r="AJ27" s="380">
        <v>0</v>
      </c>
      <c r="AK27" s="380">
        <v>0</v>
      </c>
      <c r="AL27" s="380">
        <v>0</v>
      </c>
      <c r="AM27" s="380">
        <v>0</v>
      </c>
      <c r="AN27" s="379">
        <v>0</v>
      </c>
      <c r="AO27" s="379">
        <v>0</v>
      </c>
      <c r="AP27" s="379">
        <v>0</v>
      </c>
      <c r="AQ27" s="379">
        <v>0</v>
      </c>
      <c r="AR27" s="380">
        <v>0.949964541998086</v>
      </c>
      <c r="AS27" s="380">
        <v>0</v>
      </c>
      <c r="AT27" s="380">
        <v>0</v>
      </c>
      <c r="AU27" s="380">
        <v>0</v>
      </c>
      <c r="AV27" s="380">
        <v>0</v>
      </c>
      <c r="AW27" s="379">
        <v>0</v>
      </c>
      <c r="AX27" s="379">
        <v>0</v>
      </c>
      <c r="AY27" s="379">
        <v>0</v>
      </c>
      <c r="AZ27" s="379">
        <v>0</v>
      </c>
      <c r="BA27" s="381">
        <v>0.93</v>
      </c>
      <c r="BB27" s="380">
        <v>0</v>
      </c>
      <c r="BC27" s="380">
        <v>0</v>
      </c>
      <c r="BD27" s="380">
        <v>0</v>
      </c>
      <c r="BE27" s="380">
        <v>0</v>
      </c>
    </row>
    <row r="28" spans="2:60" x14ac:dyDescent="0.35">
      <c r="B28" s="378" t="s">
        <v>822</v>
      </c>
      <c r="C28" s="344" t="s">
        <v>801</v>
      </c>
      <c r="D28" s="379">
        <v>0</v>
      </c>
      <c r="E28" s="379">
        <v>0</v>
      </c>
      <c r="F28" s="379">
        <v>0</v>
      </c>
      <c r="G28" s="379">
        <v>0</v>
      </c>
      <c r="H28" s="380">
        <v>0</v>
      </c>
      <c r="I28" s="380">
        <v>0</v>
      </c>
      <c r="J28" s="380">
        <v>0</v>
      </c>
      <c r="K28" s="380">
        <v>0</v>
      </c>
      <c r="L28" s="380">
        <v>0</v>
      </c>
      <c r="M28" s="380">
        <v>0</v>
      </c>
      <c r="N28" s="380">
        <v>0</v>
      </c>
      <c r="O28" s="380">
        <v>0</v>
      </c>
      <c r="P28" s="380">
        <v>0</v>
      </c>
      <c r="Q28" s="380">
        <v>0</v>
      </c>
      <c r="R28" s="380">
        <v>0</v>
      </c>
      <c r="S28" s="380">
        <v>0</v>
      </c>
      <c r="T28" s="380">
        <v>0</v>
      </c>
      <c r="U28" s="380">
        <v>0</v>
      </c>
      <c r="V28" s="379">
        <v>0</v>
      </c>
      <c r="W28" s="379">
        <v>0</v>
      </c>
      <c r="X28" s="379">
        <v>0</v>
      </c>
      <c r="Y28" s="379">
        <v>0</v>
      </c>
      <c r="Z28" s="380">
        <v>0</v>
      </c>
      <c r="AA28" s="380">
        <v>0</v>
      </c>
      <c r="AB28" s="380">
        <v>0</v>
      </c>
      <c r="AC28" s="380">
        <v>0</v>
      </c>
      <c r="AD28" s="380">
        <v>0</v>
      </c>
      <c r="AE28" s="379">
        <v>0</v>
      </c>
      <c r="AF28" s="379">
        <v>0</v>
      </c>
      <c r="AG28" s="379">
        <v>0</v>
      </c>
      <c r="AH28" s="379">
        <v>0</v>
      </c>
      <c r="AI28" s="380">
        <v>0</v>
      </c>
      <c r="AJ28" s="380">
        <v>0</v>
      </c>
      <c r="AK28" s="380">
        <v>0</v>
      </c>
      <c r="AL28" s="380">
        <v>0</v>
      </c>
      <c r="AM28" s="380">
        <v>0</v>
      </c>
      <c r="AN28" s="379">
        <v>0</v>
      </c>
      <c r="AO28" s="379">
        <v>0</v>
      </c>
      <c r="AP28" s="379">
        <v>0</v>
      </c>
      <c r="AQ28" s="379">
        <v>0</v>
      </c>
      <c r="AR28" s="380">
        <v>0</v>
      </c>
      <c r="AS28" s="380">
        <v>0</v>
      </c>
      <c r="AT28" s="380">
        <v>0</v>
      </c>
      <c r="AU28" s="380">
        <v>0</v>
      </c>
      <c r="AV28" s="380">
        <v>0</v>
      </c>
      <c r="AW28" s="379">
        <v>0</v>
      </c>
      <c r="AX28" s="379">
        <v>0</v>
      </c>
      <c r="AY28" s="379">
        <v>0</v>
      </c>
      <c r="AZ28" s="379">
        <v>0</v>
      </c>
      <c r="BA28" s="380">
        <v>0</v>
      </c>
      <c r="BB28" s="380">
        <v>0</v>
      </c>
      <c r="BC28" s="380">
        <v>0</v>
      </c>
      <c r="BD28" s="380">
        <v>0</v>
      </c>
      <c r="BE28" s="380">
        <v>0</v>
      </c>
    </row>
    <row r="29" spans="2:60" x14ac:dyDescent="0.35">
      <c r="B29" s="382" t="s">
        <v>823</v>
      </c>
      <c r="C29" s="344" t="s">
        <v>801</v>
      </c>
      <c r="D29" s="379">
        <v>0</v>
      </c>
      <c r="E29" s="379">
        <v>0</v>
      </c>
      <c r="F29" s="379">
        <v>0</v>
      </c>
      <c r="G29" s="379">
        <v>0</v>
      </c>
      <c r="H29" s="380">
        <v>0</v>
      </c>
      <c r="I29" s="380">
        <v>2.9869846476024298E-2</v>
      </c>
      <c r="J29" s="380">
        <v>1.8425E-2</v>
      </c>
      <c r="K29" s="380">
        <v>0</v>
      </c>
      <c r="L29" s="380">
        <v>0</v>
      </c>
      <c r="M29" s="380">
        <v>0</v>
      </c>
      <c r="N29" s="380">
        <v>0</v>
      </c>
      <c r="O29" s="380">
        <v>0</v>
      </c>
      <c r="P29" s="380">
        <v>0</v>
      </c>
      <c r="Q29" s="380">
        <v>0</v>
      </c>
      <c r="R29" s="380">
        <v>2.9100283007842301E-2</v>
      </c>
      <c r="S29" s="380">
        <v>1.7950300308703201E-2</v>
      </c>
      <c r="T29" s="380">
        <v>0</v>
      </c>
      <c r="U29" s="380">
        <v>0</v>
      </c>
      <c r="V29" s="379">
        <v>0</v>
      </c>
      <c r="W29" s="379">
        <v>0</v>
      </c>
      <c r="X29" s="379">
        <v>0</v>
      </c>
      <c r="Y29" s="379">
        <v>0</v>
      </c>
      <c r="Z29" s="380">
        <v>0</v>
      </c>
      <c r="AA29" s="380">
        <v>2.7844005279974899E-2</v>
      </c>
      <c r="AB29" s="380">
        <v>1.7175374426357699E-2</v>
      </c>
      <c r="AC29" s="380">
        <v>0</v>
      </c>
      <c r="AD29" s="380">
        <v>0</v>
      </c>
      <c r="AE29" s="379">
        <v>0</v>
      </c>
      <c r="AF29" s="379">
        <v>0</v>
      </c>
      <c r="AG29" s="379">
        <v>0</v>
      </c>
      <c r="AH29" s="379">
        <v>0</v>
      </c>
      <c r="AI29" s="380">
        <v>0</v>
      </c>
      <c r="AJ29" s="380">
        <v>2.2748514919928398E-2</v>
      </c>
      <c r="AK29" s="380">
        <v>1.4032257840230799E-2</v>
      </c>
      <c r="AL29" s="380">
        <v>0</v>
      </c>
      <c r="AM29" s="380">
        <v>0</v>
      </c>
      <c r="AN29" s="379">
        <v>0</v>
      </c>
      <c r="AO29" s="379">
        <v>0</v>
      </c>
      <c r="AP29" s="379">
        <v>0</v>
      </c>
      <c r="AQ29" s="379">
        <v>0</v>
      </c>
      <c r="AR29" s="380">
        <v>0</v>
      </c>
      <c r="AS29" s="380">
        <v>2.2466784052097299E-2</v>
      </c>
      <c r="AT29" s="380">
        <v>1.38584741803798E-2</v>
      </c>
      <c r="AU29" s="380">
        <v>0</v>
      </c>
      <c r="AV29" s="380">
        <v>0</v>
      </c>
      <c r="AW29" s="379">
        <v>0</v>
      </c>
      <c r="AX29" s="379">
        <v>0</v>
      </c>
      <c r="AY29" s="379">
        <v>0</v>
      </c>
      <c r="AZ29" s="379">
        <v>0</v>
      </c>
      <c r="BA29" s="380">
        <v>0</v>
      </c>
      <c r="BB29" s="380">
        <v>2.2466784052097299E-2</v>
      </c>
      <c r="BC29" s="380">
        <v>1.38584741803798E-2</v>
      </c>
      <c r="BD29" s="380">
        <v>0</v>
      </c>
      <c r="BE29" s="380">
        <v>0</v>
      </c>
    </row>
    <row r="30" spans="2:60" x14ac:dyDescent="0.35">
      <c r="B30" s="382" t="s">
        <v>824</v>
      </c>
      <c r="C30" s="344" t="s">
        <v>801</v>
      </c>
      <c r="D30" s="379">
        <v>0</v>
      </c>
      <c r="E30" s="379">
        <v>0</v>
      </c>
      <c r="F30" s="379">
        <v>0</v>
      </c>
      <c r="G30" s="379">
        <v>0</v>
      </c>
      <c r="H30" s="380">
        <v>0</v>
      </c>
      <c r="I30" s="380">
        <v>0.168556585981368</v>
      </c>
      <c r="J30" s="380">
        <v>8.1070000000000003E-2</v>
      </c>
      <c r="K30" s="380">
        <v>0</v>
      </c>
      <c r="L30" s="380">
        <v>0</v>
      </c>
      <c r="M30" s="380">
        <v>0</v>
      </c>
      <c r="N30" s="380">
        <v>0</v>
      </c>
      <c r="O30" s="380">
        <v>0</v>
      </c>
      <c r="P30" s="380">
        <v>0</v>
      </c>
      <c r="Q30" s="380">
        <v>0</v>
      </c>
      <c r="R30" s="380">
        <v>0.17056653922803799</v>
      </c>
      <c r="S30" s="380">
        <v>8.2036719329053806E-2</v>
      </c>
      <c r="T30" s="380">
        <v>0</v>
      </c>
      <c r="U30" s="380">
        <v>0</v>
      </c>
      <c r="V30" s="379">
        <v>0</v>
      </c>
      <c r="W30" s="379">
        <v>0</v>
      </c>
      <c r="X30" s="379">
        <v>0</v>
      </c>
      <c r="Y30" s="379">
        <v>0</v>
      </c>
      <c r="Z30" s="380">
        <v>0</v>
      </c>
      <c r="AA30" s="380">
        <v>0.17498998798455001</v>
      </c>
      <c r="AB30" s="380">
        <v>8.4164248126593899E-2</v>
      </c>
      <c r="AC30" s="380">
        <v>0</v>
      </c>
      <c r="AD30" s="380">
        <v>0</v>
      </c>
      <c r="AE30" s="379">
        <v>0</v>
      </c>
      <c r="AF30" s="379">
        <v>0</v>
      </c>
      <c r="AG30" s="379">
        <v>0</v>
      </c>
      <c r="AH30" s="379">
        <v>0</v>
      </c>
      <c r="AI30" s="380">
        <v>0</v>
      </c>
      <c r="AJ30" s="380">
        <v>0.18193841566923499</v>
      </c>
      <c r="AK30" s="380">
        <v>8.7506206135043896E-2</v>
      </c>
      <c r="AL30" s="380">
        <v>0</v>
      </c>
      <c r="AM30" s="380">
        <v>0</v>
      </c>
      <c r="AN30" s="379">
        <v>0</v>
      </c>
      <c r="AO30" s="379">
        <v>0</v>
      </c>
      <c r="AP30" s="379">
        <v>0</v>
      </c>
      <c r="AQ30" s="379">
        <v>0</v>
      </c>
      <c r="AR30" s="380">
        <v>0</v>
      </c>
      <c r="AS30" s="380">
        <v>0.182304282476623</v>
      </c>
      <c r="AT30" s="380">
        <v>8.7682175658289202E-2</v>
      </c>
      <c r="AU30" s="380">
        <v>0</v>
      </c>
      <c r="AV30" s="380">
        <v>0</v>
      </c>
      <c r="AW30" s="379">
        <v>0</v>
      </c>
      <c r="AX30" s="379">
        <v>0</v>
      </c>
      <c r="AY30" s="379">
        <v>0</v>
      </c>
      <c r="AZ30" s="379">
        <v>0</v>
      </c>
      <c r="BA30" s="380">
        <v>0</v>
      </c>
      <c r="BB30" s="380">
        <v>0.182304282476623</v>
      </c>
      <c r="BC30" s="380">
        <v>8.7682175658289202E-2</v>
      </c>
      <c r="BD30" s="380">
        <v>0</v>
      </c>
      <c r="BE30" s="380">
        <v>0</v>
      </c>
    </row>
    <row r="31" spans="2:60" x14ac:dyDescent="0.35">
      <c r="B31" s="382" t="s">
        <v>825</v>
      </c>
      <c r="C31" s="344" t="s">
        <v>801</v>
      </c>
      <c r="D31" s="379">
        <v>0</v>
      </c>
      <c r="E31" s="379">
        <v>0</v>
      </c>
      <c r="F31" s="379">
        <v>0</v>
      </c>
      <c r="G31" s="379">
        <v>0</v>
      </c>
      <c r="H31" s="380">
        <v>0</v>
      </c>
      <c r="I31" s="380">
        <v>2.9869846476024298E-2</v>
      </c>
      <c r="J31" s="380">
        <v>9.9495E-2</v>
      </c>
      <c r="K31" s="380">
        <v>0</v>
      </c>
      <c r="L31" s="380">
        <v>0</v>
      </c>
      <c r="M31" s="380">
        <v>0</v>
      </c>
      <c r="N31" s="380">
        <v>0</v>
      </c>
      <c r="O31" s="380">
        <v>0</v>
      </c>
      <c r="P31" s="380">
        <v>0</v>
      </c>
      <c r="Q31" s="380">
        <v>0</v>
      </c>
      <c r="R31" s="380">
        <v>3.0235303055622199E-2</v>
      </c>
      <c r="S31" s="380">
        <v>0.10071231802057599</v>
      </c>
      <c r="T31" s="380">
        <v>0</v>
      </c>
      <c r="U31" s="380">
        <v>0</v>
      </c>
      <c r="V31" s="379">
        <v>0</v>
      </c>
      <c r="W31" s="379">
        <v>0</v>
      </c>
      <c r="X31" s="379">
        <v>0</v>
      </c>
      <c r="Y31" s="379">
        <v>0</v>
      </c>
      <c r="Z31" s="380">
        <v>0</v>
      </c>
      <c r="AA31" s="380">
        <v>3.1040344676992598E-2</v>
      </c>
      <c r="AB31" s="380">
        <v>0.103393872349371</v>
      </c>
      <c r="AC31" s="380">
        <v>0</v>
      </c>
      <c r="AD31" s="380">
        <v>0</v>
      </c>
      <c r="AE31" s="379">
        <v>0</v>
      </c>
      <c r="AF31" s="379">
        <v>0</v>
      </c>
      <c r="AG31" s="379">
        <v>0</v>
      </c>
      <c r="AH31" s="379">
        <v>0</v>
      </c>
      <c r="AI31" s="380">
        <v>0</v>
      </c>
      <c r="AJ31" s="380">
        <v>3.2310432137927503E-2</v>
      </c>
      <c r="AK31" s="380">
        <v>0.107624471660524</v>
      </c>
      <c r="AL31" s="380">
        <v>0</v>
      </c>
      <c r="AM31" s="380">
        <v>0</v>
      </c>
      <c r="AN31" s="379">
        <v>0</v>
      </c>
      <c r="AO31" s="379">
        <v>0</v>
      </c>
      <c r="AP31" s="379">
        <v>0</v>
      </c>
      <c r="AQ31" s="379">
        <v>0</v>
      </c>
      <c r="AR31" s="380">
        <v>0</v>
      </c>
      <c r="AS31" s="380">
        <v>3.2377385853551002E-2</v>
      </c>
      <c r="AT31" s="380">
        <v>0.107847491217766</v>
      </c>
      <c r="AU31" s="380">
        <v>0</v>
      </c>
      <c r="AV31" s="380">
        <v>0</v>
      </c>
      <c r="AW31" s="379">
        <v>0</v>
      </c>
      <c r="AX31" s="379">
        <v>0</v>
      </c>
      <c r="AY31" s="379">
        <v>0</v>
      </c>
      <c r="AZ31" s="379">
        <v>0</v>
      </c>
      <c r="BA31" s="380">
        <v>0</v>
      </c>
      <c r="BB31" s="380">
        <v>3.2377385853551002E-2</v>
      </c>
      <c r="BC31" s="380">
        <v>0.107847491217766</v>
      </c>
      <c r="BD31" s="380">
        <v>0</v>
      </c>
      <c r="BE31" s="380">
        <v>0</v>
      </c>
    </row>
    <row r="32" spans="2:60" x14ac:dyDescent="0.35">
      <c r="B32" s="383" t="s">
        <v>826</v>
      </c>
      <c r="C32" s="344" t="s">
        <v>801</v>
      </c>
      <c r="D32" s="379">
        <v>0</v>
      </c>
      <c r="E32" s="379">
        <v>0</v>
      </c>
      <c r="F32" s="379">
        <v>0</v>
      </c>
      <c r="G32" s="379">
        <v>0</v>
      </c>
      <c r="H32" s="380">
        <v>0</v>
      </c>
      <c r="I32" s="380">
        <v>2.9869846476024298E-2</v>
      </c>
      <c r="J32" s="380">
        <v>3.6850000000000001E-2</v>
      </c>
      <c r="K32" s="380">
        <v>0</v>
      </c>
      <c r="L32" s="380">
        <v>0</v>
      </c>
      <c r="M32" s="380">
        <v>0</v>
      </c>
      <c r="N32" s="380">
        <v>0</v>
      </c>
      <c r="O32" s="380">
        <v>0</v>
      </c>
      <c r="P32" s="380">
        <v>0</v>
      </c>
      <c r="Q32" s="380">
        <v>0</v>
      </c>
      <c r="R32" s="380">
        <v>3.02200819055174E-2</v>
      </c>
      <c r="S32" s="380">
        <v>3.7282080412170203E-2</v>
      </c>
      <c r="T32" s="380">
        <v>0</v>
      </c>
      <c r="U32" s="380">
        <v>0</v>
      </c>
      <c r="V32" s="379">
        <v>0</v>
      </c>
      <c r="W32" s="379">
        <v>0</v>
      </c>
      <c r="X32" s="379">
        <v>0</v>
      </c>
      <c r="Y32" s="379">
        <v>0</v>
      </c>
      <c r="Z32" s="380">
        <v>0</v>
      </c>
      <c r="AA32" s="380">
        <v>3.0990385983408499E-2</v>
      </c>
      <c r="AB32" s="380">
        <v>3.8232393474310303E-2</v>
      </c>
      <c r="AC32" s="380">
        <v>0</v>
      </c>
      <c r="AD32" s="380">
        <v>0</v>
      </c>
      <c r="AE32" s="379">
        <v>0</v>
      </c>
      <c r="AF32" s="379">
        <v>0</v>
      </c>
      <c r="AG32" s="379">
        <v>0</v>
      </c>
      <c r="AH32" s="379">
        <v>0</v>
      </c>
      <c r="AI32" s="380">
        <v>0</v>
      </c>
      <c r="AJ32" s="380">
        <v>3.21968558252618E-2</v>
      </c>
      <c r="AK32" s="380">
        <v>3.9720797966378299E-2</v>
      </c>
      <c r="AL32" s="380">
        <v>0</v>
      </c>
      <c r="AM32" s="380">
        <v>0</v>
      </c>
      <c r="AN32" s="379">
        <v>0</v>
      </c>
      <c r="AO32" s="379">
        <v>0</v>
      </c>
      <c r="AP32" s="379">
        <v>0</v>
      </c>
      <c r="AQ32" s="379">
        <v>0</v>
      </c>
      <c r="AR32" s="380">
        <v>0</v>
      </c>
      <c r="AS32" s="380">
        <v>3.22603321723487E-2</v>
      </c>
      <c r="AT32" s="380">
        <v>3.9799107822842697E-2</v>
      </c>
      <c r="AU32" s="380">
        <v>0</v>
      </c>
      <c r="AV32" s="380">
        <v>0</v>
      </c>
      <c r="AW32" s="379">
        <v>0</v>
      </c>
      <c r="AX32" s="379">
        <v>0</v>
      </c>
      <c r="AY32" s="379">
        <v>0</v>
      </c>
      <c r="AZ32" s="379">
        <v>0</v>
      </c>
      <c r="BA32" s="380">
        <v>0</v>
      </c>
      <c r="BB32" s="380">
        <v>3.22603321723487E-2</v>
      </c>
      <c r="BC32" s="380">
        <v>3.9799107822842697E-2</v>
      </c>
      <c r="BD32" s="380">
        <v>0</v>
      </c>
      <c r="BE32" s="380">
        <v>0</v>
      </c>
    </row>
    <row r="33" spans="2:60" x14ac:dyDescent="0.35">
      <c r="B33" s="384" t="s">
        <v>827</v>
      </c>
      <c r="C33" s="344" t="s">
        <v>801</v>
      </c>
      <c r="D33" s="385">
        <v>0</v>
      </c>
      <c r="E33" s="385">
        <v>0</v>
      </c>
      <c r="F33" s="385">
        <v>0</v>
      </c>
      <c r="G33" s="385">
        <v>0</v>
      </c>
      <c r="H33" s="385">
        <v>0</v>
      </c>
      <c r="I33" s="385">
        <v>0</v>
      </c>
      <c r="J33" s="385">
        <v>0</v>
      </c>
      <c r="K33" s="385">
        <v>3.6230000000000002</v>
      </c>
      <c r="L33" s="385">
        <v>0</v>
      </c>
      <c r="M33" s="385">
        <v>0</v>
      </c>
      <c r="N33" s="385">
        <v>0</v>
      </c>
      <c r="O33" s="385">
        <v>0</v>
      </c>
      <c r="P33" s="385">
        <v>0</v>
      </c>
      <c r="Q33" s="385">
        <v>0</v>
      </c>
      <c r="R33" s="385">
        <v>0</v>
      </c>
      <c r="S33" s="385">
        <v>0</v>
      </c>
      <c r="T33" s="385">
        <v>3.6690673565331302</v>
      </c>
      <c r="U33" s="385">
        <v>0</v>
      </c>
      <c r="V33" s="385">
        <v>0</v>
      </c>
      <c r="W33" s="385">
        <v>0</v>
      </c>
      <c r="X33" s="385">
        <v>0</v>
      </c>
      <c r="Y33" s="385">
        <v>0</v>
      </c>
      <c r="Z33" s="385">
        <v>0</v>
      </c>
      <c r="AA33" s="385">
        <v>0</v>
      </c>
      <c r="AB33" s="385">
        <v>0</v>
      </c>
      <c r="AC33" s="385">
        <v>3.8464244813434401</v>
      </c>
      <c r="AD33" s="385">
        <v>0</v>
      </c>
      <c r="AE33" s="385">
        <v>0</v>
      </c>
      <c r="AF33" s="385">
        <v>0</v>
      </c>
      <c r="AG33" s="385">
        <v>0</v>
      </c>
      <c r="AH33" s="385">
        <v>0</v>
      </c>
      <c r="AI33" s="385">
        <v>0</v>
      </c>
      <c r="AJ33" s="385">
        <v>0</v>
      </c>
      <c r="AK33" s="385">
        <v>0</v>
      </c>
      <c r="AL33" s="385">
        <v>4.2331290574027003</v>
      </c>
      <c r="AM33" s="385">
        <v>0</v>
      </c>
      <c r="AN33" s="385">
        <v>0</v>
      </c>
      <c r="AO33" s="385">
        <v>0</v>
      </c>
      <c r="AP33" s="385">
        <v>0</v>
      </c>
      <c r="AQ33" s="385">
        <v>0</v>
      </c>
      <c r="AR33" s="385">
        <v>0</v>
      </c>
      <c r="AS33" s="385">
        <v>0</v>
      </c>
      <c r="AT33" s="385">
        <v>0</v>
      </c>
      <c r="AU33" s="385">
        <v>4.2539473610108596</v>
      </c>
      <c r="AV33" s="385">
        <v>0</v>
      </c>
      <c r="AW33" s="385">
        <v>0</v>
      </c>
      <c r="AX33" s="385">
        <v>0</v>
      </c>
      <c r="AY33" s="385">
        <v>0</v>
      </c>
      <c r="AZ33" s="385">
        <v>0</v>
      </c>
      <c r="BA33" s="385">
        <v>0</v>
      </c>
      <c r="BB33" s="385">
        <v>0</v>
      </c>
      <c r="BC33" s="385">
        <v>0</v>
      </c>
      <c r="BD33" s="385">
        <v>4.2539473610108596</v>
      </c>
      <c r="BE33" s="385">
        <v>0</v>
      </c>
      <c r="BG33" s="77">
        <f>SUM(AE33:AM33)</f>
        <v>4.2331290574027003</v>
      </c>
      <c r="BH33" s="77">
        <f>SUM(AW33:BE33)</f>
        <v>4.2539473610108596</v>
      </c>
    </row>
    <row r="34" spans="2:60" x14ac:dyDescent="0.35">
      <c r="B34" s="386" t="s">
        <v>828</v>
      </c>
      <c r="C34" s="344" t="s">
        <v>801</v>
      </c>
      <c r="D34" s="387">
        <v>0</v>
      </c>
      <c r="E34" s="387">
        <v>0</v>
      </c>
      <c r="F34" s="387">
        <v>0</v>
      </c>
      <c r="G34" s="387">
        <v>0</v>
      </c>
      <c r="H34" s="388">
        <v>0</v>
      </c>
      <c r="I34" s="388">
        <v>0</v>
      </c>
      <c r="J34" s="388">
        <v>0</v>
      </c>
      <c r="K34" s="388">
        <v>0.77600000000000002</v>
      </c>
      <c r="L34" s="388">
        <v>0</v>
      </c>
      <c r="M34" s="388">
        <v>0</v>
      </c>
      <c r="N34" s="388">
        <v>0</v>
      </c>
      <c r="O34" s="388">
        <v>0</v>
      </c>
      <c r="P34" s="388">
        <v>0</v>
      </c>
      <c r="Q34" s="388">
        <v>0</v>
      </c>
      <c r="R34" s="388">
        <v>0</v>
      </c>
      <c r="S34" s="388">
        <v>0</v>
      </c>
      <c r="T34" s="388">
        <v>0.762308799080475</v>
      </c>
      <c r="U34" s="388">
        <v>0</v>
      </c>
      <c r="V34" s="387">
        <v>0</v>
      </c>
      <c r="W34" s="387">
        <v>0</v>
      </c>
      <c r="X34" s="387">
        <v>0</v>
      </c>
      <c r="Y34" s="387">
        <v>0</v>
      </c>
      <c r="Z34" s="388">
        <v>0</v>
      </c>
      <c r="AA34" s="388">
        <v>0</v>
      </c>
      <c r="AB34" s="388">
        <v>0</v>
      </c>
      <c r="AC34" s="388">
        <v>0.696586595016499</v>
      </c>
      <c r="AD34" s="388">
        <v>0</v>
      </c>
      <c r="AE34" s="387">
        <v>0</v>
      </c>
      <c r="AF34" s="387">
        <v>0</v>
      </c>
      <c r="AG34" s="387">
        <v>0</v>
      </c>
      <c r="AH34" s="387">
        <v>0</v>
      </c>
      <c r="AI34" s="388">
        <v>0</v>
      </c>
      <c r="AJ34" s="388">
        <v>0</v>
      </c>
      <c r="AK34" s="388">
        <v>0</v>
      </c>
      <c r="AL34" s="388">
        <v>0.55161968745225598</v>
      </c>
      <c r="AM34" s="388">
        <v>0</v>
      </c>
      <c r="AN34" s="387">
        <v>0</v>
      </c>
      <c r="AO34" s="387">
        <v>0</v>
      </c>
      <c r="AP34" s="387">
        <v>0</v>
      </c>
      <c r="AQ34" s="387">
        <v>0</v>
      </c>
      <c r="AR34" s="388">
        <v>0</v>
      </c>
      <c r="AS34" s="388">
        <v>0</v>
      </c>
      <c r="AT34" s="388">
        <v>0</v>
      </c>
      <c r="AU34" s="388">
        <v>0.54364260295609801</v>
      </c>
      <c r="AV34" s="388">
        <v>0</v>
      </c>
      <c r="AW34" s="387">
        <v>0</v>
      </c>
      <c r="AX34" s="387">
        <v>0</v>
      </c>
      <c r="AY34" s="387">
        <v>0</v>
      </c>
      <c r="AZ34" s="387">
        <v>0</v>
      </c>
      <c r="BA34" s="388">
        <v>0</v>
      </c>
      <c r="BB34" s="388">
        <v>0</v>
      </c>
      <c r="BC34" s="388">
        <v>0</v>
      </c>
      <c r="BD34" s="388">
        <v>0.54364260295609801</v>
      </c>
      <c r="BE34" s="388">
        <v>0</v>
      </c>
    </row>
    <row r="35" spans="2:60" x14ac:dyDescent="0.35">
      <c r="B35" s="386" t="s">
        <v>829</v>
      </c>
      <c r="C35" s="344" t="s">
        <v>801</v>
      </c>
      <c r="D35" s="387">
        <v>0</v>
      </c>
      <c r="E35" s="387">
        <v>0</v>
      </c>
      <c r="F35" s="387">
        <v>0</v>
      </c>
      <c r="G35" s="387">
        <v>0</v>
      </c>
      <c r="H35" s="388">
        <v>0</v>
      </c>
      <c r="I35" s="388">
        <v>0</v>
      </c>
      <c r="J35" s="388">
        <v>0</v>
      </c>
      <c r="K35" s="388">
        <v>2.4489999999999998</v>
      </c>
      <c r="L35" s="388">
        <v>0</v>
      </c>
      <c r="M35" s="388">
        <v>0</v>
      </c>
      <c r="N35" s="388">
        <v>0</v>
      </c>
      <c r="O35" s="388">
        <v>0</v>
      </c>
      <c r="P35" s="388">
        <v>0</v>
      </c>
      <c r="Q35" s="388">
        <v>0</v>
      </c>
      <c r="R35" s="388">
        <v>0</v>
      </c>
      <c r="S35" s="388">
        <v>0</v>
      </c>
      <c r="T35" s="388">
        <v>2.5156477809690401</v>
      </c>
      <c r="U35" s="388">
        <v>0</v>
      </c>
      <c r="V35" s="387">
        <v>0</v>
      </c>
      <c r="W35" s="387">
        <v>0</v>
      </c>
      <c r="X35" s="387">
        <v>0</v>
      </c>
      <c r="Y35" s="387">
        <v>0</v>
      </c>
      <c r="Z35" s="388">
        <v>0</v>
      </c>
      <c r="AA35" s="388">
        <v>0</v>
      </c>
      <c r="AB35" s="388">
        <v>0</v>
      </c>
      <c r="AC35" s="388">
        <v>2.7921792874031701</v>
      </c>
      <c r="AD35" s="388">
        <v>0</v>
      </c>
      <c r="AE35" s="387">
        <v>0</v>
      </c>
      <c r="AF35" s="387">
        <v>0</v>
      </c>
      <c r="AG35" s="387">
        <v>0</v>
      </c>
      <c r="AH35" s="387">
        <v>0</v>
      </c>
      <c r="AI35" s="388">
        <v>0</v>
      </c>
      <c r="AJ35" s="388">
        <v>0</v>
      </c>
      <c r="AK35" s="388">
        <v>0</v>
      </c>
      <c r="AL35" s="388">
        <v>3.3979167922679201</v>
      </c>
      <c r="AM35" s="388">
        <v>0</v>
      </c>
      <c r="AN35" s="387">
        <v>0</v>
      </c>
      <c r="AO35" s="387">
        <v>0</v>
      </c>
      <c r="AP35" s="387">
        <v>0</v>
      </c>
      <c r="AQ35" s="387">
        <v>0</v>
      </c>
      <c r="AR35" s="388">
        <v>0</v>
      </c>
      <c r="AS35" s="388">
        <v>0</v>
      </c>
      <c r="AT35" s="388">
        <v>0</v>
      </c>
      <c r="AU35" s="388">
        <v>3.43079423402857</v>
      </c>
      <c r="AV35" s="388">
        <v>0</v>
      </c>
      <c r="AW35" s="387">
        <v>0</v>
      </c>
      <c r="AX35" s="387">
        <v>0</v>
      </c>
      <c r="AY35" s="387">
        <v>0</v>
      </c>
      <c r="AZ35" s="387">
        <v>0</v>
      </c>
      <c r="BA35" s="388">
        <v>0</v>
      </c>
      <c r="BB35" s="388">
        <v>0</v>
      </c>
      <c r="BC35" s="388">
        <v>0</v>
      </c>
      <c r="BD35" s="388">
        <v>3.43079423402857</v>
      </c>
      <c r="BE35" s="388">
        <v>0</v>
      </c>
    </row>
    <row r="36" spans="2:60" x14ac:dyDescent="0.35">
      <c r="B36" s="386" t="s">
        <v>830</v>
      </c>
      <c r="C36" s="344" t="s">
        <v>801</v>
      </c>
      <c r="D36" s="387">
        <v>0</v>
      </c>
      <c r="E36" s="387">
        <v>0</v>
      </c>
      <c r="F36" s="387">
        <v>0</v>
      </c>
      <c r="G36" s="387">
        <v>0</v>
      </c>
      <c r="H36" s="388">
        <v>0</v>
      </c>
      <c r="I36" s="388">
        <v>0</v>
      </c>
      <c r="J36" s="388">
        <v>0</v>
      </c>
      <c r="K36" s="388">
        <v>0.39800000000000002</v>
      </c>
      <c r="L36" s="388">
        <v>0</v>
      </c>
      <c r="M36" s="388">
        <v>0</v>
      </c>
      <c r="N36" s="388">
        <v>0</v>
      </c>
      <c r="O36" s="388">
        <v>0</v>
      </c>
      <c r="P36" s="388">
        <v>0</v>
      </c>
      <c r="Q36" s="388">
        <v>0</v>
      </c>
      <c r="R36" s="388">
        <v>0</v>
      </c>
      <c r="S36" s="388">
        <v>0</v>
      </c>
      <c r="T36" s="388">
        <v>0.39111077648361497</v>
      </c>
      <c r="U36" s="388">
        <v>0</v>
      </c>
      <c r="V36" s="387">
        <v>0</v>
      </c>
      <c r="W36" s="387">
        <v>0</v>
      </c>
      <c r="X36" s="387">
        <v>0</v>
      </c>
      <c r="Y36" s="387">
        <v>0</v>
      </c>
      <c r="Z36" s="388">
        <v>0</v>
      </c>
      <c r="AA36" s="388">
        <v>0</v>
      </c>
      <c r="AB36" s="388">
        <v>0</v>
      </c>
      <c r="AC36" s="388">
        <v>0.357658598923767</v>
      </c>
      <c r="AD36" s="388">
        <v>0</v>
      </c>
      <c r="AE36" s="387">
        <v>0</v>
      </c>
      <c r="AF36" s="387">
        <v>0</v>
      </c>
      <c r="AG36" s="387">
        <v>0</v>
      </c>
      <c r="AH36" s="387">
        <v>0</v>
      </c>
      <c r="AI36" s="388">
        <v>0</v>
      </c>
      <c r="AJ36" s="388">
        <v>0</v>
      </c>
      <c r="AK36" s="388">
        <v>0</v>
      </c>
      <c r="AL36" s="388">
        <v>0.28359257768252999</v>
      </c>
      <c r="AM36" s="388">
        <v>0</v>
      </c>
      <c r="AN36" s="387">
        <v>0</v>
      </c>
      <c r="AO36" s="387">
        <v>0</v>
      </c>
      <c r="AP36" s="387">
        <v>0</v>
      </c>
      <c r="AQ36" s="387">
        <v>0</v>
      </c>
      <c r="AR36" s="388">
        <v>0</v>
      </c>
      <c r="AS36" s="388">
        <v>0</v>
      </c>
      <c r="AT36" s="388">
        <v>0</v>
      </c>
      <c r="AU36" s="388">
        <v>0.27951052402618998</v>
      </c>
      <c r="AV36" s="388">
        <v>0</v>
      </c>
      <c r="AW36" s="387">
        <v>0</v>
      </c>
      <c r="AX36" s="387">
        <v>0</v>
      </c>
      <c r="AY36" s="387">
        <v>0</v>
      </c>
      <c r="AZ36" s="387">
        <v>0</v>
      </c>
      <c r="BA36" s="388">
        <v>0</v>
      </c>
      <c r="BB36" s="388">
        <v>0</v>
      </c>
      <c r="BC36" s="388">
        <v>0</v>
      </c>
      <c r="BD36" s="388">
        <v>0.27951052402618998</v>
      </c>
      <c r="BE36" s="388">
        <v>0</v>
      </c>
    </row>
    <row r="37" spans="2:60" x14ac:dyDescent="0.35">
      <c r="B37" s="384" t="s">
        <v>831</v>
      </c>
      <c r="C37" s="344" t="s">
        <v>801</v>
      </c>
      <c r="D37" s="385">
        <v>0</v>
      </c>
      <c r="E37" s="385">
        <v>0</v>
      </c>
      <c r="F37" s="385">
        <v>0</v>
      </c>
      <c r="G37" s="385">
        <v>0</v>
      </c>
      <c r="H37" s="385">
        <v>0</v>
      </c>
      <c r="I37" s="385">
        <v>0</v>
      </c>
      <c r="J37" s="385">
        <v>0</v>
      </c>
      <c r="K37" s="385">
        <v>0</v>
      </c>
      <c r="L37" s="385">
        <v>1.9139999999999999</v>
      </c>
      <c r="M37" s="385">
        <v>0</v>
      </c>
      <c r="N37" s="385">
        <v>0</v>
      </c>
      <c r="O37" s="385">
        <v>0</v>
      </c>
      <c r="P37" s="385">
        <v>0</v>
      </c>
      <c r="Q37" s="385">
        <v>0</v>
      </c>
      <c r="R37" s="385">
        <v>0</v>
      </c>
      <c r="S37" s="385">
        <v>0</v>
      </c>
      <c r="T37" s="385">
        <v>0</v>
      </c>
      <c r="U37" s="385">
        <v>1.9131319130859401</v>
      </c>
      <c r="V37" s="385">
        <v>0</v>
      </c>
      <c r="W37" s="385">
        <v>0</v>
      </c>
      <c r="X37" s="385">
        <v>0</v>
      </c>
      <c r="Y37" s="385">
        <v>0</v>
      </c>
      <c r="Z37" s="385">
        <v>0</v>
      </c>
      <c r="AA37" s="385">
        <v>0</v>
      </c>
      <c r="AB37" s="385">
        <v>0</v>
      </c>
      <c r="AC37" s="385">
        <v>0</v>
      </c>
      <c r="AD37" s="385">
        <v>1.9863492</v>
      </c>
      <c r="AE37" s="385">
        <v>0</v>
      </c>
      <c r="AF37" s="385">
        <v>0</v>
      </c>
      <c r="AG37" s="385">
        <v>0</v>
      </c>
      <c r="AH37" s="385">
        <v>0</v>
      </c>
      <c r="AI37" s="385">
        <v>0</v>
      </c>
      <c r="AJ37" s="385">
        <v>0</v>
      </c>
      <c r="AK37" s="385">
        <v>0</v>
      </c>
      <c r="AL37" s="385">
        <v>0</v>
      </c>
      <c r="AM37" s="385">
        <v>2.0643542699999999</v>
      </c>
      <c r="AN37" s="385">
        <v>0</v>
      </c>
      <c r="AO37" s="385">
        <v>0</v>
      </c>
      <c r="AP37" s="385">
        <v>0</v>
      </c>
      <c r="AQ37" s="385">
        <v>0</v>
      </c>
      <c r="AR37" s="385">
        <v>0</v>
      </c>
      <c r="AS37" s="385">
        <v>0</v>
      </c>
      <c r="AT37" s="385">
        <v>0</v>
      </c>
      <c r="AU37" s="385">
        <v>0</v>
      </c>
      <c r="AV37" s="385">
        <v>2.0684597999999998</v>
      </c>
      <c r="AW37" s="385">
        <v>0</v>
      </c>
      <c r="AX37" s="385">
        <v>0</v>
      </c>
      <c r="AY37" s="385">
        <v>0</v>
      </c>
      <c r="AZ37" s="385">
        <v>0</v>
      </c>
      <c r="BA37" s="385">
        <v>0</v>
      </c>
      <c r="BB37" s="385">
        <v>0</v>
      </c>
      <c r="BC37" s="385">
        <v>0</v>
      </c>
      <c r="BD37" s="385">
        <v>0</v>
      </c>
      <c r="BE37" s="385">
        <v>2.0684597999999998</v>
      </c>
      <c r="BG37" s="77">
        <f>SUM(AE37:AM37)</f>
        <v>2.0643542699999999</v>
      </c>
      <c r="BH37" s="77">
        <f>SUM(AW37:BE37)</f>
        <v>2.0684597999999998</v>
      </c>
    </row>
    <row r="38" spans="2:60" x14ac:dyDescent="0.35">
      <c r="B38" s="386" t="s">
        <v>832</v>
      </c>
      <c r="C38" s="344" t="s">
        <v>801</v>
      </c>
      <c r="D38" s="387">
        <v>0</v>
      </c>
      <c r="E38" s="387">
        <v>0</v>
      </c>
      <c r="F38" s="387">
        <v>0</v>
      </c>
      <c r="G38" s="387">
        <v>0</v>
      </c>
      <c r="H38" s="388">
        <v>0</v>
      </c>
      <c r="I38" s="388">
        <v>0</v>
      </c>
      <c r="J38" s="388">
        <v>0</v>
      </c>
      <c r="K38" s="388">
        <v>0</v>
      </c>
      <c r="L38" s="388">
        <v>1.9139999999999999</v>
      </c>
      <c r="M38" s="388">
        <v>0</v>
      </c>
      <c r="N38" s="388">
        <v>0</v>
      </c>
      <c r="O38" s="388">
        <v>0</v>
      </c>
      <c r="P38" s="388">
        <v>0</v>
      </c>
      <c r="Q38" s="388">
        <v>0</v>
      </c>
      <c r="R38" s="388">
        <v>0</v>
      </c>
      <c r="S38" s="388">
        <v>0</v>
      </c>
      <c r="T38" s="388">
        <v>0</v>
      </c>
      <c r="U38" s="388">
        <v>1.9131319130859401</v>
      </c>
      <c r="V38" s="387">
        <v>0</v>
      </c>
      <c r="W38" s="387">
        <v>0</v>
      </c>
      <c r="X38" s="387">
        <v>0</v>
      </c>
      <c r="Y38" s="387">
        <v>0</v>
      </c>
      <c r="Z38" s="388">
        <v>0</v>
      </c>
      <c r="AA38" s="388">
        <v>0</v>
      </c>
      <c r="AB38" s="388">
        <v>0</v>
      </c>
      <c r="AC38" s="388">
        <v>0</v>
      </c>
      <c r="AD38" s="388">
        <v>1.9863492</v>
      </c>
      <c r="AE38" s="387">
        <v>0</v>
      </c>
      <c r="AF38" s="387">
        <v>0</v>
      </c>
      <c r="AG38" s="387">
        <v>0</v>
      </c>
      <c r="AH38" s="387">
        <v>0</v>
      </c>
      <c r="AI38" s="388">
        <v>0</v>
      </c>
      <c r="AJ38" s="388">
        <v>0</v>
      </c>
      <c r="AK38" s="388">
        <v>0</v>
      </c>
      <c r="AL38" s="388">
        <v>0</v>
      </c>
      <c r="AM38" s="388">
        <v>2.0643542699999999</v>
      </c>
      <c r="AN38" s="387">
        <v>0</v>
      </c>
      <c r="AO38" s="387">
        <v>0</v>
      </c>
      <c r="AP38" s="387">
        <v>0</v>
      </c>
      <c r="AQ38" s="387">
        <v>0</v>
      </c>
      <c r="AR38" s="388">
        <v>0</v>
      </c>
      <c r="AS38" s="388">
        <v>0</v>
      </c>
      <c r="AT38" s="388">
        <v>0</v>
      </c>
      <c r="AU38" s="388">
        <v>0</v>
      </c>
      <c r="AV38" s="388">
        <v>2.0684597999999998</v>
      </c>
      <c r="AW38" s="387">
        <v>0</v>
      </c>
      <c r="AX38" s="387">
        <v>0</v>
      </c>
      <c r="AY38" s="387">
        <v>0</v>
      </c>
      <c r="AZ38" s="387">
        <v>0</v>
      </c>
      <c r="BA38" s="388">
        <v>0</v>
      </c>
      <c r="BB38" s="388">
        <v>0</v>
      </c>
      <c r="BC38" s="388">
        <v>0</v>
      </c>
      <c r="BD38" s="388">
        <v>0</v>
      </c>
      <c r="BE38" s="388">
        <v>2.0684597999999998</v>
      </c>
    </row>
    <row r="39" spans="2:60" x14ac:dyDescent="0.35">
      <c r="B39" s="389" t="s">
        <v>833</v>
      </c>
      <c r="C39" s="344" t="s">
        <v>801</v>
      </c>
      <c r="D39" s="390">
        <v>0</v>
      </c>
      <c r="E39" s="390">
        <v>0</v>
      </c>
      <c r="F39" s="390">
        <v>0</v>
      </c>
      <c r="G39" s="390">
        <v>0</v>
      </c>
      <c r="H39" s="390">
        <v>6.7536176344524607E-2</v>
      </c>
      <c r="I39" s="390">
        <v>0.148793856446338</v>
      </c>
      <c r="J39" s="390">
        <v>0.369198282681999</v>
      </c>
      <c r="K39" s="390">
        <v>1.073</v>
      </c>
      <c r="L39" s="390">
        <v>1.8457692307692299</v>
      </c>
      <c r="M39" s="390">
        <v>0</v>
      </c>
      <c r="N39" s="390">
        <v>0</v>
      </c>
      <c r="O39" s="390">
        <v>0</v>
      </c>
      <c r="P39" s="390">
        <v>0</v>
      </c>
      <c r="Q39" s="390">
        <v>6.2496004849650198E-2</v>
      </c>
      <c r="R39" s="390">
        <v>0.14747701954671699</v>
      </c>
      <c r="S39" s="390">
        <v>0.379956855686438</v>
      </c>
      <c r="T39" s="390">
        <v>1.14451073231212</v>
      </c>
      <c r="U39" s="390">
        <v>1.8583902928745</v>
      </c>
      <c r="V39" s="390">
        <v>0</v>
      </c>
      <c r="W39" s="390">
        <v>0</v>
      </c>
      <c r="X39" s="390">
        <v>0</v>
      </c>
      <c r="Y39" s="390">
        <v>0</v>
      </c>
      <c r="Z39" s="390">
        <v>5.8931780837660701E-2</v>
      </c>
      <c r="AA39" s="390">
        <v>0.14068839744551501</v>
      </c>
      <c r="AB39" s="390">
        <v>0.33774109470083102</v>
      </c>
      <c r="AC39" s="390">
        <v>1.2816952828184001</v>
      </c>
      <c r="AD39" s="390">
        <v>1.8957071514016799</v>
      </c>
      <c r="AE39" s="390">
        <v>0</v>
      </c>
      <c r="AF39" s="390">
        <v>0</v>
      </c>
      <c r="AG39" s="390">
        <v>0</v>
      </c>
      <c r="AH39" s="390">
        <v>0</v>
      </c>
      <c r="AI39" s="390">
        <v>4.6273174664865899E-2</v>
      </c>
      <c r="AJ39" s="390">
        <v>0.12829469227222101</v>
      </c>
      <c r="AK39" s="390">
        <v>0.27564886136403199</v>
      </c>
      <c r="AL39" s="390">
        <v>1.61452489333203</v>
      </c>
      <c r="AM39" s="390">
        <v>1.94448987714758</v>
      </c>
      <c r="AN39" s="390">
        <v>0</v>
      </c>
      <c r="AO39" s="390">
        <v>0</v>
      </c>
      <c r="AP39" s="390">
        <v>0</v>
      </c>
      <c r="AQ39" s="390">
        <v>0</v>
      </c>
      <c r="AR39" s="390">
        <v>4.5566410324776201E-2</v>
      </c>
      <c r="AS39" s="390">
        <v>0.135235156515814</v>
      </c>
      <c r="AT39" s="390">
        <v>0.27448163391697</v>
      </c>
      <c r="AU39" s="390">
        <v>1.3458258689967899</v>
      </c>
      <c r="AV39" s="390">
        <v>1.94703465127256</v>
      </c>
      <c r="AW39" s="390">
        <v>0</v>
      </c>
      <c r="AX39" s="390">
        <v>0</v>
      </c>
      <c r="AY39" s="390">
        <v>0</v>
      </c>
      <c r="AZ39" s="390">
        <v>0</v>
      </c>
      <c r="BA39" s="390">
        <v>3.6555911611020502E-2</v>
      </c>
      <c r="BB39" s="390">
        <v>0.135235156515814</v>
      </c>
      <c r="BC39" s="390">
        <v>0.27448163391697</v>
      </c>
      <c r="BD39" s="391">
        <v>1.62</v>
      </c>
      <c r="BE39" s="390">
        <v>1.94703465127256</v>
      </c>
      <c r="BG39" s="77">
        <f>SUM(AE39:AM39)</f>
        <v>4.0092314987807294</v>
      </c>
      <c r="BH39" s="77">
        <f>SUM(AW39:BE39)</f>
        <v>4.0133073533163648</v>
      </c>
    </row>
    <row r="40" spans="2:60" x14ac:dyDescent="0.35">
      <c r="B40" s="392" t="s">
        <v>125</v>
      </c>
      <c r="C40" s="344" t="s">
        <v>801</v>
      </c>
      <c r="D40" s="393">
        <v>0</v>
      </c>
      <c r="E40" s="393">
        <v>0</v>
      </c>
      <c r="F40" s="393">
        <v>0</v>
      </c>
      <c r="G40" s="393">
        <v>0</v>
      </c>
      <c r="H40" s="394">
        <v>0</v>
      </c>
      <c r="I40" s="394">
        <v>0</v>
      </c>
      <c r="J40" s="394">
        <v>0</v>
      </c>
      <c r="K40" s="394">
        <v>0</v>
      </c>
      <c r="L40" s="394">
        <v>0</v>
      </c>
      <c r="M40" s="394">
        <v>0</v>
      </c>
      <c r="N40" s="394">
        <v>0</v>
      </c>
      <c r="O40" s="394">
        <v>0</v>
      </c>
      <c r="P40" s="394">
        <v>0</v>
      </c>
      <c r="Q40" s="394">
        <v>0</v>
      </c>
      <c r="R40" s="394">
        <v>0</v>
      </c>
      <c r="S40" s="394">
        <v>0</v>
      </c>
      <c r="T40" s="394">
        <v>0</v>
      </c>
      <c r="U40" s="394">
        <v>0</v>
      </c>
      <c r="V40" s="393">
        <v>0</v>
      </c>
      <c r="W40" s="393">
        <v>0</v>
      </c>
      <c r="X40" s="393">
        <v>0</v>
      </c>
      <c r="Y40" s="393">
        <v>0</v>
      </c>
      <c r="Z40" s="394">
        <v>0</v>
      </c>
      <c r="AA40" s="394">
        <v>0</v>
      </c>
      <c r="AB40" s="394">
        <v>0</v>
      </c>
      <c r="AC40" s="394">
        <v>0</v>
      </c>
      <c r="AD40" s="394">
        <v>0</v>
      </c>
      <c r="AE40" s="393">
        <v>0</v>
      </c>
      <c r="AF40" s="393">
        <v>0</v>
      </c>
      <c r="AG40" s="393">
        <v>0</v>
      </c>
      <c r="AH40" s="393">
        <v>0</v>
      </c>
      <c r="AI40" s="394">
        <v>0</v>
      </c>
      <c r="AJ40" s="394">
        <v>0</v>
      </c>
      <c r="AK40" s="394">
        <v>0</v>
      </c>
      <c r="AL40" s="394">
        <v>0</v>
      </c>
      <c r="AM40" s="394">
        <v>0</v>
      </c>
      <c r="AN40" s="393">
        <v>0</v>
      </c>
      <c r="AO40" s="393">
        <v>0</v>
      </c>
      <c r="AP40" s="393">
        <v>0</v>
      </c>
      <c r="AQ40" s="393">
        <v>0</v>
      </c>
      <c r="AR40" s="394">
        <v>0</v>
      </c>
      <c r="AS40" s="394">
        <v>0</v>
      </c>
      <c r="AT40" s="394">
        <v>0</v>
      </c>
      <c r="AU40" s="394">
        <v>0</v>
      </c>
      <c r="AV40" s="394">
        <v>0</v>
      </c>
      <c r="AW40" s="393">
        <v>0</v>
      </c>
      <c r="AX40" s="393">
        <v>0</v>
      </c>
      <c r="AY40" s="393">
        <v>0</v>
      </c>
      <c r="AZ40" s="393">
        <v>0</v>
      </c>
      <c r="BA40" s="394">
        <v>0</v>
      </c>
      <c r="BB40" s="394">
        <v>0</v>
      </c>
      <c r="BC40" s="394">
        <v>0</v>
      </c>
      <c r="BD40" s="394">
        <v>0</v>
      </c>
      <c r="BE40" s="394">
        <v>0</v>
      </c>
    </row>
    <row r="41" spans="2:60" x14ac:dyDescent="0.35">
      <c r="B41" s="392" t="s">
        <v>51</v>
      </c>
      <c r="C41" s="344" t="s">
        <v>801</v>
      </c>
      <c r="D41" s="393">
        <v>0</v>
      </c>
      <c r="E41" s="393">
        <v>0</v>
      </c>
      <c r="F41" s="393">
        <v>0</v>
      </c>
      <c r="G41" s="393">
        <v>0</v>
      </c>
      <c r="H41" s="394">
        <v>0</v>
      </c>
      <c r="I41" s="394">
        <v>0</v>
      </c>
      <c r="J41" s="394">
        <v>3.6850000000000001E-2</v>
      </c>
      <c r="K41" s="394">
        <v>0</v>
      </c>
      <c r="L41" s="394">
        <v>0</v>
      </c>
      <c r="M41" s="394">
        <v>0</v>
      </c>
      <c r="N41" s="394">
        <v>0</v>
      </c>
      <c r="O41" s="394">
        <v>0</v>
      </c>
      <c r="P41" s="394">
        <v>0</v>
      </c>
      <c r="Q41" s="394">
        <v>0</v>
      </c>
      <c r="R41" s="394">
        <v>0</v>
      </c>
      <c r="S41" s="394">
        <v>3.64645101661773E-2</v>
      </c>
      <c r="T41" s="394">
        <v>0</v>
      </c>
      <c r="U41" s="394">
        <v>0</v>
      </c>
      <c r="V41" s="393">
        <v>0</v>
      </c>
      <c r="W41" s="393">
        <v>0</v>
      </c>
      <c r="X41" s="393">
        <v>0</v>
      </c>
      <c r="Y41" s="393">
        <v>0</v>
      </c>
      <c r="Z41" s="394">
        <v>0</v>
      </c>
      <c r="AA41" s="394">
        <v>0</v>
      </c>
      <c r="AB41" s="394">
        <v>4.0066906872282301E-2</v>
      </c>
      <c r="AC41" s="394">
        <v>0</v>
      </c>
      <c r="AD41" s="394">
        <v>0</v>
      </c>
      <c r="AE41" s="393">
        <v>0</v>
      </c>
      <c r="AF41" s="393">
        <v>0</v>
      </c>
      <c r="AG41" s="393">
        <v>0</v>
      </c>
      <c r="AH41" s="393">
        <v>0</v>
      </c>
      <c r="AI41" s="394">
        <v>0</v>
      </c>
      <c r="AJ41" s="394">
        <v>0</v>
      </c>
      <c r="AK41" s="394">
        <v>4.5958037908722403E-2</v>
      </c>
      <c r="AL41" s="394">
        <v>0</v>
      </c>
      <c r="AM41" s="394">
        <v>0</v>
      </c>
      <c r="AN41" s="393">
        <v>0</v>
      </c>
      <c r="AO41" s="393">
        <v>0</v>
      </c>
      <c r="AP41" s="393">
        <v>0</v>
      </c>
      <c r="AQ41" s="393">
        <v>0</v>
      </c>
      <c r="AR41" s="394">
        <v>0</v>
      </c>
      <c r="AS41" s="394">
        <v>0</v>
      </c>
      <c r="AT41" s="394">
        <v>4.32182334324289E-2</v>
      </c>
      <c r="AU41" s="394">
        <v>0</v>
      </c>
      <c r="AV41" s="394">
        <v>0</v>
      </c>
      <c r="AW41" s="393">
        <v>0</v>
      </c>
      <c r="AX41" s="393">
        <v>0</v>
      </c>
      <c r="AY41" s="393">
        <v>0</v>
      </c>
      <c r="AZ41" s="393">
        <v>0</v>
      </c>
      <c r="BA41" s="394">
        <v>0</v>
      </c>
      <c r="BB41" s="394">
        <v>0</v>
      </c>
      <c r="BC41" s="394">
        <v>4.32182334324289E-2</v>
      </c>
      <c r="BD41" s="394">
        <v>0</v>
      </c>
      <c r="BE41" s="394">
        <v>0</v>
      </c>
    </row>
    <row r="42" spans="2:60" x14ac:dyDescent="0.35">
      <c r="B42" s="395" t="s">
        <v>723</v>
      </c>
      <c r="C42" s="344" t="s">
        <v>801</v>
      </c>
      <c r="D42" s="393">
        <v>0</v>
      </c>
      <c r="E42" s="393">
        <v>0</v>
      </c>
      <c r="F42" s="393">
        <v>0</v>
      </c>
      <c r="G42" s="393">
        <v>0</v>
      </c>
      <c r="H42" s="394">
        <v>0</v>
      </c>
      <c r="I42" s="394">
        <v>0</v>
      </c>
      <c r="J42" s="394">
        <v>0</v>
      </c>
      <c r="K42" s="394">
        <v>0</v>
      </c>
      <c r="L42" s="394">
        <v>0</v>
      </c>
      <c r="M42" s="394">
        <v>0</v>
      </c>
      <c r="N42" s="394">
        <v>0</v>
      </c>
      <c r="O42" s="394">
        <v>0</v>
      </c>
      <c r="P42" s="394">
        <v>0</v>
      </c>
      <c r="Q42" s="394">
        <v>0</v>
      </c>
      <c r="R42" s="394">
        <v>0</v>
      </c>
      <c r="S42" s="394">
        <v>0</v>
      </c>
      <c r="T42" s="394">
        <v>0</v>
      </c>
      <c r="U42" s="394">
        <v>0</v>
      </c>
      <c r="V42" s="393">
        <v>0</v>
      </c>
      <c r="W42" s="393">
        <v>0</v>
      </c>
      <c r="X42" s="393">
        <v>0</v>
      </c>
      <c r="Y42" s="393">
        <v>0</v>
      </c>
      <c r="Z42" s="394">
        <v>0</v>
      </c>
      <c r="AA42" s="394">
        <v>0</v>
      </c>
      <c r="AB42" s="394">
        <v>0</v>
      </c>
      <c r="AC42" s="394">
        <v>0</v>
      </c>
      <c r="AD42" s="394">
        <v>0</v>
      </c>
      <c r="AE42" s="393">
        <v>0</v>
      </c>
      <c r="AF42" s="393">
        <v>0</v>
      </c>
      <c r="AG42" s="393">
        <v>0</v>
      </c>
      <c r="AH42" s="393">
        <v>0</v>
      </c>
      <c r="AI42" s="394">
        <v>0</v>
      </c>
      <c r="AJ42" s="394">
        <v>0</v>
      </c>
      <c r="AK42" s="394">
        <v>0</v>
      </c>
      <c r="AL42" s="394">
        <v>0</v>
      </c>
      <c r="AM42" s="394">
        <v>0</v>
      </c>
      <c r="AN42" s="393">
        <v>0</v>
      </c>
      <c r="AO42" s="393">
        <v>0</v>
      </c>
      <c r="AP42" s="393">
        <v>0</v>
      </c>
      <c r="AQ42" s="393">
        <v>0</v>
      </c>
      <c r="AR42" s="394">
        <v>0</v>
      </c>
      <c r="AS42" s="394">
        <v>0</v>
      </c>
      <c r="AT42" s="394">
        <v>0</v>
      </c>
      <c r="AU42" s="394">
        <v>0</v>
      </c>
      <c r="AV42" s="394">
        <v>0</v>
      </c>
      <c r="AW42" s="393">
        <v>0</v>
      </c>
      <c r="AX42" s="393">
        <v>0</v>
      </c>
      <c r="AY42" s="393">
        <v>0</v>
      </c>
      <c r="AZ42" s="393">
        <v>0</v>
      </c>
      <c r="BA42" s="394">
        <v>0</v>
      </c>
      <c r="BB42" s="394">
        <v>0</v>
      </c>
      <c r="BC42" s="394">
        <v>0</v>
      </c>
      <c r="BD42" s="394">
        <v>0</v>
      </c>
      <c r="BE42" s="394">
        <v>0</v>
      </c>
    </row>
    <row r="43" spans="2:60" x14ac:dyDescent="0.35">
      <c r="B43" s="395" t="s">
        <v>834</v>
      </c>
      <c r="C43" s="344" t="s">
        <v>801</v>
      </c>
      <c r="D43" s="393">
        <v>0</v>
      </c>
      <c r="E43" s="393">
        <v>0</v>
      </c>
      <c r="F43" s="393">
        <v>0</v>
      </c>
      <c r="G43" s="393">
        <v>0</v>
      </c>
      <c r="H43" s="394">
        <v>0</v>
      </c>
      <c r="I43" s="394">
        <v>0</v>
      </c>
      <c r="J43" s="394">
        <v>0</v>
      </c>
      <c r="K43" s="394">
        <v>0</v>
      </c>
      <c r="L43" s="394">
        <v>0</v>
      </c>
      <c r="M43" s="394">
        <v>0</v>
      </c>
      <c r="N43" s="394">
        <v>0</v>
      </c>
      <c r="O43" s="394">
        <v>0</v>
      </c>
      <c r="P43" s="394">
        <v>0</v>
      </c>
      <c r="Q43" s="394">
        <v>0</v>
      </c>
      <c r="R43" s="394">
        <v>0</v>
      </c>
      <c r="S43" s="394">
        <v>0</v>
      </c>
      <c r="T43" s="394">
        <v>0</v>
      </c>
      <c r="U43" s="394">
        <v>0</v>
      </c>
      <c r="V43" s="393">
        <v>0</v>
      </c>
      <c r="W43" s="393">
        <v>0</v>
      </c>
      <c r="X43" s="393">
        <v>0</v>
      </c>
      <c r="Y43" s="393">
        <v>0</v>
      </c>
      <c r="Z43" s="394">
        <v>0</v>
      </c>
      <c r="AA43" s="394">
        <v>0</v>
      </c>
      <c r="AB43" s="394">
        <v>0</v>
      </c>
      <c r="AC43" s="394">
        <v>0</v>
      </c>
      <c r="AD43" s="394">
        <v>0</v>
      </c>
      <c r="AE43" s="393">
        <v>0</v>
      </c>
      <c r="AF43" s="393">
        <v>0</v>
      </c>
      <c r="AG43" s="393">
        <v>0</v>
      </c>
      <c r="AH43" s="393">
        <v>0</v>
      </c>
      <c r="AI43" s="394">
        <v>0</v>
      </c>
      <c r="AJ43" s="394">
        <v>0</v>
      </c>
      <c r="AK43" s="394">
        <v>0</v>
      </c>
      <c r="AL43" s="394">
        <v>0</v>
      </c>
      <c r="AM43" s="394">
        <v>0</v>
      </c>
      <c r="AN43" s="393">
        <v>0</v>
      </c>
      <c r="AO43" s="393">
        <v>0</v>
      </c>
      <c r="AP43" s="393">
        <v>0</v>
      </c>
      <c r="AQ43" s="393">
        <v>0</v>
      </c>
      <c r="AR43" s="394">
        <v>0</v>
      </c>
      <c r="AS43" s="394">
        <v>0</v>
      </c>
      <c r="AT43" s="394">
        <v>0</v>
      </c>
      <c r="AU43" s="394">
        <v>0</v>
      </c>
      <c r="AV43" s="394">
        <v>0</v>
      </c>
      <c r="AW43" s="393">
        <v>0</v>
      </c>
      <c r="AX43" s="393">
        <v>0</v>
      </c>
      <c r="AY43" s="393">
        <v>0</v>
      </c>
      <c r="AZ43" s="393">
        <v>0</v>
      </c>
      <c r="BA43" s="394">
        <v>0</v>
      </c>
      <c r="BB43" s="394">
        <v>0</v>
      </c>
      <c r="BC43" s="394">
        <v>0</v>
      </c>
      <c r="BD43" s="394">
        <v>0</v>
      </c>
      <c r="BE43" s="394">
        <v>0</v>
      </c>
    </row>
    <row r="44" spans="2:60" x14ac:dyDescent="0.35">
      <c r="B44" s="395" t="s">
        <v>16</v>
      </c>
      <c r="C44" s="344" t="s">
        <v>801</v>
      </c>
      <c r="D44" s="393">
        <v>0</v>
      </c>
      <c r="E44" s="393">
        <v>0</v>
      </c>
      <c r="F44" s="393">
        <v>0</v>
      </c>
      <c r="G44" s="393">
        <v>0</v>
      </c>
      <c r="H44" s="394">
        <v>0</v>
      </c>
      <c r="I44" s="394">
        <v>0</v>
      </c>
      <c r="J44" s="394">
        <v>0</v>
      </c>
      <c r="K44" s="394">
        <v>0</v>
      </c>
      <c r="L44" s="394">
        <v>0</v>
      </c>
      <c r="M44" s="394">
        <v>0</v>
      </c>
      <c r="N44" s="394">
        <v>0</v>
      </c>
      <c r="O44" s="394">
        <v>0</v>
      </c>
      <c r="P44" s="394">
        <v>0</v>
      </c>
      <c r="Q44" s="394">
        <v>0</v>
      </c>
      <c r="R44" s="394">
        <v>0</v>
      </c>
      <c r="S44" s="394">
        <v>0</v>
      </c>
      <c r="T44" s="394">
        <v>0</v>
      </c>
      <c r="U44" s="394">
        <v>0</v>
      </c>
      <c r="V44" s="393">
        <v>0</v>
      </c>
      <c r="W44" s="393">
        <v>0</v>
      </c>
      <c r="X44" s="393">
        <v>0</v>
      </c>
      <c r="Y44" s="393">
        <v>0</v>
      </c>
      <c r="Z44" s="394">
        <v>0</v>
      </c>
      <c r="AA44" s="394">
        <v>0</v>
      </c>
      <c r="AB44" s="394">
        <v>0</v>
      </c>
      <c r="AC44" s="394">
        <v>0</v>
      </c>
      <c r="AD44" s="394">
        <v>0</v>
      </c>
      <c r="AE44" s="393">
        <v>0</v>
      </c>
      <c r="AF44" s="393">
        <v>0</v>
      </c>
      <c r="AG44" s="393">
        <v>0</v>
      </c>
      <c r="AH44" s="393">
        <v>0</v>
      </c>
      <c r="AI44" s="394">
        <v>0</v>
      </c>
      <c r="AJ44" s="394">
        <v>0</v>
      </c>
      <c r="AK44" s="394">
        <v>0</v>
      </c>
      <c r="AL44" s="394">
        <v>0</v>
      </c>
      <c r="AM44" s="394">
        <v>0</v>
      </c>
      <c r="AN44" s="393">
        <v>0</v>
      </c>
      <c r="AO44" s="393">
        <v>0</v>
      </c>
      <c r="AP44" s="393">
        <v>0</v>
      </c>
      <c r="AQ44" s="393">
        <v>0</v>
      </c>
      <c r="AR44" s="394">
        <v>0</v>
      </c>
      <c r="AS44" s="394">
        <v>0</v>
      </c>
      <c r="AT44" s="394">
        <v>0</v>
      </c>
      <c r="AU44" s="394">
        <v>0</v>
      </c>
      <c r="AV44" s="394">
        <v>0</v>
      </c>
      <c r="AW44" s="393">
        <v>0</v>
      </c>
      <c r="AX44" s="393">
        <v>0</v>
      </c>
      <c r="AY44" s="393">
        <v>0</v>
      </c>
      <c r="AZ44" s="393">
        <v>0</v>
      </c>
      <c r="BA44" s="394">
        <v>0</v>
      </c>
      <c r="BB44" s="394">
        <v>0</v>
      </c>
      <c r="BC44" s="394">
        <v>0</v>
      </c>
      <c r="BD44" s="394">
        <v>0</v>
      </c>
      <c r="BE44" s="394">
        <v>0</v>
      </c>
    </row>
    <row r="45" spans="2:60" x14ac:dyDescent="0.35">
      <c r="B45" s="383" t="s">
        <v>835</v>
      </c>
      <c r="C45" s="344" t="s">
        <v>801</v>
      </c>
      <c r="D45" s="393">
        <v>0</v>
      </c>
      <c r="E45" s="393">
        <v>0</v>
      </c>
      <c r="F45" s="393">
        <v>0</v>
      </c>
      <c r="G45" s="393">
        <v>0</v>
      </c>
      <c r="H45" s="394">
        <v>0</v>
      </c>
      <c r="I45" s="394">
        <v>0</v>
      </c>
      <c r="J45" s="394">
        <v>0</v>
      </c>
      <c r="K45" s="394">
        <v>0</v>
      </c>
      <c r="L45" s="394">
        <v>0</v>
      </c>
      <c r="M45" s="394">
        <v>0</v>
      </c>
      <c r="N45" s="394">
        <v>0</v>
      </c>
      <c r="O45" s="394">
        <v>0</v>
      </c>
      <c r="P45" s="394">
        <v>0</v>
      </c>
      <c r="Q45" s="394">
        <v>0</v>
      </c>
      <c r="R45" s="394">
        <v>0</v>
      </c>
      <c r="S45" s="394">
        <v>0</v>
      </c>
      <c r="T45" s="394">
        <v>0</v>
      </c>
      <c r="U45" s="394">
        <v>0</v>
      </c>
      <c r="V45" s="393">
        <v>0</v>
      </c>
      <c r="W45" s="393">
        <v>0</v>
      </c>
      <c r="X45" s="393">
        <v>0</v>
      </c>
      <c r="Y45" s="393">
        <v>0</v>
      </c>
      <c r="Z45" s="394">
        <v>0</v>
      </c>
      <c r="AA45" s="394">
        <v>0</v>
      </c>
      <c r="AB45" s="394">
        <v>0</v>
      </c>
      <c r="AC45" s="394">
        <v>0</v>
      </c>
      <c r="AD45" s="394">
        <v>0</v>
      </c>
      <c r="AE45" s="393">
        <v>0</v>
      </c>
      <c r="AF45" s="393">
        <v>0</v>
      </c>
      <c r="AG45" s="393">
        <v>0</v>
      </c>
      <c r="AH45" s="393">
        <v>0</v>
      </c>
      <c r="AI45" s="394">
        <v>0</v>
      </c>
      <c r="AJ45" s="394">
        <v>0</v>
      </c>
      <c r="AK45" s="394">
        <v>0</v>
      </c>
      <c r="AL45" s="394">
        <v>0</v>
      </c>
      <c r="AM45" s="394">
        <v>0</v>
      </c>
      <c r="AN45" s="393">
        <v>0</v>
      </c>
      <c r="AO45" s="393">
        <v>0</v>
      </c>
      <c r="AP45" s="393">
        <v>0</v>
      </c>
      <c r="AQ45" s="393">
        <v>0</v>
      </c>
      <c r="AR45" s="394">
        <v>0</v>
      </c>
      <c r="AS45" s="394">
        <v>0</v>
      </c>
      <c r="AT45" s="394">
        <v>0</v>
      </c>
      <c r="AU45" s="394">
        <v>0</v>
      </c>
      <c r="AV45" s="394">
        <v>0</v>
      </c>
      <c r="AW45" s="393">
        <v>0</v>
      </c>
      <c r="AX45" s="393">
        <v>0</v>
      </c>
      <c r="AY45" s="393">
        <v>0</v>
      </c>
      <c r="AZ45" s="393">
        <v>0</v>
      </c>
      <c r="BA45" s="394">
        <v>0</v>
      </c>
      <c r="BB45" s="394">
        <v>0</v>
      </c>
      <c r="BC45" s="394">
        <v>0</v>
      </c>
      <c r="BD45" s="394">
        <v>0</v>
      </c>
      <c r="BE45" s="394">
        <v>0</v>
      </c>
    </row>
    <row r="46" spans="2:60" x14ac:dyDescent="0.35">
      <c r="B46" s="383" t="s">
        <v>25</v>
      </c>
      <c r="C46" s="344" t="s">
        <v>801</v>
      </c>
      <c r="D46" s="393">
        <v>0</v>
      </c>
      <c r="E46" s="393">
        <v>0</v>
      </c>
      <c r="F46" s="393">
        <v>0</v>
      </c>
      <c r="G46" s="393">
        <v>0</v>
      </c>
      <c r="H46" s="394">
        <v>0</v>
      </c>
      <c r="I46" s="394">
        <v>8.3559640000000004E-2</v>
      </c>
      <c r="J46" s="394">
        <v>4.0535000000000002E-2</v>
      </c>
      <c r="K46" s="394">
        <v>0</v>
      </c>
      <c r="L46" s="394">
        <v>1.1040116959064299</v>
      </c>
      <c r="M46" s="394">
        <v>0</v>
      </c>
      <c r="N46" s="394">
        <v>0</v>
      </c>
      <c r="O46" s="394">
        <v>0</v>
      </c>
      <c r="P46" s="394">
        <v>0</v>
      </c>
      <c r="Q46" s="394">
        <v>0</v>
      </c>
      <c r="R46" s="394">
        <v>8.4421949591908102E-2</v>
      </c>
      <c r="S46" s="394">
        <v>4.0953308639290399E-2</v>
      </c>
      <c r="T46" s="394">
        <v>0</v>
      </c>
      <c r="U46" s="394">
        <v>1.11540475450457</v>
      </c>
      <c r="V46" s="393">
        <v>0</v>
      </c>
      <c r="W46" s="393">
        <v>0</v>
      </c>
      <c r="X46" s="393">
        <v>0</v>
      </c>
      <c r="Y46" s="393">
        <v>0</v>
      </c>
      <c r="Z46" s="394">
        <v>0</v>
      </c>
      <c r="AA46" s="394">
        <v>8.6372240882482507E-2</v>
      </c>
      <c r="AB46" s="394">
        <v>4.1899400047336603E-2</v>
      </c>
      <c r="AC46" s="394">
        <v>0</v>
      </c>
      <c r="AD46" s="394">
        <v>1.14117251026822</v>
      </c>
      <c r="AE46" s="393">
        <v>0</v>
      </c>
      <c r="AF46" s="393">
        <v>0</v>
      </c>
      <c r="AG46" s="393">
        <v>0</v>
      </c>
      <c r="AH46" s="393">
        <v>0</v>
      </c>
      <c r="AI46" s="394">
        <v>0</v>
      </c>
      <c r="AJ46" s="394">
        <v>8.9061816213108796E-2</v>
      </c>
      <c r="AK46" s="394">
        <v>4.3204120077568103E-2</v>
      </c>
      <c r="AL46" s="394">
        <v>0</v>
      </c>
      <c r="AM46" s="394">
        <v>1.17670787904234</v>
      </c>
      <c r="AN46" s="393">
        <v>0</v>
      </c>
      <c r="AO46" s="393">
        <v>0</v>
      </c>
      <c r="AP46" s="393">
        <v>0</v>
      </c>
      <c r="AQ46" s="393">
        <v>0</v>
      </c>
      <c r="AR46" s="394">
        <v>0</v>
      </c>
      <c r="AS46" s="394">
        <v>8.9201831664066894E-2</v>
      </c>
      <c r="AT46" s="394">
        <v>4.3272041939182E-2</v>
      </c>
      <c r="AU46" s="394">
        <v>0</v>
      </c>
      <c r="AV46" s="394">
        <v>1.17855779959567</v>
      </c>
      <c r="AW46" s="393">
        <v>0</v>
      </c>
      <c r="AX46" s="393">
        <v>0</v>
      </c>
      <c r="AY46" s="393">
        <v>0</v>
      </c>
      <c r="AZ46" s="393">
        <v>0</v>
      </c>
      <c r="BA46" s="394">
        <v>0</v>
      </c>
      <c r="BB46" s="394">
        <v>8.9201831664066894E-2</v>
      </c>
      <c r="BC46" s="394">
        <v>4.3272041939182E-2</v>
      </c>
      <c r="BD46" s="394">
        <v>0</v>
      </c>
      <c r="BE46" s="394">
        <v>1.17855779959567</v>
      </c>
    </row>
    <row r="47" spans="2:60" x14ac:dyDescent="0.35">
      <c r="B47" s="396" t="s">
        <v>677</v>
      </c>
      <c r="C47" s="344" t="s">
        <v>801</v>
      </c>
      <c r="D47" s="393">
        <v>0</v>
      </c>
      <c r="E47" s="393">
        <v>0</v>
      </c>
      <c r="F47" s="393">
        <v>0</v>
      </c>
      <c r="G47" s="393">
        <v>0</v>
      </c>
      <c r="H47" s="394">
        <v>0</v>
      </c>
      <c r="I47" s="394">
        <v>7.4273580146371102E-2</v>
      </c>
      <c r="J47" s="394">
        <v>4.4220000000000002E-2</v>
      </c>
      <c r="K47" s="394">
        <v>0</v>
      </c>
      <c r="L47" s="394">
        <v>0</v>
      </c>
      <c r="M47" s="394">
        <v>0</v>
      </c>
      <c r="N47" s="394">
        <v>0</v>
      </c>
      <c r="O47" s="394">
        <v>0</v>
      </c>
      <c r="P47" s="394">
        <v>0</v>
      </c>
      <c r="Q47" s="394">
        <v>0</v>
      </c>
      <c r="R47" s="394">
        <v>7.2126802815246305E-2</v>
      </c>
      <c r="S47" s="394">
        <v>4.2941880736120999E-2</v>
      </c>
      <c r="T47" s="394">
        <v>0</v>
      </c>
      <c r="U47" s="394">
        <v>0</v>
      </c>
      <c r="V47" s="393">
        <v>0</v>
      </c>
      <c r="W47" s="393">
        <v>0</v>
      </c>
      <c r="X47" s="393">
        <v>0</v>
      </c>
      <c r="Y47" s="393">
        <v>0</v>
      </c>
      <c r="Z47" s="394">
        <v>0</v>
      </c>
      <c r="AA47" s="394">
        <v>6.3680845224670199E-2</v>
      </c>
      <c r="AB47" s="394">
        <v>3.7913440691635998E-2</v>
      </c>
      <c r="AC47" s="394">
        <v>0</v>
      </c>
      <c r="AD47" s="394">
        <v>0</v>
      </c>
      <c r="AE47" s="393">
        <v>0</v>
      </c>
      <c r="AF47" s="393">
        <v>0</v>
      </c>
      <c r="AG47" s="393">
        <v>0</v>
      </c>
      <c r="AH47" s="393">
        <v>0</v>
      </c>
      <c r="AI47" s="394">
        <v>0</v>
      </c>
      <c r="AJ47" s="394">
        <v>4.8995425453592097E-2</v>
      </c>
      <c r="AK47" s="394">
        <v>2.9170234009026699E-2</v>
      </c>
      <c r="AL47" s="394">
        <v>0</v>
      </c>
      <c r="AM47" s="394">
        <v>0</v>
      </c>
      <c r="AN47" s="393">
        <v>0</v>
      </c>
      <c r="AO47" s="393">
        <v>0</v>
      </c>
      <c r="AP47" s="393">
        <v>0</v>
      </c>
      <c r="AQ47" s="393">
        <v>0</v>
      </c>
      <c r="AR47" s="394">
        <v>0</v>
      </c>
      <c r="AS47" s="394">
        <v>5.5827175751109202E-2</v>
      </c>
      <c r="AT47" s="394">
        <v>3.32376291387734E-2</v>
      </c>
      <c r="AU47" s="394">
        <v>0</v>
      </c>
      <c r="AV47" s="394">
        <v>0</v>
      </c>
      <c r="AW47" s="393">
        <v>0</v>
      </c>
      <c r="AX47" s="393">
        <v>0</v>
      </c>
      <c r="AY47" s="393">
        <v>0</v>
      </c>
      <c r="AZ47" s="393">
        <v>0</v>
      </c>
      <c r="BA47" s="394">
        <v>0</v>
      </c>
      <c r="BB47" s="394">
        <v>5.5827175751109202E-2</v>
      </c>
      <c r="BC47" s="394">
        <v>3.32376291387734E-2</v>
      </c>
      <c r="BD47" s="394">
        <v>0</v>
      </c>
      <c r="BE47" s="394">
        <v>0</v>
      </c>
    </row>
    <row r="48" spans="2:60" x14ac:dyDescent="0.35">
      <c r="B48" s="397" t="s">
        <v>836</v>
      </c>
      <c r="C48" s="344" t="s">
        <v>801</v>
      </c>
      <c r="D48" s="393">
        <v>0</v>
      </c>
      <c r="E48" s="393">
        <v>0</v>
      </c>
      <c r="F48" s="393">
        <v>0</v>
      </c>
      <c r="G48" s="393">
        <v>0</v>
      </c>
      <c r="H48" s="394">
        <v>0</v>
      </c>
      <c r="I48" s="394">
        <v>0</v>
      </c>
      <c r="J48" s="394">
        <v>0</v>
      </c>
      <c r="K48" s="394">
        <v>0</v>
      </c>
      <c r="L48" s="394">
        <v>0.34892000000000001</v>
      </c>
      <c r="M48" s="394">
        <v>0</v>
      </c>
      <c r="N48" s="394">
        <v>0</v>
      </c>
      <c r="O48" s="394">
        <v>0</v>
      </c>
      <c r="P48" s="394">
        <v>0</v>
      </c>
      <c r="Q48" s="394">
        <v>0</v>
      </c>
      <c r="R48" s="394">
        <v>0</v>
      </c>
      <c r="S48" s="394">
        <v>0</v>
      </c>
      <c r="T48" s="394">
        <v>0</v>
      </c>
      <c r="U48" s="394">
        <v>0.34892000000000001</v>
      </c>
      <c r="V48" s="393">
        <v>0</v>
      </c>
      <c r="W48" s="393">
        <v>0</v>
      </c>
      <c r="X48" s="393">
        <v>0</v>
      </c>
      <c r="Y48" s="393">
        <v>0</v>
      </c>
      <c r="Z48" s="394">
        <v>0</v>
      </c>
      <c r="AA48" s="394">
        <v>0</v>
      </c>
      <c r="AB48" s="394">
        <v>0</v>
      </c>
      <c r="AC48" s="394">
        <v>0</v>
      </c>
      <c r="AD48" s="394">
        <v>0.34892000000000001</v>
      </c>
      <c r="AE48" s="393">
        <v>0</v>
      </c>
      <c r="AF48" s="393">
        <v>0</v>
      </c>
      <c r="AG48" s="393">
        <v>0</v>
      </c>
      <c r="AH48" s="393">
        <v>0</v>
      </c>
      <c r="AI48" s="394">
        <v>0</v>
      </c>
      <c r="AJ48" s="394">
        <v>0</v>
      </c>
      <c r="AK48" s="394">
        <v>0</v>
      </c>
      <c r="AL48" s="394">
        <v>0</v>
      </c>
      <c r="AM48" s="394">
        <v>0.34892000000000001</v>
      </c>
      <c r="AN48" s="393">
        <v>0</v>
      </c>
      <c r="AO48" s="393">
        <v>0</v>
      </c>
      <c r="AP48" s="393">
        <v>0</v>
      </c>
      <c r="AQ48" s="393">
        <v>0</v>
      </c>
      <c r="AR48" s="394">
        <v>0</v>
      </c>
      <c r="AS48" s="394">
        <v>0</v>
      </c>
      <c r="AT48" s="394">
        <v>0</v>
      </c>
      <c r="AU48" s="394">
        <v>0</v>
      </c>
      <c r="AV48" s="394">
        <v>0.34892000000000001</v>
      </c>
      <c r="AW48" s="393">
        <v>0</v>
      </c>
      <c r="AX48" s="393">
        <v>0</v>
      </c>
      <c r="AY48" s="393">
        <v>0</v>
      </c>
      <c r="AZ48" s="393">
        <v>0</v>
      </c>
      <c r="BA48" s="394">
        <v>0</v>
      </c>
      <c r="BB48" s="394">
        <v>0</v>
      </c>
      <c r="BC48" s="394">
        <v>0</v>
      </c>
      <c r="BD48" s="394">
        <v>0</v>
      </c>
      <c r="BE48" s="394">
        <v>0.34892000000000001</v>
      </c>
    </row>
    <row r="49" spans="2:57" x14ac:dyDescent="0.35">
      <c r="B49" s="397" t="s">
        <v>837</v>
      </c>
      <c r="C49" s="344" t="s">
        <v>801</v>
      </c>
      <c r="D49" s="393">
        <v>0</v>
      </c>
      <c r="E49" s="393">
        <v>0</v>
      </c>
      <c r="F49" s="393">
        <v>0</v>
      </c>
      <c r="G49" s="393">
        <v>0</v>
      </c>
      <c r="H49" s="394">
        <v>0</v>
      </c>
      <c r="I49" s="394">
        <v>0</v>
      </c>
      <c r="J49" s="394">
        <v>0</v>
      </c>
      <c r="K49" s="394">
        <v>0</v>
      </c>
      <c r="L49" s="394">
        <v>0</v>
      </c>
      <c r="M49" s="394">
        <v>0</v>
      </c>
      <c r="N49" s="394">
        <v>0</v>
      </c>
      <c r="O49" s="394">
        <v>0</v>
      </c>
      <c r="P49" s="394">
        <v>0</v>
      </c>
      <c r="Q49" s="394">
        <v>0</v>
      </c>
      <c r="R49" s="394">
        <v>0</v>
      </c>
      <c r="S49" s="394">
        <v>0</v>
      </c>
      <c r="T49" s="394">
        <v>0</v>
      </c>
      <c r="U49" s="394">
        <v>0</v>
      </c>
      <c r="V49" s="393">
        <v>0</v>
      </c>
      <c r="W49" s="393">
        <v>0</v>
      </c>
      <c r="X49" s="393">
        <v>0</v>
      </c>
      <c r="Y49" s="393">
        <v>0</v>
      </c>
      <c r="Z49" s="394">
        <v>0</v>
      </c>
      <c r="AA49" s="394">
        <v>0</v>
      </c>
      <c r="AB49" s="394">
        <v>0</v>
      </c>
      <c r="AC49" s="394">
        <v>0</v>
      </c>
      <c r="AD49" s="394">
        <v>0</v>
      </c>
      <c r="AE49" s="393">
        <v>0</v>
      </c>
      <c r="AF49" s="393">
        <v>0</v>
      </c>
      <c r="AG49" s="393">
        <v>0</v>
      </c>
      <c r="AH49" s="393">
        <v>0</v>
      </c>
      <c r="AI49" s="394">
        <v>0</v>
      </c>
      <c r="AJ49" s="394">
        <v>0</v>
      </c>
      <c r="AK49" s="394">
        <v>0</v>
      </c>
      <c r="AL49" s="394">
        <v>0</v>
      </c>
      <c r="AM49" s="394">
        <v>0</v>
      </c>
      <c r="AN49" s="393">
        <v>0</v>
      </c>
      <c r="AO49" s="393">
        <v>0</v>
      </c>
      <c r="AP49" s="393">
        <v>0</v>
      </c>
      <c r="AQ49" s="393">
        <v>0</v>
      </c>
      <c r="AR49" s="394">
        <v>0</v>
      </c>
      <c r="AS49" s="394">
        <v>0</v>
      </c>
      <c r="AT49" s="394">
        <v>0</v>
      </c>
      <c r="AU49" s="394">
        <v>0</v>
      </c>
      <c r="AV49" s="394">
        <v>0</v>
      </c>
      <c r="AW49" s="393">
        <v>0</v>
      </c>
      <c r="AX49" s="393">
        <v>0</v>
      </c>
      <c r="AY49" s="393">
        <v>0</v>
      </c>
      <c r="AZ49" s="393">
        <v>0</v>
      </c>
      <c r="BA49" s="394">
        <v>0</v>
      </c>
      <c r="BB49" s="394">
        <v>0</v>
      </c>
      <c r="BC49" s="394">
        <v>0</v>
      </c>
      <c r="BD49" s="394">
        <v>0</v>
      </c>
      <c r="BE49" s="394">
        <v>0</v>
      </c>
    </row>
    <row r="50" spans="2:57" x14ac:dyDescent="0.35">
      <c r="B50" s="397" t="s">
        <v>838</v>
      </c>
      <c r="C50" s="344" t="s">
        <v>801</v>
      </c>
      <c r="D50" s="393">
        <v>0</v>
      </c>
      <c r="E50" s="393">
        <v>0</v>
      </c>
      <c r="F50" s="393">
        <v>0</v>
      </c>
      <c r="G50" s="393">
        <v>0</v>
      </c>
      <c r="H50" s="394">
        <v>6.7536176344524607E-2</v>
      </c>
      <c r="I50" s="394">
        <v>-9.0393637000331199E-3</v>
      </c>
      <c r="J50" s="394">
        <v>0.24759328268199901</v>
      </c>
      <c r="K50" s="394">
        <v>1.073</v>
      </c>
      <c r="L50" s="394">
        <v>0.39283753486279799</v>
      </c>
      <c r="M50" s="394">
        <v>0</v>
      </c>
      <c r="N50" s="394">
        <v>0</v>
      </c>
      <c r="O50" s="394">
        <v>0</v>
      </c>
      <c r="P50" s="394">
        <v>0</v>
      </c>
      <c r="Q50" s="394">
        <v>6.2496004849650198E-2</v>
      </c>
      <c r="R50" s="394">
        <v>-9.0717328604374304E-3</v>
      </c>
      <c r="S50" s="394">
        <v>0.25959715614484902</v>
      </c>
      <c r="T50" s="394">
        <v>1.14451073231212</v>
      </c>
      <c r="U50" s="394">
        <v>0.39406553836993702</v>
      </c>
      <c r="V50" s="393">
        <v>0</v>
      </c>
      <c r="W50" s="393">
        <v>0</v>
      </c>
      <c r="X50" s="393">
        <v>0</v>
      </c>
      <c r="Y50" s="393">
        <v>0</v>
      </c>
      <c r="Z50" s="394">
        <v>5.8931780837660701E-2</v>
      </c>
      <c r="AA50" s="394">
        <v>-9.3646886616372393E-3</v>
      </c>
      <c r="AB50" s="394">
        <v>0.217861347089576</v>
      </c>
      <c r="AC50" s="394">
        <v>1.2816952828184001</v>
      </c>
      <c r="AD50" s="394">
        <v>0.40561464113346501</v>
      </c>
      <c r="AE50" s="393">
        <v>0</v>
      </c>
      <c r="AF50" s="393">
        <v>0</v>
      </c>
      <c r="AG50" s="393">
        <v>0</v>
      </c>
      <c r="AH50" s="393">
        <v>0</v>
      </c>
      <c r="AI50" s="394">
        <v>4.6273174664865899E-2</v>
      </c>
      <c r="AJ50" s="394">
        <v>-9.7625493944802997E-3</v>
      </c>
      <c r="AK50" s="394">
        <v>0.15731646936871499</v>
      </c>
      <c r="AL50" s="394">
        <v>1.61452489333203</v>
      </c>
      <c r="AM50" s="394">
        <v>0.41886199810524299</v>
      </c>
      <c r="AN50" s="393">
        <v>0</v>
      </c>
      <c r="AO50" s="393">
        <v>0</v>
      </c>
      <c r="AP50" s="393">
        <v>0</v>
      </c>
      <c r="AQ50" s="393">
        <v>0</v>
      </c>
      <c r="AR50" s="394">
        <v>4.5566410324776201E-2</v>
      </c>
      <c r="AS50" s="394">
        <v>-9.7938508993622893E-3</v>
      </c>
      <c r="AT50" s="394">
        <v>0.15475372940658599</v>
      </c>
      <c r="AU50" s="394">
        <v>1.3458258689967899</v>
      </c>
      <c r="AV50" s="394">
        <v>0.419556851676883</v>
      </c>
      <c r="AW50" s="393">
        <v>0</v>
      </c>
      <c r="AX50" s="393">
        <v>0</v>
      </c>
      <c r="AY50" s="393">
        <v>0</v>
      </c>
      <c r="AZ50" s="393">
        <v>0</v>
      </c>
      <c r="BA50" s="394">
        <v>3.6555911611020502E-2</v>
      </c>
      <c r="BB50" s="394">
        <v>-9.7938508993622893E-3</v>
      </c>
      <c r="BC50" s="394">
        <v>0.15475372940658599</v>
      </c>
      <c r="BD50" s="398">
        <v>1.62</v>
      </c>
      <c r="BE50" s="394">
        <v>0.419556851676883</v>
      </c>
    </row>
    <row r="51" spans="2:57" x14ac:dyDescent="0.35">
      <c r="C51" s="399"/>
      <c r="D51" s="399"/>
      <c r="E51" s="399"/>
      <c r="F51" s="399"/>
      <c r="G51" s="399"/>
      <c r="H51" s="399"/>
      <c r="I51" s="399"/>
      <c r="J51" s="399"/>
      <c r="K51" s="399"/>
      <c r="L51" s="77"/>
      <c r="M51" s="77"/>
      <c r="N51" s="77"/>
      <c r="O51" s="77"/>
      <c r="P51" s="77"/>
      <c r="Q51" s="77"/>
      <c r="R51" s="77"/>
      <c r="S51" s="77"/>
      <c r="T51" s="77"/>
      <c r="U51" s="77"/>
      <c r="V51" s="77"/>
      <c r="W51" s="77"/>
      <c r="X51" s="77"/>
      <c r="Y51" s="77"/>
      <c r="Z51" s="77"/>
      <c r="AA51" s="77"/>
      <c r="AB51" s="77"/>
      <c r="AC51" s="77"/>
      <c r="AE51" s="77"/>
      <c r="AF51" s="77"/>
      <c r="AG51" s="77"/>
      <c r="AH51" s="77"/>
      <c r="AI51" s="77"/>
      <c r="AJ51" s="77"/>
      <c r="AK51" s="77"/>
      <c r="AL51" s="77"/>
      <c r="AN51" s="77"/>
      <c r="AO51" s="77"/>
      <c r="AP51" s="77"/>
      <c r="AQ51" s="77"/>
      <c r="AR51" s="77"/>
      <c r="AS51" s="77"/>
      <c r="AT51" s="77"/>
      <c r="AU51" s="77"/>
      <c r="AW51" s="77"/>
      <c r="AX51" s="77"/>
      <c r="AY51" s="77"/>
      <c r="AZ51" s="77"/>
      <c r="BA51" s="77"/>
      <c r="BB51" s="77"/>
      <c r="BC51" s="77"/>
      <c r="BD51" s="77"/>
    </row>
    <row r="52" spans="2:57" x14ac:dyDescent="0.35">
      <c r="B52" s="400" t="s">
        <v>52</v>
      </c>
      <c r="D52" s="77">
        <f t="shared" ref="D52:AI52" si="0">SUM(D39+D37+D33+D26+D22+D17+D14+D12+D6)</f>
        <v>12.452717393481137</v>
      </c>
      <c r="E52" s="77">
        <f t="shared" si="0"/>
        <v>1.3666520990067765</v>
      </c>
      <c r="F52" s="77">
        <f t="shared" si="0"/>
        <v>4.9308939854919993</v>
      </c>
      <c r="G52" s="77">
        <f t="shared" si="0"/>
        <v>13.307546795161608</v>
      </c>
      <c r="H52" s="77">
        <f t="shared" si="0"/>
        <v>2.1547622741316497</v>
      </c>
      <c r="I52" s="77">
        <f t="shared" si="0"/>
        <v>1.1275837860370581</v>
      </c>
      <c r="J52" s="77">
        <f t="shared" si="0"/>
        <v>3.2018183148017663</v>
      </c>
      <c r="K52" s="77">
        <f t="shared" si="0"/>
        <v>8.3467850000000006</v>
      </c>
      <c r="L52" s="77">
        <f t="shared" si="0"/>
        <v>3.7597692307692299</v>
      </c>
      <c r="M52" s="77">
        <f t="shared" si="0"/>
        <v>12.240883970856911</v>
      </c>
      <c r="N52" s="77">
        <f t="shared" si="0"/>
        <v>1.4419885947101787</v>
      </c>
      <c r="O52" s="77">
        <f t="shared" si="0"/>
        <v>4.8770763930889203</v>
      </c>
      <c r="P52" s="77">
        <f t="shared" si="0"/>
        <v>12.378305742126296</v>
      </c>
      <c r="Q52" s="77">
        <f t="shared" si="0"/>
        <v>2.0974804950457488</v>
      </c>
      <c r="R52" s="77">
        <f t="shared" si="0"/>
        <v>1.1070517570887719</v>
      </c>
      <c r="S52" s="77">
        <f t="shared" si="0"/>
        <v>3.1799100639802989</v>
      </c>
      <c r="T52" s="77">
        <f t="shared" si="0"/>
        <v>8.7020144402068702</v>
      </c>
      <c r="U52" s="77">
        <f t="shared" si="0"/>
        <v>3.7715222059604399</v>
      </c>
      <c r="V52" s="77">
        <f t="shared" si="0"/>
        <v>12.204449141087089</v>
      </c>
      <c r="W52" s="77">
        <f t="shared" si="0"/>
        <v>1.6668344856094777</v>
      </c>
      <c r="X52" s="77">
        <f t="shared" si="0"/>
        <v>4.8450818794527741</v>
      </c>
      <c r="Y52" s="77">
        <f t="shared" si="0"/>
        <v>11.53616800720232</v>
      </c>
      <c r="Z52" s="77">
        <f t="shared" si="0"/>
        <v>2.1042674838599709</v>
      </c>
      <c r="AA52" s="77">
        <f t="shared" si="0"/>
        <v>1.0960159107965133</v>
      </c>
      <c r="AB52" s="77">
        <f t="shared" si="0"/>
        <v>2.6591448303066203</v>
      </c>
      <c r="AC52" s="77">
        <f t="shared" si="0"/>
        <v>9.6905754800433392</v>
      </c>
      <c r="AD52" s="77">
        <f t="shared" si="0"/>
        <v>3.8820563514016797</v>
      </c>
      <c r="AE52" s="77">
        <f t="shared" si="0"/>
        <v>12.830079646878215</v>
      </c>
      <c r="AF52" s="77">
        <f t="shared" si="0"/>
        <v>2.1754663803644028</v>
      </c>
      <c r="AG52" s="77">
        <f t="shared" si="0"/>
        <v>4.2149945500939037</v>
      </c>
      <c r="AH52" s="77">
        <f t="shared" si="0"/>
        <v>9.042956949718354</v>
      </c>
      <c r="AI52" s="77">
        <f t="shared" si="0"/>
        <v>2.0271977013522631</v>
      </c>
      <c r="AJ52" s="77">
        <f t="shared" ref="AJ52:BE52" si="1">SUM(AJ39+AJ37+AJ33+AJ26+AJ22+AJ17+AJ14+AJ12+AJ6)</f>
        <v>1.0319653943188238</v>
      </c>
      <c r="AK52" s="77">
        <f t="shared" si="1"/>
        <v>1.8053936621327651</v>
      </c>
      <c r="AL52" s="77">
        <f t="shared" si="1"/>
        <v>11.88693972450826</v>
      </c>
      <c r="AM52" s="77">
        <f t="shared" si="1"/>
        <v>4.0088441471475802</v>
      </c>
      <c r="AN52" s="77">
        <f t="shared" si="1"/>
        <v>12.873651146325845</v>
      </c>
      <c r="AO52" s="77">
        <f t="shared" si="1"/>
        <v>2.23731887037163</v>
      </c>
      <c r="AP52" s="77">
        <f t="shared" si="1"/>
        <v>4.6527254801542064</v>
      </c>
      <c r="AQ52" s="77">
        <f t="shared" si="1"/>
        <v>7.9318222734538395</v>
      </c>
      <c r="AR52" s="77">
        <f t="shared" si="1"/>
        <v>2.0235036744963666</v>
      </c>
      <c r="AS52" s="77">
        <f t="shared" si="1"/>
        <v>1.0372340341935802</v>
      </c>
      <c r="AT52" s="77">
        <f t="shared" si="1"/>
        <v>1.7673595023255653</v>
      </c>
      <c r="AU52" s="77">
        <f t="shared" si="1"/>
        <v>10.256760269386859</v>
      </c>
      <c r="AV52" s="77">
        <f t="shared" si="1"/>
        <v>4.0154944512725601</v>
      </c>
      <c r="AW52" s="77">
        <f t="shared" si="1"/>
        <v>12.873651146325845</v>
      </c>
      <c r="AX52" s="77">
        <f t="shared" si="1"/>
        <v>2.198292099190196</v>
      </c>
      <c r="AY52" s="77">
        <f t="shared" si="1"/>
        <v>4.1710733988994573</v>
      </c>
      <c r="AZ52" s="77">
        <f t="shared" si="1"/>
        <v>8.904537613324278</v>
      </c>
      <c r="BA52" s="77">
        <f t="shared" si="1"/>
        <v>1.9945286337845252</v>
      </c>
      <c r="BB52" s="77">
        <f t="shared" si="1"/>
        <v>1.0372340341935802</v>
      </c>
      <c r="BC52" s="77">
        <f t="shared" si="1"/>
        <v>1.7835214737204257</v>
      </c>
      <c r="BD52" s="77">
        <f t="shared" si="1"/>
        <v>11.973947361010859</v>
      </c>
      <c r="BE52" s="77">
        <f t="shared" si="1"/>
        <v>4.0154944512725601</v>
      </c>
    </row>
    <row r="54" spans="2:57" x14ac:dyDescent="0.35">
      <c r="D54" s="45">
        <v>2014</v>
      </c>
      <c r="E54" s="45">
        <v>2019</v>
      </c>
      <c r="F54" s="45">
        <v>2030</v>
      </c>
      <c r="G54" s="45">
        <v>2049</v>
      </c>
      <c r="H54" s="45">
        <v>2050</v>
      </c>
      <c r="AW54" s="77">
        <f t="shared" ref="AW54:BE54" si="2">AW52-AE52</f>
        <v>4.3571499447629947E-2</v>
      </c>
      <c r="AX54" s="77">
        <f t="shared" si="2"/>
        <v>2.2825718825793206E-2</v>
      </c>
      <c r="AY54" s="77">
        <f t="shared" si="2"/>
        <v>-4.3921151194446395E-2</v>
      </c>
      <c r="AZ54" s="77">
        <f t="shared" si="2"/>
        <v>-0.138419336394076</v>
      </c>
      <c r="BA54" s="77">
        <f t="shared" si="2"/>
        <v>-3.2669067567737908E-2</v>
      </c>
      <c r="BB54" s="77">
        <f t="shared" si="2"/>
        <v>5.2686398747563423E-3</v>
      </c>
      <c r="BC54" s="77">
        <f t="shared" si="2"/>
        <v>-2.1872188412339399E-2</v>
      </c>
      <c r="BD54" s="77">
        <f t="shared" si="2"/>
        <v>8.7007636502599794E-2</v>
      </c>
      <c r="BE54" s="77">
        <f t="shared" si="2"/>
        <v>6.6503041249799111E-3</v>
      </c>
    </row>
    <row r="55" spans="2:57" x14ac:dyDescent="0.35">
      <c r="D55" s="45">
        <v>2014</v>
      </c>
      <c r="E55" s="45">
        <v>2019</v>
      </c>
      <c r="F55" s="45">
        <v>2030</v>
      </c>
      <c r="G55" s="45">
        <v>2050</v>
      </c>
    </row>
  </sheetData>
  <mergeCells count="7">
    <mergeCell ref="AN4:AV4"/>
    <mergeCell ref="AW4:BE4"/>
    <mergeCell ref="B4:C5"/>
    <mergeCell ref="D4:L4"/>
    <mergeCell ref="M4:U4"/>
    <mergeCell ref="V4:AD4"/>
    <mergeCell ref="AE4:AM4"/>
  </mergeCells>
  <pageMargins left="0.7" right="0.7" top="0.75" bottom="0.75" header="0.51180555555555496" footer="0.51180555555555496"/>
  <pageSetup paperSize="9" firstPageNumber="0"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A5A5A5"/>
  </sheetPr>
  <dimension ref="A2:AMK55"/>
  <sheetViews>
    <sheetView topLeftCell="B1" zoomScale="65" zoomScaleNormal="65" workbookViewId="0">
      <pane xSplit="1" ySplit="5" topLeftCell="BC6" activePane="bottomRight" state="frozen"/>
      <selection activeCell="B1" sqref="B1"/>
      <selection pane="topRight" activeCell="C1" sqref="C1"/>
      <selection pane="bottomLeft" activeCell="B6" sqref="B6"/>
      <selection pane="bottomRight" activeCell="C6" sqref="C6"/>
    </sheetView>
  </sheetViews>
  <sheetFormatPr baseColWidth="10" defaultColWidth="8.7265625" defaultRowHeight="14.5" x14ac:dyDescent="0.35"/>
  <cols>
    <col min="1" max="1025" width="10.453125" style="45" customWidth="1"/>
  </cols>
  <sheetData>
    <row r="2" spans="2:78" x14ac:dyDescent="0.35">
      <c r="B2" s="401" t="s">
        <v>839</v>
      </c>
    </row>
    <row r="4" spans="2:78" ht="14.65" customHeight="1" x14ac:dyDescent="0.35">
      <c r="B4" s="460" t="s">
        <v>792</v>
      </c>
      <c r="C4" s="460"/>
      <c r="D4" s="459" t="s">
        <v>793</v>
      </c>
      <c r="E4" s="459"/>
      <c r="F4" s="459"/>
      <c r="G4" s="459"/>
      <c r="H4" s="459"/>
      <c r="I4" s="459"/>
      <c r="J4" s="459"/>
      <c r="K4" s="459"/>
      <c r="L4" s="459"/>
      <c r="M4" s="459" t="s">
        <v>840</v>
      </c>
      <c r="N4" s="459"/>
      <c r="O4" s="459"/>
      <c r="P4" s="459"/>
      <c r="Q4" s="459"/>
      <c r="R4" s="459"/>
      <c r="S4" s="459"/>
      <c r="T4" s="459"/>
      <c r="U4" s="459"/>
      <c r="V4" s="459" t="s">
        <v>841</v>
      </c>
      <c r="W4" s="459"/>
      <c r="X4" s="459"/>
      <c r="Y4" s="459"/>
      <c r="Z4" s="459"/>
      <c r="AA4" s="459"/>
      <c r="AB4" s="459"/>
      <c r="AC4" s="459"/>
      <c r="AD4" s="459"/>
      <c r="AE4" s="459" t="s">
        <v>842</v>
      </c>
      <c r="AF4" s="459"/>
      <c r="AG4" s="459"/>
      <c r="AH4" s="459"/>
      <c r="AI4" s="459"/>
      <c r="AJ4" s="459"/>
      <c r="AK4" s="459"/>
      <c r="AL4" s="459"/>
      <c r="AM4" s="459"/>
      <c r="AN4" s="459" t="s">
        <v>795</v>
      </c>
      <c r="AO4" s="459"/>
      <c r="AP4" s="459"/>
      <c r="AQ4" s="459"/>
      <c r="AR4" s="459"/>
      <c r="AS4" s="459"/>
      <c r="AT4" s="459"/>
      <c r="AU4" s="459"/>
      <c r="AV4" s="459"/>
      <c r="AW4" s="459" t="s">
        <v>796</v>
      </c>
      <c r="AX4" s="459"/>
      <c r="AY4" s="459"/>
      <c r="AZ4" s="459"/>
      <c r="BA4" s="459"/>
      <c r="BB4" s="459"/>
      <c r="BC4" s="459"/>
      <c r="BD4" s="459"/>
      <c r="BE4" s="459"/>
      <c r="BF4" s="459" t="s">
        <v>797</v>
      </c>
      <c r="BG4" s="459"/>
      <c r="BH4" s="459"/>
      <c r="BI4" s="459"/>
      <c r="BJ4" s="459"/>
      <c r="BK4" s="459"/>
      <c r="BL4" s="459"/>
      <c r="BM4" s="459"/>
      <c r="BN4" s="459"/>
      <c r="BO4" s="459" t="s">
        <v>798</v>
      </c>
      <c r="BP4" s="459"/>
      <c r="BQ4" s="459"/>
      <c r="BR4" s="459"/>
      <c r="BS4" s="459"/>
      <c r="BT4" s="459"/>
      <c r="BU4" s="459"/>
      <c r="BV4" s="459"/>
      <c r="BW4" s="459"/>
    </row>
    <row r="5" spans="2:78" x14ac:dyDescent="0.35">
      <c r="B5" s="460"/>
      <c r="C5" s="460"/>
      <c r="D5" s="341" t="s">
        <v>6</v>
      </c>
      <c r="E5" s="341" t="s">
        <v>10</v>
      </c>
      <c r="F5" s="341" t="s">
        <v>16</v>
      </c>
      <c r="G5" s="341" t="s">
        <v>15</v>
      </c>
      <c r="H5" s="341" t="s">
        <v>14</v>
      </c>
      <c r="I5" s="341" t="s">
        <v>799</v>
      </c>
      <c r="J5" s="342" t="s">
        <v>12</v>
      </c>
      <c r="K5" s="342" t="s">
        <v>17</v>
      </c>
      <c r="L5" s="342" t="s">
        <v>18</v>
      </c>
      <c r="M5" s="341" t="s">
        <v>6</v>
      </c>
      <c r="N5" s="341" t="s">
        <v>10</v>
      </c>
      <c r="O5" s="341" t="s">
        <v>16</v>
      </c>
      <c r="P5" s="341" t="s">
        <v>15</v>
      </c>
      <c r="Q5" s="341" t="s">
        <v>14</v>
      </c>
      <c r="R5" s="341" t="s">
        <v>799</v>
      </c>
      <c r="S5" s="342" t="s">
        <v>12</v>
      </c>
      <c r="T5" s="342" t="s">
        <v>17</v>
      </c>
      <c r="U5" s="342" t="s">
        <v>18</v>
      </c>
      <c r="V5" s="341" t="s">
        <v>6</v>
      </c>
      <c r="W5" s="341" t="s">
        <v>10</v>
      </c>
      <c r="X5" s="341" t="s">
        <v>16</v>
      </c>
      <c r="Y5" s="341" t="s">
        <v>15</v>
      </c>
      <c r="Z5" s="341" t="s">
        <v>14</v>
      </c>
      <c r="AA5" s="341" t="s">
        <v>799</v>
      </c>
      <c r="AB5" s="342" t="s">
        <v>12</v>
      </c>
      <c r="AC5" s="342" t="s">
        <v>17</v>
      </c>
      <c r="AD5" s="342" t="s">
        <v>18</v>
      </c>
      <c r="AE5" s="341" t="s">
        <v>6</v>
      </c>
      <c r="AF5" s="341" t="s">
        <v>10</v>
      </c>
      <c r="AG5" s="341" t="s">
        <v>16</v>
      </c>
      <c r="AH5" s="341" t="s">
        <v>15</v>
      </c>
      <c r="AI5" s="341" t="s">
        <v>14</v>
      </c>
      <c r="AJ5" s="341" t="s">
        <v>799</v>
      </c>
      <c r="AK5" s="342" t="s">
        <v>12</v>
      </c>
      <c r="AL5" s="342" t="s">
        <v>17</v>
      </c>
      <c r="AM5" s="342" t="s">
        <v>18</v>
      </c>
      <c r="AN5" s="341" t="s">
        <v>6</v>
      </c>
      <c r="AO5" s="341" t="s">
        <v>10</v>
      </c>
      <c r="AP5" s="341" t="s">
        <v>16</v>
      </c>
      <c r="AQ5" s="341" t="s">
        <v>15</v>
      </c>
      <c r="AR5" s="341" t="s">
        <v>14</v>
      </c>
      <c r="AS5" s="341" t="s">
        <v>799</v>
      </c>
      <c r="AT5" s="342" t="s">
        <v>12</v>
      </c>
      <c r="AU5" s="342" t="s">
        <v>17</v>
      </c>
      <c r="AV5" s="342" t="s">
        <v>18</v>
      </c>
      <c r="AW5" s="341" t="s">
        <v>6</v>
      </c>
      <c r="AX5" s="341" t="s">
        <v>10</v>
      </c>
      <c r="AY5" s="341" t="s">
        <v>16</v>
      </c>
      <c r="AZ5" s="341" t="s">
        <v>15</v>
      </c>
      <c r="BA5" s="341" t="s">
        <v>14</v>
      </c>
      <c r="BB5" s="341" t="s">
        <v>799</v>
      </c>
      <c r="BC5" s="342" t="s">
        <v>12</v>
      </c>
      <c r="BD5" s="342" t="s">
        <v>17</v>
      </c>
      <c r="BE5" s="342" t="s">
        <v>18</v>
      </c>
      <c r="BF5" s="341" t="s">
        <v>6</v>
      </c>
      <c r="BG5" s="341" t="s">
        <v>10</v>
      </c>
      <c r="BH5" s="341" t="s">
        <v>16</v>
      </c>
      <c r="BI5" s="341" t="s">
        <v>15</v>
      </c>
      <c r="BJ5" s="341" t="s">
        <v>14</v>
      </c>
      <c r="BK5" s="341" t="s">
        <v>799</v>
      </c>
      <c r="BL5" s="342" t="s">
        <v>12</v>
      </c>
      <c r="BM5" s="342" t="s">
        <v>17</v>
      </c>
      <c r="BN5" s="342" t="s">
        <v>18</v>
      </c>
      <c r="BO5" s="341" t="s">
        <v>6</v>
      </c>
      <c r="BP5" s="341" t="s">
        <v>10</v>
      </c>
      <c r="BQ5" s="341" t="s">
        <v>16</v>
      </c>
      <c r="BR5" s="341" t="s">
        <v>15</v>
      </c>
      <c r="BS5" s="341" t="s">
        <v>14</v>
      </c>
      <c r="BT5" s="341" t="s">
        <v>799</v>
      </c>
      <c r="BU5" s="342" t="s">
        <v>12</v>
      </c>
      <c r="BV5" s="342" t="s">
        <v>17</v>
      </c>
      <c r="BW5" s="342" t="s">
        <v>18</v>
      </c>
    </row>
    <row r="6" spans="2:78" x14ac:dyDescent="0.35">
      <c r="B6" s="343" t="s">
        <v>800</v>
      </c>
      <c r="C6" s="344" t="s">
        <v>801</v>
      </c>
      <c r="D6" s="345">
        <v>3.0855467839999999</v>
      </c>
      <c r="E6" s="345">
        <v>0.45881</v>
      </c>
      <c r="F6" s="345">
        <v>0.52264500000000003</v>
      </c>
      <c r="G6" s="345">
        <v>0</v>
      </c>
      <c r="H6" s="345">
        <v>0.48256920961041</v>
      </c>
      <c r="I6" s="345">
        <v>0.27113667699007099</v>
      </c>
      <c r="J6" s="345">
        <v>0.45102890040768601</v>
      </c>
      <c r="K6" s="345">
        <v>0</v>
      </c>
      <c r="L6" s="345">
        <v>0</v>
      </c>
      <c r="M6" s="345">
        <v>3.1275163676162099</v>
      </c>
      <c r="N6" s="345">
        <v>0.47155573259373901</v>
      </c>
      <c r="O6" s="345">
        <v>0.52823776727000904</v>
      </c>
      <c r="P6" s="345">
        <v>0</v>
      </c>
      <c r="Q6" s="345">
        <v>0.49605441930285799</v>
      </c>
      <c r="R6" s="345">
        <v>0.27687153020166799</v>
      </c>
      <c r="S6" s="345">
        <v>0.45901331397641798</v>
      </c>
      <c r="T6" s="345">
        <v>0</v>
      </c>
      <c r="U6" s="345">
        <v>0</v>
      </c>
      <c r="V6" s="345">
        <v>3.04052827877767</v>
      </c>
      <c r="W6" s="345">
        <v>0.45864090602276703</v>
      </c>
      <c r="X6" s="345">
        <v>0.52823776727000904</v>
      </c>
      <c r="Y6" s="345">
        <v>0</v>
      </c>
      <c r="Z6" s="345">
        <v>0.49092122476443301</v>
      </c>
      <c r="AA6" s="345">
        <v>0.270213032488197</v>
      </c>
      <c r="AB6" s="345">
        <v>0.43236434950059999</v>
      </c>
      <c r="AC6" s="345">
        <v>0</v>
      </c>
      <c r="AD6" s="345">
        <v>0</v>
      </c>
      <c r="AE6" s="345">
        <f t="shared" ref="AE6:AE50" si="0">(V6+M6)/2</f>
        <v>3.0840223231969399</v>
      </c>
      <c r="AF6" s="345">
        <f t="shared" ref="AF6:AF50" si="1">(W6+N6)/2</f>
        <v>0.46509831930825302</v>
      </c>
      <c r="AG6" s="345">
        <f t="shared" ref="AG6:AG50" si="2">(X6+O6)/2</f>
        <v>0.52823776727000904</v>
      </c>
      <c r="AH6" s="345">
        <f t="shared" ref="AH6:AH50" si="3">(Y6+P6)/2</f>
        <v>0</v>
      </c>
      <c r="AI6" s="345">
        <f t="shared" ref="AI6:AI50" si="4">(Z6+Q6)/2</f>
        <v>0.4934878220336455</v>
      </c>
      <c r="AJ6" s="345">
        <f t="shared" ref="AJ6:AJ50" si="5">(AA6+R6)/2</f>
        <v>0.27354228134493253</v>
      </c>
      <c r="AK6" s="345">
        <f t="shared" ref="AK6:AK50" si="6">(AB6+S6)/2</f>
        <v>0.44568883173850898</v>
      </c>
      <c r="AL6" s="345">
        <f t="shared" ref="AL6:AL50" si="7">(AC6+T6)/2</f>
        <v>0</v>
      </c>
      <c r="AM6" s="345">
        <f t="shared" ref="AM6:AM50" si="8">(AD6+U6)/2</f>
        <v>0</v>
      </c>
      <c r="AN6" s="345">
        <v>2.93509603045838</v>
      </c>
      <c r="AO6" s="345">
        <v>0.45785360051380902</v>
      </c>
      <c r="AP6" s="345">
        <v>0.54049410528064501</v>
      </c>
      <c r="AQ6" s="345">
        <v>0</v>
      </c>
      <c r="AR6" s="345">
        <v>0.50940739257620105</v>
      </c>
      <c r="AS6" s="345">
        <v>0.26514630876439699</v>
      </c>
      <c r="AT6" s="345">
        <v>0.37278469954073801</v>
      </c>
      <c r="AU6" s="345">
        <v>0</v>
      </c>
      <c r="AV6" s="345">
        <v>0</v>
      </c>
      <c r="AW6" s="345">
        <v>2.6168790776323401</v>
      </c>
      <c r="AX6" s="345">
        <v>0.45061881830477202</v>
      </c>
      <c r="AY6" s="345">
        <v>0.55936627836813402</v>
      </c>
      <c r="AZ6" s="345">
        <v>0</v>
      </c>
      <c r="BA6" s="345">
        <v>0.39255921373698199</v>
      </c>
      <c r="BB6" s="345">
        <v>0.19266718564051899</v>
      </c>
      <c r="BC6" s="345">
        <v>0.25579135013575699</v>
      </c>
      <c r="BD6" s="345">
        <v>0</v>
      </c>
      <c r="BE6" s="345">
        <v>0</v>
      </c>
      <c r="BF6" s="345">
        <v>2.5992762646952499</v>
      </c>
      <c r="BG6" s="345">
        <v>0.450193371394629</v>
      </c>
      <c r="BH6" s="345">
        <v>0.560354624050309</v>
      </c>
      <c r="BI6" s="345">
        <v>0</v>
      </c>
      <c r="BJ6" s="345">
        <v>0.38581478561152699</v>
      </c>
      <c r="BK6" s="345">
        <v>0.18854475928737199</v>
      </c>
      <c r="BL6" s="345">
        <v>0.24906190798263</v>
      </c>
      <c r="BM6" s="345">
        <v>0</v>
      </c>
      <c r="BN6" s="345">
        <v>0</v>
      </c>
      <c r="BO6" s="345">
        <v>2.5992762646952499</v>
      </c>
      <c r="BP6" s="345">
        <v>0.450193371394629</v>
      </c>
      <c r="BQ6" s="345">
        <v>0.560354624050309</v>
      </c>
      <c r="BR6" s="345">
        <v>0</v>
      </c>
      <c r="BS6" s="345">
        <v>0.38581478561152699</v>
      </c>
      <c r="BT6" s="345">
        <v>0.18854475928737199</v>
      </c>
      <c r="BU6" s="345">
        <v>0.24906190798263</v>
      </c>
      <c r="BV6" s="345">
        <v>0</v>
      </c>
      <c r="BW6" s="345">
        <v>0</v>
      </c>
      <c r="BY6" s="77">
        <f>SUM(M6:U6)</f>
        <v>5.3592491309609018</v>
      </c>
      <c r="BZ6" s="77">
        <f>SUM(BO6:BW6)</f>
        <v>4.4332457130217167</v>
      </c>
    </row>
    <row r="7" spans="2:78" x14ac:dyDescent="0.35">
      <c r="B7" s="346" t="s">
        <v>802</v>
      </c>
      <c r="C7" s="344" t="s">
        <v>801</v>
      </c>
      <c r="D7" s="347">
        <v>2.7054697600000002</v>
      </c>
      <c r="E7" s="347">
        <v>0.26743</v>
      </c>
      <c r="F7" s="347">
        <v>0</v>
      </c>
      <c r="G7" s="347">
        <v>0</v>
      </c>
      <c r="H7" s="348">
        <v>0</v>
      </c>
      <c r="I7" s="348">
        <v>0</v>
      </c>
      <c r="J7" s="348">
        <v>0</v>
      </c>
      <c r="K7" s="348">
        <v>0</v>
      </c>
      <c r="L7" s="348">
        <v>0</v>
      </c>
      <c r="M7" s="348">
        <v>2.7065704989139898</v>
      </c>
      <c r="N7" s="348">
        <v>0.26753880572835098</v>
      </c>
      <c r="O7" s="348">
        <v>0</v>
      </c>
      <c r="P7" s="348">
        <v>0</v>
      </c>
      <c r="Q7" s="348">
        <v>0</v>
      </c>
      <c r="R7" s="348">
        <v>0</v>
      </c>
      <c r="S7" s="348">
        <v>0</v>
      </c>
      <c r="T7" s="348">
        <v>0</v>
      </c>
      <c r="U7" s="348">
        <v>0</v>
      </c>
      <c r="V7" s="348">
        <v>2.6424337572335599</v>
      </c>
      <c r="W7" s="348">
        <v>0.26119902360208702</v>
      </c>
      <c r="X7" s="348">
        <v>0</v>
      </c>
      <c r="Y7" s="348">
        <v>0</v>
      </c>
      <c r="Z7" s="348">
        <v>0</v>
      </c>
      <c r="AA7" s="348">
        <v>0</v>
      </c>
      <c r="AB7" s="348">
        <v>0</v>
      </c>
      <c r="AC7" s="348">
        <v>0</v>
      </c>
      <c r="AD7" s="348">
        <v>0</v>
      </c>
      <c r="AE7" s="348">
        <f t="shared" si="0"/>
        <v>2.6745021280737751</v>
      </c>
      <c r="AF7" s="348">
        <f t="shared" si="1"/>
        <v>0.264368914665219</v>
      </c>
      <c r="AG7" s="348">
        <f t="shared" si="2"/>
        <v>0</v>
      </c>
      <c r="AH7" s="348">
        <f t="shared" si="3"/>
        <v>0</v>
      </c>
      <c r="AI7" s="348">
        <f t="shared" si="4"/>
        <v>0</v>
      </c>
      <c r="AJ7" s="348">
        <f t="shared" si="5"/>
        <v>0</v>
      </c>
      <c r="AK7" s="348">
        <f t="shared" si="6"/>
        <v>0</v>
      </c>
      <c r="AL7" s="348">
        <f t="shared" si="7"/>
        <v>0</v>
      </c>
      <c r="AM7" s="348">
        <f t="shared" si="8"/>
        <v>0</v>
      </c>
      <c r="AN7" s="347">
        <v>2.4961771773232702</v>
      </c>
      <c r="AO7" s="347">
        <v>0.24674186804866099</v>
      </c>
      <c r="AP7" s="347">
        <v>0</v>
      </c>
      <c r="AQ7" s="347">
        <v>0</v>
      </c>
      <c r="AR7" s="348">
        <v>0</v>
      </c>
      <c r="AS7" s="348">
        <v>0</v>
      </c>
      <c r="AT7" s="348">
        <v>0</v>
      </c>
      <c r="AU7" s="348">
        <v>0</v>
      </c>
      <c r="AV7" s="348">
        <v>0</v>
      </c>
      <c r="AW7" s="347">
        <v>2.06541114133777</v>
      </c>
      <c r="AX7" s="347">
        <v>0.20416155068314601</v>
      </c>
      <c r="AY7" s="347">
        <v>0</v>
      </c>
      <c r="AZ7" s="347">
        <v>0</v>
      </c>
      <c r="BA7" s="348">
        <v>0</v>
      </c>
      <c r="BB7" s="348">
        <v>0</v>
      </c>
      <c r="BC7" s="348">
        <v>0</v>
      </c>
      <c r="BD7" s="348">
        <v>0</v>
      </c>
      <c r="BE7" s="348">
        <v>0</v>
      </c>
      <c r="BF7" s="347">
        <v>2.0416698775432498</v>
      </c>
      <c r="BG7" s="347">
        <v>0.201814776651353</v>
      </c>
      <c r="BH7" s="347">
        <v>0</v>
      </c>
      <c r="BI7" s="347">
        <v>0</v>
      </c>
      <c r="BJ7" s="348">
        <v>0</v>
      </c>
      <c r="BK7" s="348">
        <v>0</v>
      </c>
      <c r="BL7" s="348">
        <v>0</v>
      </c>
      <c r="BM7" s="348">
        <v>0</v>
      </c>
      <c r="BN7" s="348">
        <v>0</v>
      </c>
      <c r="BO7" s="347">
        <v>2.0416698775432498</v>
      </c>
      <c r="BP7" s="347">
        <v>0.201814776651353</v>
      </c>
      <c r="BQ7" s="347">
        <v>0</v>
      </c>
      <c r="BR7" s="347">
        <v>0</v>
      </c>
      <c r="BS7" s="348">
        <v>0</v>
      </c>
      <c r="BT7" s="348">
        <v>0</v>
      </c>
      <c r="BU7" s="348">
        <v>0</v>
      </c>
      <c r="BV7" s="348">
        <v>0</v>
      </c>
      <c r="BW7" s="348">
        <v>0</v>
      </c>
      <c r="BZ7" s="77">
        <f t="shared" ref="BZ7:BZ50" si="9">SUM(BO7:BW7)</f>
        <v>2.243484654194603</v>
      </c>
    </row>
    <row r="8" spans="2:78" x14ac:dyDescent="0.35">
      <c r="B8" s="346" t="s">
        <v>572</v>
      </c>
      <c r="C8" s="344" t="s">
        <v>801</v>
      </c>
      <c r="D8" s="347">
        <v>0.38007702399999999</v>
      </c>
      <c r="E8" s="347">
        <v>0.10936</v>
      </c>
      <c r="F8" s="347">
        <v>0</v>
      </c>
      <c r="G8" s="347">
        <v>0</v>
      </c>
      <c r="H8" s="348">
        <v>8.5353554350616895E-2</v>
      </c>
      <c r="I8" s="348">
        <v>3.7468890101210003E-2</v>
      </c>
      <c r="J8" s="348">
        <v>7.0715481985624801E-2</v>
      </c>
      <c r="K8" s="348">
        <v>0</v>
      </c>
      <c r="L8" s="348">
        <v>0</v>
      </c>
      <c r="M8" s="348">
        <v>0.420945868702224</v>
      </c>
      <c r="N8" s="348">
        <v>0.12111923977092399</v>
      </c>
      <c r="O8" s="348">
        <v>0</v>
      </c>
      <c r="P8" s="348">
        <v>0</v>
      </c>
      <c r="Q8" s="348">
        <v>9.4558846760454507E-2</v>
      </c>
      <c r="R8" s="348">
        <v>4.1431570256698802E-2</v>
      </c>
      <c r="S8" s="348">
        <v>7.7627680677205699E-2</v>
      </c>
      <c r="T8" s="348">
        <v>0</v>
      </c>
      <c r="U8" s="348">
        <v>0</v>
      </c>
      <c r="V8" s="348">
        <v>0.39809452154410302</v>
      </c>
      <c r="W8" s="348">
        <v>0.114544195326217</v>
      </c>
      <c r="X8" s="348">
        <v>0</v>
      </c>
      <c r="Y8" s="348">
        <v>0</v>
      </c>
      <c r="Z8" s="348">
        <v>8.9425652222029806E-2</v>
      </c>
      <c r="AA8" s="348">
        <v>3.8833059698401499E-2</v>
      </c>
      <c r="AB8" s="348">
        <v>6.8534040366903304E-2</v>
      </c>
      <c r="AC8" s="348">
        <v>0</v>
      </c>
      <c r="AD8" s="348">
        <v>0</v>
      </c>
      <c r="AE8" s="348">
        <f t="shared" si="0"/>
        <v>0.40952019512316351</v>
      </c>
      <c r="AF8" s="348">
        <f t="shared" si="1"/>
        <v>0.1178317175485705</v>
      </c>
      <c r="AG8" s="348">
        <f t="shared" si="2"/>
        <v>0</v>
      </c>
      <c r="AH8" s="348">
        <f t="shared" si="3"/>
        <v>0</v>
      </c>
      <c r="AI8" s="348">
        <f t="shared" si="4"/>
        <v>9.1992249491242156E-2</v>
      </c>
      <c r="AJ8" s="348">
        <f t="shared" si="5"/>
        <v>4.0132314977550154E-2</v>
      </c>
      <c r="AK8" s="348">
        <f t="shared" si="6"/>
        <v>7.3080860522054508E-2</v>
      </c>
      <c r="AL8" s="348">
        <f t="shared" si="7"/>
        <v>0</v>
      </c>
      <c r="AM8" s="348">
        <f t="shared" si="8"/>
        <v>0</v>
      </c>
      <c r="AN8" s="347">
        <v>0.43891885313511197</v>
      </c>
      <c r="AO8" s="347">
        <v>0.12629062728836701</v>
      </c>
      <c r="AP8" s="347">
        <v>0</v>
      </c>
      <c r="AQ8" s="347">
        <v>0</v>
      </c>
      <c r="AR8" s="348">
        <v>9.8596194094583298E-2</v>
      </c>
      <c r="AS8" s="348">
        <v>4.1591941000799E-2</v>
      </c>
      <c r="AT8" s="348">
        <v>5.8506702243781898E-2</v>
      </c>
      <c r="AU8" s="348">
        <v>0</v>
      </c>
      <c r="AV8" s="348">
        <v>0</v>
      </c>
      <c r="AW8" s="347">
        <v>0.55146793629457103</v>
      </c>
      <c r="AX8" s="347">
        <v>0.15867450465296801</v>
      </c>
      <c r="AY8" s="347">
        <v>0</v>
      </c>
      <c r="AZ8" s="347">
        <v>0</v>
      </c>
      <c r="BA8" s="348">
        <v>8.8573177242804502E-2</v>
      </c>
      <c r="BB8" s="348">
        <v>3.6339959080824297E-2</v>
      </c>
      <c r="BC8" s="348">
        <v>4.02862969944894E-2</v>
      </c>
      <c r="BD8" s="348">
        <v>0</v>
      </c>
      <c r="BE8" s="348">
        <v>0</v>
      </c>
      <c r="BF8" s="347">
        <v>0.55760638715200195</v>
      </c>
      <c r="BG8" s="347">
        <v>0.16044072819024999</v>
      </c>
      <c r="BH8" s="347">
        <v>0</v>
      </c>
      <c r="BI8" s="347">
        <v>0</v>
      </c>
      <c r="BJ8" s="348">
        <v>8.7680232982304998E-2</v>
      </c>
      <c r="BK8" s="348">
        <v>3.58973944680279E-2</v>
      </c>
      <c r="BL8" s="348">
        <v>3.8966691243200499E-2</v>
      </c>
      <c r="BM8" s="348">
        <v>0</v>
      </c>
      <c r="BN8" s="348">
        <v>0</v>
      </c>
      <c r="BO8" s="347">
        <v>0.55760638715200195</v>
      </c>
      <c r="BP8" s="347">
        <v>0.16044072819024999</v>
      </c>
      <c r="BQ8" s="347">
        <v>0</v>
      </c>
      <c r="BR8" s="347">
        <v>0</v>
      </c>
      <c r="BS8" s="348">
        <v>8.7680232982304998E-2</v>
      </c>
      <c r="BT8" s="348">
        <v>3.58973944680279E-2</v>
      </c>
      <c r="BU8" s="348">
        <v>3.8966691243200499E-2</v>
      </c>
      <c r="BV8" s="348">
        <v>0</v>
      </c>
      <c r="BW8" s="348">
        <v>0</v>
      </c>
      <c r="BZ8" s="77">
        <f t="shared" si="9"/>
        <v>0.88059143403578533</v>
      </c>
    </row>
    <row r="9" spans="2:78" x14ac:dyDescent="0.35">
      <c r="B9" s="346" t="s">
        <v>803</v>
      </c>
      <c r="C9" s="344" t="s">
        <v>801</v>
      </c>
      <c r="D9" s="347">
        <v>0</v>
      </c>
      <c r="E9" s="347">
        <v>0</v>
      </c>
      <c r="F9" s="347">
        <v>0</v>
      </c>
      <c r="G9" s="347">
        <v>0</v>
      </c>
      <c r="H9" s="348">
        <v>0</v>
      </c>
      <c r="I9" s="348">
        <v>0</v>
      </c>
      <c r="J9" s="348">
        <v>0</v>
      </c>
      <c r="K9" s="348">
        <v>0</v>
      </c>
      <c r="L9" s="348">
        <v>0</v>
      </c>
      <c r="M9" s="348">
        <v>0</v>
      </c>
      <c r="N9" s="348">
        <v>0</v>
      </c>
      <c r="O9" s="348">
        <v>0</v>
      </c>
      <c r="P9" s="348">
        <v>0</v>
      </c>
      <c r="Q9" s="348">
        <v>0</v>
      </c>
      <c r="R9" s="348">
        <v>0</v>
      </c>
      <c r="S9" s="348">
        <v>0</v>
      </c>
      <c r="T9" s="348">
        <v>0</v>
      </c>
      <c r="U9" s="348">
        <v>0</v>
      </c>
      <c r="V9" s="348">
        <v>0</v>
      </c>
      <c r="W9" s="348">
        <v>0</v>
      </c>
      <c r="X9" s="348">
        <v>0</v>
      </c>
      <c r="Y9" s="348">
        <v>0</v>
      </c>
      <c r="Z9" s="348">
        <v>0</v>
      </c>
      <c r="AA9" s="348">
        <v>0</v>
      </c>
      <c r="AB9" s="348">
        <v>0</v>
      </c>
      <c r="AC9" s="348">
        <v>0</v>
      </c>
      <c r="AD9" s="348">
        <v>0</v>
      </c>
      <c r="AE9" s="348">
        <f t="shared" si="0"/>
        <v>0</v>
      </c>
      <c r="AF9" s="348">
        <f t="shared" si="1"/>
        <v>0</v>
      </c>
      <c r="AG9" s="348">
        <f t="shared" si="2"/>
        <v>0</v>
      </c>
      <c r="AH9" s="348">
        <f t="shared" si="3"/>
        <v>0</v>
      </c>
      <c r="AI9" s="348">
        <f t="shared" si="4"/>
        <v>0</v>
      </c>
      <c r="AJ9" s="348">
        <f t="shared" si="5"/>
        <v>0</v>
      </c>
      <c r="AK9" s="348">
        <f t="shared" si="6"/>
        <v>0</v>
      </c>
      <c r="AL9" s="348">
        <f t="shared" si="7"/>
        <v>0</v>
      </c>
      <c r="AM9" s="348">
        <f t="shared" si="8"/>
        <v>0</v>
      </c>
      <c r="AN9" s="347">
        <v>0</v>
      </c>
      <c r="AO9" s="347">
        <v>0</v>
      </c>
      <c r="AP9" s="347">
        <v>0</v>
      </c>
      <c r="AQ9" s="347">
        <v>0</v>
      </c>
      <c r="AR9" s="348">
        <v>0</v>
      </c>
      <c r="AS9" s="348">
        <v>0</v>
      </c>
      <c r="AT9" s="348">
        <v>0</v>
      </c>
      <c r="AU9" s="348">
        <v>0</v>
      </c>
      <c r="AV9" s="348">
        <v>0</v>
      </c>
      <c r="AW9" s="347">
        <v>0</v>
      </c>
      <c r="AX9" s="347">
        <v>0</v>
      </c>
      <c r="AY9" s="347">
        <v>0</v>
      </c>
      <c r="AZ9" s="347">
        <v>0</v>
      </c>
      <c r="BA9" s="348">
        <v>0</v>
      </c>
      <c r="BB9" s="348">
        <v>0</v>
      </c>
      <c r="BC9" s="348">
        <v>0</v>
      </c>
      <c r="BD9" s="348">
        <v>0</v>
      </c>
      <c r="BE9" s="348">
        <v>0</v>
      </c>
      <c r="BF9" s="347">
        <v>0</v>
      </c>
      <c r="BG9" s="347">
        <v>0</v>
      </c>
      <c r="BH9" s="347">
        <v>0</v>
      </c>
      <c r="BI9" s="347">
        <v>0</v>
      </c>
      <c r="BJ9" s="348">
        <v>0</v>
      </c>
      <c r="BK9" s="348">
        <v>0</v>
      </c>
      <c r="BL9" s="348">
        <v>0</v>
      </c>
      <c r="BM9" s="348">
        <v>0</v>
      </c>
      <c r="BN9" s="348">
        <v>0</v>
      </c>
      <c r="BO9" s="347">
        <v>0</v>
      </c>
      <c r="BP9" s="347">
        <v>0</v>
      </c>
      <c r="BQ9" s="347">
        <v>0</v>
      </c>
      <c r="BR9" s="347">
        <v>0</v>
      </c>
      <c r="BS9" s="348">
        <v>0</v>
      </c>
      <c r="BT9" s="348">
        <v>0</v>
      </c>
      <c r="BU9" s="348">
        <v>0</v>
      </c>
      <c r="BV9" s="348">
        <v>0</v>
      </c>
      <c r="BW9" s="348">
        <v>0</v>
      </c>
      <c r="BZ9" s="77">
        <f t="shared" si="9"/>
        <v>0</v>
      </c>
    </row>
    <row r="10" spans="2:78" x14ac:dyDescent="0.35">
      <c r="B10" s="346" t="s">
        <v>804</v>
      </c>
      <c r="C10" s="344" t="s">
        <v>801</v>
      </c>
      <c r="D10" s="347">
        <v>0</v>
      </c>
      <c r="E10" s="347">
        <v>0</v>
      </c>
      <c r="F10" s="347">
        <v>0</v>
      </c>
      <c r="G10" s="347">
        <v>0</v>
      </c>
      <c r="H10" s="348">
        <v>0</v>
      </c>
      <c r="I10" s="348">
        <v>0</v>
      </c>
      <c r="J10" s="348">
        <v>7.3700000000000002E-2</v>
      </c>
      <c r="K10" s="348">
        <v>0</v>
      </c>
      <c r="L10" s="348">
        <v>0</v>
      </c>
      <c r="M10" s="348">
        <v>0</v>
      </c>
      <c r="N10" s="348">
        <v>0</v>
      </c>
      <c r="O10" s="348">
        <v>0</v>
      </c>
      <c r="P10" s="348">
        <v>0</v>
      </c>
      <c r="Q10" s="348">
        <v>0</v>
      </c>
      <c r="R10" s="348">
        <v>0</v>
      </c>
      <c r="S10" s="348">
        <v>7.3429916002954301E-2</v>
      </c>
      <c r="T10" s="348">
        <v>0</v>
      </c>
      <c r="U10" s="348">
        <v>0</v>
      </c>
      <c r="V10" s="348">
        <v>0</v>
      </c>
      <c r="W10" s="348">
        <v>0</v>
      </c>
      <c r="X10" s="348">
        <v>0</v>
      </c>
      <c r="Y10" s="348">
        <v>0</v>
      </c>
      <c r="Z10" s="348">
        <v>0</v>
      </c>
      <c r="AA10" s="348">
        <v>0</v>
      </c>
      <c r="AB10" s="348">
        <v>7.2031250936231403E-2</v>
      </c>
      <c r="AC10" s="348">
        <v>0</v>
      </c>
      <c r="AD10" s="348">
        <v>0</v>
      </c>
      <c r="AE10" s="348">
        <f t="shared" si="0"/>
        <v>0</v>
      </c>
      <c r="AF10" s="348">
        <f t="shared" si="1"/>
        <v>0</v>
      </c>
      <c r="AG10" s="348">
        <f t="shared" si="2"/>
        <v>0</v>
      </c>
      <c r="AH10" s="348">
        <f t="shared" si="3"/>
        <v>0</v>
      </c>
      <c r="AI10" s="348">
        <f t="shared" si="4"/>
        <v>0</v>
      </c>
      <c r="AJ10" s="348">
        <f t="shared" si="5"/>
        <v>0</v>
      </c>
      <c r="AK10" s="348">
        <f t="shared" si="6"/>
        <v>7.2730583469592852E-2</v>
      </c>
      <c r="AL10" s="348">
        <f t="shared" si="7"/>
        <v>0</v>
      </c>
      <c r="AM10" s="348">
        <f t="shared" si="8"/>
        <v>0</v>
      </c>
      <c r="AN10" s="347">
        <v>0</v>
      </c>
      <c r="AO10" s="347">
        <v>0</v>
      </c>
      <c r="AP10" s="347">
        <v>0</v>
      </c>
      <c r="AQ10" s="347">
        <v>0</v>
      </c>
      <c r="AR10" s="348">
        <v>0</v>
      </c>
      <c r="AS10" s="348">
        <v>0</v>
      </c>
      <c r="AT10" s="348">
        <v>6.8145119788540903E-2</v>
      </c>
      <c r="AU10" s="348">
        <v>0</v>
      </c>
      <c r="AV10" s="348">
        <v>0</v>
      </c>
      <c r="AW10" s="347">
        <v>0</v>
      </c>
      <c r="AX10" s="347">
        <v>0</v>
      </c>
      <c r="AY10" s="347">
        <v>0</v>
      </c>
      <c r="AZ10" s="347">
        <v>0</v>
      </c>
      <c r="BA10" s="348">
        <v>0</v>
      </c>
      <c r="BB10" s="348">
        <v>0</v>
      </c>
      <c r="BC10" s="348">
        <v>5.6529567625510098E-2</v>
      </c>
      <c r="BD10" s="348">
        <v>0</v>
      </c>
      <c r="BE10" s="348">
        <v>0</v>
      </c>
      <c r="BF10" s="347">
        <v>0</v>
      </c>
      <c r="BG10" s="347">
        <v>0</v>
      </c>
      <c r="BH10" s="347">
        <v>0</v>
      </c>
      <c r="BI10" s="347">
        <v>0</v>
      </c>
      <c r="BJ10" s="348">
        <v>0</v>
      </c>
      <c r="BK10" s="348">
        <v>0</v>
      </c>
      <c r="BL10" s="348">
        <v>5.5887293829689898E-2</v>
      </c>
      <c r="BM10" s="348">
        <v>0</v>
      </c>
      <c r="BN10" s="348">
        <v>0</v>
      </c>
      <c r="BO10" s="347">
        <v>0</v>
      </c>
      <c r="BP10" s="347">
        <v>0</v>
      </c>
      <c r="BQ10" s="347">
        <v>0</v>
      </c>
      <c r="BR10" s="347">
        <v>0</v>
      </c>
      <c r="BS10" s="348">
        <v>0</v>
      </c>
      <c r="BT10" s="348">
        <v>0</v>
      </c>
      <c r="BU10" s="348">
        <v>5.5887293829689898E-2</v>
      </c>
      <c r="BV10" s="348">
        <v>0</v>
      </c>
      <c r="BW10" s="348">
        <v>0</v>
      </c>
      <c r="BZ10" s="77">
        <f t="shared" si="9"/>
        <v>5.5887293829689898E-2</v>
      </c>
    </row>
    <row r="11" spans="2:78" x14ac:dyDescent="0.35">
      <c r="B11" s="349" t="s">
        <v>805</v>
      </c>
      <c r="C11" s="344" t="s">
        <v>801</v>
      </c>
      <c r="D11" s="347">
        <v>0</v>
      </c>
      <c r="E11" s="347">
        <v>8.2019999999999996E-2</v>
      </c>
      <c r="F11" s="347">
        <v>0.52264500000000003</v>
      </c>
      <c r="G11" s="347">
        <v>0</v>
      </c>
      <c r="H11" s="348">
        <v>0.39721565525979302</v>
      </c>
      <c r="I11" s="348">
        <v>0.233667786888861</v>
      </c>
      <c r="J11" s="348">
        <v>0.30661341842206102</v>
      </c>
      <c r="K11" s="348">
        <v>0</v>
      </c>
      <c r="L11" s="348">
        <v>0</v>
      </c>
      <c r="M11" s="348">
        <v>0</v>
      </c>
      <c r="N11" s="348">
        <v>8.2897687094464101E-2</v>
      </c>
      <c r="O11" s="348">
        <v>0.52823776727000904</v>
      </c>
      <c r="P11" s="348">
        <v>0</v>
      </c>
      <c r="Q11" s="348">
        <v>0.40149557254240298</v>
      </c>
      <c r="R11" s="348">
        <v>0.23543995994497</v>
      </c>
      <c r="S11" s="348">
        <v>0.30795571729625798</v>
      </c>
      <c r="T11" s="348">
        <v>0</v>
      </c>
      <c r="U11" s="348">
        <v>0</v>
      </c>
      <c r="V11" s="348">
        <v>0</v>
      </c>
      <c r="W11" s="348">
        <v>8.2897687094464101E-2</v>
      </c>
      <c r="X11" s="348">
        <v>0.52823776727000904</v>
      </c>
      <c r="Y11" s="348">
        <v>0</v>
      </c>
      <c r="Z11" s="348">
        <v>0.40149557254240298</v>
      </c>
      <c r="AA11" s="348">
        <v>0.231379972789795</v>
      </c>
      <c r="AB11" s="348">
        <v>0.29179905819746499</v>
      </c>
      <c r="AC11" s="348">
        <v>0</v>
      </c>
      <c r="AD11" s="348">
        <v>0</v>
      </c>
      <c r="AE11" s="348">
        <f t="shared" si="0"/>
        <v>0</v>
      </c>
      <c r="AF11" s="348">
        <f t="shared" si="1"/>
        <v>8.2897687094464101E-2</v>
      </c>
      <c r="AG11" s="348">
        <f t="shared" si="2"/>
        <v>0.52823776727000904</v>
      </c>
      <c r="AH11" s="348">
        <f t="shared" si="3"/>
        <v>0</v>
      </c>
      <c r="AI11" s="348">
        <f t="shared" si="4"/>
        <v>0.40149557254240298</v>
      </c>
      <c r="AJ11" s="348">
        <f t="shared" si="5"/>
        <v>0.23340996636738248</v>
      </c>
      <c r="AK11" s="348">
        <f t="shared" si="6"/>
        <v>0.29987738774686146</v>
      </c>
      <c r="AL11" s="348">
        <f t="shared" si="7"/>
        <v>0</v>
      </c>
      <c r="AM11" s="348">
        <f t="shared" si="8"/>
        <v>0</v>
      </c>
      <c r="AN11" s="347">
        <v>0</v>
      </c>
      <c r="AO11" s="347">
        <v>8.4821105176780695E-2</v>
      </c>
      <c r="AP11" s="347">
        <v>0.54049410528064501</v>
      </c>
      <c r="AQ11" s="347">
        <v>0</v>
      </c>
      <c r="AR11" s="348">
        <v>0.41081119848161801</v>
      </c>
      <c r="AS11" s="348">
        <v>0.22355436776359799</v>
      </c>
      <c r="AT11" s="348">
        <v>0.246132877508415</v>
      </c>
      <c r="AU11" s="348">
        <v>0</v>
      </c>
      <c r="AV11" s="348">
        <v>0</v>
      </c>
      <c r="AW11" s="347">
        <v>0</v>
      </c>
      <c r="AX11" s="347">
        <v>8.7782762968658098E-2</v>
      </c>
      <c r="AY11" s="347">
        <v>0.55936627836813402</v>
      </c>
      <c r="AZ11" s="347">
        <v>0</v>
      </c>
      <c r="BA11" s="348">
        <v>0.30398603649417699</v>
      </c>
      <c r="BB11" s="348">
        <v>0.156327226559694</v>
      </c>
      <c r="BC11" s="348">
        <v>0.15897548551575699</v>
      </c>
      <c r="BD11" s="348">
        <v>0</v>
      </c>
      <c r="BE11" s="348">
        <v>0</v>
      </c>
      <c r="BF11" s="347">
        <v>0</v>
      </c>
      <c r="BG11" s="347">
        <v>8.7937866553026101E-2</v>
      </c>
      <c r="BH11" s="347">
        <v>0.560354624050309</v>
      </c>
      <c r="BI11" s="347">
        <v>0</v>
      </c>
      <c r="BJ11" s="348">
        <v>0.298134552629222</v>
      </c>
      <c r="BK11" s="348">
        <v>0.15264736481934399</v>
      </c>
      <c r="BL11" s="348">
        <v>0.15420792290974</v>
      </c>
      <c r="BM11" s="348">
        <v>0</v>
      </c>
      <c r="BN11" s="348">
        <v>0</v>
      </c>
      <c r="BO11" s="347">
        <v>0</v>
      </c>
      <c r="BP11" s="347">
        <v>8.7937866553026101E-2</v>
      </c>
      <c r="BQ11" s="347">
        <v>0.560354624050309</v>
      </c>
      <c r="BR11" s="347">
        <v>0</v>
      </c>
      <c r="BS11" s="348">
        <v>0.298134552629222</v>
      </c>
      <c r="BT11" s="348">
        <v>0.15264736481934399</v>
      </c>
      <c r="BU11" s="348">
        <v>0.15420792290974</v>
      </c>
      <c r="BV11" s="348">
        <v>0</v>
      </c>
      <c r="BW11" s="348">
        <v>0</v>
      </c>
      <c r="BZ11" s="77">
        <f t="shared" si="9"/>
        <v>1.2532823309616412</v>
      </c>
    </row>
    <row r="12" spans="2:78" x14ac:dyDescent="0.35">
      <c r="B12" s="350" t="s">
        <v>806</v>
      </c>
      <c r="C12" s="344" t="s">
        <v>801</v>
      </c>
      <c r="D12" s="351">
        <v>0.47199999999999998</v>
      </c>
      <c r="E12" s="351">
        <v>0.129</v>
      </c>
      <c r="F12" s="351">
        <v>3.2250000000000001</v>
      </c>
      <c r="G12" s="351">
        <v>0</v>
      </c>
      <c r="H12" s="351">
        <v>5.0241974510259E-3</v>
      </c>
      <c r="I12" s="351">
        <v>9.7934215665656504E-3</v>
      </c>
      <c r="J12" s="351">
        <v>1.0574619742197899</v>
      </c>
      <c r="K12" s="351">
        <v>3.6507849999999999</v>
      </c>
      <c r="L12" s="351">
        <v>0</v>
      </c>
      <c r="M12" s="351">
        <v>0.47877070931097898</v>
      </c>
      <c r="N12" s="351">
        <v>0.122371461493037</v>
      </c>
      <c r="O12" s="351">
        <v>3.1995186462910801</v>
      </c>
      <c r="P12" s="351">
        <v>0</v>
      </c>
      <c r="Q12" s="351">
        <v>4.73922498460988E-3</v>
      </c>
      <c r="R12" s="351">
        <v>9.1019851294216504E-3</v>
      </c>
      <c r="S12" s="351">
        <v>1.1501740368482001</v>
      </c>
      <c r="T12" s="351">
        <v>3.9251440652655298</v>
      </c>
      <c r="U12" s="351">
        <v>0</v>
      </c>
      <c r="V12" s="351">
        <v>0.465828183892047</v>
      </c>
      <c r="W12" s="351">
        <v>0.12016703186456799</v>
      </c>
      <c r="X12" s="351">
        <v>3.0877144586081302</v>
      </c>
      <c r="Y12" s="351">
        <v>0</v>
      </c>
      <c r="Z12" s="351">
        <v>4.6892430893013702E-3</v>
      </c>
      <c r="AA12" s="351">
        <v>8.2830596286855105E-3</v>
      </c>
      <c r="AB12" s="351">
        <v>1.0358874147157899</v>
      </c>
      <c r="AC12" s="351">
        <v>3.8517286374577102</v>
      </c>
      <c r="AD12" s="351">
        <v>0</v>
      </c>
      <c r="AE12" s="351">
        <f t="shared" si="0"/>
        <v>0.47229944660151302</v>
      </c>
      <c r="AF12" s="351">
        <f t="shared" si="1"/>
        <v>0.1212692466788025</v>
      </c>
      <c r="AG12" s="351">
        <f t="shared" si="2"/>
        <v>3.1436165524496049</v>
      </c>
      <c r="AH12" s="351">
        <f t="shared" si="3"/>
        <v>0</v>
      </c>
      <c r="AI12" s="351">
        <f t="shared" si="4"/>
        <v>4.7142340369556255E-3</v>
      </c>
      <c r="AJ12" s="351">
        <f t="shared" si="5"/>
        <v>8.6925223790535813E-3</v>
      </c>
      <c r="AK12" s="351">
        <f t="shared" si="6"/>
        <v>1.0930307257819951</v>
      </c>
      <c r="AL12" s="351">
        <f t="shared" si="7"/>
        <v>3.8884363513616202</v>
      </c>
      <c r="AM12" s="351">
        <f t="shared" si="8"/>
        <v>0</v>
      </c>
      <c r="AN12" s="351">
        <v>0.449834353248935</v>
      </c>
      <c r="AO12" s="352">
        <v>9.6596920782858295E-2</v>
      </c>
      <c r="AP12" s="351">
        <v>2.7503918738677999</v>
      </c>
      <c r="AQ12" s="351">
        <v>0</v>
      </c>
      <c r="AR12" s="351">
        <v>2.9044084764206302E-3</v>
      </c>
      <c r="AS12" s="351">
        <v>3.7081770790672098E-3</v>
      </c>
      <c r="AT12" s="351">
        <v>0.42875744490246598</v>
      </c>
      <c r="AU12" s="351">
        <v>4.3001712341433604</v>
      </c>
      <c r="AV12" s="351">
        <v>0</v>
      </c>
      <c r="AW12" s="351">
        <v>0.35880729838907199</v>
      </c>
      <c r="AX12" s="352">
        <v>5.34873457411685E-2</v>
      </c>
      <c r="AY12" s="351">
        <v>1.3227220395318799</v>
      </c>
      <c r="AZ12" s="351">
        <v>0</v>
      </c>
      <c r="BA12" s="351">
        <v>2.0929639919150099E-4</v>
      </c>
      <c r="BB12" s="351">
        <v>1.7174579380446701E-4</v>
      </c>
      <c r="BC12" s="351">
        <v>1.6481648863929901E-2</v>
      </c>
      <c r="BD12" s="351">
        <v>5.0602949657674703</v>
      </c>
      <c r="BE12" s="351">
        <v>0</v>
      </c>
      <c r="BF12" s="351">
        <v>0.35349474633744898</v>
      </c>
      <c r="BG12" s="351">
        <v>8.2513662490216702E-2</v>
      </c>
      <c r="BH12" s="351">
        <v>1.4586241805825599</v>
      </c>
      <c r="BI12" s="351">
        <v>0</v>
      </c>
      <c r="BJ12" s="351">
        <v>1.2599457436490301E-4</v>
      </c>
      <c r="BK12" s="351">
        <v>9.9068166387860705E-5</v>
      </c>
      <c r="BL12" s="351">
        <v>9.2693334735380502E-3</v>
      </c>
      <c r="BM12" s="351">
        <v>3.8781144648457402</v>
      </c>
      <c r="BN12" s="351">
        <v>0</v>
      </c>
      <c r="BO12" s="351">
        <v>0.35349474633744898</v>
      </c>
      <c r="BP12" s="353">
        <v>0.05</v>
      </c>
      <c r="BQ12" s="353">
        <v>1.3</v>
      </c>
      <c r="BR12" s="351">
        <v>0</v>
      </c>
      <c r="BS12" s="351">
        <v>1.2599457436490301E-4</v>
      </c>
      <c r="BT12" s="351">
        <v>9.9068166387860705E-5</v>
      </c>
      <c r="BU12" s="402">
        <v>9.2693334735380502E-3</v>
      </c>
      <c r="BV12" s="353">
        <v>5.0999999999999996</v>
      </c>
      <c r="BW12" s="351">
        <v>0</v>
      </c>
      <c r="BY12" s="77">
        <f>SUM(AW12:BE12)</f>
        <v>6.812174340486516</v>
      </c>
      <c r="BZ12" s="77">
        <f t="shared" si="9"/>
        <v>6.8129891425517393</v>
      </c>
    </row>
    <row r="13" spans="2:78" x14ac:dyDescent="0.35">
      <c r="B13" s="354" t="s">
        <v>807</v>
      </c>
      <c r="C13" s="344" t="s">
        <v>801</v>
      </c>
      <c r="D13" s="355">
        <v>0.47199999999999998</v>
      </c>
      <c r="E13" s="355">
        <v>0.129</v>
      </c>
      <c r="F13" s="355">
        <v>3.2250000000000001</v>
      </c>
      <c r="G13" s="355">
        <v>0</v>
      </c>
      <c r="H13" s="356">
        <v>5.0241974510259E-3</v>
      </c>
      <c r="I13" s="356">
        <v>9.7934215665656504E-3</v>
      </c>
      <c r="J13" s="356">
        <v>1.0574619742197899</v>
      </c>
      <c r="K13" s="356">
        <v>3.6507849999999999</v>
      </c>
      <c r="L13" s="356">
        <v>0</v>
      </c>
      <c r="M13" s="356">
        <v>0.47877070931097898</v>
      </c>
      <c r="N13" s="356">
        <v>0.122371461493037</v>
      </c>
      <c r="O13" s="356">
        <v>3.1995186462910801</v>
      </c>
      <c r="P13" s="356">
        <v>0</v>
      </c>
      <c r="Q13" s="356">
        <v>4.73922498460988E-3</v>
      </c>
      <c r="R13" s="356">
        <v>9.1019851294216504E-3</v>
      </c>
      <c r="S13" s="356">
        <v>1.1501740368482001</v>
      </c>
      <c r="T13" s="356">
        <v>3.9251440652655298</v>
      </c>
      <c r="U13" s="356">
        <v>0</v>
      </c>
      <c r="V13" s="356">
        <v>0.465828183892047</v>
      </c>
      <c r="W13" s="356">
        <v>0.12016703186456799</v>
      </c>
      <c r="X13" s="356">
        <v>3.0877144586081302</v>
      </c>
      <c r="Y13" s="356">
        <v>0</v>
      </c>
      <c r="Z13" s="356">
        <v>4.6892430893013702E-3</v>
      </c>
      <c r="AA13" s="356">
        <v>8.2830596286855105E-3</v>
      </c>
      <c r="AB13" s="356">
        <v>1.0358874147157899</v>
      </c>
      <c r="AC13" s="356">
        <v>3.8517286374577102</v>
      </c>
      <c r="AD13" s="356">
        <v>0</v>
      </c>
      <c r="AE13" s="356">
        <f t="shared" si="0"/>
        <v>0.47229944660151302</v>
      </c>
      <c r="AF13" s="356">
        <f t="shared" si="1"/>
        <v>0.1212692466788025</v>
      </c>
      <c r="AG13" s="356">
        <f t="shared" si="2"/>
        <v>3.1436165524496049</v>
      </c>
      <c r="AH13" s="356">
        <f t="shared" si="3"/>
        <v>0</v>
      </c>
      <c r="AI13" s="356">
        <f t="shared" si="4"/>
        <v>4.7142340369556255E-3</v>
      </c>
      <c r="AJ13" s="356">
        <f t="shared" si="5"/>
        <v>8.6925223790535813E-3</v>
      </c>
      <c r="AK13" s="356">
        <f t="shared" si="6"/>
        <v>1.0930307257819951</v>
      </c>
      <c r="AL13" s="356">
        <f t="shared" si="7"/>
        <v>3.8884363513616202</v>
      </c>
      <c r="AM13" s="356">
        <f t="shared" si="8"/>
        <v>0</v>
      </c>
      <c r="AN13" s="355">
        <v>0.449834353248935</v>
      </c>
      <c r="AO13" s="355">
        <v>9.6596920782858295E-2</v>
      </c>
      <c r="AP13" s="355">
        <v>2.7503918738677999</v>
      </c>
      <c r="AQ13" s="355">
        <v>0</v>
      </c>
      <c r="AR13" s="356">
        <v>2.9044084764206302E-3</v>
      </c>
      <c r="AS13" s="356">
        <v>3.7081770790672098E-3</v>
      </c>
      <c r="AT13" s="356">
        <v>0.42875744490246598</v>
      </c>
      <c r="AU13" s="356">
        <v>4.3001712341433604</v>
      </c>
      <c r="AV13" s="356">
        <v>0</v>
      </c>
      <c r="AW13" s="355">
        <v>0.35880729838907199</v>
      </c>
      <c r="AX13" s="355">
        <v>5.34873457411685E-2</v>
      </c>
      <c r="AY13" s="355">
        <v>1.3227220395318799</v>
      </c>
      <c r="AZ13" s="355">
        <v>0</v>
      </c>
      <c r="BA13" s="356">
        <v>2.0929639919150099E-4</v>
      </c>
      <c r="BB13" s="356">
        <v>1.7174579380446701E-4</v>
      </c>
      <c r="BC13" s="356">
        <v>1.6481648863929901E-2</v>
      </c>
      <c r="BD13" s="356">
        <v>5.0602949657674703</v>
      </c>
      <c r="BE13" s="356">
        <v>0</v>
      </c>
      <c r="BF13" s="355">
        <v>0.35349474633744898</v>
      </c>
      <c r="BG13" s="355">
        <v>8.2513662490216702E-2</v>
      </c>
      <c r="BH13" s="355">
        <v>1.4586241805825599</v>
      </c>
      <c r="BI13" s="355">
        <v>0</v>
      </c>
      <c r="BJ13" s="356">
        <v>1.2599457436490301E-4</v>
      </c>
      <c r="BK13" s="356">
        <v>9.9068166387860705E-5</v>
      </c>
      <c r="BL13" s="356">
        <v>9.2693334735380502E-3</v>
      </c>
      <c r="BM13" s="356">
        <v>3.8781144648457402</v>
      </c>
      <c r="BN13" s="356">
        <v>0</v>
      </c>
      <c r="BO13" s="355">
        <v>0.35349474633744898</v>
      </c>
      <c r="BP13" s="357">
        <v>0.05</v>
      </c>
      <c r="BQ13" s="357">
        <v>1.3</v>
      </c>
      <c r="BR13" s="355">
        <v>0</v>
      </c>
      <c r="BS13" s="356">
        <v>1.2599457436490301E-4</v>
      </c>
      <c r="BT13" s="356">
        <v>9.9068166387860705E-5</v>
      </c>
      <c r="BU13" s="403">
        <v>9.2693334735380502E-3</v>
      </c>
      <c r="BV13" s="358">
        <v>5.0999999999999996</v>
      </c>
      <c r="BW13" s="356">
        <v>0</v>
      </c>
      <c r="BZ13" s="77">
        <f t="shared" si="9"/>
        <v>6.8129891425517393</v>
      </c>
    </row>
    <row r="14" spans="2:78" x14ac:dyDescent="0.35">
      <c r="B14" s="359" t="s">
        <v>808</v>
      </c>
      <c r="C14" s="344" t="s">
        <v>801</v>
      </c>
      <c r="D14" s="360">
        <v>3.0200613631105</v>
      </c>
      <c r="E14" s="360">
        <v>0.44015162419749998</v>
      </c>
      <c r="F14" s="360">
        <v>0.10675770492</v>
      </c>
      <c r="G14" s="360">
        <v>0</v>
      </c>
      <c r="H14" s="360">
        <v>0.17388883742158701</v>
      </c>
      <c r="I14" s="360">
        <v>9.3357908935547199E-2</v>
      </c>
      <c r="J14" s="360">
        <v>0.37326955346134799</v>
      </c>
      <c r="K14" s="360">
        <v>0</v>
      </c>
      <c r="L14" s="360">
        <v>0</v>
      </c>
      <c r="M14" s="360">
        <v>3.2326060676509898</v>
      </c>
      <c r="N14" s="360">
        <v>0.50684182759865704</v>
      </c>
      <c r="O14" s="360">
        <v>0.10763012686835299</v>
      </c>
      <c r="P14" s="360">
        <v>0</v>
      </c>
      <c r="Q14" s="360">
        <v>0.18731993921706</v>
      </c>
      <c r="R14" s="360">
        <v>0.100192143246604</v>
      </c>
      <c r="S14" s="360">
        <v>0.378013823974922</v>
      </c>
      <c r="T14" s="360">
        <v>0</v>
      </c>
      <c r="U14" s="360">
        <v>0</v>
      </c>
      <c r="V14" s="360">
        <v>3.1988582513621</v>
      </c>
      <c r="W14" s="360">
        <v>0.49924774529196803</v>
      </c>
      <c r="X14" s="360">
        <v>0.104632679256092</v>
      </c>
      <c r="Y14" s="360">
        <v>0</v>
      </c>
      <c r="Z14" s="360">
        <v>0.18219677285237401</v>
      </c>
      <c r="AA14" s="360">
        <v>9.6274812265536497E-2</v>
      </c>
      <c r="AB14" s="360">
        <v>0.35429296113886599</v>
      </c>
      <c r="AC14" s="360">
        <v>0</v>
      </c>
      <c r="AD14" s="360">
        <v>0</v>
      </c>
      <c r="AE14" s="360">
        <f t="shared" si="0"/>
        <v>3.2157321595065449</v>
      </c>
      <c r="AF14" s="360">
        <f t="shared" si="1"/>
        <v>0.50304478644531248</v>
      </c>
      <c r="AG14" s="360">
        <f t="shared" si="2"/>
        <v>0.10613140306222249</v>
      </c>
      <c r="AH14" s="360">
        <f t="shared" si="3"/>
        <v>0</v>
      </c>
      <c r="AI14" s="360">
        <f t="shared" si="4"/>
        <v>0.18475835603471702</v>
      </c>
      <c r="AJ14" s="360">
        <f t="shared" si="5"/>
        <v>9.8233477756070248E-2</v>
      </c>
      <c r="AK14" s="360">
        <f t="shared" si="6"/>
        <v>0.366153392556894</v>
      </c>
      <c r="AL14" s="360">
        <f t="shared" si="7"/>
        <v>0</v>
      </c>
      <c r="AM14" s="360">
        <f t="shared" si="8"/>
        <v>0</v>
      </c>
      <c r="AN14" s="361">
        <v>3.69614355324883</v>
      </c>
      <c r="AO14" s="360">
        <v>0.66259545009687004</v>
      </c>
      <c r="AP14" s="360">
        <v>0.101702246206942</v>
      </c>
      <c r="AQ14" s="360">
        <v>0</v>
      </c>
      <c r="AR14" s="360">
        <v>0.20251368768655301</v>
      </c>
      <c r="AS14" s="360">
        <v>0.102755209388477</v>
      </c>
      <c r="AT14" s="360">
        <v>0.30045556549011498</v>
      </c>
      <c r="AU14" s="360">
        <v>0</v>
      </c>
      <c r="AV14" s="360">
        <v>0</v>
      </c>
      <c r="AW14" s="361">
        <v>4.5063745803059998</v>
      </c>
      <c r="AX14" s="360">
        <v>1.1446015829568199</v>
      </c>
      <c r="AY14" s="360">
        <v>9.5086511640470606E-2</v>
      </c>
      <c r="AZ14" s="360">
        <v>0</v>
      </c>
      <c r="BA14" s="360">
        <v>0.164185574792962</v>
      </c>
      <c r="BB14" s="360">
        <v>8.0707688068547903E-2</v>
      </c>
      <c r="BC14" s="360">
        <v>0.182424729105617</v>
      </c>
      <c r="BD14" s="360">
        <v>0</v>
      </c>
      <c r="BE14" s="360">
        <v>0</v>
      </c>
      <c r="BF14" s="361">
        <v>4.5562414008330601</v>
      </c>
      <c r="BG14" s="360">
        <v>1.16970001908971</v>
      </c>
      <c r="BH14" s="360">
        <v>9.5002043997670704E-2</v>
      </c>
      <c r="BI14" s="360">
        <v>0</v>
      </c>
      <c r="BJ14" s="360">
        <v>0.16194286617182799</v>
      </c>
      <c r="BK14" s="360">
        <v>7.94178367358475E-2</v>
      </c>
      <c r="BL14" s="360">
        <v>0.17402175443681001</v>
      </c>
      <c r="BM14" s="360">
        <v>0</v>
      </c>
      <c r="BN14" s="360">
        <v>0</v>
      </c>
      <c r="BO14" s="361">
        <v>4.5562414008330601</v>
      </c>
      <c r="BP14" s="360">
        <v>1.16970001908971</v>
      </c>
      <c r="BQ14" s="360">
        <v>9.5002043997670704E-2</v>
      </c>
      <c r="BR14" s="360">
        <v>0</v>
      </c>
      <c r="BS14" s="360">
        <v>0.16194286617182799</v>
      </c>
      <c r="BT14" s="360">
        <v>7.94178367358475E-2</v>
      </c>
      <c r="BU14" s="360">
        <v>0.17402175443681001</v>
      </c>
      <c r="BV14" s="360">
        <v>0</v>
      </c>
      <c r="BW14" s="360">
        <v>0</v>
      </c>
      <c r="BY14" s="77">
        <f>SUM(AW14:BE14)</f>
        <v>6.1733806668704183</v>
      </c>
      <c r="BZ14" s="77">
        <f t="shared" si="9"/>
        <v>6.2363259212649256</v>
      </c>
    </row>
    <row r="15" spans="2:78" x14ac:dyDescent="0.35">
      <c r="B15" s="362" t="s">
        <v>809</v>
      </c>
      <c r="C15" s="344" t="s">
        <v>801</v>
      </c>
      <c r="D15" s="361">
        <v>2.8304276828604999</v>
      </c>
      <c r="E15" s="361">
        <v>0.29845278552249999</v>
      </c>
      <c r="F15" s="361">
        <v>0.10675770492</v>
      </c>
      <c r="G15" s="361">
        <v>0</v>
      </c>
      <c r="H15" s="363">
        <v>0.17313813080340401</v>
      </c>
      <c r="I15" s="363">
        <v>9.29780919153219E-2</v>
      </c>
      <c r="J15" s="363">
        <v>0.35630325677625502</v>
      </c>
      <c r="K15" s="363">
        <v>0</v>
      </c>
      <c r="L15" s="363">
        <v>0</v>
      </c>
      <c r="M15" s="363">
        <v>3.05151002041339</v>
      </c>
      <c r="N15" s="363">
        <v>0.34283854321416901</v>
      </c>
      <c r="O15" s="363">
        <v>0.10763012686835299</v>
      </c>
      <c r="P15" s="363">
        <v>0</v>
      </c>
      <c r="Q15" s="363">
        <v>0.18645001423877999</v>
      </c>
      <c r="R15" s="363">
        <v>9.9752011134351004E-2</v>
      </c>
      <c r="S15" s="363">
        <v>0.35896527985739801</v>
      </c>
      <c r="T15" s="363">
        <v>0</v>
      </c>
      <c r="U15" s="363">
        <v>0</v>
      </c>
      <c r="V15" s="363">
        <v>2.9891932631270599</v>
      </c>
      <c r="W15" s="363">
        <v>0.33832905690612203</v>
      </c>
      <c r="X15" s="363">
        <v>0.104632679256092</v>
      </c>
      <c r="Y15" s="363">
        <v>0</v>
      </c>
      <c r="Z15" s="363">
        <v>0.18133717915792799</v>
      </c>
      <c r="AA15" s="363">
        <v>9.5839907189942203E-2</v>
      </c>
      <c r="AB15" s="363">
        <v>0.33712792069820602</v>
      </c>
      <c r="AC15" s="363">
        <v>0</v>
      </c>
      <c r="AD15" s="363">
        <v>0</v>
      </c>
      <c r="AE15" s="363">
        <f t="shared" si="0"/>
        <v>3.0203516417702252</v>
      </c>
      <c r="AF15" s="363">
        <f t="shared" si="1"/>
        <v>0.34058380006014555</v>
      </c>
      <c r="AG15" s="363">
        <f t="shared" si="2"/>
        <v>0.10613140306222249</v>
      </c>
      <c r="AH15" s="363">
        <f t="shared" si="3"/>
        <v>0</v>
      </c>
      <c r="AI15" s="363">
        <f t="shared" si="4"/>
        <v>0.18389359669835398</v>
      </c>
      <c r="AJ15" s="363">
        <f t="shared" si="5"/>
        <v>9.7795959162146603E-2</v>
      </c>
      <c r="AK15" s="363">
        <f t="shared" si="6"/>
        <v>0.34804660027780199</v>
      </c>
      <c r="AL15" s="363">
        <f t="shared" si="7"/>
        <v>0</v>
      </c>
      <c r="AM15" s="363">
        <f t="shared" si="8"/>
        <v>0</v>
      </c>
      <c r="AN15" s="361">
        <v>3.4422518412373102</v>
      </c>
      <c r="AO15" s="361">
        <v>0.45702607603835499</v>
      </c>
      <c r="AP15" s="361">
        <v>0.101702246206942</v>
      </c>
      <c r="AQ15" s="361">
        <v>0</v>
      </c>
      <c r="AR15" s="363">
        <v>0.201400976522987</v>
      </c>
      <c r="AS15" s="363">
        <v>0.102192241401134</v>
      </c>
      <c r="AT15" s="363">
        <v>0.28588218711047197</v>
      </c>
      <c r="AU15" s="363">
        <v>0</v>
      </c>
      <c r="AV15" s="363">
        <v>0</v>
      </c>
      <c r="AW15" s="361">
        <v>4.1774804865924198</v>
      </c>
      <c r="AX15" s="361">
        <v>0.85814447835577901</v>
      </c>
      <c r="AY15" s="361">
        <v>9.5086511640470606E-2</v>
      </c>
      <c r="AZ15" s="361">
        <v>0</v>
      </c>
      <c r="BA15" s="363">
        <v>0.163031400375379</v>
      </c>
      <c r="BB15" s="363">
        <v>8.0123742055134797E-2</v>
      </c>
      <c r="BC15" s="363">
        <v>0.174592409535928</v>
      </c>
      <c r="BD15" s="363">
        <v>0</v>
      </c>
      <c r="BE15" s="363">
        <v>0</v>
      </c>
      <c r="BF15" s="361">
        <v>4.2238405657357303</v>
      </c>
      <c r="BG15" s="361">
        <v>0.88559409085808405</v>
      </c>
      <c r="BH15" s="361">
        <v>9.5002043997670704E-2</v>
      </c>
      <c r="BI15" s="361">
        <v>0</v>
      </c>
      <c r="BJ15" s="363">
        <v>0.16079329290188199</v>
      </c>
      <c r="BK15" s="363">
        <v>7.8836218639093E-2</v>
      </c>
      <c r="BL15" s="363">
        <v>0.166876043730916</v>
      </c>
      <c r="BM15" s="363">
        <v>0</v>
      </c>
      <c r="BN15" s="363">
        <v>0</v>
      </c>
      <c r="BO15" s="361">
        <v>4.2238405657357303</v>
      </c>
      <c r="BP15" s="361">
        <v>0.88559409085808405</v>
      </c>
      <c r="BQ15" s="361">
        <v>9.5002043997670704E-2</v>
      </c>
      <c r="BR15" s="361">
        <v>0</v>
      </c>
      <c r="BS15" s="363">
        <v>0.16079329290188199</v>
      </c>
      <c r="BT15" s="363">
        <v>7.8836218639093E-2</v>
      </c>
      <c r="BU15" s="363">
        <v>0.166876043730916</v>
      </c>
      <c r="BV15" s="363">
        <v>0</v>
      </c>
      <c r="BW15" s="363">
        <v>0</v>
      </c>
      <c r="BZ15" s="77">
        <f t="shared" si="9"/>
        <v>5.6109422558633764</v>
      </c>
    </row>
    <row r="16" spans="2:78" ht="29" x14ac:dyDescent="0.35">
      <c r="B16" s="364" t="s">
        <v>810</v>
      </c>
      <c r="C16" s="344" t="s">
        <v>801</v>
      </c>
      <c r="D16" s="361">
        <v>0.18963368024999999</v>
      </c>
      <c r="E16" s="361">
        <v>0.14169883867499999</v>
      </c>
      <c r="F16" s="361">
        <v>0</v>
      </c>
      <c r="G16" s="361">
        <v>0</v>
      </c>
      <c r="H16" s="363">
        <v>7.5070661818359304E-4</v>
      </c>
      <c r="I16" s="363">
        <v>3.7981702022522499E-4</v>
      </c>
      <c r="J16" s="363">
        <v>1.6966296685092801E-2</v>
      </c>
      <c r="K16" s="363">
        <v>0</v>
      </c>
      <c r="L16" s="363">
        <v>0</v>
      </c>
      <c r="M16" s="363">
        <v>0.18109604723759901</v>
      </c>
      <c r="N16" s="363">
        <v>0.164003284384488</v>
      </c>
      <c r="O16" s="363">
        <v>0</v>
      </c>
      <c r="P16" s="363">
        <v>0</v>
      </c>
      <c r="Q16" s="363">
        <v>8.6992497828080597E-4</v>
      </c>
      <c r="R16" s="363">
        <v>4.4013211225280301E-4</v>
      </c>
      <c r="S16" s="363">
        <v>1.9048544117524002E-2</v>
      </c>
      <c r="T16" s="363">
        <v>0</v>
      </c>
      <c r="U16" s="363">
        <v>0</v>
      </c>
      <c r="V16" s="363">
        <v>0.20966498823504101</v>
      </c>
      <c r="W16" s="363">
        <v>0.160918688385846</v>
      </c>
      <c r="X16" s="363">
        <v>0</v>
      </c>
      <c r="Y16" s="363">
        <v>0</v>
      </c>
      <c r="Z16" s="363">
        <v>8.5959369444576301E-4</v>
      </c>
      <c r="AA16" s="363">
        <v>4.3490507559423099E-4</v>
      </c>
      <c r="AB16" s="363">
        <v>1.71650404406599E-2</v>
      </c>
      <c r="AC16" s="363">
        <v>0</v>
      </c>
      <c r="AD16" s="363">
        <v>0</v>
      </c>
      <c r="AE16" s="363">
        <f t="shared" si="0"/>
        <v>0.19538051773632001</v>
      </c>
      <c r="AF16" s="363">
        <f t="shared" si="1"/>
        <v>0.16246098638516698</v>
      </c>
      <c r="AG16" s="363">
        <f t="shared" si="2"/>
        <v>0</v>
      </c>
      <c r="AH16" s="363">
        <f t="shared" si="3"/>
        <v>0</v>
      </c>
      <c r="AI16" s="363">
        <f t="shared" si="4"/>
        <v>8.6475933636328455E-4</v>
      </c>
      <c r="AJ16" s="363">
        <f t="shared" si="5"/>
        <v>4.37518593923517E-4</v>
      </c>
      <c r="AK16" s="363">
        <f t="shared" si="6"/>
        <v>1.8106792279091951E-2</v>
      </c>
      <c r="AL16" s="363">
        <f t="shared" si="7"/>
        <v>0</v>
      </c>
      <c r="AM16" s="363">
        <f t="shared" si="8"/>
        <v>0</v>
      </c>
      <c r="AN16" s="361">
        <v>0.253891712011516</v>
      </c>
      <c r="AO16" s="361">
        <v>0.205569374058515</v>
      </c>
      <c r="AP16" s="361">
        <v>0</v>
      </c>
      <c r="AQ16" s="361">
        <v>0</v>
      </c>
      <c r="AR16" s="363">
        <v>1.11271116356589E-3</v>
      </c>
      <c r="AS16" s="363">
        <v>5.6296798734277497E-4</v>
      </c>
      <c r="AT16" s="363">
        <v>1.4573378379643301E-2</v>
      </c>
      <c r="AU16" s="363">
        <v>0</v>
      </c>
      <c r="AV16" s="363">
        <v>0</v>
      </c>
      <c r="AW16" s="361">
        <v>0.32889409371358402</v>
      </c>
      <c r="AX16" s="361">
        <v>0.28645710460104401</v>
      </c>
      <c r="AY16" s="361">
        <v>0</v>
      </c>
      <c r="AZ16" s="361">
        <v>0</v>
      </c>
      <c r="BA16" s="363">
        <v>1.1541744175833E-3</v>
      </c>
      <c r="BB16" s="363">
        <v>5.8394601341306299E-4</v>
      </c>
      <c r="BC16" s="363">
        <v>7.8323195696888403E-3</v>
      </c>
      <c r="BD16" s="363">
        <v>0</v>
      </c>
      <c r="BE16" s="363">
        <v>0</v>
      </c>
      <c r="BF16" s="361">
        <v>0.33240083509733198</v>
      </c>
      <c r="BG16" s="361">
        <v>0.28410592823162101</v>
      </c>
      <c r="BH16" s="361">
        <v>0</v>
      </c>
      <c r="BI16" s="361">
        <v>0</v>
      </c>
      <c r="BJ16" s="363">
        <v>1.14957326994631E-3</v>
      </c>
      <c r="BK16" s="363">
        <v>5.8161809675451E-4</v>
      </c>
      <c r="BL16" s="363">
        <v>7.1457107058937102E-3</v>
      </c>
      <c r="BM16" s="363">
        <v>0</v>
      </c>
      <c r="BN16" s="363">
        <v>0</v>
      </c>
      <c r="BO16" s="361">
        <v>0.33240083509733198</v>
      </c>
      <c r="BP16" s="361">
        <v>0.28410592823162101</v>
      </c>
      <c r="BQ16" s="361">
        <v>0</v>
      </c>
      <c r="BR16" s="361">
        <v>0</v>
      </c>
      <c r="BS16" s="363">
        <v>1.14957326994631E-3</v>
      </c>
      <c r="BT16" s="363">
        <v>5.8161809675451E-4</v>
      </c>
      <c r="BU16" s="363">
        <v>7.1457107058937102E-3</v>
      </c>
      <c r="BV16" s="363">
        <v>0</v>
      </c>
      <c r="BW16" s="363">
        <v>0</v>
      </c>
      <c r="BZ16" s="77">
        <f t="shared" si="9"/>
        <v>0.62538366540154755</v>
      </c>
    </row>
    <row r="17" spans="2:78" x14ac:dyDescent="0.35">
      <c r="B17" s="365" t="s">
        <v>811</v>
      </c>
      <c r="C17" s="344" t="s">
        <v>801</v>
      </c>
      <c r="D17" s="366">
        <v>5.8579592548119797</v>
      </c>
      <c r="E17" s="367">
        <v>0.33786776018916098</v>
      </c>
      <c r="F17" s="366">
        <v>1.0751321085718999</v>
      </c>
      <c r="G17" s="366">
        <v>13.304506527272199</v>
      </c>
      <c r="H17" s="366">
        <v>0.18352956758981201</v>
      </c>
      <c r="I17" s="366">
        <v>0.34633279205505202</v>
      </c>
      <c r="J17" s="366">
        <v>0.71500585526861804</v>
      </c>
      <c r="K17" s="366">
        <v>0</v>
      </c>
      <c r="L17" s="366">
        <v>0</v>
      </c>
      <c r="M17" s="366">
        <v>5.4927839785423602</v>
      </c>
      <c r="N17" s="366">
        <v>0.33480282823831498</v>
      </c>
      <c r="O17" s="366">
        <v>1.06765224225401</v>
      </c>
      <c r="P17" s="366">
        <v>12.7762720653313</v>
      </c>
      <c r="Q17" s="366">
        <v>0.18000450238280299</v>
      </c>
      <c r="R17" s="366">
        <v>0.33199562558784101</v>
      </c>
      <c r="S17" s="366">
        <v>0.68654381309800105</v>
      </c>
      <c r="T17" s="366">
        <v>0</v>
      </c>
      <c r="U17" s="366">
        <v>0</v>
      </c>
      <c r="V17" s="366">
        <v>5.37872148234589</v>
      </c>
      <c r="W17" s="366">
        <v>0.34587006591041602</v>
      </c>
      <c r="X17" s="366">
        <v>1.1077877998266801</v>
      </c>
      <c r="Y17" s="366">
        <v>12.1532697038724</v>
      </c>
      <c r="Z17" s="366">
        <v>0.183202462521659</v>
      </c>
      <c r="AA17" s="366">
        <v>0.305967245955723</v>
      </c>
      <c r="AB17" s="366">
        <v>0.62762716726124901</v>
      </c>
      <c r="AC17" s="366">
        <v>0</v>
      </c>
      <c r="AD17" s="366">
        <v>0</v>
      </c>
      <c r="AE17" s="366">
        <f t="shared" si="0"/>
        <v>5.4357527304441255</v>
      </c>
      <c r="AF17" s="366">
        <f t="shared" si="1"/>
        <v>0.3403364470743655</v>
      </c>
      <c r="AG17" s="366">
        <f t="shared" si="2"/>
        <v>1.087720021040345</v>
      </c>
      <c r="AH17" s="366">
        <f t="shared" si="3"/>
        <v>12.464770884601851</v>
      </c>
      <c r="AI17" s="366">
        <f t="shared" si="4"/>
        <v>0.18160348245223101</v>
      </c>
      <c r="AJ17" s="366">
        <f t="shared" si="5"/>
        <v>0.31898143577178201</v>
      </c>
      <c r="AK17" s="366">
        <f t="shared" si="6"/>
        <v>0.65708549017962503</v>
      </c>
      <c r="AL17" s="366">
        <f t="shared" si="7"/>
        <v>0</v>
      </c>
      <c r="AM17" s="366">
        <f t="shared" si="8"/>
        <v>0</v>
      </c>
      <c r="AN17" s="366">
        <v>4.3357925098974599</v>
      </c>
      <c r="AO17" s="367">
        <v>0.36368234005012301</v>
      </c>
      <c r="AP17" s="366">
        <v>1.17422638859219</v>
      </c>
      <c r="AQ17" s="366">
        <v>9.6643632644756607</v>
      </c>
      <c r="AR17" s="366">
        <v>0.18504006767381501</v>
      </c>
      <c r="AS17" s="366">
        <v>0.21580388437006501</v>
      </c>
      <c r="AT17" s="366">
        <v>0.43031045900321202</v>
      </c>
      <c r="AU17" s="366">
        <v>0</v>
      </c>
      <c r="AV17" s="366">
        <v>0</v>
      </c>
      <c r="AW17" s="366">
        <v>3.49104586287234</v>
      </c>
      <c r="AX17" s="367">
        <v>0.36351888671139898</v>
      </c>
      <c r="AY17" s="366">
        <v>1.1429739995668999</v>
      </c>
      <c r="AZ17" s="366">
        <v>6.3680782345041003</v>
      </c>
      <c r="BA17" s="366">
        <v>0.124559105882544</v>
      </c>
      <c r="BB17" s="366">
        <v>0.10185672354314999</v>
      </c>
      <c r="BC17" s="366">
        <v>0.229593153194807</v>
      </c>
      <c r="BD17" s="366">
        <v>0</v>
      </c>
      <c r="BE17" s="366">
        <v>0</v>
      </c>
      <c r="BF17" s="366">
        <v>3.44796352186076</v>
      </c>
      <c r="BG17" s="367">
        <v>0.36313120091322398</v>
      </c>
      <c r="BH17" s="366">
        <v>1.1392986361256401</v>
      </c>
      <c r="BI17" s="366">
        <v>5.5208687925672404</v>
      </c>
      <c r="BJ17" s="366">
        <v>0.121215343148459</v>
      </c>
      <c r="BK17" s="366">
        <v>9.6463975402219598E-2</v>
      </c>
      <c r="BL17" s="366">
        <v>0.22035724942875901</v>
      </c>
      <c r="BM17" s="366">
        <v>0</v>
      </c>
      <c r="BN17" s="366">
        <v>0</v>
      </c>
      <c r="BO17" s="366">
        <v>3.44796352186076</v>
      </c>
      <c r="BP17" s="367">
        <v>0.36313120091322398</v>
      </c>
      <c r="BQ17" s="366">
        <v>1.1392986361256401</v>
      </c>
      <c r="BR17" s="368">
        <v>6.2</v>
      </c>
      <c r="BS17" s="366">
        <v>0.121215343148459</v>
      </c>
      <c r="BT17" s="366">
        <v>9.6463975402219598E-2</v>
      </c>
      <c r="BU17" s="366">
        <v>0.22035724942875901</v>
      </c>
      <c r="BV17" s="366">
        <v>0</v>
      </c>
      <c r="BW17" s="366">
        <v>0</v>
      </c>
      <c r="BY17" s="77">
        <f>SUM(AW17:BE17)</f>
        <v>11.82162596627524</v>
      </c>
      <c r="BZ17" s="77">
        <f t="shared" si="9"/>
        <v>11.58842992687906</v>
      </c>
    </row>
    <row r="18" spans="2:78" x14ac:dyDescent="0.35">
      <c r="B18" s="369" t="s">
        <v>812</v>
      </c>
      <c r="C18" s="344" t="s">
        <v>801</v>
      </c>
      <c r="D18" s="370">
        <v>4.54911010836123</v>
      </c>
      <c r="E18" s="370">
        <v>0.16123727018916101</v>
      </c>
      <c r="F18" s="370">
        <v>1.0751321085718999</v>
      </c>
      <c r="G18" s="370">
        <v>8.4159742006043494</v>
      </c>
      <c r="H18" s="370">
        <v>0.18352956758981201</v>
      </c>
      <c r="I18" s="371">
        <v>0.30968679597871002</v>
      </c>
      <c r="J18" s="371">
        <v>0.63639326859890799</v>
      </c>
      <c r="K18" s="371">
        <v>0</v>
      </c>
      <c r="L18" s="371">
        <v>0</v>
      </c>
      <c r="M18" s="371">
        <v>4.2029820525844199</v>
      </c>
      <c r="N18" s="371">
        <v>0.1581286840534</v>
      </c>
      <c r="O18" s="371">
        <v>1.06765224225401</v>
      </c>
      <c r="P18" s="371">
        <v>7.9059549900027202</v>
      </c>
      <c r="Q18" s="371">
        <v>0.18000450238280299</v>
      </c>
      <c r="R18" s="371">
        <v>0.29853418468123899</v>
      </c>
      <c r="S18" s="371">
        <v>0.61468728845240295</v>
      </c>
      <c r="T18" s="371">
        <v>0</v>
      </c>
      <c r="U18" s="371">
        <v>0</v>
      </c>
      <c r="V18" s="371">
        <v>4.1064238965074296</v>
      </c>
      <c r="W18" s="371">
        <v>0.16919592172550099</v>
      </c>
      <c r="X18" s="371">
        <v>1.1077877998266801</v>
      </c>
      <c r="Y18" s="371">
        <v>7.4490803716026104</v>
      </c>
      <c r="Z18" s="371">
        <v>0.183202462521659</v>
      </c>
      <c r="AA18" s="371">
        <v>0.277596316997829</v>
      </c>
      <c r="AB18" s="371">
        <v>0.56671573519779495</v>
      </c>
      <c r="AC18" s="371">
        <v>0</v>
      </c>
      <c r="AD18" s="371">
        <v>0</v>
      </c>
      <c r="AE18" s="371">
        <f t="shared" si="0"/>
        <v>4.1547029745459252</v>
      </c>
      <c r="AF18" s="371">
        <f t="shared" si="1"/>
        <v>0.16366230288945049</v>
      </c>
      <c r="AG18" s="371">
        <f t="shared" si="2"/>
        <v>1.087720021040345</v>
      </c>
      <c r="AH18" s="371">
        <f t="shared" si="3"/>
        <v>7.6775176808026657</v>
      </c>
      <c r="AI18" s="371">
        <f t="shared" si="4"/>
        <v>0.18160348245223101</v>
      </c>
      <c r="AJ18" s="371">
        <f t="shared" si="5"/>
        <v>0.28806525083953399</v>
      </c>
      <c r="AK18" s="371">
        <f t="shared" si="6"/>
        <v>0.59070151182509889</v>
      </c>
      <c r="AL18" s="371">
        <f t="shared" si="7"/>
        <v>0</v>
      </c>
      <c r="AM18" s="371">
        <f t="shared" si="8"/>
        <v>0</v>
      </c>
      <c r="AN18" s="371">
        <v>3.1439083574060498</v>
      </c>
      <c r="AO18" s="370">
        <v>0.186912156658394</v>
      </c>
      <c r="AP18" s="370">
        <v>1.17422638859219</v>
      </c>
      <c r="AQ18" s="370">
        <v>5.36999455359802</v>
      </c>
      <c r="AR18" s="370">
        <v>0.18504006767381501</v>
      </c>
      <c r="AS18" s="371">
        <v>0.20311263613107899</v>
      </c>
      <c r="AT18" s="371">
        <v>0.40308475907158497</v>
      </c>
      <c r="AU18" s="371">
        <v>0</v>
      </c>
      <c r="AV18" s="371">
        <v>0</v>
      </c>
      <c r="AW18" s="371">
        <v>2.3486572424591099</v>
      </c>
      <c r="AX18" s="370">
        <v>0.18648335486345799</v>
      </c>
      <c r="AY18" s="370">
        <v>1.1429739995668999</v>
      </c>
      <c r="AZ18" s="370">
        <v>2.8430352301081898</v>
      </c>
      <c r="BA18" s="370">
        <v>0.124559105882544</v>
      </c>
      <c r="BB18" s="371">
        <v>9.8800426305333006E-2</v>
      </c>
      <c r="BC18" s="371">
        <v>0.22302943848272799</v>
      </c>
      <c r="BD18" s="371">
        <v>0</v>
      </c>
      <c r="BE18" s="371">
        <v>0</v>
      </c>
      <c r="BF18" s="371">
        <v>2.3080719905976599</v>
      </c>
      <c r="BG18" s="370">
        <v>0.18607983376018999</v>
      </c>
      <c r="BH18" s="370">
        <v>1.1392986361256401</v>
      </c>
      <c r="BI18" s="370">
        <v>2.4235315972550202</v>
      </c>
      <c r="BJ18" s="370">
        <v>0.121215343148459</v>
      </c>
      <c r="BK18" s="371">
        <v>9.3755449328355001E-2</v>
      </c>
      <c r="BL18" s="371">
        <v>0.21453948663023301</v>
      </c>
      <c r="BM18" s="371">
        <v>0</v>
      </c>
      <c r="BN18" s="371">
        <v>0</v>
      </c>
      <c r="BO18" s="371">
        <v>2.3080719905976599</v>
      </c>
      <c r="BP18" s="370">
        <v>0.18607983376018999</v>
      </c>
      <c r="BQ18" s="370">
        <v>1.1392986361256401</v>
      </c>
      <c r="BR18" s="372">
        <v>2.8</v>
      </c>
      <c r="BS18" s="370">
        <v>0.121215343148459</v>
      </c>
      <c r="BT18" s="371">
        <v>9.3755449328355001E-2</v>
      </c>
      <c r="BU18" s="371">
        <v>0.21453948663023301</v>
      </c>
      <c r="BV18" s="371">
        <v>0</v>
      </c>
      <c r="BW18" s="371">
        <v>0</v>
      </c>
      <c r="BX18" s="77"/>
      <c r="BZ18" s="77">
        <f t="shared" si="9"/>
        <v>6.8629607395905374</v>
      </c>
    </row>
    <row r="19" spans="2:78" x14ac:dyDescent="0.35">
      <c r="B19" s="373" t="s">
        <v>813</v>
      </c>
      <c r="C19" s="344" t="s">
        <v>801</v>
      </c>
      <c r="D19" s="370">
        <v>0.74507999999999996</v>
      </c>
      <c r="E19" s="370">
        <v>7.5999999999999998E-2</v>
      </c>
      <c r="F19" s="370">
        <v>0</v>
      </c>
      <c r="G19" s="370">
        <v>1.1216235006494</v>
      </c>
      <c r="H19" s="370">
        <v>0</v>
      </c>
      <c r="I19" s="371">
        <v>0</v>
      </c>
      <c r="J19" s="371">
        <v>0</v>
      </c>
      <c r="K19" s="371">
        <v>0</v>
      </c>
      <c r="L19" s="371">
        <v>0</v>
      </c>
      <c r="M19" s="371">
        <v>0.74528552029003903</v>
      </c>
      <c r="N19" s="371">
        <v>7.6039535137296305E-2</v>
      </c>
      <c r="O19" s="371">
        <v>0</v>
      </c>
      <c r="P19" s="371">
        <v>1.14021563448088</v>
      </c>
      <c r="Q19" s="371">
        <v>0</v>
      </c>
      <c r="R19" s="371">
        <v>0</v>
      </c>
      <c r="S19" s="371">
        <v>0</v>
      </c>
      <c r="T19" s="371">
        <v>0</v>
      </c>
      <c r="U19" s="371">
        <v>0</v>
      </c>
      <c r="V19" s="371">
        <v>0.74528552029003903</v>
      </c>
      <c r="W19" s="371">
        <v>7.6039535137296305E-2</v>
      </c>
      <c r="X19" s="371">
        <v>0</v>
      </c>
      <c r="Y19" s="371">
        <v>1.11980393777863</v>
      </c>
      <c r="Z19" s="371">
        <v>0</v>
      </c>
      <c r="AA19" s="371">
        <v>0</v>
      </c>
      <c r="AB19" s="371">
        <v>0</v>
      </c>
      <c r="AC19" s="371">
        <v>0</v>
      </c>
      <c r="AD19" s="371">
        <v>0</v>
      </c>
      <c r="AE19" s="371">
        <f t="shared" si="0"/>
        <v>0.74528552029003903</v>
      </c>
      <c r="AF19" s="371">
        <f t="shared" si="1"/>
        <v>7.6039535137296305E-2</v>
      </c>
      <c r="AG19" s="371">
        <f t="shared" si="2"/>
        <v>0</v>
      </c>
      <c r="AH19" s="371">
        <f t="shared" si="3"/>
        <v>1.1300097861297549</v>
      </c>
      <c r="AI19" s="371">
        <f t="shared" si="4"/>
        <v>0</v>
      </c>
      <c r="AJ19" s="371">
        <f t="shared" si="5"/>
        <v>0</v>
      </c>
      <c r="AK19" s="371">
        <f t="shared" si="6"/>
        <v>0</v>
      </c>
      <c r="AL19" s="371">
        <f t="shared" si="7"/>
        <v>0</v>
      </c>
      <c r="AM19" s="371">
        <f t="shared" si="8"/>
        <v>0</v>
      </c>
      <c r="AN19" s="371">
        <v>0.74573766492812599</v>
      </c>
      <c r="AO19" s="370">
        <v>7.6126512439347996E-2</v>
      </c>
      <c r="AP19" s="370">
        <v>0</v>
      </c>
      <c r="AQ19" s="370">
        <v>1.1140040306932999</v>
      </c>
      <c r="AR19" s="370">
        <v>0</v>
      </c>
      <c r="AS19" s="371">
        <v>0</v>
      </c>
      <c r="AT19" s="371">
        <v>0</v>
      </c>
      <c r="AU19" s="371">
        <v>0</v>
      </c>
      <c r="AV19" s="371">
        <v>0</v>
      </c>
      <c r="AW19" s="371">
        <v>0.74699860819234198</v>
      </c>
      <c r="AX19" s="370">
        <v>7.6369075181274698E-2</v>
      </c>
      <c r="AY19" s="370">
        <v>0</v>
      </c>
      <c r="AZ19" s="370">
        <v>0.98061703552968404</v>
      </c>
      <c r="BA19" s="370">
        <v>0</v>
      </c>
      <c r="BB19" s="371">
        <v>0</v>
      </c>
      <c r="BC19" s="371">
        <v>0</v>
      </c>
      <c r="BD19" s="371">
        <v>0</v>
      </c>
      <c r="BE19" s="371">
        <v>0</v>
      </c>
      <c r="BF19" s="371">
        <v>0.74707399554763998</v>
      </c>
      <c r="BG19" s="370">
        <v>7.6383577153033996E-2</v>
      </c>
      <c r="BH19" s="370">
        <v>0</v>
      </c>
      <c r="BI19" s="370">
        <v>0.86492015110354903</v>
      </c>
      <c r="BJ19" s="370">
        <v>0</v>
      </c>
      <c r="BK19" s="371">
        <v>0</v>
      </c>
      <c r="BL19" s="371">
        <v>0</v>
      </c>
      <c r="BM19" s="371">
        <v>0</v>
      </c>
      <c r="BN19" s="371">
        <v>0</v>
      </c>
      <c r="BO19" s="371">
        <v>0.74707399554763998</v>
      </c>
      <c r="BP19" s="370">
        <v>7.6383577153033996E-2</v>
      </c>
      <c r="BQ19" s="370">
        <v>0</v>
      </c>
      <c r="BR19" s="372">
        <v>0.95</v>
      </c>
      <c r="BS19" s="370">
        <v>0</v>
      </c>
      <c r="BT19" s="371">
        <v>0</v>
      </c>
      <c r="BU19" s="371">
        <v>0</v>
      </c>
      <c r="BV19" s="371">
        <v>0</v>
      </c>
      <c r="BW19" s="371">
        <v>0</v>
      </c>
      <c r="BX19" s="77"/>
      <c r="BZ19" s="77">
        <f t="shared" si="9"/>
        <v>1.7734575727006741</v>
      </c>
    </row>
    <row r="20" spans="2:78" x14ac:dyDescent="0.35">
      <c r="B20" s="373" t="s">
        <v>814</v>
      </c>
      <c r="C20" s="344" t="s">
        <v>801</v>
      </c>
      <c r="D20" s="370">
        <v>5.7976023913043503E-2</v>
      </c>
      <c r="E20" s="370">
        <v>7.7700000000000005E-5</v>
      </c>
      <c r="F20" s="370">
        <v>0</v>
      </c>
      <c r="G20" s="370">
        <v>4.39419140499656E-2</v>
      </c>
      <c r="H20" s="370">
        <v>0</v>
      </c>
      <c r="I20" s="371">
        <v>0</v>
      </c>
      <c r="J20" s="371">
        <v>0</v>
      </c>
      <c r="K20" s="371">
        <v>0</v>
      </c>
      <c r="L20" s="371">
        <v>0</v>
      </c>
      <c r="M20" s="371">
        <v>6.0155906521739098E-2</v>
      </c>
      <c r="N20" s="371">
        <v>8.1819047619047605E-5</v>
      </c>
      <c r="O20" s="371">
        <v>0</v>
      </c>
      <c r="P20" s="371">
        <v>4.5808935135306802E-2</v>
      </c>
      <c r="Q20" s="371">
        <v>0</v>
      </c>
      <c r="R20" s="371">
        <v>0</v>
      </c>
      <c r="S20" s="371">
        <v>0</v>
      </c>
      <c r="T20" s="371">
        <v>0</v>
      </c>
      <c r="U20" s="371">
        <v>0</v>
      </c>
      <c r="V20" s="371">
        <v>6.0155906521739098E-2</v>
      </c>
      <c r="W20" s="371">
        <v>8.1819047619047605E-5</v>
      </c>
      <c r="X20" s="371">
        <v>0</v>
      </c>
      <c r="Y20" s="371">
        <v>4.4988881399891399E-2</v>
      </c>
      <c r="Z20" s="371">
        <v>0</v>
      </c>
      <c r="AA20" s="371">
        <v>0</v>
      </c>
      <c r="AB20" s="371">
        <v>0</v>
      </c>
      <c r="AC20" s="371">
        <v>0</v>
      </c>
      <c r="AD20" s="371">
        <v>0</v>
      </c>
      <c r="AE20" s="371">
        <f t="shared" si="0"/>
        <v>6.0155906521739098E-2</v>
      </c>
      <c r="AF20" s="371">
        <f t="shared" si="1"/>
        <v>8.1819047619047605E-5</v>
      </c>
      <c r="AG20" s="371">
        <f t="shared" si="2"/>
        <v>0</v>
      </c>
      <c r="AH20" s="371">
        <f t="shared" si="3"/>
        <v>4.5398908267599097E-2</v>
      </c>
      <c r="AI20" s="371">
        <f t="shared" si="4"/>
        <v>0</v>
      </c>
      <c r="AJ20" s="371">
        <f t="shared" si="5"/>
        <v>0</v>
      </c>
      <c r="AK20" s="371">
        <f t="shared" si="6"/>
        <v>0</v>
      </c>
      <c r="AL20" s="371">
        <f t="shared" si="7"/>
        <v>0</v>
      </c>
      <c r="AM20" s="371">
        <f t="shared" si="8"/>
        <v>0</v>
      </c>
      <c r="AN20" s="371">
        <v>6.4951648260869493E-2</v>
      </c>
      <c r="AO20" s="370">
        <v>9.0880952380952405E-5</v>
      </c>
      <c r="AP20" s="370">
        <v>0</v>
      </c>
      <c r="AQ20" s="370">
        <v>4.7199212255732301E-2</v>
      </c>
      <c r="AR20" s="370">
        <v>0</v>
      </c>
      <c r="AS20" s="371">
        <v>0</v>
      </c>
      <c r="AT20" s="371">
        <v>0</v>
      </c>
      <c r="AU20" s="371">
        <v>0</v>
      </c>
      <c r="AV20" s="371">
        <v>0</v>
      </c>
      <c r="AW20" s="371">
        <v>7.84975830434783E-2</v>
      </c>
      <c r="AX20" s="370">
        <v>1.13666666666667E-4</v>
      </c>
      <c r="AY20" s="370">
        <v>0</v>
      </c>
      <c r="AZ20" s="370">
        <v>4.80259048514581E-2</v>
      </c>
      <c r="BA20" s="370">
        <v>0</v>
      </c>
      <c r="BB20" s="371">
        <v>0</v>
      </c>
      <c r="BC20" s="371">
        <v>0</v>
      </c>
      <c r="BD20" s="371">
        <v>0</v>
      </c>
      <c r="BE20" s="371">
        <v>0</v>
      </c>
      <c r="BF20" s="371">
        <v>7.9309443913043495E-2</v>
      </c>
      <c r="BG20" s="370">
        <v>1.15E-4</v>
      </c>
      <c r="BH20" s="370">
        <v>0</v>
      </c>
      <c r="BI20" s="370">
        <v>4.2705283075399898E-2</v>
      </c>
      <c r="BJ20" s="370">
        <v>0</v>
      </c>
      <c r="BK20" s="371">
        <v>0</v>
      </c>
      <c r="BL20" s="371">
        <v>0</v>
      </c>
      <c r="BM20" s="371">
        <v>0</v>
      </c>
      <c r="BN20" s="371">
        <v>0</v>
      </c>
      <c r="BO20" s="371">
        <v>7.9309443913043495E-2</v>
      </c>
      <c r="BP20" s="370">
        <v>1.15E-4</v>
      </c>
      <c r="BQ20" s="370">
        <v>0</v>
      </c>
      <c r="BR20" s="372">
        <v>0.05</v>
      </c>
      <c r="BS20" s="370">
        <v>0</v>
      </c>
      <c r="BT20" s="371">
        <v>0</v>
      </c>
      <c r="BU20" s="371">
        <v>0</v>
      </c>
      <c r="BV20" s="371">
        <v>0</v>
      </c>
      <c r="BW20" s="371">
        <v>0</v>
      </c>
      <c r="BX20" s="77"/>
      <c r="BZ20" s="77">
        <f t="shared" si="9"/>
        <v>0.1294244439130435</v>
      </c>
    </row>
    <row r="21" spans="2:78" x14ac:dyDescent="0.35">
      <c r="B21" s="373" t="s">
        <v>815</v>
      </c>
      <c r="C21" s="344" t="s">
        <v>801</v>
      </c>
      <c r="D21" s="370">
        <v>0.50579312253770703</v>
      </c>
      <c r="E21" s="370">
        <v>0.10055279</v>
      </c>
      <c r="F21" s="370">
        <v>0</v>
      </c>
      <c r="G21" s="370">
        <v>3.7229669119684998</v>
      </c>
      <c r="H21" s="370">
        <v>0</v>
      </c>
      <c r="I21" s="371">
        <v>3.6645996076342002E-2</v>
      </c>
      <c r="J21" s="371">
        <v>7.86125866697098E-2</v>
      </c>
      <c r="K21" s="371">
        <v>0</v>
      </c>
      <c r="L21" s="371">
        <v>0</v>
      </c>
      <c r="M21" s="371">
        <v>0.48436049914616303</v>
      </c>
      <c r="N21" s="371">
        <v>0.10055279</v>
      </c>
      <c r="O21" s="371">
        <v>0</v>
      </c>
      <c r="P21" s="371">
        <v>3.6842925057123801</v>
      </c>
      <c r="Q21" s="371">
        <v>0</v>
      </c>
      <c r="R21" s="371">
        <v>3.3461440906601601E-2</v>
      </c>
      <c r="S21" s="371">
        <v>7.1856524645598302E-2</v>
      </c>
      <c r="T21" s="371">
        <v>0</v>
      </c>
      <c r="U21" s="371">
        <v>0</v>
      </c>
      <c r="V21" s="371">
        <v>0.46685615902667799</v>
      </c>
      <c r="W21" s="371">
        <v>0.10055279</v>
      </c>
      <c r="X21" s="371">
        <v>0</v>
      </c>
      <c r="Y21" s="371">
        <v>3.5393965130912699</v>
      </c>
      <c r="Z21" s="371">
        <v>0</v>
      </c>
      <c r="AA21" s="371">
        <v>2.8370928957894E-2</v>
      </c>
      <c r="AB21" s="371">
        <v>6.0911432063454E-2</v>
      </c>
      <c r="AC21" s="371">
        <v>0</v>
      </c>
      <c r="AD21" s="371">
        <v>0</v>
      </c>
      <c r="AE21" s="371">
        <f t="shared" si="0"/>
        <v>0.47560832908642048</v>
      </c>
      <c r="AF21" s="371">
        <f t="shared" si="1"/>
        <v>0.10055279</v>
      </c>
      <c r="AG21" s="371">
        <f t="shared" si="2"/>
        <v>0</v>
      </c>
      <c r="AH21" s="371">
        <f t="shared" si="3"/>
        <v>3.6118445094018252</v>
      </c>
      <c r="AI21" s="371">
        <f t="shared" si="4"/>
        <v>0</v>
      </c>
      <c r="AJ21" s="371">
        <f t="shared" si="5"/>
        <v>3.0916184932247799E-2</v>
      </c>
      <c r="AK21" s="371">
        <f t="shared" si="6"/>
        <v>6.6383978354526155E-2</v>
      </c>
      <c r="AL21" s="371">
        <f t="shared" si="7"/>
        <v>0</v>
      </c>
      <c r="AM21" s="371">
        <f t="shared" si="8"/>
        <v>0</v>
      </c>
      <c r="AN21" s="371">
        <v>0.38119483930241299</v>
      </c>
      <c r="AO21" s="370">
        <v>0.10055279</v>
      </c>
      <c r="AP21" s="370">
        <v>0</v>
      </c>
      <c r="AQ21" s="370">
        <v>3.1331654679285998</v>
      </c>
      <c r="AR21" s="370">
        <v>0</v>
      </c>
      <c r="AS21" s="371">
        <v>1.26912482389857E-2</v>
      </c>
      <c r="AT21" s="371">
        <v>2.7225699931626799E-2</v>
      </c>
      <c r="AU21" s="371">
        <v>0</v>
      </c>
      <c r="AV21" s="371">
        <v>0</v>
      </c>
      <c r="AW21" s="371">
        <v>0.316892429177413</v>
      </c>
      <c r="AX21" s="370">
        <v>0.10055279</v>
      </c>
      <c r="AY21" s="370">
        <v>0</v>
      </c>
      <c r="AZ21" s="370">
        <v>2.4964000640147601</v>
      </c>
      <c r="BA21" s="370">
        <v>0</v>
      </c>
      <c r="BB21" s="371">
        <v>3.05629723781697E-3</v>
      </c>
      <c r="BC21" s="371">
        <v>6.5637147120788499E-3</v>
      </c>
      <c r="BD21" s="371">
        <v>0</v>
      </c>
      <c r="BE21" s="371">
        <v>0</v>
      </c>
      <c r="BF21" s="371">
        <v>0.31350809180241301</v>
      </c>
      <c r="BG21" s="370">
        <v>0.10055279</v>
      </c>
      <c r="BH21" s="370">
        <v>0</v>
      </c>
      <c r="BI21" s="370">
        <v>2.1897117611332799</v>
      </c>
      <c r="BJ21" s="370">
        <v>0</v>
      </c>
      <c r="BK21" s="371">
        <v>2.7085260738646199E-3</v>
      </c>
      <c r="BL21" s="371">
        <v>5.8177627985260098E-3</v>
      </c>
      <c r="BM21" s="371">
        <v>0</v>
      </c>
      <c r="BN21" s="371">
        <v>0</v>
      </c>
      <c r="BO21" s="371">
        <v>0.31350809180241301</v>
      </c>
      <c r="BP21" s="370">
        <v>0.10055279</v>
      </c>
      <c r="BQ21" s="370">
        <v>0</v>
      </c>
      <c r="BR21" s="372">
        <v>2.4</v>
      </c>
      <c r="BS21" s="370">
        <v>0</v>
      </c>
      <c r="BT21" s="371">
        <v>2.7085260738646199E-3</v>
      </c>
      <c r="BU21" s="371">
        <v>5.8177627985260098E-3</v>
      </c>
      <c r="BV21" s="371">
        <v>0</v>
      </c>
      <c r="BW21" s="371">
        <v>0</v>
      </c>
      <c r="BZ21" s="77">
        <f t="shared" si="9"/>
        <v>2.8225871706748036</v>
      </c>
    </row>
    <row r="22" spans="2:78" x14ac:dyDescent="0.35">
      <c r="B22" s="365" t="s">
        <v>816</v>
      </c>
      <c r="C22" s="344" t="s">
        <v>801</v>
      </c>
      <c r="D22" s="366">
        <v>1.71499915586572E-2</v>
      </c>
      <c r="E22" s="366">
        <v>8.2271462011564199E-4</v>
      </c>
      <c r="F22" s="366">
        <v>1.3591720000992E-3</v>
      </c>
      <c r="G22" s="366">
        <v>3.0402678894089E-3</v>
      </c>
      <c r="H22" s="366">
        <v>0</v>
      </c>
      <c r="I22" s="366">
        <v>3.0046340433633301E-6</v>
      </c>
      <c r="J22" s="366">
        <v>1.3748762325047E-5</v>
      </c>
      <c r="K22" s="366">
        <v>0</v>
      </c>
      <c r="L22" s="366">
        <v>0</v>
      </c>
      <c r="M22" s="366">
        <v>3.2547017774454401E-2</v>
      </c>
      <c r="N22" s="366">
        <v>1.22365418701103E-2</v>
      </c>
      <c r="O22" s="366">
        <v>1.13545127334061E-2</v>
      </c>
      <c r="P22" s="366">
        <v>3.76685171844567E-3</v>
      </c>
      <c r="Q22" s="366">
        <v>0</v>
      </c>
      <c r="R22" s="366">
        <v>2.95406058339408E-6</v>
      </c>
      <c r="S22" s="366">
        <v>1.3715168076038999E-5</v>
      </c>
      <c r="T22" s="366">
        <v>0</v>
      </c>
      <c r="U22" s="366">
        <v>0</v>
      </c>
      <c r="V22" s="366">
        <v>3.3607604441121097E-2</v>
      </c>
      <c r="W22" s="366">
        <v>1.2243048536777001E-2</v>
      </c>
      <c r="X22" s="366">
        <v>1.13867858000728E-2</v>
      </c>
      <c r="Y22" s="366">
        <v>3.8242036011498699E-3</v>
      </c>
      <c r="Z22" s="366">
        <v>0</v>
      </c>
      <c r="AA22" s="366">
        <v>2.67212581110272E-6</v>
      </c>
      <c r="AB22" s="366">
        <v>1.29847646042445E-5</v>
      </c>
      <c r="AC22" s="366">
        <v>0</v>
      </c>
      <c r="AD22" s="366">
        <v>0</v>
      </c>
      <c r="AE22" s="366">
        <f t="shared" si="0"/>
        <v>3.3077311107787749E-2</v>
      </c>
      <c r="AF22" s="366">
        <f t="shared" si="1"/>
        <v>1.223979520344365E-2</v>
      </c>
      <c r="AG22" s="366">
        <f t="shared" si="2"/>
        <v>1.137064926673945E-2</v>
      </c>
      <c r="AH22" s="366">
        <f t="shared" si="3"/>
        <v>3.7955276597977702E-3</v>
      </c>
      <c r="AI22" s="366">
        <f t="shared" si="4"/>
        <v>0</v>
      </c>
      <c r="AJ22" s="366">
        <f t="shared" si="5"/>
        <v>2.8130931972484E-6</v>
      </c>
      <c r="AK22" s="366">
        <f t="shared" si="6"/>
        <v>1.334996634014175E-5</v>
      </c>
      <c r="AL22" s="366">
        <f t="shared" si="7"/>
        <v>0</v>
      </c>
      <c r="AM22" s="366">
        <f t="shared" si="8"/>
        <v>0</v>
      </c>
      <c r="AN22" s="366">
        <v>0.105461741555397</v>
      </c>
      <c r="AO22" s="366">
        <v>6.4117364620095596E-2</v>
      </c>
      <c r="AP22" s="366">
        <v>4.9940600000000002E-2</v>
      </c>
      <c r="AQ22" s="366">
        <v>6.3605970080244803E-3</v>
      </c>
      <c r="AR22" s="366">
        <v>0</v>
      </c>
      <c r="AS22" s="366">
        <v>1.7766701827944101E-6</v>
      </c>
      <c r="AT22" s="366">
        <v>1.0667039131365801E-5</v>
      </c>
      <c r="AU22" s="366">
        <v>0</v>
      </c>
      <c r="AV22" s="366">
        <v>0</v>
      </c>
      <c r="AW22" s="366">
        <v>0.23771716274271101</v>
      </c>
      <c r="AX22" s="366">
        <v>0.18063794330524299</v>
      </c>
      <c r="AY22" s="366">
        <v>0.159028378</v>
      </c>
      <c r="AZ22" s="366">
        <v>9.2201633762261093E-3</v>
      </c>
      <c r="BA22" s="366">
        <v>0</v>
      </c>
      <c r="BB22" s="366">
        <v>3.45146619880894E-7</v>
      </c>
      <c r="BC22" s="366">
        <v>4.2230691157389398E-6</v>
      </c>
      <c r="BD22" s="366">
        <v>0</v>
      </c>
      <c r="BE22" s="366">
        <v>0</v>
      </c>
      <c r="BF22" s="366">
        <v>0.245445446505211</v>
      </c>
      <c r="BG22" s="366">
        <v>0.18803300824274299</v>
      </c>
      <c r="BH22" s="366">
        <v>0.16632084</v>
      </c>
      <c r="BI22" s="366">
        <v>8.32860947014075E-3</v>
      </c>
      <c r="BJ22" s="366">
        <v>0</v>
      </c>
      <c r="BK22" s="366">
        <v>3.15418432607626E-7</v>
      </c>
      <c r="BL22" s="366">
        <v>4.1464589978698701E-6</v>
      </c>
      <c r="BM22" s="366">
        <v>0</v>
      </c>
      <c r="BN22" s="366">
        <v>0</v>
      </c>
      <c r="BO22" s="366">
        <v>0.245445446505211</v>
      </c>
      <c r="BP22" s="366">
        <v>0.18803300824274299</v>
      </c>
      <c r="BQ22" s="366">
        <v>0.16632084</v>
      </c>
      <c r="BR22" s="366">
        <v>8.32860947014075E-3</v>
      </c>
      <c r="BS22" s="366">
        <v>0</v>
      </c>
      <c r="BT22" s="366">
        <v>3.15418432607626E-7</v>
      </c>
      <c r="BU22" s="366">
        <v>4.1464589978698701E-6</v>
      </c>
      <c r="BV22" s="366">
        <v>0</v>
      </c>
      <c r="BW22" s="366">
        <v>0</v>
      </c>
      <c r="BY22" s="77">
        <f>SUM(AW22:BE22)</f>
        <v>0.58660821563991572</v>
      </c>
      <c r="BZ22" s="77">
        <f t="shared" si="9"/>
        <v>0.60813236609552523</v>
      </c>
    </row>
    <row r="23" spans="2:78" x14ac:dyDescent="0.35">
      <c r="B23" s="373" t="s">
        <v>817</v>
      </c>
      <c r="C23" s="344" t="s">
        <v>801</v>
      </c>
      <c r="D23" s="370">
        <v>1.618400000326E-2</v>
      </c>
      <c r="E23" s="370">
        <v>2.3120000001999999E-4</v>
      </c>
      <c r="F23" s="370">
        <v>7.8839200009920001E-4</v>
      </c>
      <c r="G23" s="370">
        <v>1.8338086641478499E-3</v>
      </c>
      <c r="H23" s="371">
        <v>0</v>
      </c>
      <c r="I23" s="371">
        <v>0</v>
      </c>
      <c r="J23" s="371">
        <v>0</v>
      </c>
      <c r="K23" s="371">
        <v>0</v>
      </c>
      <c r="L23" s="371">
        <v>0</v>
      </c>
      <c r="M23" s="371">
        <v>2.0578133335723999E-2</v>
      </c>
      <c r="N23" s="371">
        <v>2.6917333334799899E-4</v>
      </c>
      <c r="O23" s="371">
        <v>9.4681440007274504E-4</v>
      </c>
      <c r="P23" s="371">
        <v>2.3833428665956599E-3</v>
      </c>
      <c r="Q23" s="371">
        <v>0</v>
      </c>
      <c r="R23" s="371">
        <v>0</v>
      </c>
      <c r="S23" s="371">
        <v>0</v>
      </c>
      <c r="T23" s="371">
        <v>0</v>
      </c>
      <c r="U23" s="371">
        <v>0</v>
      </c>
      <c r="V23" s="371">
        <v>2.1638720002390598E-2</v>
      </c>
      <c r="W23" s="371">
        <v>2.7568000001466599E-4</v>
      </c>
      <c r="X23" s="371">
        <v>9.7908746673941102E-4</v>
      </c>
      <c r="Y23" s="371">
        <v>2.4654617865293598E-3</v>
      </c>
      <c r="Z23" s="371">
        <v>0</v>
      </c>
      <c r="AA23" s="371">
        <v>0</v>
      </c>
      <c r="AB23" s="371">
        <v>0</v>
      </c>
      <c r="AC23" s="371">
        <v>0</v>
      </c>
      <c r="AD23" s="371">
        <v>0</v>
      </c>
      <c r="AE23" s="371">
        <f t="shared" si="0"/>
        <v>2.1108426669057299E-2</v>
      </c>
      <c r="AF23" s="371">
        <f t="shared" si="1"/>
        <v>2.7242666668133252E-4</v>
      </c>
      <c r="AG23" s="371">
        <f t="shared" si="2"/>
        <v>9.6295093340607808E-4</v>
      </c>
      <c r="AH23" s="371">
        <f t="shared" si="3"/>
        <v>2.4244023265625097E-3</v>
      </c>
      <c r="AI23" s="371">
        <f t="shared" si="4"/>
        <v>0</v>
      </c>
      <c r="AJ23" s="371">
        <f t="shared" si="5"/>
        <v>0</v>
      </c>
      <c r="AK23" s="371">
        <f t="shared" si="6"/>
        <v>0</v>
      </c>
      <c r="AL23" s="371">
        <f t="shared" si="7"/>
        <v>0</v>
      </c>
      <c r="AM23" s="371">
        <f t="shared" si="8"/>
        <v>0</v>
      </c>
      <c r="AN23" s="370">
        <v>3.6639199999999997E-2</v>
      </c>
      <c r="AO23" s="370">
        <v>3.9800000000000002E-4</v>
      </c>
      <c r="AP23" s="370">
        <v>1.5035000000000001E-3</v>
      </c>
      <c r="AQ23" s="370">
        <v>4.1866953092013701E-3</v>
      </c>
      <c r="AR23" s="371">
        <v>0</v>
      </c>
      <c r="AS23" s="371">
        <v>0</v>
      </c>
      <c r="AT23" s="371">
        <v>0</v>
      </c>
      <c r="AU23" s="371">
        <v>0</v>
      </c>
      <c r="AV23" s="371">
        <v>0</v>
      </c>
      <c r="AW23" s="370">
        <v>6.4310610000000004E-2</v>
      </c>
      <c r="AX23" s="370">
        <v>5.2245000000000004E-4</v>
      </c>
      <c r="AY23" s="370">
        <v>2.243873E-3</v>
      </c>
      <c r="AZ23" s="370">
        <v>6.5346723526423104E-3</v>
      </c>
      <c r="BA23" s="371">
        <v>0</v>
      </c>
      <c r="BB23" s="371">
        <v>0</v>
      </c>
      <c r="BC23" s="371">
        <v>0</v>
      </c>
      <c r="BD23" s="371">
        <v>0</v>
      </c>
      <c r="BE23" s="371">
        <v>0</v>
      </c>
      <c r="BF23" s="370">
        <v>6.5767000000000006E-2</v>
      </c>
      <c r="BG23" s="370">
        <v>5.2899999999999996E-4</v>
      </c>
      <c r="BH23" s="370">
        <v>2.28284E-3</v>
      </c>
      <c r="BI23" s="370">
        <v>5.8953799366410599E-3</v>
      </c>
      <c r="BJ23" s="371">
        <v>0</v>
      </c>
      <c r="BK23" s="371">
        <v>0</v>
      </c>
      <c r="BL23" s="371">
        <v>0</v>
      </c>
      <c r="BM23" s="371">
        <v>0</v>
      </c>
      <c r="BN23" s="371">
        <v>0</v>
      </c>
      <c r="BO23" s="370">
        <v>6.5767000000000006E-2</v>
      </c>
      <c r="BP23" s="370">
        <v>5.2899999999999996E-4</v>
      </c>
      <c r="BQ23" s="370">
        <v>2.28284E-3</v>
      </c>
      <c r="BR23" s="370">
        <v>5.8953799366410599E-3</v>
      </c>
      <c r="BS23" s="371">
        <v>0</v>
      </c>
      <c r="BT23" s="371">
        <v>0</v>
      </c>
      <c r="BU23" s="371">
        <v>0</v>
      </c>
      <c r="BV23" s="371">
        <v>0</v>
      </c>
      <c r="BW23" s="371">
        <v>0</v>
      </c>
      <c r="BZ23" s="77">
        <f t="shared" si="9"/>
        <v>7.4474219936641065E-2</v>
      </c>
    </row>
    <row r="24" spans="2:78" x14ac:dyDescent="0.35">
      <c r="B24" s="374" t="s">
        <v>818</v>
      </c>
      <c r="C24" s="344" t="s">
        <v>801</v>
      </c>
      <c r="D24" s="370">
        <v>5.1208500000000001E-4</v>
      </c>
      <c r="E24" s="370">
        <v>5.9147500000000005E-4</v>
      </c>
      <c r="F24" s="370">
        <v>5.7078000000000001E-4</v>
      </c>
      <c r="G24" s="370">
        <v>6.96870883948354E-6</v>
      </c>
      <c r="H24" s="371">
        <v>0</v>
      </c>
      <c r="I24" s="371">
        <v>0</v>
      </c>
      <c r="J24" s="371">
        <v>0</v>
      </c>
      <c r="K24" s="371">
        <v>0</v>
      </c>
      <c r="L24" s="371">
        <v>0</v>
      </c>
      <c r="M24" s="371">
        <v>1.15149778833333E-2</v>
      </c>
      <c r="N24" s="371">
        <v>1.19673289166667E-2</v>
      </c>
      <c r="O24" s="371">
        <v>1.04076983333333E-2</v>
      </c>
      <c r="P24" s="371">
        <v>1.6476945804193101E-4</v>
      </c>
      <c r="Q24" s="371">
        <v>0</v>
      </c>
      <c r="R24" s="371">
        <v>0</v>
      </c>
      <c r="S24" s="371">
        <v>0</v>
      </c>
      <c r="T24" s="371">
        <v>0</v>
      </c>
      <c r="U24" s="371">
        <v>0</v>
      </c>
      <c r="V24" s="371">
        <v>1.15149778833333E-2</v>
      </c>
      <c r="W24" s="371">
        <v>1.19673289166667E-2</v>
      </c>
      <c r="X24" s="371">
        <v>1.04076983333333E-2</v>
      </c>
      <c r="Y24" s="371">
        <v>1.61819819305502E-4</v>
      </c>
      <c r="Z24" s="371">
        <v>0</v>
      </c>
      <c r="AA24" s="371">
        <v>0</v>
      </c>
      <c r="AB24" s="371">
        <v>0</v>
      </c>
      <c r="AC24" s="371">
        <v>0</v>
      </c>
      <c r="AD24" s="371">
        <v>0</v>
      </c>
      <c r="AE24" s="371">
        <f t="shared" si="0"/>
        <v>1.15149778833333E-2</v>
      </c>
      <c r="AF24" s="371">
        <f t="shared" si="1"/>
        <v>1.19673289166667E-2</v>
      </c>
      <c r="AG24" s="371">
        <f t="shared" si="2"/>
        <v>1.04076983333333E-2</v>
      </c>
      <c r="AH24" s="371">
        <f t="shared" si="3"/>
        <v>1.6329463867371651E-4</v>
      </c>
      <c r="AI24" s="371">
        <f t="shared" si="4"/>
        <v>0</v>
      </c>
      <c r="AJ24" s="371">
        <f t="shared" si="5"/>
        <v>0</v>
      </c>
      <c r="AK24" s="371">
        <f t="shared" si="6"/>
        <v>0</v>
      </c>
      <c r="AL24" s="371">
        <f t="shared" si="7"/>
        <v>0</v>
      </c>
      <c r="AM24" s="371">
        <f t="shared" si="8"/>
        <v>0</v>
      </c>
      <c r="AN24" s="370">
        <v>6.8368634999999997E-2</v>
      </c>
      <c r="AO24" s="370">
        <v>6.3719324999999993E-2</v>
      </c>
      <c r="AP24" s="370">
        <v>4.8437099999999997E-2</v>
      </c>
      <c r="AQ24" s="370">
        <v>9.8453947932457199E-4</v>
      </c>
      <c r="AR24" s="371">
        <v>0</v>
      </c>
      <c r="AS24" s="371">
        <v>0</v>
      </c>
      <c r="AT24" s="371">
        <v>0</v>
      </c>
      <c r="AU24" s="371">
        <v>0</v>
      </c>
      <c r="AV24" s="371">
        <v>0</v>
      </c>
      <c r="AW24" s="370">
        <v>0.17316330623750001</v>
      </c>
      <c r="AX24" s="370">
        <v>0.1801154850625</v>
      </c>
      <c r="AY24" s="370">
        <v>0.15678450499999999</v>
      </c>
      <c r="AZ24" s="370">
        <v>2.1212630033304899E-3</v>
      </c>
      <c r="BA24" s="371">
        <v>0</v>
      </c>
      <c r="BB24" s="371">
        <v>0</v>
      </c>
      <c r="BC24" s="371">
        <v>0</v>
      </c>
      <c r="BD24" s="371">
        <v>0</v>
      </c>
      <c r="BE24" s="371">
        <v>0</v>
      </c>
      <c r="BF24" s="370">
        <v>0.17943519999999999</v>
      </c>
      <c r="BG24" s="370">
        <v>0.187504</v>
      </c>
      <c r="BH24" s="370">
        <v>0.16403799999999999</v>
      </c>
      <c r="BI24" s="370">
        <v>1.93566574026419E-3</v>
      </c>
      <c r="BJ24" s="371">
        <v>0</v>
      </c>
      <c r="BK24" s="371">
        <v>0</v>
      </c>
      <c r="BL24" s="371">
        <v>0</v>
      </c>
      <c r="BM24" s="371">
        <v>0</v>
      </c>
      <c r="BN24" s="371">
        <v>0</v>
      </c>
      <c r="BO24" s="370">
        <v>0.17943519999999999</v>
      </c>
      <c r="BP24" s="370">
        <v>0.187504</v>
      </c>
      <c r="BQ24" s="370">
        <v>0.16403799999999999</v>
      </c>
      <c r="BR24" s="370">
        <v>1.93566574026419E-3</v>
      </c>
      <c r="BS24" s="371">
        <v>0</v>
      </c>
      <c r="BT24" s="371">
        <v>0</v>
      </c>
      <c r="BU24" s="371">
        <v>0</v>
      </c>
      <c r="BV24" s="371">
        <v>0</v>
      </c>
      <c r="BW24" s="371">
        <v>0</v>
      </c>
      <c r="BZ24" s="77">
        <f t="shared" si="9"/>
        <v>0.5329128657402642</v>
      </c>
    </row>
    <row r="25" spans="2:78" x14ac:dyDescent="0.35">
      <c r="B25" s="374" t="s">
        <v>819</v>
      </c>
      <c r="C25" s="344" t="s">
        <v>801</v>
      </c>
      <c r="D25" s="370">
        <v>4.5390655539714799E-4</v>
      </c>
      <c r="E25" s="370">
        <v>3.9620095641651102E-8</v>
      </c>
      <c r="F25" s="370">
        <v>0</v>
      </c>
      <c r="G25" s="370">
        <v>1.1994905164215701E-3</v>
      </c>
      <c r="H25" s="371">
        <v>0</v>
      </c>
      <c r="I25" s="371">
        <v>3.0046340433633301E-6</v>
      </c>
      <c r="J25" s="371">
        <v>1.3748762325047E-5</v>
      </c>
      <c r="K25" s="371">
        <v>0</v>
      </c>
      <c r="L25" s="371">
        <v>0</v>
      </c>
      <c r="M25" s="371">
        <v>4.5390655539714799E-4</v>
      </c>
      <c r="N25" s="371">
        <v>3.9620095641651102E-8</v>
      </c>
      <c r="O25" s="371">
        <v>0</v>
      </c>
      <c r="P25" s="371">
        <v>1.21873939380808E-3</v>
      </c>
      <c r="Q25" s="371">
        <v>0</v>
      </c>
      <c r="R25" s="371">
        <v>2.95406058339408E-6</v>
      </c>
      <c r="S25" s="371">
        <v>1.3715168076038999E-5</v>
      </c>
      <c r="T25" s="371">
        <v>0</v>
      </c>
      <c r="U25" s="371">
        <v>0</v>
      </c>
      <c r="V25" s="371">
        <v>4.5390655539714799E-4</v>
      </c>
      <c r="W25" s="371">
        <v>3.9620095641651102E-8</v>
      </c>
      <c r="X25" s="371">
        <v>0</v>
      </c>
      <c r="Y25" s="371">
        <v>1.19692199531501E-3</v>
      </c>
      <c r="Z25" s="371">
        <v>0</v>
      </c>
      <c r="AA25" s="371">
        <v>2.67212581110272E-6</v>
      </c>
      <c r="AB25" s="371">
        <v>1.29847646042445E-5</v>
      </c>
      <c r="AC25" s="371">
        <v>0</v>
      </c>
      <c r="AD25" s="371">
        <v>0</v>
      </c>
      <c r="AE25" s="371">
        <f t="shared" si="0"/>
        <v>4.5390655539714799E-4</v>
      </c>
      <c r="AF25" s="371">
        <f t="shared" si="1"/>
        <v>3.9620095641651102E-8</v>
      </c>
      <c r="AG25" s="371">
        <f t="shared" si="2"/>
        <v>0</v>
      </c>
      <c r="AH25" s="371">
        <f t="shared" si="3"/>
        <v>1.207830694561545E-3</v>
      </c>
      <c r="AI25" s="371">
        <f t="shared" si="4"/>
        <v>0</v>
      </c>
      <c r="AJ25" s="371">
        <f t="shared" si="5"/>
        <v>2.8130931972484E-6</v>
      </c>
      <c r="AK25" s="371">
        <f t="shared" si="6"/>
        <v>1.334996634014175E-5</v>
      </c>
      <c r="AL25" s="371">
        <f t="shared" si="7"/>
        <v>0</v>
      </c>
      <c r="AM25" s="371">
        <f t="shared" si="8"/>
        <v>0</v>
      </c>
      <c r="AN25" s="370">
        <v>4.5390655539714799E-4</v>
      </c>
      <c r="AO25" s="370">
        <v>3.9620095641651102E-8</v>
      </c>
      <c r="AP25" s="370">
        <v>0</v>
      </c>
      <c r="AQ25" s="370">
        <v>1.18936221949853E-3</v>
      </c>
      <c r="AR25" s="371">
        <v>0</v>
      </c>
      <c r="AS25" s="371">
        <v>1.7766701827944101E-6</v>
      </c>
      <c r="AT25" s="371">
        <v>1.0667039131365801E-5</v>
      </c>
      <c r="AU25" s="371">
        <v>0</v>
      </c>
      <c r="AV25" s="371">
        <v>0</v>
      </c>
      <c r="AW25" s="370">
        <v>2.43246505210592E-4</v>
      </c>
      <c r="AX25" s="370">
        <v>8.2427433628318608E-9</v>
      </c>
      <c r="AY25" s="370">
        <v>0</v>
      </c>
      <c r="AZ25" s="370">
        <v>5.6422802025331102E-4</v>
      </c>
      <c r="BA25" s="371">
        <v>0</v>
      </c>
      <c r="BB25" s="371">
        <v>3.45146619880894E-7</v>
      </c>
      <c r="BC25" s="371">
        <v>4.2230691157389398E-6</v>
      </c>
      <c r="BD25" s="371">
        <v>0</v>
      </c>
      <c r="BE25" s="371">
        <v>0</v>
      </c>
      <c r="BF25" s="370">
        <v>2.43246505210592E-4</v>
      </c>
      <c r="BG25" s="370">
        <v>8.2427433628318608E-9</v>
      </c>
      <c r="BH25" s="370">
        <v>0</v>
      </c>
      <c r="BI25" s="370">
        <v>4.9756379323550497E-4</v>
      </c>
      <c r="BJ25" s="371">
        <v>0</v>
      </c>
      <c r="BK25" s="371">
        <v>3.15418432607626E-7</v>
      </c>
      <c r="BL25" s="371">
        <v>4.1464589978698701E-6</v>
      </c>
      <c r="BM25" s="371">
        <v>0</v>
      </c>
      <c r="BN25" s="371">
        <v>0</v>
      </c>
      <c r="BO25" s="370">
        <v>2.43246505210592E-4</v>
      </c>
      <c r="BP25" s="370">
        <v>8.2427433628318608E-9</v>
      </c>
      <c r="BQ25" s="370">
        <v>0</v>
      </c>
      <c r="BR25" s="370">
        <v>4.9756379323550497E-4</v>
      </c>
      <c r="BS25" s="371">
        <v>0</v>
      </c>
      <c r="BT25" s="371">
        <v>3.15418432607626E-7</v>
      </c>
      <c r="BU25" s="371">
        <v>4.1464589978698701E-6</v>
      </c>
      <c r="BV25" s="371">
        <v>0</v>
      </c>
      <c r="BW25" s="371">
        <v>0</v>
      </c>
      <c r="BZ25" s="77">
        <f t="shared" si="9"/>
        <v>7.452804186199374E-4</v>
      </c>
    </row>
    <row r="26" spans="2:78" x14ac:dyDescent="0.35">
      <c r="B26" s="375" t="s">
        <v>820</v>
      </c>
      <c r="C26" s="344" t="s">
        <v>801</v>
      </c>
      <c r="D26" s="376">
        <v>0</v>
      </c>
      <c r="E26" s="376">
        <v>0</v>
      </c>
      <c r="F26" s="376">
        <v>0</v>
      </c>
      <c r="G26" s="376">
        <v>0</v>
      </c>
      <c r="H26" s="376">
        <v>1.2422142857142899</v>
      </c>
      <c r="I26" s="376">
        <v>0.25816612540944101</v>
      </c>
      <c r="J26" s="376">
        <v>0.23583999999999999</v>
      </c>
      <c r="K26" s="376">
        <v>0</v>
      </c>
      <c r="L26" s="376">
        <v>0</v>
      </c>
      <c r="M26" s="376">
        <v>0</v>
      </c>
      <c r="N26" s="376">
        <v>0</v>
      </c>
      <c r="O26" s="376">
        <v>0</v>
      </c>
      <c r="P26" s="376">
        <v>0</v>
      </c>
      <c r="Q26" s="376">
        <v>1.2077769026335301</v>
      </c>
      <c r="R26" s="376">
        <v>0.26028434824082203</v>
      </c>
      <c r="S26" s="376">
        <v>0.23808143360739101</v>
      </c>
      <c r="T26" s="376">
        <v>0</v>
      </c>
      <c r="U26" s="376">
        <v>0</v>
      </c>
      <c r="V26" s="376">
        <v>0</v>
      </c>
      <c r="W26" s="376">
        <v>0</v>
      </c>
      <c r="X26" s="376">
        <v>0</v>
      </c>
      <c r="Y26" s="376">
        <v>0</v>
      </c>
      <c r="Z26" s="376">
        <v>1.1495481080760901</v>
      </c>
      <c r="AA26" s="376">
        <v>0.25996006615321698</v>
      </c>
      <c r="AB26" s="376">
        <v>0.23788140253361501</v>
      </c>
      <c r="AC26" s="376">
        <v>0</v>
      </c>
      <c r="AD26" s="376">
        <v>0</v>
      </c>
      <c r="AE26" s="376">
        <f t="shared" si="0"/>
        <v>0</v>
      </c>
      <c r="AF26" s="376">
        <f t="shared" si="1"/>
        <v>0</v>
      </c>
      <c r="AG26" s="376">
        <f t="shared" si="2"/>
        <v>0</v>
      </c>
      <c r="AH26" s="376">
        <f t="shared" si="3"/>
        <v>0</v>
      </c>
      <c r="AI26" s="376">
        <f t="shared" si="4"/>
        <v>1.1786625053548101</v>
      </c>
      <c r="AJ26" s="376">
        <f t="shared" si="5"/>
        <v>0.26012220719701951</v>
      </c>
      <c r="AK26" s="376">
        <f t="shared" si="6"/>
        <v>0.23798141807050299</v>
      </c>
      <c r="AL26" s="376">
        <f t="shared" si="7"/>
        <v>0</v>
      </c>
      <c r="AM26" s="376">
        <f t="shared" si="8"/>
        <v>0</v>
      </c>
      <c r="AN26" s="376">
        <v>0</v>
      </c>
      <c r="AO26" s="376">
        <v>0</v>
      </c>
      <c r="AP26" s="376">
        <v>0</v>
      </c>
      <c r="AQ26" s="376">
        <v>0</v>
      </c>
      <c r="AR26" s="376">
        <v>0.93761446518204095</v>
      </c>
      <c r="AS26" s="376">
        <v>0.26379931439510101</v>
      </c>
      <c r="AT26" s="376">
        <v>0.242308698169688</v>
      </c>
      <c r="AU26" s="376">
        <v>0</v>
      </c>
      <c r="AV26" s="376">
        <v>0</v>
      </c>
      <c r="AW26" s="376">
        <v>0</v>
      </c>
      <c r="AX26" s="376">
        <v>0</v>
      </c>
      <c r="AY26" s="376">
        <v>0</v>
      </c>
      <c r="AZ26" s="376">
        <v>0</v>
      </c>
      <c r="BA26" s="376">
        <v>0.56740083199869196</v>
      </c>
      <c r="BB26" s="376">
        <v>0.26504798308335598</v>
      </c>
      <c r="BC26" s="376">
        <v>0.24632615806935401</v>
      </c>
      <c r="BD26" s="376">
        <v>0</v>
      </c>
      <c r="BE26" s="376">
        <v>0</v>
      </c>
      <c r="BF26" s="376">
        <v>0</v>
      </c>
      <c r="BG26" s="376">
        <v>0</v>
      </c>
      <c r="BH26" s="376">
        <v>0</v>
      </c>
      <c r="BI26" s="376">
        <v>0</v>
      </c>
      <c r="BJ26" s="376">
        <v>0.547148052058259</v>
      </c>
      <c r="BK26" s="376">
        <v>0.26509375069942398</v>
      </c>
      <c r="BL26" s="376">
        <v>0.24652555127578299</v>
      </c>
      <c r="BM26" s="376">
        <v>0</v>
      </c>
      <c r="BN26" s="376">
        <v>0</v>
      </c>
      <c r="BO26" s="376">
        <v>0</v>
      </c>
      <c r="BP26" s="376">
        <v>0</v>
      </c>
      <c r="BQ26" s="376">
        <v>0</v>
      </c>
      <c r="BR26" s="376">
        <v>0</v>
      </c>
      <c r="BS26" s="376">
        <v>0.547148052058259</v>
      </c>
      <c r="BT26" s="376">
        <v>0.26509375069942398</v>
      </c>
      <c r="BU26" s="376">
        <v>0.24652555127578299</v>
      </c>
      <c r="BV26" s="376">
        <v>0</v>
      </c>
      <c r="BW26" s="376">
        <v>0</v>
      </c>
      <c r="BY26" s="77">
        <f>SUM(AW26:BE26)</f>
        <v>1.078774973151402</v>
      </c>
      <c r="BZ26" s="77">
        <f t="shared" si="9"/>
        <v>1.0587673540334659</v>
      </c>
    </row>
    <row r="27" spans="2:78" x14ac:dyDescent="0.35">
      <c r="B27" s="378" t="s">
        <v>821</v>
      </c>
      <c r="C27" s="344" t="s">
        <v>801</v>
      </c>
      <c r="D27" s="379">
        <v>0</v>
      </c>
      <c r="E27" s="379">
        <v>0</v>
      </c>
      <c r="F27" s="379">
        <v>0</v>
      </c>
      <c r="G27" s="379">
        <v>0</v>
      </c>
      <c r="H27" s="380">
        <v>1.2422142857142899</v>
      </c>
      <c r="I27" s="380">
        <v>0</v>
      </c>
      <c r="J27" s="380">
        <v>0</v>
      </c>
      <c r="K27" s="380">
        <v>0</v>
      </c>
      <c r="L27" s="380">
        <v>0</v>
      </c>
      <c r="M27" s="380">
        <v>0</v>
      </c>
      <c r="N27" s="380">
        <v>0</v>
      </c>
      <c r="O27" s="380">
        <v>0</v>
      </c>
      <c r="P27" s="380">
        <v>0</v>
      </c>
      <c r="Q27" s="380">
        <v>1.2077769026335301</v>
      </c>
      <c r="R27" s="380">
        <v>0</v>
      </c>
      <c r="S27" s="380">
        <v>0</v>
      </c>
      <c r="T27" s="380">
        <v>0</v>
      </c>
      <c r="U27" s="380">
        <v>0</v>
      </c>
      <c r="V27" s="380">
        <v>0</v>
      </c>
      <c r="W27" s="380">
        <v>0</v>
      </c>
      <c r="X27" s="380">
        <v>0</v>
      </c>
      <c r="Y27" s="380">
        <v>0</v>
      </c>
      <c r="Z27" s="380">
        <v>1.1495481080760901</v>
      </c>
      <c r="AA27" s="380">
        <v>0</v>
      </c>
      <c r="AB27" s="380">
        <v>0</v>
      </c>
      <c r="AC27" s="380">
        <v>0</v>
      </c>
      <c r="AD27" s="380">
        <v>0</v>
      </c>
      <c r="AE27" s="380">
        <f t="shared" si="0"/>
        <v>0</v>
      </c>
      <c r="AF27" s="380">
        <f t="shared" si="1"/>
        <v>0</v>
      </c>
      <c r="AG27" s="380">
        <f t="shared" si="2"/>
        <v>0</v>
      </c>
      <c r="AH27" s="380">
        <f t="shared" si="3"/>
        <v>0</v>
      </c>
      <c r="AI27" s="380">
        <f t="shared" si="4"/>
        <v>1.1786625053548101</v>
      </c>
      <c r="AJ27" s="380">
        <f t="shared" si="5"/>
        <v>0</v>
      </c>
      <c r="AK27" s="380">
        <f t="shared" si="6"/>
        <v>0</v>
      </c>
      <c r="AL27" s="380">
        <f t="shared" si="7"/>
        <v>0</v>
      </c>
      <c r="AM27" s="380">
        <f t="shared" si="8"/>
        <v>0</v>
      </c>
      <c r="AN27" s="379">
        <v>0</v>
      </c>
      <c r="AO27" s="379">
        <v>0</v>
      </c>
      <c r="AP27" s="379">
        <v>0</v>
      </c>
      <c r="AQ27" s="379">
        <v>0</v>
      </c>
      <c r="AR27" s="380">
        <v>0.93761446518204095</v>
      </c>
      <c r="AS27" s="380">
        <v>0</v>
      </c>
      <c r="AT27" s="380">
        <v>0</v>
      </c>
      <c r="AU27" s="380">
        <v>0</v>
      </c>
      <c r="AV27" s="380">
        <v>0</v>
      </c>
      <c r="AW27" s="379">
        <v>0</v>
      </c>
      <c r="AX27" s="379">
        <v>0</v>
      </c>
      <c r="AY27" s="379">
        <v>0</v>
      </c>
      <c r="AZ27" s="379">
        <v>0</v>
      </c>
      <c r="BA27" s="380">
        <v>0.56740083199869196</v>
      </c>
      <c r="BB27" s="380">
        <v>0</v>
      </c>
      <c r="BC27" s="380">
        <v>0</v>
      </c>
      <c r="BD27" s="380">
        <v>0</v>
      </c>
      <c r="BE27" s="380">
        <v>0</v>
      </c>
      <c r="BF27" s="379">
        <v>0</v>
      </c>
      <c r="BG27" s="379">
        <v>0</v>
      </c>
      <c r="BH27" s="379">
        <v>0</v>
      </c>
      <c r="BI27" s="379">
        <v>0</v>
      </c>
      <c r="BJ27" s="380">
        <v>0.547148052058259</v>
      </c>
      <c r="BK27" s="380">
        <v>0</v>
      </c>
      <c r="BL27" s="380">
        <v>0</v>
      </c>
      <c r="BM27" s="380">
        <v>0</v>
      </c>
      <c r="BN27" s="380">
        <v>0</v>
      </c>
      <c r="BO27" s="379">
        <v>0</v>
      </c>
      <c r="BP27" s="379">
        <v>0</v>
      </c>
      <c r="BQ27" s="379">
        <v>0</v>
      </c>
      <c r="BR27" s="379">
        <v>0</v>
      </c>
      <c r="BS27" s="380">
        <v>0.547148052058259</v>
      </c>
      <c r="BT27" s="380">
        <v>0</v>
      </c>
      <c r="BU27" s="380">
        <v>0</v>
      </c>
      <c r="BV27" s="380">
        <v>0</v>
      </c>
      <c r="BW27" s="380">
        <v>0</v>
      </c>
      <c r="BZ27" s="77">
        <f t="shared" si="9"/>
        <v>0.547148052058259</v>
      </c>
    </row>
    <row r="28" spans="2:78" x14ac:dyDescent="0.35">
      <c r="B28" s="378" t="s">
        <v>822</v>
      </c>
      <c r="C28" s="344" t="s">
        <v>801</v>
      </c>
      <c r="D28" s="379">
        <v>0</v>
      </c>
      <c r="E28" s="379">
        <v>0</v>
      </c>
      <c r="F28" s="379">
        <v>0</v>
      </c>
      <c r="G28" s="379">
        <v>0</v>
      </c>
      <c r="H28" s="380">
        <v>0</v>
      </c>
      <c r="I28" s="380">
        <v>0</v>
      </c>
      <c r="J28" s="380">
        <v>0</v>
      </c>
      <c r="K28" s="380">
        <v>0</v>
      </c>
      <c r="L28" s="380">
        <v>0</v>
      </c>
      <c r="M28" s="380">
        <v>0</v>
      </c>
      <c r="N28" s="380">
        <v>0</v>
      </c>
      <c r="O28" s="380">
        <v>0</v>
      </c>
      <c r="P28" s="380">
        <v>0</v>
      </c>
      <c r="Q28" s="380">
        <v>0</v>
      </c>
      <c r="R28" s="380">
        <v>0</v>
      </c>
      <c r="S28" s="380">
        <v>0</v>
      </c>
      <c r="T28" s="380">
        <v>0</v>
      </c>
      <c r="U28" s="380">
        <v>0</v>
      </c>
      <c r="V28" s="380">
        <v>0</v>
      </c>
      <c r="W28" s="380">
        <v>0</v>
      </c>
      <c r="X28" s="380">
        <v>0</v>
      </c>
      <c r="Y28" s="380">
        <v>0</v>
      </c>
      <c r="Z28" s="380">
        <v>0</v>
      </c>
      <c r="AA28" s="380">
        <v>0</v>
      </c>
      <c r="AB28" s="380">
        <v>0</v>
      </c>
      <c r="AC28" s="380">
        <v>0</v>
      </c>
      <c r="AD28" s="380">
        <v>0</v>
      </c>
      <c r="AE28" s="380">
        <f t="shared" si="0"/>
        <v>0</v>
      </c>
      <c r="AF28" s="380">
        <f t="shared" si="1"/>
        <v>0</v>
      </c>
      <c r="AG28" s="380">
        <f t="shared" si="2"/>
        <v>0</v>
      </c>
      <c r="AH28" s="380">
        <f t="shared" si="3"/>
        <v>0</v>
      </c>
      <c r="AI28" s="380">
        <f t="shared" si="4"/>
        <v>0</v>
      </c>
      <c r="AJ28" s="380">
        <f t="shared" si="5"/>
        <v>0</v>
      </c>
      <c r="AK28" s="380">
        <f t="shared" si="6"/>
        <v>0</v>
      </c>
      <c r="AL28" s="380">
        <f t="shared" si="7"/>
        <v>0</v>
      </c>
      <c r="AM28" s="380">
        <f t="shared" si="8"/>
        <v>0</v>
      </c>
      <c r="AN28" s="379">
        <v>0</v>
      </c>
      <c r="AO28" s="379">
        <v>0</v>
      </c>
      <c r="AP28" s="379">
        <v>0</v>
      </c>
      <c r="AQ28" s="379">
        <v>0</v>
      </c>
      <c r="AR28" s="380">
        <v>0</v>
      </c>
      <c r="AS28" s="380">
        <v>0</v>
      </c>
      <c r="AT28" s="380">
        <v>0</v>
      </c>
      <c r="AU28" s="380">
        <v>0</v>
      </c>
      <c r="AV28" s="380">
        <v>0</v>
      </c>
      <c r="AW28" s="379">
        <v>0</v>
      </c>
      <c r="AX28" s="379">
        <v>0</v>
      </c>
      <c r="AY28" s="379">
        <v>0</v>
      </c>
      <c r="AZ28" s="379">
        <v>0</v>
      </c>
      <c r="BA28" s="380">
        <v>0</v>
      </c>
      <c r="BB28" s="380">
        <v>0</v>
      </c>
      <c r="BC28" s="380">
        <v>0</v>
      </c>
      <c r="BD28" s="380">
        <v>0</v>
      </c>
      <c r="BE28" s="380">
        <v>0</v>
      </c>
      <c r="BF28" s="379">
        <v>0</v>
      </c>
      <c r="BG28" s="379">
        <v>0</v>
      </c>
      <c r="BH28" s="379">
        <v>0</v>
      </c>
      <c r="BI28" s="379">
        <v>0</v>
      </c>
      <c r="BJ28" s="380">
        <v>0</v>
      </c>
      <c r="BK28" s="380">
        <v>0</v>
      </c>
      <c r="BL28" s="380">
        <v>0</v>
      </c>
      <c r="BM28" s="380">
        <v>0</v>
      </c>
      <c r="BN28" s="380">
        <v>0</v>
      </c>
      <c r="BO28" s="379">
        <v>0</v>
      </c>
      <c r="BP28" s="379">
        <v>0</v>
      </c>
      <c r="BQ28" s="379">
        <v>0</v>
      </c>
      <c r="BR28" s="379">
        <v>0</v>
      </c>
      <c r="BS28" s="380">
        <v>0</v>
      </c>
      <c r="BT28" s="380">
        <v>0</v>
      </c>
      <c r="BU28" s="380">
        <v>0</v>
      </c>
      <c r="BV28" s="380">
        <v>0</v>
      </c>
      <c r="BW28" s="380">
        <v>0</v>
      </c>
      <c r="BZ28" s="77">
        <f t="shared" si="9"/>
        <v>0</v>
      </c>
    </row>
    <row r="29" spans="2:78" x14ac:dyDescent="0.35">
      <c r="B29" s="382" t="s">
        <v>823</v>
      </c>
      <c r="C29" s="344" t="s">
        <v>801</v>
      </c>
      <c r="D29" s="379">
        <v>0</v>
      </c>
      <c r="E29" s="379">
        <v>0</v>
      </c>
      <c r="F29" s="379">
        <v>0</v>
      </c>
      <c r="G29" s="379">
        <v>0</v>
      </c>
      <c r="H29" s="380">
        <v>0</v>
      </c>
      <c r="I29" s="380">
        <v>2.9869846476024298E-2</v>
      </c>
      <c r="J29" s="380">
        <v>1.8425E-2</v>
      </c>
      <c r="K29" s="380">
        <v>0</v>
      </c>
      <c r="L29" s="380">
        <v>0</v>
      </c>
      <c r="M29" s="380">
        <v>0</v>
      </c>
      <c r="N29" s="380">
        <v>0</v>
      </c>
      <c r="O29" s="380">
        <v>0</v>
      </c>
      <c r="P29" s="380">
        <v>0</v>
      </c>
      <c r="Q29" s="380">
        <v>0</v>
      </c>
      <c r="R29" s="380">
        <v>2.9262424051644899E-2</v>
      </c>
      <c r="S29" s="380">
        <v>1.8050315845591199E-2</v>
      </c>
      <c r="T29" s="380">
        <v>0</v>
      </c>
      <c r="U29" s="380">
        <v>0</v>
      </c>
      <c r="V29" s="380">
        <v>0</v>
      </c>
      <c r="W29" s="380">
        <v>0</v>
      </c>
      <c r="X29" s="380">
        <v>0</v>
      </c>
      <c r="Y29" s="380">
        <v>0</v>
      </c>
      <c r="Z29" s="380">
        <v>0</v>
      </c>
      <c r="AA29" s="380">
        <v>2.89381419640398E-2</v>
      </c>
      <c r="AB29" s="380">
        <v>1.7850284771815099E-2</v>
      </c>
      <c r="AC29" s="380">
        <v>0</v>
      </c>
      <c r="AD29" s="380">
        <v>0</v>
      </c>
      <c r="AE29" s="380">
        <f t="shared" si="0"/>
        <v>0</v>
      </c>
      <c r="AF29" s="380">
        <f t="shared" si="1"/>
        <v>0</v>
      </c>
      <c r="AG29" s="380">
        <f t="shared" si="2"/>
        <v>0</v>
      </c>
      <c r="AH29" s="380">
        <f t="shared" si="3"/>
        <v>0</v>
      </c>
      <c r="AI29" s="380">
        <f t="shared" si="4"/>
        <v>0</v>
      </c>
      <c r="AJ29" s="380">
        <f t="shared" si="5"/>
        <v>2.9100283007842349E-2</v>
      </c>
      <c r="AK29" s="380">
        <f t="shared" si="6"/>
        <v>1.7950300308703149E-2</v>
      </c>
      <c r="AL29" s="380">
        <f t="shared" si="7"/>
        <v>0</v>
      </c>
      <c r="AM29" s="380">
        <f t="shared" si="8"/>
        <v>0</v>
      </c>
      <c r="AN29" s="379">
        <v>0</v>
      </c>
      <c r="AO29" s="379">
        <v>0</v>
      </c>
      <c r="AP29" s="379">
        <v>0</v>
      </c>
      <c r="AQ29" s="379">
        <v>0</v>
      </c>
      <c r="AR29" s="380">
        <v>0</v>
      </c>
      <c r="AS29" s="380">
        <v>2.6778595750150298E-2</v>
      </c>
      <c r="AT29" s="380">
        <v>1.65181842194119E-2</v>
      </c>
      <c r="AU29" s="380">
        <v>0</v>
      </c>
      <c r="AV29" s="380">
        <v>0</v>
      </c>
      <c r="AW29" s="379">
        <v>0</v>
      </c>
      <c r="AX29" s="379">
        <v>0</v>
      </c>
      <c r="AY29" s="379">
        <v>0</v>
      </c>
      <c r="AZ29" s="379">
        <v>0</v>
      </c>
      <c r="BA29" s="380">
        <v>0</v>
      </c>
      <c r="BB29" s="380">
        <v>1.8602279450931802E-2</v>
      </c>
      <c r="BC29" s="380">
        <v>1.14746823074077E-2</v>
      </c>
      <c r="BD29" s="380">
        <v>0</v>
      </c>
      <c r="BE29" s="380">
        <v>0</v>
      </c>
      <c r="BF29" s="379">
        <v>0</v>
      </c>
      <c r="BG29" s="379">
        <v>0</v>
      </c>
      <c r="BH29" s="379">
        <v>0</v>
      </c>
      <c r="BI29" s="379">
        <v>0</v>
      </c>
      <c r="BJ29" s="380">
        <v>0</v>
      </c>
      <c r="BK29" s="380">
        <v>1.8151750196900601E-2</v>
      </c>
      <c r="BL29" s="380">
        <v>1.1196776576884801E-2</v>
      </c>
      <c r="BM29" s="380">
        <v>0</v>
      </c>
      <c r="BN29" s="380">
        <v>0</v>
      </c>
      <c r="BO29" s="379">
        <v>0</v>
      </c>
      <c r="BP29" s="379">
        <v>0</v>
      </c>
      <c r="BQ29" s="379">
        <v>0</v>
      </c>
      <c r="BR29" s="379">
        <v>0</v>
      </c>
      <c r="BS29" s="380">
        <v>0</v>
      </c>
      <c r="BT29" s="380">
        <v>1.8151750196900601E-2</v>
      </c>
      <c r="BU29" s="380">
        <v>1.1196776576884801E-2</v>
      </c>
      <c r="BV29" s="380">
        <v>0</v>
      </c>
      <c r="BW29" s="380">
        <v>0</v>
      </c>
      <c r="BZ29" s="77">
        <f t="shared" si="9"/>
        <v>2.9348526773785404E-2</v>
      </c>
    </row>
    <row r="30" spans="2:78" x14ac:dyDescent="0.35">
      <c r="B30" s="382" t="s">
        <v>824</v>
      </c>
      <c r="C30" s="344" t="s">
        <v>801</v>
      </c>
      <c r="D30" s="379">
        <v>0</v>
      </c>
      <c r="E30" s="379">
        <v>0</v>
      </c>
      <c r="F30" s="379">
        <v>0</v>
      </c>
      <c r="G30" s="379">
        <v>0</v>
      </c>
      <c r="H30" s="380">
        <v>0</v>
      </c>
      <c r="I30" s="380">
        <v>0.168556585981368</v>
      </c>
      <c r="J30" s="380">
        <v>8.1070000000000003E-2</v>
      </c>
      <c r="K30" s="380">
        <v>0</v>
      </c>
      <c r="L30" s="380">
        <v>0</v>
      </c>
      <c r="M30" s="380">
        <v>0</v>
      </c>
      <c r="N30" s="380">
        <v>0</v>
      </c>
      <c r="O30" s="380">
        <v>0</v>
      </c>
      <c r="P30" s="380">
        <v>0</v>
      </c>
      <c r="Q30" s="380">
        <v>0</v>
      </c>
      <c r="R30" s="380">
        <v>0.17056653922803799</v>
      </c>
      <c r="S30" s="380">
        <v>8.2036719329053806E-2</v>
      </c>
      <c r="T30" s="380">
        <v>0</v>
      </c>
      <c r="U30" s="380">
        <v>0</v>
      </c>
      <c r="V30" s="380">
        <v>0</v>
      </c>
      <c r="W30" s="380">
        <v>0</v>
      </c>
      <c r="X30" s="380">
        <v>0</v>
      </c>
      <c r="Y30" s="380">
        <v>0</v>
      </c>
      <c r="Z30" s="380">
        <v>0</v>
      </c>
      <c r="AA30" s="380">
        <v>0.17056653922803799</v>
      </c>
      <c r="AB30" s="380">
        <v>8.2036719329053806E-2</v>
      </c>
      <c r="AC30" s="380">
        <v>0</v>
      </c>
      <c r="AD30" s="380">
        <v>0</v>
      </c>
      <c r="AE30" s="380">
        <f t="shared" si="0"/>
        <v>0</v>
      </c>
      <c r="AF30" s="380">
        <f t="shared" si="1"/>
        <v>0</v>
      </c>
      <c r="AG30" s="380">
        <f t="shared" si="2"/>
        <v>0</v>
      </c>
      <c r="AH30" s="380">
        <f t="shared" si="3"/>
        <v>0</v>
      </c>
      <c r="AI30" s="380">
        <f t="shared" si="4"/>
        <v>0</v>
      </c>
      <c r="AJ30" s="380">
        <f t="shared" si="5"/>
        <v>0.17056653922803799</v>
      </c>
      <c r="AK30" s="380">
        <f t="shared" si="6"/>
        <v>8.2036719329053806E-2</v>
      </c>
      <c r="AL30" s="380">
        <f t="shared" si="7"/>
        <v>0</v>
      </c>
      <c r="AM30" s="380">
        <f t="shared" si="8"/>
        <v>0</v>
      </c>
      <c r="AN30" s="379">
        <v>0</v>
      </c>
      <c r="AO30" s="379">
        <v>0</v>
      </c>
      <c r="AP30" s="379">
        <v>0</v>
      </c>
      <c r="AQ30" s="379">
        <v>0</v>
      </c>
      <c r="AR30" s="380">
        <v>0</v>
      </c>
      <c r="AS30" s="380">
        <v>0.17498998798455001</v>
      </c>
      <c r="AT30" s="380">
        <v>8.4164248126593899E-2</v>
      </c>
      <c r="AU30" s="380">
        <v>0</v>
      </c>
      <c r="AV30" s="380">
        <v>0</v>
      </c>
      <c r="AW30" s="379">
        <v>0</v>
      </c>
      <c r="AX30" s="379">
        <v>0</v>
      </c>
      <c r="AY30" s="379">
        <v>0</v>
      </c>
      <c r="AZ30" s="379">
        <v>0</v>
      </c>
      <c r="BA30" s="380">
        <v>0</v>
      </c>
      <c r="BB30" s="380">
        <v>0.18193841566923499</v>
      </c>
      <c r="BC30" s="380">
        <v>8.7506206135043896E-2</v>
      </c>
      <c r="BD30" s="380">
        <v>0</v>
      </c>
      <c r="BE30" s="380">
        <v>0</v>
      </c>
      <c r="BF30" s="379">
        <v>0</v>
      </c>
      <c r="BG30" s="379">
        <v>0</v>
      </c>
      <c r="BH30" s="379">
        <v>0</v>
      </c>
      <c r="BI30" s="379">
        <v>0</v>
      </c>
      <c r="BJ30" s="380">
        <v>0</v>
      </c>
      <c r="BK30" s="380">
        <v>0.182304282476623</v>
      </c>
      <c r="BL30" s="380">
        <v>8.7682175658289202E-2</v>
      </c>
      <c r="BM30" s="380">
        <v>0</v>
      </c>
      <c r="BN30" s="380">
        <v>0</v>
      </c>
      <c r="BO30" s="379">
        <v>0</v>
      </c>
      <c r="BP30" s="379">
        <v>0</v>
      </c>
      <c r="BQ30" s="379">
        <v>0</v>
      </c>
      <c r="BR30" s="379">
        <v>0</v>
      </c>
      <c r="BS30" s="380">
        <v>0</v>
      </c>
      <c r="BT30" s="380">
        <v>0.182304282476623</v>
      </c>
      <c r="BU30" s="380">
        <v>8.7682175658289202E-2</v>
      </c>
      <c r="BV30" s="380">
        <v>0</v>
      </c>
      <c r="BW30" s="380">
        <v>0</v>
      </c>
      <c r="BZ30" s="77">
        <f t="shared" si="9"/>
        <v>0.26998645813491218</v>
      </c>
    </row>
    <row r="31" spans="2:78" x14ac:dyDescent="0.35">
      <c r="B31" s="382" t="s">
        <v>825</v>
      </c>
      <c r="C31" s="344" t="s">
        <v>801</v>
      </c>
      <c r="D31" s="379">
        <v>0</v>
      </c>
      <c r="E31" s="379">
        <v>0</v>
      </c>
      <c r="F31" s="379">
        <v>0</v>
      </c>
      <c r="G31" s="379">
        <v>0</v>
      </c>
      <c r="H31" s="380">
        <v>0</v>
      </c>
      <c r="I31" s="380">
        <v>2.9869846476024298E-2</v>
      </c>
      <c r="J31" s="380">
        <v>9.9495E-2</v>
      </c>
      <c r="K31" s="380">
        <v>0</v>
      </c>
      <c r="L31" s="380">
        <v>0</v>
      </c>
      <c r="M31" s="380">
        <v>0</v>
      </c>
      <c r="N31" s="380">
        <v>0</v>
      </c>
      <c r="O31" s="380">
        <v>0</v>
      </c>
      <c r="P31" s="380">
        <v>0</v>
      </c>
      <c r="Q31" s="380">
        <v>0</v>
      </c>
      <c r="R31" s="380">
        <v>3.0235303055622199E-2</v>
      </c>
      <c r="S31" s="380">
        <v>0.10071231802057599</v>
      </c>
      <c r="T31" s="380">
        <v>0</v>
      </c>
      <c r="U31" s="380">
        <v>0</v>
      </c>
      <c r="V31" s="380">
        <v>0</v>
      </c>
      <c r="W31" s="380">
        <v>0</v>
      </c>
      <c r="X31" s="380">
        <v>0</v>
      </c>
      <c r="Y31" s="380">
        <v>0</v>
      </c>
      <c r="Z31" s="380">
        <v>0</v>
      </c>
      <c r="AA31" s="380">
        <v>3.0235303055622199E-2</v>
      </c>
      <c r="AB31" s="380">
        <v>0.10071231802057599</v>
      </c>
      <c r="AC31" s="380">
        <v>0</v>
      </c>
      <c r="AD31" s="380">
        <v>0</v>
      </c>
      <c r="AE31" s="380">
        <f t="shared" si="0"/>
        <v>0</v>
      </c>
      <c r="AF31" s="380">
        <f t="shared" si="1"/>
        <v>0</v>
      </c>
      <c r="AG31" s="380">
        <f t="shared" si="2"/>
        <v>0</v>
      </c>
      <c r="AH31" s="380">
        <f t="shared" si="3"/>
        <v>0</v>
      </c>
      <c r="AI31" s="380">
        <f t="shared" si="4"/>
        <v>0</v>
      </c>
      <c r="AJ31" s="380">
        <f t="shared" si="5"/>
        <v>3.0235303055622199E-2</v>
      </c>
      <c r="AK31" s="380">
        <f t="shared" si="6"/>
        <v>0.10071231802057599</v>
      </c>
      <c r="AL31" s="380">
        <f t="shared" si="7"/>
        <v>0</v>
      </c>
      <c r="AM31" s="380">
        <f t="shared" si="8"/>
        <v>0</v>
      </c>
      <c r="AN31" s="379">
        <v>0</v>
      </c>
      <c r="AO31" s="379">
        <v>0</v>
      </c>
      <c r="AP31" s="379">
        <v>0</v>
      </c>
      <c r="AQ31" s="379">
        <v>0</v>
      </c>
      <c r="AR31" s="380">
        <v>0</v>
      </c>
      <c r="AS31" s="380">
        <v>3.1040344676992598E-2</v>
      </c>
      <c r="AT31" s="380">
        <v>0.103393872349371</v>
      </c>
      <c r="AU31" s="380">
        <v>0</v>
      </c>
      <c r="AV31" s="380">
        <v>0</v>
      </c>
      <c r="AW31" s="379">
        <v>0</v>
      </c>
      <c r="AX31" s="379">
        <v>0</v>
      </c>
      <c r="AY31" s="379">
        <v>0</v>
      </c>
      <c r="AZ31" s="379">
        <v>0</v>
      </c>
      <c r="BA31" s="380">
        <v>0</v>
      </c>
      <c r="BB31" s="380">
        <v>3.2310432137927503E-2</v>
      </c>
      <c r="BC31" s="380">
        <v>0.107624471660524</v>
      </c>
      <c r="BD31" s="380">
        <v>0</v>
      </c>
      <c r="BE31" s="380">
        <v>0</v>
      </c>
      <c r="BF31" s="379">
        <v>0</v>
      </c>
      <c r="BG31" s="379">
        <v>0</v>
      </c>
      <c r="BH31" s="379">
        <v>0</v>
      </c>
      <c r="BI31" s="379">
        <v>0</v>
      </c>
      <c r="BJ31" s="380">
        <v>0</v>
      </c>
      <c r="BK31" s="380">
        <v>3.2377385853551002E-2</v>
      </c>
      <c r="BL31" s="380">
        <v>0.107847491217766</v>
      </c>
      <c r="BM31" s="380">
        <v>0</v>
      </c>
      <c r="BN31" s="380">
        <v>0</v>
      </c>
      <c r="BO31" s="379">
        <v>0</v>
      </c>
      <c r="BP31" s="379">
        <v>0</v>
      </c>
      <c r="BQ31" s="379">
        <v>0</v>
      </c>
      <c r="BR31" s="379">
        <v>0</v>
      </c>
      <c r="BS31" s="380">
        <v>0</v>
      </c>
      <c r="BT31" s="380">
        <v>3.2377385853551002E-2</v>
      </c>
      <c r="BU31" s="380">
        <v>0.107847491217766</v>
      </c>
      <c r="BV31" s="380">
        <v>0</v>
      </c>
      <c r="BW31" s="380">
        <v>0</v>
      </c>
      <c r="BZ31" s="77">
        <f t="shared" si="9"/>
        <v>0.14022487707131701</v>
      </c>
    </row>
    <row r="32" spans="2:78" x14ac:dyDescent="0.35">
      <c r="B32" s="383" t="s">
        <v>826</v>
      </c>
      <c r="C32" s="344" t="s">
        <v>801</v>
      </c>
      <c r="D32" s="379">
        <v>0</v>
      </c>
      <c r="E32" s="379">
        <v>0</v>
      </c>
      <c r="F32" s="379">
        <v>0</v>
      </c>
      <c r="G32" s="379">
        <v>0</v>
      </c>
      <c r="H32" s="380">
        <v>0</v>
      </c>
      <c r="I32" s="380">
        <v>2.9869846476024298E-2</v>
      </c>
      <c r="J32" s="380">
        <v>3.6850000000000001E-2</v>
      </c>
      <c r="K32" s="380">
        <v>0</v>
      </c>
      <c r="L32" s="380">
        <v>0</v>
      </c>
      <c r="M32" s="380">
        <v>0</v>
      </c>
      <c r="N32" s="380">
        <v>0</v>
      </c>
      <c r="O32" s="380">
        <v>0</v>
      </c>
      <c r="P32" s="380">
        <v>0</v>
      </c>
      <c r="Q32" s="380">
        <v>0</v>
      </c>
      <c r="R32" s="380">
        <v>3.02200819055174E-2</v>
      </c>
      <c r="S32" s="380">
        <v>3.7282080412170203E-2</v>
      </c>
      <c r="T32" s="380">
        <v>0</v>
      </c>
      <c r="U32" s="380">
        <v>0</v>
      </c>
      <c r="V32" s="380">
        <v>0</v>
      </c>
      <c r="W32" s="380">
        <v>0</v>
      </c>
      <c r="X32" s="380">
        <v>0</v>
      </c>
      <c r="Y32" s="380">
        <v>0</v>
      </c>
      <c r="Z32" s="380">
        <v>0</v>
      </c>
      <c r="AA32" s="380">
        <v>3.02200819055174E-2</v>
      </c>
      <c r="AB32" s="380">
        <v>3.7282080412170203E-2</v>
      </c>
      <c r="AC32" s="380">
        <v>0</v>
      </c>
      <c r="AD32" s="380">
        <v>0</v>
      </c>
      <c r="AE32" s="380">
        <f t="shared" si="0"/>
        <v>0</v>
      </c>
      <c r="AF32" s="380">
        <f t="shared" si="1"/>
        <v>0</v>
      </c>
      <c r="AG32" s="380">
        <f t="shared" si="2"/>
        <v>0</v>
      </c>
      <c r="AH32" s="380">
        <f t="shared" si="3"/>
        <v>0</v>
      </c>
      <c r="AI32" s="380">
        <f t="shared" si="4"/>
        <v>0</v>
      </c>
      <c r="AJ32" s="380">
        <f t="shared" si="5"/>
        <v>3.02200819055174E-2</v>
      </c>
      <c r="AK32" s="380">
        <f t="shared" si="6"/>
        <v>3.7282080412170203E-2</v>
      </c>
      <c r="AL32" s="380">
        <f t="shared" si="7"/>
        <v>0</v>
      </c>
      <c r="AM32" s="380">
        <f t="shared" si="8"/>
        <v>0</v>
      </c>
      <c r="AN32" s="379">
        <v>0</v>
      </c>
      <c r="AO32" s="379">
        <v>0</v>
      </c>
      <c r="AP32" s="379">
        <v>0</v>
      </c>
      <c r="AQ32" s="379">
        <v>0</v>
      </c>
      <c r="AR32" s="380">
        <v>0</v>
      </c>
      <c r="AS32" s="380">
        <v>3.0990385983408499E-2</v>
      </c>
      <c r="AT32" s="380">
        <v>3.8232393474310303E-2</v>
      </c>
      <c r="AU32" s="380">
        <v>0</v>
      </c>
      <c r="AV32" s="380">
        <v>0</v>
      </c>
      <c r="AW32" s="379">
        <v>0</v>
      </c>
      <c r="AX32" s="379">
        <v>0</v>
      </c>
      <c r="AY32" s="379">
        <v>0</v>
      </c>
      <c r="AZ32" s="379">
        <v>0</v>
      </c>
      <c r="BA32" s="380">
        <v>0</v>
      </c>
      <c r="BB32" s="380">
        <v>3.21968558252618E-2</v>
      </c>
      <c r="BC32" s="380">
        <v>3.9720797966378299E-2</v>
      </c>
      <c r="BD32" s="380">
        <v>0</v>
      </c>
      <c r="BE32" s="380">
        <v>0</v>
      </c>
      <c r="BF32" s="379">
        <v>0</v>
      </c>
      <c r="BG32" s="379">
        <v>0</v>
      </c>
      <c r="BH32" s="379">
        <v>0</v>
      </c>
      <c r="BI32" s="379">
        <v>0</v>
      </c>
      <c r="BJ32" s="380">
        <v>0</v>
      </c>
      <c r="BK32" s="380">
        <v>3.22603321723487E-2</v>
      </c>
      <c r="BL32" s="380">
        <v>3.9799107822842697E-2</v>
      </c>
      <c r="BM32" s="380">
        <v>0</v>
      </c>
      <c r="BN32" s="380">
        <v>0</v>
      </c>
      <c r="BO32" s="379">
        <v>0</v>
      </c>
      <c r="BP32" s="379">
        <v>0</v>
      </c>
      <c r="BQ32" s="379">
        <v>0</v>
      </c>
      <c r="BR32" s="379">
        <v>0</v>
      </c>
      <c r="BS32" s="380">
        <v>0</v>
      </c>
      <c r="BT32" s="380">
        <v>3.22603321723487E-2</v>
      </c>
      <c r="BU32" s="380">
        <v>3.9799107822842697E-2</v>
      </c>
      <c r="BV32" s="380">
        <v>0</v>
      </c>
      <c r="BW32" s="380">
        <v>0</v>
      </c>
      <c r="BZ32" s="77">
        <f t="shared" si="9"/>
        <v>7.2059439995191404E-2</v>
      </c>
    </row>
    <row r="33" spans="2:78" x14ac:dyDescent="0.35">
      <c r="B33" s="384" t="s">
        <v>827</v>
      </c>
      <c r="C33" s="344" t="s">
        <v>801</v>
      </c>
      <c r="D33" s="385">
        <v>0</v>
      </c>
      <c r="E33" s="385">
        <v>0</v>
      </c>
      <c r="F33" s="385">
        <v>0</v>
      </c>
      <c r="G33" s="385">
        <v>0</v>
      </c>
      <c r="H33" s="385">
        <v>0</v>
      </c>
      <c r="I33" s="385">
        <v>0</v>
      </c>
      <c r="J33" s="385">
        <v>0</v>
      </c>
      <c r="K33" s="385">
        <v>3.6230000000000002</v>
      </c>
      <c r="L33" s="385">
        <v>0</v>
      </c>
      <c r="M33" s="385">
        <v>0</v>
      </c>
      <c r="N33" s="385">
        <v>0</v>
      </c>
      <c r="O33" s="385">
        <v>0</v>
      </c>
      <c r="P33" s="385">
        <v>0</v>
      </c>
      <c r="Q33" s="385">
        <v>0</v>
      </c>
      <c r="R33" s="385">
        <v>0</v>
      </c>
      <c r="S33" s="385">
        <v>0</v>
      </c>
      <c r="T33" s="385">
        <v>3.6921828790653701</v>
      </c>
      <c r="U33" s="385">
        <v>0</v>
      </c>
      <c r="V33" s="385">
        <v>0</v>
      </c>
      <c r="W33" s="385">
        <v>0</v>
      </c>
      <c r="X33" s="385">
        <v>0</v>
      </c>
      <c r="Y33" s="385">
        <v>0</v>
      </c>
      <c r="Z33" s="385">
        <v>0</v>
      </c>
      <c r="AA33" s="385">
        <v>0</v>
      </c>
      <c r="AB33" s="385">
        <v>0</v>
      </c>
      <c r="AC33" s="385">
        <v>3.6459518340009001</v>
      </c>
      <c r="AD33" s="385">
        <v>0</v>
      </c>
      <c r="AE33" s="385">
        <f t="shared" si="0"/>
        <v>0</v>
      </c>
      <c r="AF33" s="385">
        <f t="shared" si="1"/>
        <v>0</v>
      </c>
      <c r="AG33" s="385">
        <f t="shared" si="2"/>
        <v>0</v>
      </c>
      <c r="AH33" s="385">
        <f t="shared" si="3"/>
        <v>0</v>
      </c>
      <c r="AI33" s="385">
        <f t="shared" si="4"/>
        <v>0</v>
      </c>
      <c r="AJ33" s="385">
        <f t="shared" si="5"/>
        <v>0</v>
      </c>
      <c r="AK33" s="385">
        <f t="shared" si="6"/>
        <v>0</v>
      </c>
      <c r="AL33" s="385">
        <f t="shared" si="7"/>
        <v>3.6690673565331351</v>
      </c>
      <c r="AM33" s="385">
        <f t="shared" si="8"/>
        <v>0</v>
      </c>
      <c r="AN33" s="385">
        <v>0</v>
      </c>
      <c r="AO33" s="385">
        <v>0</v>
      </c>
      <c r="AP33" s="385">
        <v>0</v>
      </c>
      <c r="AQ33" s="385">
        <v>0</v>
      </c>
      <c r="AR33" s="385">
        <v>0</v>
      </c>
      <c r="AS33" s="385">
        <v>0</v>
      </c>
      <c r="AT33" s="385">
        <v>0</v>
      </c>
      <c r="AU33" s="385">
        <v>3.69484934973622</v>
      </c>
      <c r="AV33" s="385">
        <v>0</v>
      </c>
      <c r="AW33" s="385">
        <v>0</v>
      </c>
      <c r="AX33" s="385">
        <v>0</v>
      </c>
      <c r="AY33" s="385">
        <v>0</v>
      </c>
      <c r="AZ33" s="385">
        <v>0</v>
      </c>
      <c r="BA33" s="385">
        <v>0</v>
      </c>
      <c r="BB33" s="385">
        <v>0</v>
      </c>
      <c r="BC33" s="385">
        <v>0</v>
      </c>
      <c r="BD33" s="385">
        <v>3.71471364772915</v>
      </c>
      <c r="BE33" s="385">
        <v>0</v>
      </c>
      <c r="BF33" s="385">
        <v>0</v>
      </c>
      <c r="BG33" s="385">
        <v>0</v>
      </c>
      <c r="BH33" s="385">
        <v>0</v>
      </c>
      <c r="BI33" s="385">
        <v>0</v>
      </c>
      <c r="BJ33" s="385">
        <v>0</v>
      </c>
      <c r="BK33" s="385">
        <v>0</v>
      </c>
      <c r="BL33" s="385">
        <v>0</v>
      </c>
      <c r="BM33" s="385">
        <v>3.7155034999218901</v>
      </c>
      <c r="BN33" s="385">
        <v>0</v>
      </c>
      <c r="BO33" s="385">
        <v>0</v>
      </c>
      <c r="BP33" s="385">
        <v>0</v>
      </c>
      <c r="BQ33" s="385">
        <v>0</v>
      </c>
      <c r="BR33" s="385">
        <v>0</v>
      </c>
      <c r="BS33" s="385">
        <v>0</v>
      </c>
      <c r="BT33" s="385">
        <v>0</v>
      </c>
      <c r="BU33" s="385">
        <v>0</v>
      </c>
      <c r="BV33" s="385">
        <v>3.7155034999218901</v>
      </c>
      <c r="BW33" s="385">
        <v>0</v>
      </c>
      <c r="BY33" s="77">
        <f>SUM(AW33:BE33)</f>
        <v>3.71471364772915</v>
      </c>
      <c r="BZ33" s="77">
        <f t="shared" si="9"/>
        <v>3.7155034999218901</v>
      </c>
    </row>
    <row r="34" spans="2:78" x14ac:dyDescent="0.35">
      <c r="B34" s="386" t="s">
        <v>828</v>
      </c>
      <c r="C34" s="344" t="s">
        <v>801</v>
      </c>
      <c r="D34" s="387">
        <v>0</v>
      </c>
      <c r="E34" s="387">
        <v>0</v>
      </c>
      <c r="F34" s="387">
        <v>0</v>
      </c>
      <c r="G34" s="387">
        <v>0</v>
      </c>
      <c r="H34" s="388">
        <v>0</v>
      </c>
      <c r="I34" s="388">
        <v>0</v>
      </c>
      <c r="J34" s="388">
        <v>0</v>
      </c>
      <c r="K34" s="388">
        <v>0.77600000000000002</v>
      </c>
      <c r="L34" s="388">
        <v>0</v>
      </c>
      <c r="M34" s="388">
        <v>0</v>
      </c>
      <c r="N34" s="388">
        <v>0</v>
      </c>
      <c r="O34" s="388">
        <v>0</v>
      </c>
      <c r="P34" s="388">
        <v>0</v>
      </c>
      <c r="Q34" s="388">
        <v>0</v>
      </c>
      <c r="R34" s="388">
        <v>0</v>
      </c>
      <c r="S34" s="388">
        <v>0</v>
      </c>
      <c r="T34" s="388">
        <v>0.75200732882263099</v>
      </c>
      <c r="U34" s="388">
        <v>0</v>
      </c>
      <c r="V34" s="388">
        <v>0</v>
      </c>
      <c r="W34" s="388">
        <v>0</v>
      </c>
      <c r="X34" s="388">
        <v>0</v>
      </c>
      <c r="Y34" s="388">
        <v>0</v>
      </c>
      <c r="Z34" s="388">
        <v>0</v>
      </c>
      <c r="AA34" s="388">
        <v>0</v>
      </c>
      <c r="AB34" s="388">
        <v>0</v>
      </c>
      <c r="AC34" s="388">
        <v>0.772610269338319</v>
      </c>
      <c r="AD34" s="388">
        <v>0</v>
      </c>
      <c r="AE34" s="388">
        <f t="shared" si="0"/>
        <v>0</v>
      </c>
      <c r="AF34" s="388">
        <f t="shared" si="1"/>
        <v>0</v>
      </c>
      <c r="AG34" s="388">
        <f t="shared" si="2"/>
        <v>0</v>
      </c>
      <c r="AH34" s="388">
        <f t="shared" si="3"/>
        <v>0</v>
      </c>
      <c r="AI34" s="388">
        <f t="shared" si="4"/>
        <v>0</v>
      </c>
      <c r="AJ34" s="388">
        <f t="shared" si="5"/>
        <v>0</v>
      </c>
      <c r="AK34" s="388">
        <f t="shared" si="6"/>
        <v>0</v>
      </c>
      <c r="AL34" s="388">
        <f t="shared" si="7"/>
        <v>0.762308799080475</v>
      </c>
      <c r="AM34" s="388">
        <f t="shared" si="8"/>
        <v>0</v>
      </c>
      <c r="AN34" s="387">
        <v>0</v>
      </c>
      <c r="AO34" s="387">
        <v>0</v>
      </c>
      <c r="AP34" s="387">
        <v>0</v>
      </c>
      <c r="AQ34" s="387">
        <v>0</v>
      </c>
      <c r="AR34" s="388">
        <v>0</v>
      </c>
      <c r="AS34" s="388">
        <v>0</v>
      </c>
      <c r="AT34" s="388">
        <v>0</v>
      </c>
      <c r="AU34" s="388">
        <v>0.76415388598807599</v>
      </c>
      <c r="AV34" s="388">
        <v>0</v>
      </c>
      <c r="AW34" s="387">
        <v>0</v>
      </c>
      <c r="AX34" s="387">
        <v>0</v>
      </c>
      <c r="AY34" s="387">
        <v>0</v>
      </c>
      <c r="AZ34" s="387">
        <v>0</v>
      </c>
      <c r="BA34" s="388">
        <v>0</v>
      </c>
      <c r="BB34" s="388">
        <v>0</v>
      </c>
      <c r="BC34" s="388">
        <v>0</v>
      </c>
      <c r="BD34" s="388">
        <v>0.71373310044140204</v>
      </c>
      <c r="BE34" s="388">
        <v>0</v>
      </c>
      <c r="BF34" s="387">
        <v>0</v>
      </c>
      <c r="BG34" s="387">
        <v>0</v>
      </c>
      <c r="BH34" s="387">
        <v>0</v>
      </c>
      <c r="BI34" s="387">
        <v>0</v>
      </c>
      <c r="BJ34" s="388">
        <v>0</v>
      </c>
      <c r="BK34" s="388">
        <v>0</v>
      </c>
      <c r="BL34" s="388">
        <v>0</v>
      </c>
      <c r="BM34" s="388">
        <v>0.710917250019512</v>
      </c>
      <c r="BN34" s="388">
        <v>0</v>
      </c>
      <c r="BO34" s="387">
        <v>0</v>
      </c>
      <c r="BP34" s="387">
        <v>0</v>
      </c>
      <c r="BQ34" s="387">
        <v>0</v>
      </c>
      <c r="BR34" s="387">
        <v>0</v>
      </c>
      <c r="BS34" s="388">
        <v>0</v>
      </c>
      <c r="BT34" s="388">
        <v>0</v>
      </c>
      <c r="BU34" s="388">
        <v>0</v>
      </c>
      <c r="BV34" s="388">
        <v>0.710917250019512</v>
      </c>
      <c r="BW34" s="388">
        <v>0</v>
      </c>
      <c r="BZ34" s="77">
        <f t="shared" si="9"/>
        <v>0.710917250019512</v>
      </c>
    </row>
    <row r="35" spans="2:78" x14ac:dyDescent="0.35">
      <c r="B35" s="386" t="s">
        <v>829</v>
      </c>
      <c r="C35" s="344" t="s">
        <v>801</v>
      </c>
      <c r="D35" s="387">
        <v>0</v>
      </c>
      <c r="E35" s="387">
        <v>0</v>
      </c>
      <c r="F35" s="387">
        <v>0</v>
      </c>
      <c r="G35" s="387">
        <v>0</v>
      </c>
      <c r="H35" s="388">
        <v>0</v>
      </c>
      <c r="I35" s="388">
        <v>0</v>
      </c>
      <c r="J35" s="388">
        <v>0</v>
      </c>
      <c r="K35" s="388">
        <v>2.4489999999999998</v>
      </c>
      <c r="L35" s="388">
        <v>0</v>
      </c>
      <c r="M35" s="388">
        <v>0</v>
      </c>
      <c r="N35" s="388">
        <v>0</v>
      </c>
      <c r="O35" s="388">
        <v>0</v>
      </c>
      <c r="P35" s="388">
        <v>0</v>
      </c>
      <c r="Q35" s="388">
        <v>0</v>
      </c>
      <c r="R35" s="388">
        <v>0</v>
      </c>
      <c r="S35" s="388">
        <v>0</v>
      </c>
      <c r="T35" s="388">
        <v>2.55435005452241</v>
      </c>
      <c r="U35" s="388">
        <v>0</v>
      </c>
      <c r="V35" s="388">
        <v>0</v>
      </c>
      <c r="W35" s="388">
        <v>0</v>
      </c>
      <c r="X35" s="388">
        <v>0</v>
      </c>
      <c r="Y35" s="388">
        <v>0</v>
      </c>
      <c r="Z35" s="388">
        <v>0</v>
      </c>
      <c r="AA35" s="388">
        <v>0</v>
      </c>
      <c r="AB35" s="388">
        <v>0</v>
      </c>
      <c r="AC35" s="388">
        <v>2.4769455074156701</v>
      </c>
      <c r="AD35" s="388">
        <v>0</v>
      </c>
      <c r="AE35" s="388">
        <f t="shared" si="0"/>
        <v>0</v>
      </c>
      <c r="AF35" s="388">
        <f t="shared" si="1"/>
        <v>0</v>
      </c>
      <c r="AG35" s="388">
        <f t="shared" si="2"/>
        <v>0</v>
      </c>
      <c r="AH35" s="388">
        <f t="shared" si="3"/>
        <v>0</v>
      </c>
      <c r="AI35" s="388">
        <f t="shared" si="4"/>
        <v>0</v>
      </c>
      <c r="AJ35" s="388">
        <f t="shared" si="5"/>
        <v>0</v>
      </c>
      <c r="AK35" s="388">
        <f t="shared" si="6"/>
        <v>0</v>
      </c>
      <c r="AL35" s="388">
        <f t="shared" si="7"/>
        <v>2.5156477809690401</v>
      </c>
      <c r="AM35" s="388">
        <f t="shared" si="8"/>
        <v>0</v>
      </c>
      <c r="AN35" s="387">
        <v>0</v>
      </c>
      <c r="AO35" s="387">
        <v>0</v>
      </c>
      <c r="AP35" s="387">
        <v>0</v>
      </c>
      <c r="AQ35" s="387">
        <v>0</v>
      </c>
      <c r="AR35" s="388">
        <v>0</v>
      </c>
      <c r="AS35" s="388">
        <v>0</v>
      </c>
      <c r="AT35" s="388">
        <v>0</v>
      </c>
      <c r="AU35" s="388">
        <v>2.5383448067301599</v>
      </c>
      <c r="AV35" s="388">
        <v>0</v>
      </c>
      <c r="AW35" s="387">
        <v>0</v>
      </c>
      <c r="AX35" s="387">
        <v>0</v>
      </c>
      <c r="AY35" s="387">
        <v>0</v>
      </c>
      <c r="AZ35" s="387">
        <v>0</v>
      </c>
      <c r="BA35" s="388">
        <v>0</v>
      </c>
      <c r="BB35" s="388">
        <v>0</v>
      </c>
      <c r="BC35" s="388">
        <v>0</v>
      </c>
      <c r="BD35" s="388">
        <v>2.6340440250138899</v>
      </c>
      <c r="BE35" s="388">
        <v>0</v>
      </c>
      <c r="BF35" s="387">
        <v>0</v>
      </c>
      <c r="BG35" s="387">
        <v>0</v>
      </c>
      <c r="BH35" s="387">
        <v>0</v>
      </c>
      <c r="BI35" s="387">
        <v>0</v>
      </c>
      <c r="BJ35" s="388">
        <v>0</v>
      </c>
      <c r="BK35" s="388">
        <v>0</v>
      </c>
      <c r="BL35" s="388">
        <v>0</v>
      </c>
      <c r="BM35" s="388">
        <v>2.6390724877142802</v>
      </c>
      <c r="BN35" s="388">
        <v>0</v>
      </c>
      <c r="BO35" s="387">
        <v>0</v>
      </c>
      <c r="BP35" s="387">
        <v>0</v>
      </c>
      <c r="BQ35" s="387">
        <v>0</v>
      </c>
      <c r="BR35" s="387">
        <v>0</v>
      </c>
      <c r="BS35" s="388">
        <v>0</v>
      </c>
      <c r="BT35" s="388">
        <v>0</v>
      </c>
      <c r="BU35" s="388">
        <v>0</v>
      </c>
      <c r="BV35" s="388">
        <v>2.6390724877142802</v>
      </c>
      <c r="BW35" s="388">
        <v>0</v>
      </c>
      <c r="BZ35" s="77">
        <f t="shared" si="9"/>
        <v>2.6390724877142802</v>
      </c>
    </row>
    <row r="36" spans="2:78" x14ac:dyDescent="0.35">
      <c r="B36" s="386" t="s">
        <v>830</v>
      </c>
      <c r="C36" s="344" t="s">
        <v>801</v>
      </c>
      <c r="D36" s="387">
        <v>0</v>
      </c>
      <c r="E36" s="387">
        <v>0</v>
      </c>
      <c r="F36" s="387">
        <v>0</v>
      </c>
      <c r="G36" s="387">
        <v>0</v>
      </c>
      <c r="H36" s="388">
        <v>0</v>
      </c>
      <c r="I36" s="388">
        <v>0</v>
      </c>
      <c r="J36" s="388">
        <v>0</v>
      </c>
      <c r="K36" s="388">
        <v>0.39800000000000002</v>
      </c>
      <c r="L36" s="388">
        <v>0</v>
      </c>
      <c r="M36" s="388">
        <v>0</v>
      </c>
      <c r="N36" s="388">
        <v>0</v>
      </c>
      <c r="O36" s="388">
        <v>0</v>
      </c>
      <c r="P36" s="388">
        <v>0</v>
      </c>
      <c r="Q36" s="388">
        <v>0</v>
      </c>
      <c r="R36" s="388">
        <v>0</v>
      </c>
      <c r="S36" s="388">
        <v>0</v>
      </c>
      <c r="T36" s="388">
        <v>0.38582549572032299</v>
      </c>
      <c r="U36" s="388">
        <v>0</v>
      </c>
      <c r="V36" s="388">
        <v>0</v>
      </c>
      <c r="W36" s="388">
        <v>0</v>
      </c>
      <c r="X36" s="388">
        <v>0</v>
      </c>
      <c r="Y36" s="388">
        <v>0</v>
      </c>
      <c r="Z36" s="388">
        <v>0</v>
      </c>
      <c r="AA36" s="388">
        <v>0</v>
      </c>
      <c r="AB36" s="388">
        <v>0</v>
      </c>
      <c r="AC36" s="388">
        <v>0.39639605724690802</v>
      </c>
      <c r="AD36" s="388">
        <v>0</v>
      </c>
      <c r="AE36" s="388">
        <f t="shared" si="0"/>
        <v>0</v>
      </c>
      <c r="AF36" s="388">
        <f t="shared" si="1"/>
        <v>0</v>
      </c>
      <c r="AG36" s="388">
        <f t="shared" si="2"/>
        <v>0</v>
      </c>
      <c r="AH36" s="388">
        <f t="shared" si="3"/>
        <v>0</v>
      </c>
      <c r="AI36" s="388">
        <f t="shared" si="4"/>
        <v>0</v>
      </c>
      <c r="AJ36" s="388">
        <f t="shared" si="5"/>
        <v>0</v>
      </c>
      <c r="AK36" s="388">
        <f t="shared" si="6"/>
        <v>0</v>
      </c>
      <c r="AL36" s="388">
        <f t="shared" si="7"/>
        <v>0.39111077648361547</v>
      </c>
      <c r="AM36" s="388">
        <f t="shared" si="8"/>
        <v>0</v>
      </c>
      <c r="AN36" s="387">
        <v>0</v>
      </c>
      <c r="AO36" s="387">
        <v>0</v>
      </c>
      <c r="AP36" s="387">
        <v>0</v>
      </c>
      <c r="AQ36" s="387">
        <v>0</v>
      </c>
      <c r="AR36" s="388">
        <v>0</v>
      </c>
      <c r="AS36" s="388">
        <v>0</v>
      </c>
      <c r="AT36" s="388">
        <v>0</v>
      </c>
      <c r="AU36" s="388">
        <v>0.39235065701798899</v>
      </c>
      <c r="AV36" s="388">
        <v>0</v>
      </c>
      <c r="AW36" s="387">
        <v>0</v>
      </c>
      <c r="AX36" s="387">
        <v>0</v>
      </c>
      <c r="AY36" s="387">
        <v>0</v>
      </c>
      <c r="AZ36" s="387">
        <v>0</v>
      </c>
      <c r="BA36" s="388">
        <v>0</v>
      </c>
      <c r="BB36" s="388">
        <v>0</v>
      </c>
      <c r="BC36" s="388">
        <v>0</v>
      </c>
      <c r="BD36" s="388">
        <v>0.36693652227385398</v>
      </c>
      <c r="BE36" s="388">
        <v>0</v>
      </c>
      <c r="BF36" s="387">
        <v>0</v>
      </c>
      <c r="BG36" s="387">
        <v>0</v>
      </c>
      <c r="BH36" s="387">
        <v>0</v>
      </c>
      <c r="BI36" s="387">
        <v>0</v>
      </c>
      <c r="BJ36" s="388">
        <v>0</v>
      </c>
      <c r="BK36" s="388">
        <v>0</v>
      </c>
      <c r="BL36" s="388">
        <v>0</v>
      </c>
      <c r="BM36" s="388">
        <v>0.365513762188095</v>
      </c>
      <c r="BN36" s="388">
        <v>0</v>
      </c>
      <c r="BO36" s="387">
        <v>0</v>
      </c>
      <c r="BP36" s="387">
        <v>0</v>
      </c>
      <c r="BQ36" s="387">
        <v>0</v>
      </c>
      <c r="BR36" s="387">
        <v>0</v>
      </c>
      <c r="BS36" s="388">
        <v>0</v>
      </c>
      <c r="BT36" s="388">
        <v>0</v>
      </c>
      <c r="BU36" s="388">
        <v>0</v>
      </c>
      <c r="BV36" s="388">
        <v>0.365513762188095</v>
      </c>
      <c r="BW36" s="388">
        <v>0</v>
      </c>
      <c r="BZ36" s="77">
        <f t="shared" si="9"/>
        <v>0.365513762188095</v>
      </c>
    </row>
    <row r="37" spans="2:78" x14ac:dyDescent="0.35">
      <c r="B37" s="384" t="s">
        <v>831</v>
      </c>
      <c r="C37" s="344" t="s">
        <v>801</v>
      </c>
      <c r="D37" s="385">
        <v>0</v>
      </c>
      <c r="E37" s="385">
        <v>0</v>
      </c>
      <c r="F37" s="385">
        <v>0</v>
      </c>
      <c r="G37" s="385">
        <v>0</v>
      </c>
      <c r="H37" s="385">
        <v>0</v>
      </c>
      <c r="I37" s="385">
        <v>0</v>
      </c>
      <c r="J37" s="385">
        <v>0</v>
      </c>
      <c r="K37" s="385">
        <v>0</v>
      </c>
      <c r="L37" s="385">
        <v>1.9139999999999999</v>
      </c>
      <c r="M37" s="385">
        <v>0</v>
      </c>
      <c r="N37" s="385">
        <v>0</v>
      </c>
      <c r="O37" s="385">
        <v>0</v>
      </c>
      <c r="P37" s="385">
        <v>0</v>
      </c>
      <c r="Q37" s="385">
        <v>0</v>
      </c>
      <c r="R37" s="385">
        <v>0</v>
      </c>
      <c r="S37" s="385">
        <v>0</v>
      </c>
      <c r="T37" s="385">
        <v>0</v>
      </c>
      <c r="U37" s="385">
        <v>1.9366091249999999</v>
      </c>
      <c r="V37" s="385">
        <v>0</v>
      </c>
      <c r="W37" s="385">
        <v>0</v>
      </c>
      <c r="X37" s="385">
        <v>0</v>
      </c>
      <c r="Y37" s="385">
        <v>0</v>
      </c>
      <c r="Z37" s="385">
        <v>0</v>
      </c>
      <c r="AA37" s="385">
        <v>0</v>
      </c>
      <c r="AB37" s="385">
        <v>0</v>
      </c>
      <c r="AC37" s="385">
        <v>0</v>
      </c>
      <c r="AD37" s="385">
        <v>1.8896547011718801</v>
      </c>
      <c r="AE37" s="385">
        <f t="shared" si="0"/>
        <v>0</v>
      </c>
      <c r="AF37" s="385">
        <f t="shared" si="1"/>
        <v>0</v>
      </c>
      <c r="AG37" s="385">
        <f t="shared" si="2"/>
        <v>0</v>
      </c>
      <c r="AH37" s="385">
        <f t="shared" si="3"/>
        <v>0</v>
      </c>
      <c r="AI37" s="385">
        <f t="shared" si="4"/>
        <v>0</v>
      </c>
      <c r="AJ37" s="385">
        <f t="shared" si="5"/>
        <v>0</v>
      </c>
      <c r="AK37" s="385">
        <f t="shared" si="6"/>
        <v>0</v>
      </c>
      <c r="AL37" s="385">
        <f t="shared" si="7"/>
        <v>0</v>
      </c>
      <c r="AM37" s="385">
        <f t="shared" si="8"/>
        <v>1.9131319130859401</v>
      </c>
      <c r="AN37" s="385">
        <v>0</v>
      </c>
      <c r="AO37" s="385">
        <v>0</v>
      </c>
      <c r="AP37" s="385">
        <v>0</v>
      </c>
      <c r="AQ37" s="385">
        <v>0</v>
      </c>
      <c r="AR37" s="385">
        <v>0</v>
      </c>
      <c r="AS37" s="385">
        <v>0</v>
      </c>
      <c r="AT37" s="385">
        <v>0</v>
      </c>
      <c r="AU37" s="385">
        <v>0</v>
      </c>
      <c r="AV37" s="385">
        <v>1.8322358999999999</v>
      </c>
      <c r="AW37" s="385">
        <v>0</v>
      </c>
      <c r="AX37" s="385">
        <v>0</v>
      </c>
      <c r="AY37" s="385">
        <v>0</v>
      </c>
      <c r="AZ37" s="385">
        <v>0</v>
      </c>
      <c r="BA37" s="385">
        <v>0</v>
      </c>
      <c r="BB37" s="385">
        <v>0</v>
      </c>
      <c r="BC37" s="385">
        <v>0</v>
      </c>
      <c r="BD37" s="385">
        <v>0</v>
      </c>
      <c r="BE37" s="385">
        <v>1.4477174126250001</v>
      </c>
      <c r="BF37" s="385">
        <v>0</v>
      </c>
      <c r="BG37" s="385">
        <v>0</v>
      </c>
      <c r="BH37" s="385">
        <v>0</v>
      </c>
      <c r="BI37" s="385">
        <v>0</v>
      </c>
      <c r="BJ37" s="385">
        <v>0</v>
      </c>
      <c r="BK37" s="385">
        <v>0</v>
      </c>
      <c r="BL37" s="385">
        <v>0</v>
      </c>
      <c r="BM37" s="385">
        <v>0</v>
      </c>
      <c r="BN37" s="385">
        <v>1.4265239999999999</v>
      </c>
      <c r="BO37" s="385">
        <v>0</v>
      </c>
      <c r="BP37" s="385">
        <v>0</v>
      </c>
      <c r="BQ37" s="385">
        <v>0</v>
      </c>
      <c r="BR37" s="385">
        <v>0</v>
      </c>
      <c r="BS37" s="385">
        <v>0</v>
      </c>
      <c r="BT37" s="385">
        <v>0</v>
      </c>
      <c r="BU37" s="385">
        <v>0</v>
      </c>
      <c r="BV37" s="385">
        <v>0</v>
      </c>
      <c r="BW37" s="385">
        <v>1.4265239999999999</v>
      </c>
      <c r="BY37" s="77">
        <f>SUM(AW37:BE37)</f>
        <v>1.4477174126250001</v>
      </c>
      <c r="BZ37" s="77">
        <f t="shared" si="9"/>
        <v>1.4265239999999999</v>
      </c>
    </row>
    <row r="38" spans="2:78" x14ac:dyDescent="0.35">
      <c r="B38" s="386" t="s">
        <v>832</v>
      </c>
      <c r="C38" s="344" t="s">
        <v>801</v>
      </c>
      <c r="D38" s="387">
        <v>0</v>
      </c>
      <c r="E38" s="387">
        <v>0</v>
      </c>
      <c r="F38" s="387">
        <v>0</v>
      </c>
      <c r="G38" s="387">
        <v>0</v>
      </c>
      <c r="H38" s="388">
        <v>0</v>
      </c>
      <c r="I38" s="388">
        <v>0</v>
      </c>
      <c r="J38" s="388">
        <v>0</v>
      </c>
      <c r="K38" s="388">
        <v>0</v>
      </c>
      <c r="L38" s="388">
        <v>1.9139999999999999</v>
      </c>
      <c r="M38" s="388">
        <v>0</v>
      </c>
      <c r="N38" s="388">
        <v>0</v>
      </c>
      <c r="O38" s="388">
        <v>0</v>
      </c>
      <c r="P38" s="388">
        <v>0</v>
      </c>
      <c r="Q38" s="388">
        <v>0</v>
      </c>
      <c r="R38" s="388">
        <v>0</v>
      </c>
      <c r="S38" s="388">
        <v>0</v>
      </c>
      <c r="T38" s="388">
        <v>0</v>
      </c>
      <c r="U38" s="388">
        <v>1.9366091249999999</v>
      </c>
      <c r="V38" s="388">
        <v>0</v>
      </c>
      <c r="W38" s="388">
        <v>0</v>
      </c>
      <c r="X38" s="388">
        <v>0</v>
      </c>
      <c r="Y38" s="388">
        <v>0</v>
      </c>
      <c r="Z38" s="388">
        <v>0</v>
      </c>
      <c r="AA38" s="388">
        <v>0</v>
      </c>
      <c r="AB38" s="388">
        <v>0</v>
      </c>
      <c r="AC38" s="388">
        <v>0</v>
      </c>
      <c r="AD38" s="388">
        <v>1.8896547011718801</v>
      </c>
      <c r="AE38" s="388">
        <f t="shared" si="0"/>
        <v>0</v>
      </c>
      <c r="AF38" s="388">
        <f t="shared" si="1"/>
        <v>0</v>
      </c>
      <c r="AG38" s="388">
        <f t="shared" si="2"/>
        <v>0</v>
      </c>
      <c r="AH38" s="388">
        <f t="shared" si="3"/>
        <v>0</v>
      </c>
      <c r="AI38" s="388">
        <f t="shared" si="4"/>
        <v>0</v>
      </c>
      <c r="AJ38" s="388">
        <f t="shared" si="5"/>
        <v>0</v>
      </c>
      <c r="AK38" s="388">
        <f t="shared" si="6"/>
        <v>0</v>
      </c>
      <c r="AL38" s="388">
        <f t="shared" si="7"/>
        <v>0</v>
      </c>
      <c r="AM38" s="388">
        <f t="shared" si="8"/>
        <v>1.9131319130859401</v>
      </c>
      <c r="AN38" s="387">
        <v>0</v>
      </c>
      <c r="AO38" s="387">
        <v>0</v>
      </c>
      <c r="AP38" s="387">
        <v>0</v>
      </c>
      <c r="AQ38" s="387">
        <v>0</v>
      </c>
      <c r="AR38" s="388">
        <v>0</v>
      </c>
      <c r="AS38" s="388">
        <v>0</v>
      </c>
      <c r="AT38" s="388">
        <v>0</v>
      </c>
      <c r="AU38" s="388">
        <v>0</v>
      </c>
      <c r="AV38" s="388">
        <v>1.8322358999999999</v>
      </c>
      <c r="AW38" s="387">
        <v>0</v>
      </c>
      <c r="AX38" s="387">
        <v>0</v>
      </c>
      <c r="AY38" s="387">
        <v>0</v>
      </c>
      <c r="AZ38" s="387">
        <v>0</v>
      </c>
      <c r="BA38" s="388">
        <v>0</v>
      </c>
      <c r="BB38" s="388">
        <v>0</v>
      </c>
      <c r="BC38" s="388">
        <v>0</v>
      </c>
      <c r="BD38" s="388">
        <v>0</v>
      </c>
      <c r="BE38" s="388">
        <v>1.4477174126250001</v>
      </c>
      <c r="BF38" s="387">
        <v>0</v>
      </c>
      <c r="BG38" s="387">
        <v>0</v>
      </c>
      <c r="BH38" s="387">
        <v>0</v>
      </c>
      <c r="BI38" s="387">
        <v>0</v>
      </c>
      <c r="BJ38" s="388">
        <v>0</v>
      </c>
      <c r="BK38" s="388">
        <v>0</v>
      </c>
      <c r="BL38" s="388">
        <v>0</v>
      </c>
      <c r="BM38" s="388">
        <v>0</v>
      </c>
      <c r="BN38" s="388">
        <v>1.4265239999999999</v>
      </c>
      <c r="BO38" s="387">
        <v>0</v>
      </c>
      <c r="BP38" s="387">
        <v>0</v>
      </c>
      <c r="BQ38" s="387">
        <v>0</v>
      </c>
      <c r="BR38" s="387">
        <v>0</v>
      </c>
      <c r="BS38" s="388">
        <v>0</v>
      </c>
      <c r="BT38" s="388">
        <v>0</v>
      </c>
      <c r="BU38" s="388">
        <v>0</v>
      </c>
      <c r="BV38" s="388">
        <v>0</v>
      </c>
      <c r="BW38" s="388">
        <v>1.4265239999999999</v>
      </c>
      <c r="BZ38" s="77">
        <f t="shared" si="9"/>
        <v>1.4265239999999999</v>
      </c>
    </row>
    <row r="39" spans="2:78" x14ac:dyDescent="0.35">
      <c r="B39" s="389" t="s">
        <v>833</v>
      </c>
      <c r="C39" s="344" t="s">
        <v>801</v>
      </c>
      <c r="D39" s="390">
        <v>0</v>
      </c>
      <c r="E39" s="390">
        <v>0</v>
      </c>
      <c r="F39" s="390">
        <v>0</v>
      </c>
      <c r="G39" s="390">
        <v>0</v>
      </c>
      <c r="H39" s="390">
        <v>6.7536176344524607E-2</v>
      </c>
      <c r="I39" s="390">
        <v>0.148793856446338</v>
      </c>
      <c r="J39" s="390">
        <v>0.369198282681999</v>
      </c>
      <c r="K39" s="390">
        <v>1.073</v>
      </c>
      <c r="L39" s="390">
        <v>1.8457692307692299</v>
      </c>
      <c r="M39" s="390">
        <v>0</v>
      </c>
      <c r="N39" s="390">
        <v>0</v>
      </c>
      <c r="O39" s="390">
        <v>0</v>
      </c>
      <c r="P39" s="390">
        <v>0</v>
      </c>
      <c r="Q39" s="390">
        <v>6.4915413810266998E-2</v>
      </c>
      <c r="R39" s="390">
        <v>0.14785185090393299</v>
      </c>
      <c r="S39" s="390">
        <v>0.38927923905289402</v>
      </c>
      <c r="T39" s="390">
        <v>1.13594553057574</v>
      </c>
      <c r="U39" s="390">
        <v>1.8614164798424</v>
      </c>
      <c r="V39" s="390">
        <v>0</v>
      </c>
      <c r="W39" s="390">
        <v>0</v>
      </c>
      <c r="X39" s="390">
        <v>0</v>
      </c>
      <c r="Y39" s="390">
        <v>0</v>
      </c>
      <c r="Z39" s="390">
        <v>6.1163422227653703E-2</v>
      </c>
      <c r="AA39" s="390">
        <v>0.14710218818950099</v>
      </c>
      <c r="AB39" s="390">
        <v>0.37063447231998098</v>
      </c>
      <c r="AC39" s="390">
        <v>1.1530759340485099</v>
      </c>
      <c r="AD39" s="390">
        <v>1.8553641059065999</v>
      </c>
      <c r="AE39" s="390">
        <f t="shared" si="0"/>
        <v>0</v>
      </c>
      <c r="AF39" s="390">
        <f t="shared" si="1"/>
        <v>0</v>
      </c>
      <c r="AG39" s="390">
        <f t="shared" si="2"/>
        <v>0</v>
      </c>
      <c r="AH39" s="390">
        <f t="shared" si="3"/>
        <v>0</v>
      </c>
      <c r="AI39" s="390">
        <f t="shared" si="4"/>
        <v>6.3039418018960347E-2</v>
      </c>
      <c r="AJ39" s="390">
        <f t="shared" si="5"/>
        <v>0.14747701954671699</v>
      </c>
      <c r="AK39" s="390">
        <f t="shared" si="6"/>
        <v>0.3799568556864375</v>
      </c>
      <c r="AL39" s="390">
        <f t="shared" si="7"/>
        <v>1.1445107323121251</v>
      </c>
      <c r="AM39" s="390">
        <f t="shared" si="8"/>
        <v>1.8583902928745</v>
      </c>
      <c r="AN39" s="390">
        <v>0</v>
      </c>
      <c r="AO39" s="390">
        <v>0</v>
      </c>
      <c r="AP39" s="390">
        <v>0</v>
      </c>
      <c r="AQ39" s="390">
        <v>0</v>
      </c>
      <c r="AR39" s="390">
        <v>4.6525382166448602E-2</v>
      </c>
      <c r="AS39" s="390">
        <v>0.13892120540974301</v>
      </c>
      <c r="AT39" s="390">
        <v>0.29056462425457202</v>
      </c>
      <c r="AU39" s="390">
        <v>1.33651885995053</v>
      </c>
      <c r="AV39" s="390">
        <v>1.8758402492120101</v>
      </c>
      <c r="AW39" s="390">
        <v>0</v>
      </c>
      <c r="AX39" s="390">
        <v>0</v>
      </c>
      <c r="AY39" s="390">
        <v>0</v>
      </c>
      <c r="AZ39" s="390">
        <v>0</v>
      </c>
      <c r="BA39" s="390">
        <v>2.5848950178605199E-2</v>
      </c>
      <c r="BB39" s="390">
        <v>0.12996933277491601</v>
      </c>
      <c r="BC39" s="390">
        <v>0.206484189140314</v>
      </c>
      <c r="BD39" s="390">
        <v>1.7278099200941599</v>
      </c>
      <c r="BE39" s="390">
        <v>1.8652050944051799</v>
      </c>
      <c r="BF39" s="390">
        <v>0</v>
      </c>
      <c r="BG39" s="390">
        <v>0</v>
      </c>
      <c r="BH39" s="390">
        <v>0</v>
      </c>
      <c r="BI39" s="390">
        <v>0</v>
      </c>
      <c r="BJ39" s="390">
        <v>2.47257469759798E-2</v>
      </c>
      <c r="BK39" s="390">
        <v>0.135859885618617</v>
      </c>
      <c r="BL39" s="390">
        <v>0.206917910150133</v>
      </c>
      <c r="BM39" s="390">
        <v>1.4803111415243899</v>
      </c>
      <c r="BN39" s="390">
        <v>1.86449934769893</v>
      </c>
      <c r="BO39" s="390">
        <v>0</v>
      </c>
      <c r="BP39" s="390">
        <v>0</v>
      </c>
      <c r="BQ39" s="390">
        <v>0</v>
      </c>
      <c r="BR39" s="390">
        <v>0</v>
      </c>
      <c r="BS39" s="390">
        <v>2.47257469759798E-2</v>
      </c>
      <c r="BT39" s="390">
        <v>0.135859885618617</v>
      </c>
      <c r="BU39" s="390">
        <v>0.206917910150133</v>
      </c>
      <c r="BV39" s="391">
        <v>1.75</v>
      </c>
      <c r="BW39" s="390">
        <v>1.86449934769893</v>
      </c>
      <c r="BY39" s="77">
        <f>SUM(AW39:BE39)</f>
        <v>3.9553174865931746</v>
      </c>
      <c r="BZ39" s="77">
        <f t="shared" si="9"/>
        <v>3.9820028904436597</v>
      </c>
    </row>
    <row r="40" spans="2:78" x14ac:dyDescent="0.35">
      <c r="B40" s="392" t="s">
        <v>125</v>
      </c>
      <c r="C40" s="344" t="s">
        <v>801</v>
      </c>
      <c r="D40" s="393">
        <v>0</v>
      </c>
      <c r="E40" s="393">
        <v>0</v>
      </c>
      <c r="F40" s="393">
        <v>0</v>
      </c>
      <c r="G40" s="393">
        <v>0</v>
      </c>
      <c r="H40" s="394">
        <v>0</v>
      </c>
      <c r="I40" s="394">
        <v>0</v>
      </c>
      <c r="J40" s="394">
        <v>0</v>
      </c>
      <c r="K40" s="394">
        <v>0</v>
      </c>
      <c r="L40" s="394">
        <v>0</v>
      </c>
      <c r="M40" s="394">
        <v>0</v>
      </c>
      <c r="N40" s="394">
        <v>0</v>
      </c>
      <c r="O40" s="394">
        <v>0</v>
      </c>
      <c r="P40" s="394">
        <v>0</v>
      </c>
      <c r="Q40" s="394">
        <v>0</v>
      </c>
      <c r="R40" s="394">
        <v>0</v>
      </c>
      <c r="S40" s="394">
        <v>0</v>
      </c>
      <c r="T40" s="394">
        <v>0</v>
      </c>
      <c r="U40" s="394">
        <v>0</v>
      </c>
      <c r="V40" s="394">
        <v>0</v>
      </c>
      <c r="W40" s="394">
        <v>0</v>
      </c>
      <c r="X40" s="394">
        <v>0</v>
      </c>
      <c r="Y40" s="394">
        <v>0</v>
      </c>
      <c r="Z40" s="394">
        <v>0</v>
      </c>
      <c r="AA40" s="394">
        <v>0</v>
      </c>
      <c r="AB40" s="394">
        <v>0</v>
      </c>
      <c r="AC40" s="394">
        <v>0</v>
      </c>
      <c r="AD40" s="394">
        <v>0</v>
      </c>
      <c r="AE40" s="394">
        <f t="shared" si="0"/>
        <v>0</v>
      </c>
      <c r="AF40" s="394">
        <f t="shared" si="1"/>
        <v>0</v>
      </c>
      <c r="AG40" s="394">
        <f t="shared" si="2"/>
        <v>0</v>
      </c>
      <c r="AH40" s="394">
        <f t="shared" si="3"/>
        <v>0</v>
      </c>
      <c r="AI40" s="394">
        <f t="shared" si="4"/>
        <v>0</v>
      </c>
      <c r="AJ40" s="394">
        <f t="shared" si="5"/>
        <v>0</v>
      </c>
      <c r="AK40" s="394">
        <f t="shared" si="6"/>
        <v>0</v>
      </c>
      <c r="AL40" s="394">
        <f t="shared" si="7"/>
        <v>0</v>
      </c>
      <c r="AM40" s="394">
        <f t="shared" si="8"/>
        <v>0</v>
      </c>
      <c r="AN40" s="393">
        <v>0</v>
      </c>
      <c r="AO40" s="393">
        <v>0</v>
      </c>
      <c r="AP40" s="393">
        <v>0</v>
      </c>
      <c r="AQ40" s="393">
        <v>0</v>
      </c>
      <c r="AR40" s="394">
        <v>0</v>
      </c>
      <c r="AS40" s="394">
        <v>0</v>
      </c>
      <c r="AT40" s="394">
        <v>0</v>
      </c>
      <c r="AU40" s="394">
        <v>0</v>
      </c>
      <c r="AV40" s="394">
        <v>0</v>
      </c>
      <c r="AW40" s="393">
        <v>0</v>
      </c>
      <c r="AX40" s="393">
        <v>0</v>
      </c>
      <c r="AY40" s="393">
        <v>0</v>
      </c>
      <c r="AZ40" s="393">
        <v>0</v>
      </c>
      <c r="BA40" s="394">
        <v>0</v>
      </c>
      <c r="BB40" s="394">
        <v>0</v>
      </c>
      <c r="BC40" s="394">
        <v>0</v>
      </c>
      <c r="BD40" s="394">
        <v>0</v>
      </c>
      <c r="BE40" s="394">
        <v>0</v>
      </c>
      <c r="BF40" s="393">
        <v>0</v>
      </c>
      <c r="BG40" s="393">
        <v>0</v>
      </c>
      <c r="BH40" s="393">
        <v>0</v>
      </c>
      <c r="BI40" s="393">
        <v>0</v>
      </c>
      <c r="BJ40" s="394">
        <v>0</v>
      </c>
      <c r="BK40" s="394">
        <v>0</v>
      </c>
      <c r="BL40" s="394">
        <v>0</v>
      </c>
      <c r="BM40" s="394">
        <v>0</v>
      </c>
      <c r="BN40" s="394">
        <v>0</v>
      </c>
      <c r="BO40" s="393">
        <v>0</v>
      </c>
      <c r="BP40" s="393">
        <v>0</v>
      </c>
      <c r="BQ40" s="393">
        <v>0</v>
      </c>
      <c r="BR40" s="393">
        <v>0</v>
      </c>
      <c r="BS40" s="394">
        <v>0</v>
      </c>
      <c r="BT40" s="394">
        <v>0</v>
      </c>
      <c r="BU40" s="394">
        <v>0</v>
      </c>
      <c r="BV40" s="394">
        <v>0</v>
      </c>
      <c r="BW40" s="394">
        <v>0</v>
      </c>
      <c r="BZ40" s="77">
        <f t="shared" si="9"/>
        <v>0</v>
      </c>
    </row>
    <row r="41" spans="2:78" x14ac:dyDescent="0.35">
      <c r="B41" s="392" t="s">
        <v>51</v>
      </c>
      <c r="C41" s="344" t="s">
        <v>801</v>
      </c>
      <c r="D41" s="393">
        <v>0</v>
      </c>
      <c r="E41" s="393">
        <v>0</v>
      </c>
      <c r="F41" s="393">
        <v>0</v>
      </c>
      <c r="G41" s="393">
        <v>0</v>
      </c>
      <c r="H41" s="394">
        <v>0</v>
      </c>
      <c r="I41" s="394">
        <v>0</v>
      </c>
      <c r="J41" s="394">
        <v>3.6850000000000001E-2</v>
      </c>
      <c r="K41" s="394">
        <v>0</v>
      </c>
      <c r="L41" s="394">
        <v>0</v>
      </c>
      <c r="M41" s="394">
        <v>0</v>
      </c>
      <c r="N41" s="394">
        <v>0</v>
      </c>
      <c r="O41" s="394">
        <v>0</v>
      </c>
      <c r="P41" s="394">
        <v>0</v>
      </c>
      <c r="Q41" s="394">
        <v>0</v>
      </c>
      <c r="R41" s="394">
        <v>0</v>
      </c>
      <c r="S41" s="394">
        <v>3.78327191399285E-2</v>
      </c>
      <c r="T41" s="394">
        <v>0</v>
      </c>
      <c r="U41" s="394">
        <v>0</v>
      </c>
      <c r="V41" s="394">
        <v>0</v>
      </c>
      <c r="W41" s="394">
        <v>0</v>
      </c>
      <c r="X41" s="394">
        <v>0</v>
      </c>
      <c r="Y41" s="394">
        <v>0</v>
      </c>
      <c r="Z41" s="394">
        <v>0</v>
      </c>
      <c r="AA41" s="394">
        <v>0</v>
      </c>
      <c r="AB41" s="394">
        <v>3.5096301192426002E-2</v>
      </c>
      <c r="AC41" s="394">
        <v>0</v>
      </c>
      <c r="AD41" s="394">
        <v>0</v>
      </c>
      <c r="AE41" s="394">
        <f t="shared" si="0"/>
        <v>0</v>
      </c>
      <c r="AF41" s="394">
        <f t="shared" si="1"/>
        <v>0</v>
      </c>
      <c r="AG41" s="394">
        <f t="shared" si="2"/>
        <v>0</v>
      </c>
      <c r="AH41" s="394">
        <f t="shared" si="3"/>
        <v>0</v>
      </c>
      <c r="AI41" s="394">
        <f t="shared" si="4"/>
        <v>0</v>
      </c>
      <c r="AJ41" s="394">
        <f t="shared" si="5"/>
        <v>0</v>
      </c>
      <c r="AK41" s="394">
        <f t="shared" si="6"/>
        <v>3.6464510166177251E-2</v>
      </c>
      <c r="AL41" s="394">
        <f t="shared" si="7"/>
        <v>0</v>
      </c>
      <c r="AM41" s="394">
        <f t="shared" si="8"/>
        <v>0</v>
      </c>
      <c r="AN41" s="393">
        <v>0</v>
      </c>
      <c r="AO41" s="393">
        <v>0</v>
      </c>
      <c r="AP41" s="393">
        <v>0</v>
      </c>
      <c r="AQ41" s="393">
        <v>0</v>
      </c>
      <c r="AR41" s="394">
        <v>0</v>
      </c>
      <c r="AS41" s="394">
        <v>0</v>
      </c>
      <c r="AT41" s="394">
        <v>3.08729807384477E-2</v>
      </c>
      <c r="AU41" s="394">
        <v>0</v>
      </c>
      <c r="AV41" s="394">
        <v>0</v>
      </c>
      <c r="AW41" s="393">
        <v>0</v>
      </c>
      <c r="AX41" s="393">
        <v>0</v>
      </c>
      <c r="AY41" s="393">
        <v>0</v>
      </c>
      <c r="AZ41" s="393">
        <v>0</v>
      </c>
      <c r="BA41" s="394">
        <v>0</v>
      </c>
      <c r="BB41" s="394">
        <v>0</v>
      </c>
      <c r="BC41" s="394">
        <v>1.7904079489719501E-2</v>
      </c>
      <c r="BD41" s="394">
        <v>0</v>
      </c>
      <c r="BE41" s="394">
        <v>0</v>
      </c>
      <c r="BF41" s="393">
        <v>0</v>
      </c>
      <c r="BG41" s="393">
        <v>0</v>
      </c>
      <c r="BH41" s="393">
        <v>0</v>
      </c>
      <c r="BI41" s="393">
        <v>0</v>
      </c>
      <c r="BJ41" s="394">
        <v>0</v>
      </c>
      <c r="BK41" s="394">
        <v>0</v>
      </c>
      <c r="BL41" s="394">
        <v>1.6405159696612399E-2</v>
      </c>
      <c r="BM41" s="394">
        <v>0</v>
      </c>
      <c r="BN41" s="394">
        <v>0</v>
      </c>
      <c r="BO41" s="393">
        <v>0</v>
      </c>
      <c r="BP41" s="393">
        <v>0</v>
      </c>
      <c r="BQ41" s="393">
        <v>0</v>
      </c>
      <c r="BR41" s="393">
        <v>0</v>
      </c>
      <c r="BS41" s="394">
        <v>0</v>
      </c>
      <c r="BT41" s="394">
        <v>0</v>
      </c>
      <c r="BU41" s="394">
        <v>1.6405159696612399E-2</v>
      </c>
      <c r="BV41" s="394">
        <v>0</v>
      </c>
      <c r="BW41" s="394">
        <v>0</v>
      </c>
      <c r="BZ41" s="77">
        <f t="shared" si="9"/>
        <v>1.6405159696612399E-2</v>
      </c>
    </row>
    <row r="42" spans="2:78" x14ac:dyDescent="0.35">
      <c r="B42" s="395" t="s">
        <v>723</v>
      </c>
      <c r="C42" s="344" t="s">
        <v>801</v>
      </c>
      <c r="D42" s="393">
        <v>0</v>
      </c>
      <c r="E42" s="393">
        <v>0</v>
      </c>
      <c r="F42" s="393">
        <v>0</v>
      </c>
      <c r="G42" s="393">
        <v>0</v>
      </c>
      <c r="H42" s="394">
        <v>0</v>
      </c>
      <c r="I42" s="394">
        <v>0</v>
      </c>
      <c r="J42" s="394">
        <v>0</v>
      </c>
      <c r="K42" s="394">
        <v>0</v>
      </c>
      <c r="L42" s="394">
        <v>0</v>
      </c>
      <c r="M42" s="394">
        <v>0</v>
      </c>
      <c r="N42" s="394">
        <v>0</v>
      </c>
      <c r="O42" s="394">
        <v>0</v>
      </c>
      <c r="P42" s="394">
        <v>0</v>
      </c>
      <c r="Q42" s="394">
        <v>0</v>
      </c>
      <c r="R42" s="394">
        <v>0</v>
      </c>
      <c r="S42" s="394">
        <v>0</v>
      </c>
      <c r="T42" s="394">
        <v>0</v>
      </c>
      <c r="U42" s="394">
        <v>0</v>
      </c>
      <c r="V42" s="394">
        <v>0</v>
      </c>
      <c r="W42" s="394">
        <v>0</v>
      </c>
      <c r="X42" s="394">
        <v>0</v>
      </c>
      <c r="Y42" s="394">
        <v>0</v>
      </c>
      <c r="Z42" s="394">
        <v>0</v>
      </c>
      <c r="AA42" s="394">
        <v>0</v>
      </c>
      <c r="AB42" s="394">
        <v>0</v>
      </c>
      <c r="AC42" s="394">
        <v>0</v>
      </c>
      <c r="AD42" s="394">
        <v>0</v>
      </c>
      <c r="AE42" s="394">
        <f t="shared" si="0"/>
        <v>0</v>
      </c>
      <c r="AF42" s="394">
        <f t="shared" si="1"/>
        <v>0</v>
      </c>
      <c r="AG42" s="394">
        <f t="shared" si="2"/>
        <v>0</v>
      </c>
      <c r="AH42" s="394">
        <f t="shared" si="3"/>
        <v>0</v>
      </c>
      <c r="AI42" s="394">
        <f t="shared" si="4"/>
        <v>0</v>
      </c>
      <c r="AJ42" s="394">
        <f t="shared" si="5"/>
        <v>0</v>
      </c>
      <c r="AK42" s="394">
        <f t="shared" si="6"/>
        <v>0</v>
      </c>
      <c r="AL42" s="394">
        <f t="shared" si="7"/>
        <v>0</v>
      </c>
      <c r="AM42" s="394">
        <f t="shared" si="8"/>
        <v>0</v>
      </c>
      <c r="AN42" s="393">
        <v>0</v>
      </c>
      <c r="AO42" s="393">
        <v>0</v>
      </c>
      <c r="AP42" s="393">
        <v>0</v>
      </c>
      <c r="AQ42" s="393">
        <v>0</v>
      </c>
      <c r="AR42" s="394">
        <v>0</v>
      </c>
      <c r="AS42" s="394">
        <v>0</v>
      </c>
      <c r="AT42" s="394">
        <v>0</v>
      </c>
      <c r="AU42" s="394">
        <v>0</v>
      </c>
      <c r="AV42" s="394">
        <v>0</v>
      </c>
      <c r="AW42" s="393">
        <v>0</v>
      </c>
      <c r="AX42" s="393">
        <v>0</v>
      </c>
      <c r="AY42" s="393">
        <v>0</v>
      </c>
      <c r="AZ42" s="393">
        <v>0</v>
      </c>
      <c r="BA42" s="394">
        <v>0</v>
      </c>
      <c r="BB42" s="394">
        <v>0</v>
      </c>
      <c r="BC42" s="394">
        <v>0</v>
      </c>
      <c r="BD42" s="394">
        <v>0</v>
      </c>
      <c r="BE42" s="394">
        <v>0</v>
      </c>
      <c r="BF42" s="393">
        <v>0</v>
      </c>
      <c r="BG42" s="393">
        <v>0</v>
      </c>
      <c r="BH42" s="393">
        <v>0</v>
      </c>
      <c r="BI42" s="393">
        <v>0</v>
      </c>
      <c r="BJ42" s="394">
        <v>0</v>
      </c>
      <c r="BK42" s="394">
        <v>0</v>
      </c>
      <c r="BL42" s="394">
        <v>0</v>
      </c>
      <c r="BM42" s="394">
        <v>0</v>
      </c>
      <c r="BN42" s="394">
        <v>0</v>
      </c>
      <c r="BO42" s="393">
        <v>0</v>
      </c>
      <c r="BP42" s="393">
        <v>0</v>
      </c>
      <c r="BQ42" s="393">
        <v>0</v>
      </c>
      <c r="BR42" s="393">
        <v>0</v>
      </c>
      <c r="BS42" s="394">
        <v>0</v>
      </c>
      <c r="BT42" s="394">
        <v>0</v>
      </c>
      <c r="BU42" s="394">
        <v>0</v>
      </c>
      <c r="BV42" s="394">
        <v>0</v>
      </c>
      <c r="BW42" s="394">
        <v>0</v>
      </c>
      <c r="BZ42" s="77">
        <f t="shared" si="9"/>
        <v>0</v>
      </c>
    </row>
    <row r="43" spans="2:78" x14ac:dyDescent="0.35">
      <c r="B43" s="395" t="s">
        <v>834</v>
      </c>
      <c r="C43" s="344" t="s">
        <v>801</v>
      </c>
      <c r="D43" s="393">
        <v>0</v>
      </c>
      <c r="E43" s="393">
        <v>0</v>
      </c>
      <c r="F43" s="393">
        <v>0</v>
      </c>
      <c r="G43" s="393">
        <v>0</v>
      </c>
      <c r="H43" s="394">
        <v>0</v>
      </c>
      <c r="I43" s="394">
        <v>0</v>
      </c>
      <c r="J43" s="394">
        <v>0</v>
      </c>
      <c r="K43" s="394">
        <v>0</v>
      </c>
      <c r="L43" s="394">
        <v>0</v>
      </c>
      <c r="M43" s="394">
        <v>0</v>
      </c>
      <c r="N43" s="394">
        <v>0</v>
      </c>
      <c r="O43" s="394">
        <v>0</v>
      </c>
      <c r="P43" s="394">
        <v>0</v>
      </c>
      <c r="Q43" s="394">
        <v>0</v>
      </c>
      <c r="R43" s="394">
        <v>0</v>
      </c>
      <c r="S43" s="394">
        <v>0</v>
      </c>
      <c r="T43" s="394">
        <v>0</v>
      </c>
      <c r="U43" s="394">
        <v>0</v>
      </c>
      <c r="V43" s="394">
        <v>0</v>
      </c>
      <c r="W43" s="394">
        <v>0</v>
      </c>
      <c r="X43" s="394">
        <v>0</v>
      </c>
      <c r="Y43" s="394">
        <v>0</v>
      </c>
      <c r="Z43" s="394">
        <v>0</v>
      </c>
      <c r="AA43" s="394">
        <v>0</v>
      </c>
      <c r="AB43" s="394">
        <v>0</v>
      </c>
      <c r="AC43" s="394">
        <v>0</v>
      </c>
      <c r="AD43" s="394">
        <v>0</v>
      </c>
      <c r="AE43" s="394">
        <f t="shared" si="0"/>
        <v>0</v>
      </c>
      <c r="AF43" s="394">
        <f t="shared" si="1"/>
        <v>0</v>
      </c>
      <c r="AG43" s="394">
        <f t="shared" si="2"/>
        <v>0</v>
      </c>
      <c r="AH43" s="394">
        <f t="shared" si="3"/>
        <v>0</v>
      </c>
      <c r="AI43" s="394">
        <f t="shared" si="4"/>
        <v>0</v>
      </c>
      <c r="AJ43" s="394">
        <f t="shared" si="5"/>
        <v>0</v>
      </c>
      <c r="AK43" s="394">
        <f t="shared" si="6"/>
        <v>0</v>
      </c>
      <c r="AL43" s="394">
        <f t="shared" si="7"/>
        <v>0</v>
      </c>
      <c r="AM43" s="394">
        <f t="shared" si="8"/>
        <v>0</v>
      </c>
      <c r="AN43" s="393">
        <v>0</v>
      </c>
      <c r="AO43" s="393">
        <v>0</v>
      </c>
      <c r="AP43" s="393">
        <v>0</v>
      </c>
      <c r="AQ43" s="393">
        <v>0</v>
      </c>
      <c r="AR43" s="394">
        <v>0</v>
      </c>
      <c r="AS43" s="394">
        <v>0</v>
      </c>
      <c r="AT43" s="394">
        <v>0</v>
      </c>
      <c r="AU43" s="394">
        <v>0</v>
      </c>
      <c r="AV43" s="394">
        <v>0</v>
      </c>
      <c r="AW43" s="393">
        <v>0</v>
      </c>
      <c r="AX43" s="393">
        <v>0</v>
      </c>
      <c r="AY43" s="393">
        <v>0</v>
      </c>
      <c r="AZ43" s="393">
        <v>0</v>
      </c>
      <c r="BA43" s="394">
        <v>0</v>
      </c>
      <c r="BB43" s="394">
        <v>0</v>
      </c>
      <c r="BC43" s="394">
        <v>0</v>
      </c>
      <c r="BD43" s="394">
        <v>0</v>
      </c>
      <c r="BE43" s="394">
        <v>0</v>
      </c>
      <c r="BF43" s="393">
        <v>0</v>
      </c>
      <c r="BG43" s="393">
        <v>0</v>
      </c>
      <c r="BH43" s="393">
        <v>0</v>
      </c>
      <c r="BI43" s="393">
        <v>0</v>
      </c>
      <c r="BJ43" s="394">
        <v>0</v>
      </c>
      <c r="BK43" s="394">
        <v>0</v>
      </c>
      <c r="BL43" s="394">
        <v>0</v>
      </c>
      <c r="BM43" s="394">
        <v>0</v>
      </c>
      <c r="BN43" s="394">
        <v>0</v>
      </c>
      <c r="BO43" s="393">
        <v>0</v>
      </c>
      <c r="BP43" s="393">
        <v>0</v>
      </c>
      <c r="BQ43" s="393">
        <v>0</v>
      </c>
      <c r="BR43" s="393">
        <v>0</v>
      </c>
      <c r="BS43" s="394">
        <v>0</v>
      </c>
      <c r="BT43" s="394">
        <v>0</v>
      </c>
      <c r="BU43" s="394">
        <v>0</v>
      </c>
      <c r="BV43" s="394">
        <v>0</v>
      </c>
      <c r="BW43" s="394">
        <v>0</v>
      </c>
      <c r="BZ43" s="77">
        <f t="shared" si="9"/>
        <v>0</v>
      </c>
    </row>
    <row r="44" spans="2:78" x14ac:dyDescent="0.35">
      <c r="B44" s="395" t="s">
        <v>16</v>
      </c>
      <c r="C44" s="344" t="s">
        <v>801</v>
      </c>
      <c r="D44" s="393">
        <v>0</v>
      </c>
      <c r="E44" s="393">
        <v>0</v>
      </c>
      <c r="F44" s="393">
        <v>0</v>
      </c>
      <c r="G44" s="393">
        <v>0</v>
      </c>
      <c r="H44" s="394">
        <v>0</v>
      </c>
      <c r="I44" s="394">
        <v>0</v>
      </c>
      <c r="J44" s="394">
        <v>0</v>
      </c>
      <c r="K44" s="394">
        <v>0</v>
      </c>
      <c r="L44" s="394">
        <v>0</v>
      </c>
      <c r="M44" s="394">
        <v>0</v>
      </c>
      <c r="N44" s="394">
        <v>0</v>
      </c>
      <c r="O44" s="394">
        <v>0</v>
      </c>
      <c r="P44" s="394">
        <v>0</v>
      </c>
      <c r="Q44" s="394">
        <v>0</v>
      </c>
      <c r="R44" s="394">
        <v>0</v>
      </c>
      <c r="S44" s="394">
        <v>0</v>
      </c>
      <c r="T44" s="394">
        <v>0</v>
      </c>
      <c r="U44" s="394">
        <v>0</v>
      </c>
      <c r="V44" s="394">
        <v>0</v>
      </c>
      <c r="W44" s="394">
        <v>0</v>
      </c>
      <c r="X44" s="394">
        <v>0</v>
      </c>
      <c r="Y44" s="394">
        <v>0</v>
      </c>
      <c r="Z44" s="394">
        <v>0</v>
      </c>
      <c r="AA44" s="394">
        <v>0</v>
      </c>
      <c r="AB44" s="394">
        <v>0</v>
      </c>
      <c r="AC44" s="394">
        <v>0</v>
      </c>
      <c r="AD44" s="394">
        <v>0</v>
      </c>
      <c r="AE44" s="394">
        <f t="shared" si="0"/>
        <v>0</v>
      </c>
      <c r="AF44" s="394">
        <f t="shared" si="1"/>
        <v>0</v>
      </c>
      <c r="AG44" s="394">
        <f t="shared" si="2"/>
        <v>0</v>
      </c>
      <c r="AH44" s="394">
        <f t="shared" si="3"/>
        <v>0</v>
      </c>
      <c r="AI44" s="394">
        <f t="shared" si="4"/>
        <v>0</v>
      </c>
      <c r="AJ44" s="394">
        <f t="shared" si="5"/>
        <v>0</v>
      </c>
      <c r="AK44" s="394">
        <f t="shared" si="6"/>
        <v>0</v>
      </c>
      <c r="AL44" s="394">
        <f t="shared" si="7"/>
        <v>0</v>
      </c>
      <c r="AM44" s="394">
        <f t="shared" si="8"/>
        <v>0</v>
      </c>
      <c r="AN44" s="393">
        <v>0</v>
      </c>
      <c r="AO44" s="393">
        <v>0</v>
      </c>
      <c r="AP44" s="393">
        <v>0</v>
      </c>
      <c r="AQ44" s="393">
        <v>0</v>
      </c>
      <c r="AR44" s="394">
        <v>0</v>
      </c>
      <c r="AS44" s="394">
        <v>0</v>
      </c>
      <c r="AT44" s="394">
        <v>0</v>
      </c>
      <c r="AU44" s="394">
        <v>0</v>
      </c>
      <c r="AV44" s="394">
        <v>0</v>
      </c>
      <c r="AW44" s="393">
        <v>0</v>
      </c>
      <c r="AX44" s="393">
        <v>0</v>
      </c>
      <c r="AY44" s="393">
        <v>0</v>
      </c>
      <c r="AZ44" s="393">
        <v>0</v>
      </c>
      <c r="BA44" s="394">
        <v>0</v>
      </c>
      <c r="BB44" s="394">
        <v>0</v>
      </c>
      <c r="BC44" s="394">
        <v>0</v>
      </c>
      <c r="BD44" s="394">
        <v>0</v>
      </c>
      <c r="BE44" s="394">
        <v>0</v>
      </c>
      <c r="BF44" s="393">
        <v>0</v>
      </c>
      <c r="BG44" s="393">
        <v>0</v>
      </c>
      <c r="BH44" s="393">
        <v>0</v>
      </c>
      <c r="BI44" s="393">
        <v>0</v>
      </c>
      <c r="BJ44" s="394">
        <v>0</v>
      </c>
      <c r="BK44" s="394">
        <v>0</v>
      </c>
      <c r="BL44" s="394">
        <v>0</v>
      </c>
      <c r="BM44" s="394">
        <v>0</v>
      </c>
      <c r="BN44" s="394">
        <v>0</v>
      </c>
      <c r="BO44" s="393">
        <v>0</v>
      </c>
      <c r="BP44" s="393">
        <v>0</v>
      </c>
      <c r="BQ44" s="393">
        <v>0</v>
      </c>
      <c r="BR44" s="393">
        <v>0</v>
      </c>
      <c r="BS44" s="394">
        <v>0</v>
      </c>
      <c r="BT44" s="394">
        <v>0</v>
      </c>
      <c r="BU44" s="394">
        <v>0</v>
      </c>
      <c r="BV44" s="394">
        <v>0</v>
      </c>
      <c r="BW44" s="394">
        <v>0</v>
      </c>
      <c r="BZ44" s="77">
        <f t="shared" si="9"/>
        <v>0</v>
      </c>
    </row>
    <row r="45" spans="2:78" x14ac:dyDescent="0.35">
      <c r="B45" s="383" t="s">
        <v>835</v>
      </c>
      <c r="C45" s="344" t="s">
        <v>801</v>
      </c>
      <c r="D45" s="393">
        <v>0</v>
      </c>
      <c r="E45" s="393">
        <v>0</v>
      </c>
      <c r="F45" s="393">
        <v>0</v>
      </c>
      <c r="G45" s="393">
        <v>0</v>
      </c>
      <c r="H45" s="394">
        <v>0</v>
      </c>
      <c r="I45" s="394">
        <v>0</v>
      </c>
      <c r="J45" s="394">
        <v>0</v>
      </c>
      <c r="K45" s="394">
        <v>0</v>
      </c>
      <c r="L45" s="394">
        <v>0</v>
      </c>
      <c r="M45" s="394">
        <v>0</v>
      </c>
      <c r="N45" s="394">
        <v>0</v>
      </c>
      <c r="O45" s="394">
        <v>0</v>
      </c>
      <c r="P45" s="394">
        <v>0</v>
      </c>
      <c r="Q45" s="394">
        <v>0</v>
      </c>
      <c r="R45" s="394">
        <v>0</v>
      </c>
      <c r="S45" s="394">
        <v>0</v>
      </c>
      <c r="T45" s="394">
        <v>0</v>
      </c>
      <c r="U45" s="394">
        <v>0</v>
      </c>
      <c r="V45" s="394">
        <v>0</v>
      </c>
      <c r="W45" s="394">
        <v>0</v>
      </c>
      <c r="X45" s="394">
        <v>0</v>
      </c>
      <c r="Y45" s="394">
        <v>0</v>
      </c>
      <c r="Z45" s="394">
        <v>0</v>
      </c>
      <c r="AA45" s="394">
        <v>0</v>
      </c>
      <c r="AB45" s="394">
        <v>0</v>
      </c>
      <c r="AC45" s="394">
        <v>0</v>
      </c>
      <c r="AD45" s="394">
        <v>0</v>
      </c>
      <c r="AE45" s="394">
        <f t="shared" si="0"/>
        <v>0</v>
      </c>
      <c r="AF45" s="394">
        <f t="shared" si="1"/>
        <v>0</v>
      </c>
      <c r="AG45" s="394">
        <f t="shared" si="2"/>
        <v>0</v>
      </c>
      <c r="AH45" s="394">
        <f t="shared" si="3"/>
        <v>0</v>
      </c>
      <c r="AI45" s="394">
        <f t="shared" si="4"/>
        <v>0</v>
      </c>
      <c r="AJ45" s="394">
        <f t="shared" si="5"/>
        <v>0</v>
      </c>
      <c r="AK45" s="394">
        <f t="shared" si="6"/>
        <v>0</v>
      </c>
      <c r="AL45" s="394">
        <f t="shared" si="7"/>
        <v>0</v>
      </c>
      <c r="AM45" s="394">
        <f t="shared" si="8"/>
        <v>0</v>
      </c>
      <c r="AN45" s="393">
        <v>0</v>
      </c>
      <c r="AO45" s="393">
        <v>0</v>
      </c>
      <c r="AP45" s="393">
        <v>0</v>
      </c>
      <c r="AQ45" s="393">
        <v>0</v>
      </c>
      <c r="AR45" s="394">
        <v>0</v>
      </c>
      <c r="AS45" s="394">
        <v>0</v>
      </c>
      <c r="AT45" s="394">
        <v>0</v>
      </c>
      <c r="AU45" s="394">
        <v>0</v>
      </c>
      <c r="AV45" s="394">
        <v>0</v>
      </c>
      <c r="AW45" s="393">
        <v>0</v>
      </c>
      <c r="AX45" s="393">
        <v>0</v>
      </c>
      <c r="AY45" s="393">
        <v>0</v>
      </c>
      <c r="AZ45" s="393">
        <v>0</v>
      </c>
      <c r="BA45" s="394">
        <v>0</v>
      </c>
      <c r="BB45" s="394">
        <v>0</v>
      </c>
      <c r="BC45" s="394">
        <v>0</v>
      </c>
      <c r="BD45" s="394">
        <v>0</v>
      </c>
      <c r="BE45" s="394">
        <v>0</v>
      </c>
      <c r="BF45" s="393">
        <v>0</v>
      </c>
      <c r="BG45" s="393">
        <v>0</v>
      </c>
      <c r="BH45" s="393">
        <v>0</v>
      </c>
      <c r="BI45" s="393">
        <v>0</v>
      </c>
      <c r="BJ45" s="394">
        <v>0</v>
      </c>
      <c r="BK45" s="394">
        <v>0</v>
      </c>
      <c r="BL45" s="394">
        <v>0</v>
      </c>
      <c r="BM45" s="394">
        <v>0</v>
      </c>
      <c r="BN45" s="394">
        <v>0</v>
      </c>
      <c r="BO45" s="393">
        <v>0</v>
      </c>
      <c r="BP45" s="393">
        <v>0</v>
      </c>
      <c r="BQ45" s="393">
        <v>0</v>
      </c>
      <c r="BR45" s="393">
        <v>0</v>
      </c>
      <c r="BS45" s="394">
        <v>0</v>
      </c>
      <c r="BT45" s="394">
        <v>0</v>
      </c>
      <c r="BU45" s="394">
        <v>0</v>
      </c>
      <c r="BV45" s="394">
        <v>0</v>
      </c>
      <c r="BW45" s="394">
        <v>0</v>
      </c>
      <c r="BZ45" s="77">
        <f t="shared" si="9"/>
        <v>0</v>
      </c>
    </row>
    <row r="46" spans="2:78" x14ac:dyDescent="0.35">
      <c r="B46" s="383" t="s">
        <v>25</v>
      </c>
      <c r="C46" s="344" t="s">
        <v>801</v>
      </c>
      <c r="D46" s="393">
        <v>0</v>
      </c>
      <c r="E46" s="393">
        <v>0</v>
      </c>
      <c r="F46" s="393">
        <v>0</v>
      </c>
      <c r="G46" s="393">
        <v>0</v>
      </c>
      <c r="H46" s="394">
        <v>0</v>
      </c>
      <c r="I46" s="394">
        <v>8.3559640000000004E-2</v>
      </c>
      <c r="J46" s="394">
        <v>4.0535000000000002E-2</v>
      </c>
      <c r="K46" s="394">
        <v>0</v>
      </c>
      <c r="L46" s="394">
        <v>1.1040116959064299</v>
      </c>
      <c r="M46" s="394">
        <v>0</v>
      </c>
      <c r="N46" s="394">
        <v>0</v>
      </c>
      <c r="O46" s="394">
        <v>0</v>
      </c>
      <c r="P46" s="394">
        <v>0</v>
      </c>
      <c r="Q46" s="394">
        <v>0</v>
      </c>
      <c r="R46" s="394">
        <v>8.4441400700406399E-2</v>
      </c>
      <c r="S46" s="394">
        <v>4.0962744422917301E-2</v>
      </c>
      <c r="T46" s="394">
        <v>0</v>
      </c>
      <c r="U46" s="394">
        <v>1.1156617476088999</v>
      </c>
      <c r="V46" s="394">
        <v>0</v>
      </c>
      <c r="W46" s="394">
        <v>0</v>
      </c>
      <c r="X46" s="394">
        <v>0</v>
      </c>
      <c r="Y46" s="394">
        <v>0</v>
      </c>
      <c r="Z46" s="394">
        <v>0</v>
      </c>
      <c r="AA46" s="394">
        <v>8.4402498483409805E-2</v>
      </c>
      <c r="AB46" s="394">
        <v>4.0943872855663602E-2</v>
      </c>
      <c r="AC46" s="394">
        <v>0</v>
      </c>
      <c r="AD46" s="394">
        <v>1.1151477614002301</v>
      </c>
      <c r="AE46" s="394">
        <f t="shared" si="0"/>
        <v>0</v>
      </c>
      <c r="AF46" s="394">
        <f t="shared" si="1"/>
        <v>0</v>
      </c>
      <c r="AG46" s="394">
        <f t="shared" si="2"/>
        <v>0</v>
      </c>
      <c r="AH46" s="394">
        <f t="shared" si="3"/>
        <v>0</v>
      </c>
      <c r="AI46" s="394">
        <f t="shared" si="4"/>
        <v>0</v>
      </c>
      <c r="AJ46" s="394">
        <f t="shared" si="5"/>
        <v>8.4421949591908102E-2</v>
      </c>
      <c r="AK46" s="394">
        <f t="shared" si="6"/>
        <v>4.0953308639290448E-2</v>
      </c>
      <c r="AL46" s="394">
        <f t="shared" si="7"/>
        <v>0</v>
      </c>
      <c r="AM46" s="394">
        <f t="shared" si="8"/>
        <v>1.1154047545045649</v>
      </c>
      <c r="AN46" s="393">
        <v>0</v>
      </c>
      <c r="AO46" s="393">
        <v>0</v>
      </c>
      <c r="AP46" s="393">
        <v>0</v>
      </c>
      <c r="AQ46" s="393">
        <v>0</v>
      </c>
      <c r="AR46" s="394">
        <v>0</v>
      </c>
      <c r="AS46" s="394">
        <v>8.6244429960129307E-2</v>
      </c>
      <c r="AT46" s="394">
        <v>4.1837398634482402E-2</v>
      </c>
      <c r="AU46" s="394">
        <v>0</v>
      </c>
      <c r="AV46" s="394">
        <v>1.1394838391209701</v>
      </c>
      <c r="AW46" s="393">
        <v>0</v>
      </c>
      <c r="AX46" s="393">
        <v>0</v>
      </c>
      <c r="AY46" s="393">
        <v>0</v>
      </c>
      <c r="AZ46" s="393">
        <v>0</v>
      </c>
      <c r="BA46" s="394">
        <v>0</v>
      </c>
      <c r="BB46" s="394">
        <v>8.8564416701698997E-2</v>
      </c>
      <c r="BC46" s="394">
        <v>4.2962830273124301E-2</v>
      </c>
      <c r="BD46" s="394">
        <v>0</v>
      </c>
      <c r="BE46" s="394">
        <v>1.17013610733372</v>
      </c>
      <c r="BF46" s="393">
        <v>0</v>
      </c>
      <c r="BG46" s="393">
        <v>0</v>
      </c>
      <c r="BH46" s="393">
        <v>0</v>
      </c>
      <c r="BI46" s="393">
        <v>0</v>
      </c>
      <c r="BJ46" s="394">
        <v>0</v>
      </c>
      <c r="BK46" s="394">
        <v>8.8684182401901193E-2</v>
      </c>
      <c r="BL46" s="394">
        <v>4.3020928927662502E-2</v>
      </c>
      <c r="BM46" s="394">
        <v>0</v>
      </c>
      <c r="BN46" s="394">
        <v>1.1717184829134999</v>
      </c>
      <c r="BO46" s="393">
        <v>0</v>
      </c>
      <c r="BP46" s="393">
        <v>0</v>
      </c>
      <c r="BQ46" s="393">
        <v>0</v>
      </c>
      <c r="BR46" s="393">
        <v>0</v>
      </c>
      <c r="BS46" s="394">
        <v>0</v>
      </c>
      <c r="BT46" s="394">
        <v>8.8684182401901193E-2</v>
      </c>
      <c r="BU46" s="394">
        <v>4.3020928927662502E-2</v>
      </c>
      <c r="BV46" s="394">
        <v>0</v>
      </c>
      <c r="BW46" s="394">
        <v>1.1717184829134999</v>
      </c>
      <c r="BZ46" s="77">
        <f t="shared" si="9"/>
        <v>1.3034235942430636</v>
      </c>
    </row>
    <row r="47" spans="2:78" x14ac:dyDescent="0.35">
      <c r="B47" s="396" t="s">
        <v>677</v>
      </c>
      <c r="C47" s="344" t="s">
        <v>801</v>
      </c>
      <c r="D47" s="393">
        <v>0</v>
      </c>
      <c r="E47" s="393">
        <v>0</v>
      </c>
      <c r="F47" s="393">
        <v>0</v>
      </c>
      <c r="G47" s="393">
        <v>0</v>
      </c>
      <c r="H47" s="394">
        <v>0</v>
      </c>
      <c r="I47" s="394">
        <v>7.4273580146371102E-2</v>
      </c>
      <c r="J47" s="394">
        <v>4.4220000000000002E-2</v>
      </c>
      <c r="K47" s="394">
        <v>0</v>
      </c>
      <c r="L47" s="394">
        <v>0</v>
      </c>
      <c r="M47" s="394">
        <v>0</v>
      </c>
      <c r="N47" s="394">
        <v>0</v>
      </c>
      <c r="O47" s="394">
        <v>0</v>
      </c>
      <c r="P47" s="394">
        <v>0</v>
      </c>
      <c r="Q47" s="394">
        <v>0</v>
      </c>
      <c r="R47" s="394">
        <v>7.2586368203723106E-2</v>
      </c>
      <c r="S47" s="394">
        <v>4.3215490563981697E-2</v>
      </c>
      <c r="T47" s="394">
        <v>0</v>
      </c>
      <c r="U47" s="394">
        <v>0</v>
      </c>
      <c r="V47" s="394">
        <v>0</v>
      </c>
      <c r="W47" s="394">
        <v>0</v>
      </c>
      <c r="X47" s="394">
        <v>0</v>
      </c>
      <c r="Y47" s="394">
        <v>0</v>
      </c>
      <c r="Z47" s="394">
        <v>0</v>
      </c>
      <c r="AA47" s="394">
        <v>7.1667237426769503E-2</v>
      </c>
      <c r="AB47" s="394">
        <v>4.2668270908260301E-2</v>
      </c>
      <c r="AC47" s="394">
        <v>0</v>
      </c>
      <c r="AD47" s="394">
        <v>0</v>
      </c>
      <c r="AE47" s="394">
        <f t="shared" si="0"/>
        <v>0</v>
      </c>
      <c r="AF47" s="394">
        <f t="shared" si="1"/>
        <v>0</v>
      </c>
      <c r="AG47" s="394">
        <f t="shared" si="2"/>
        <v>0</v>
      </c>
      <c r="AH47" s="394">
        <f t="shared" si="3"/>
        <v>0</v>
      </c>
      <c r="AI47" s="394">
        <f t="shared" si="4"/>
        <v>0</v>
      </c>
      <c r="AJ47" s="394">
        <f t="shared" si="5"/>
        <v>7.2126802815246305E-2</v>
      </c>
      <c r="AK47" s="394">
        <f t="shared" si="6"/>
        <v>4.2941880736120999E-2</v>
      </c>
      <c r="AL47" s="394">
        <f t="shared" si="7"/>
        <v>0</v>
      </c>
      <c r="AM47" s="394">
        <f t="shared" si="8"/>
        <v>0</v>
      </c>
      <c r="AN47" s="393">
        <v>0</v>
      </c>
      <c r="AO47" s="393">
        <v>0</v>
      </c>
      <c r="AP47" s="393">
        <v>0</v>
      </c>
      <c r="AQ47" s="393">
        <v>0</v>
      </c>
      <c r="AR47" s="394">
        <v>0</v>
      </c>
      <c r="AS47" s="394">
        <v>6.1492477498156201E-2</v>
      </c>
      <c r="AT47" s="394">
        <v>3.6610559900434901E-2</v>
      </c>
      <c r="AU47" s="394">
        <v>0</v>
      </c>
      <c r="AV47" s="394">
        <v>0</v>
      </c>
      <c r="AW47" s="393">
        <v>0</v>
      </c>
      <c r="AX47" s="393">
        <v>0</v>
      </c>
      <c r="AY47" s="393">
        <v>0</v>
      </c>
      <c r="AZ47" s="393">
        <v>0</v>
      </c>
      <c r="BA47" s="394">
        <v>0</v>
      </c>
      <c r="BB47" s="394">
        <v>4.7763567671844497E-2</v>
      </c>
      <c r="BC47" s="394">
        <v>2.8436827177128601E-2</v>
      </c>
      <c r="BD47" s="394">
        <v>0</v>
      </c>
      <c r="BE47" s="394">
        <v>0</v>
      </c>
      <c r="BF47" s="393">
        <v>0</v>
      </c>
      <c r="BG47" s="393">
        <v>0</v>
      </c>
      <c r="BH47" s="393">
        <v>0</v>
      </c>
      <c r="BI47" s="393">
        <v>0</v>
      </c>
      <c r="BJ47" s="394">
        <v>0</v>
      </c>
      <c r="BK47" s="394">
        <v>5.3399975510815198E-2</v>
      </c>
      <c r="BL47" s="394">
        <v>3.1792555474433E-2</v>
      </c>
      <c r="BM47" s="394">
        <v>0</v>
      </c>
      <c r="BN47" s="394">
        <v>0</v>
      </c>
      <c r="BO47" s="393">
        <v>0</v>
      </c>
      <c r="BP47" s="393">
        <v>0</v>
      </c>
      <c r="BQ47" s="393">
        <v>0</v>
      </c>
      <c r="BR47" s="393">
        <v>0</v>
      </c>
      <c r="BS47" s="394">
        <v>0</v>
      </c>
      <c r="BT47" s="394">
        <v>5.3399975510815198E-2</v>
      </c>
      <c r="BU47" s="394">
        <v>3.1792555474433E-2</v>
      </c>
      <c r="BV47" s="394">
        <v>0</v>
      </c>
      <c r="BW47" s="394">
        <v>0</v>
      </c>
      <c r="BZ47" s="77">
        <f t="shared" si="9"/>
        <v>8.5192530985248205E-2</v>
      </c>
    </row>
    <row r="48" spans="2:78" x14ac:dyDescent="0.35">
      <c r="B48" s="397" t="s">
        <v>836</v>
      </c>
      <c r="C48" s="344" t="s">
        <v>801</v>
      </c>
      <c r="D48" s="393">
        <v>0</v>
      </c>
      <c r="E48" s="393">
        <v>0</v>
      </c>
      <c r="F48" s="393">
        <v>0</v>
      </c>
      <c r="G48" s="393">
        <v>0</v>
      </c>
      <c r="H48" s="394">
        <v>0</v>
      </c>
      <c r="I48" s="394">
        <v>0</v>
      </c>
      <c r="J48" s="394">
        <v>0</v>
      </c>
      <c r="K48" s="394">
        <v>0</v>
      </c>
      <c r="L48" s="394">
        <v>0.34892000000000001</v>
      </c>
      <c r="M48" s="394">
        <v>0</v>
      </c>
      <c r="N48" s="394">
        <v>0</v>
      </c>
      <c r="O48" s="394">
        <v>0</v>
      </c>
      <c r="P48" s="394">
        <v>0</v>
      </c>
      <c r="Q48" s="394">
        <v>0</v>
      </c>
      <c r="R48" s="394">
        <v>0</v>
      </c>
      <c r="S48" s="394">
        <v>0</v>
      </c>
      <c r="T48" s="394">
        <v>0</v>
      </c>
      <c r="U48" s="394">
        <v>0.34892000000000001</v>
      </c>
      <c r="V48" s="394">
        <v>0</v>
      </c>
      <c r="W48" s="394">
        <v>0</v>
      </c>
      <c r="X48" s="394">
        <v>0</v>
      </c>
      <c r="Y48" s="394">
        <v>0</v>
      </c>
      <c r="Z48" s="394">
        <v>0</v>
      </c>
      <c r="AA48" s="394">
        <v>0</v>
      </c>
      <c r="AB48" s="394">
        <v>0</v>
      </c>
      <c r="AC48" s="394">
        <v>0</v>
      </c>
      <c r="AD48" s="394">
        <v>0.34892000000000001</v>
      </c>
      <c r="AE48" s="394">
        <f t="shared" si="0"/>
        <v>0</v>
      </c>
      <c r="AF48" s="394">
        <f t="shared" si="1"/>
        <v>0</v>
      </c>
      <c r="AG48" s="394">
        <f t="shared" si="2"/>
        <v>0</v>
      </c>
      <c r="AH48" s="394">
        <f t="shared" si="3"/>
        <v>0</v>
      </c>
      <c r="AI48" s="394">
        <f t="shared" si="4"/>
        <v>0</v>
      </c>
      <c r="AJ48" s="394">
        <f t="shared" si="5"/>
        <v>0</v>
      </c>
      <c r="AK48" s="394">
        <f t="shared" si="6"/>
        <v>0</v>
      </c>
      <c r="AL48" s="394">
        <f t="shared" si="7"/>
        <v>0</v>
      </c>
      <c r="AM48" s="394">
        <f t="shared" si="8"/>
        <v>0.34892000000000001</v>
      </c>
      <c r="AN48" s="393">
        <v>0</v>
      </c>
      <c r="AO48" s="393">
        <v>0</v>
      </c>
      <c r="AP48" s="393">
        <v>0</v>
      </c>
      <c r="AQ48" s="393">
        <v>0</v>
      </c>
      <c r="AR48" s="394">
        <v>0</v>
      </c>
      <c r="AS48" s="394">
        <v>0</v>
      </c>
      <c r="AT48" s="394">
        <v>0</v>
      </c>
      <c r="AU48" s="394">
        <v>0</v>
      </c>
      <c r="AV48" s="394">
        <v>0.34892000000000001</v>
      </c>
      <c r="AW48" s="393">
        <v>0</v>
      </c>
      <c r="AX48" s="393">
        <v>0</v>
      </c>
      <c r="AY48" s="393">
        <v>0</v>
      </c>
      <c r="AZ48" s="393">
        <v>0</v>
      </c>
      <c r="BA48" s="394">
        <v>0</v>
      </c>
      <c r="BB48" s="394">
        <v>0</v>
      </c>
      <c r="BC48" s="394">
        <v>0</v>
      </c>
      <c r="BD48" s="394">
        <v>0</v>
      </c>
      <c r="BE48" s="394">
        <v>0.34892000000000001</v>
      </c>
      <c r="BF48" s="393">
        <v>0</v>
      </c>
      <c r="BG48" s="393">
        <v>0</v>
      </c>
      <c r="BH48" s="393">
        <v>0</v>
      </c>
      <c r="BI48" s="393">
        <v>0</v>
      </c>
      <c r="BJ48" s="394">
        <v>0</v>
      </c>
      <c r="BK48" s="394">
        <v>0</v>
      </c>
      <c r="BL48" s="394">
        <v>0</v>
      </c>
      <c r="BM48" s="394">
        <v>0</v>
      </c>
      <c r="BN48" s="394">
        <v>0.34892000000000001</v>
      </c>
      <c r="BO48" s="393">
        <v>0</v>
      </c>
      <c r="BP48" s="393">
        <v>0</v>
      </c>
      <c r="BQ48" s="393">
        <v>0</v>
      </c>
      <c r="BR48" s="393">
        <v>0</v>
      </c>
      <c r="BS48" s="394">
        <v>0</v>
      </c>
      <c r="BT48" s="394">
        <v>0</v>
      </c>
      <c r="BU48" s="394">
        <v>0</v>
      </c>
      <c r="BV48" s="394">
        <v>0</v>
      </c>
      <c r="BW48" s="394">
        <v>0.34892000000000001</v>
      </c>
      <c r="BZ48" s="77">
        <f t="shared" si="9"/>
        <v>0.34892000000000001</v>
      </c>
    </row>
    <row r="49" spans="2:78" x14ac:dyDescent="0.35">
      <c r="B49" s="397" t="s">
        <v>837</v>
      </c>
      <c r="C49" s="344" t="s">
        <v>801</v>
      </c>
      <c r="D49" s="393">
        <v>0</v>
      </c>
      <c r="E49" s="393">
        <v>0</v>
      </c>
      <c r="F49" s="393">
        <v>0</v>
      </c>
      <c r="G49" s="393">
        <v>0</v>
      </c>
      <c r="H49" s="394">
        <v>0</v>
      </c>
      <c r="I49" s="394">
        <v>0</v>
      </c>
      <c r="J49" s="394">
        <v>0</v>
      </c>
      <c r="K49" s="394">
        <v>0</v>
      </c>
      <c r="L49" s="394">
        <v>0</v>
      </c>
      <c r="M49" s="394">
        <v>0</v>
      </c>
      <c r="N49" s="394">
        <v>0</v>
      </c>
      <c r="O49" s="394">
        <v>0</v>
      </c>
      <c r="P49" s="394">
        <v>0</v>
      </c>
      <c r="Q49" s="394">
        <v>0</v>
      </c>
      <c r="R49" s="394">
        <v>0</v>
      </c>
      <c r="S49" s="394">
        <v>0</v>
      </c>
      <c r="T49" s="394">
        <v>0</v>
      </c>
      <c r="U49" s="394">
        <v>0</v>
      </c>
      <c r="V49" s="394">
        <v>0</v>
      </c>
      <c r="W49" s="394">
        <v>0</v>
      </c>
      <c r="X49" s="394">
        <v>0</v>
      </c>
      <c r="Y49" s="394">
        <v>0</v>
      </c>
      <c r="Z49" s="394">
        <v>0</v>
      </c>
      <c r="AA49" s="394">
        <v>0</v>
      </c>
      <c r="AB49" s="394">
        <v>0</v>
      </c>
      <c r="AC49" s="394">
        <v>0</v>
      </c>
      <c r="AD49" s="394">
        <v>0</v>
      </c>
      <c r="AE49" s="394">
        <f t="shared" si="0"/>
        <v>0</v>
      </c>
      <c r="AF49" s="394">
        <f t="shared" si="1"/>
        <v>0</v>
      </c>
      <c r="AG49" s="394">
        <f t="shared" si="2"/>
        <v>0</v>
      </c>
      <c r="AH49" s="394">
        <f t="shared" si="3"/>
        <v>0</v>
      </c>
      <c r="AI49" s="394">
        <f t="shared" si="4"/>
        <v>0</v>
      </c>
      <c r="AJ49" s="394">
        <f t="shared" si="5"/>
        <v>0</v>
      </c>
      <c r="AK49" s="394">
        <f t="shared" si="6"/>
        <v>0</v>
      </c>
      <c r="AL49" s="394">
        <f t="shared" si="7"/>
        <v>0</v>
      </c>
      <c r="AM49" s="394">
        <f t="shared" si="8"/>
        <v>0</v>
      </c>
      <c r="AN49" s="393">
        <v>0</v>
      </c>
      <c r="AO49" s="393">
        <v>0</v>
      </c>
      <c r="AP49" s="393">
        <v>0</v>
      </c>
      <c r="AQ49" s="393">
        <v>0</v>
      </c>
      <c r="AR49" s="394">
        <v>0</v>
      </c>
      <c r="AS49" s="394">
        <v>0</v>
      </c>
      <c r="AT49" s="394">
        <v>0</v>
      </c>
      <c r="AU49" s="394">
        <v>0</v>
      </c>
      <c r="AV49" s="394">
        <v>0</v>
      </c>
      <c r="AW49" s="393">
        <v>0</v>
      </c>
      <c r="AX49" s="393">
        <v>0</v>
      </c>
      <c r="AY49" s="393">
        <v>0</v>
      </c>
      <c r="AZ49" s="393">
        <v>0</v>
      </c>
      <c r="BA49" s="394">
        <v>0</v>
      </c>
      <c r="BB49" s="394">
        <v>0</v>
      </c>
      <c r="BC49" s="394">
        <v>0</v>
      </c>
      <c r="BD49" s="394">
        <v>0</v>
      </c>
      <c r="BE49" s="394">
        <v>0</v>
      </c>
      <c r="BF49" s="393">
        <v>0</v>
      </c>
      <c r="BG49" s="393">
        <v>0</v>
      </c>
      <c r="BH49" s="393">
        <v>0</v>
      </c>
      <c r="BI49" s="393">
        <v>0</v>
      </c>
      <c r="BJ49" s="394">
        <v>0</v>
      </c>
      <c r="BK49" s="394">
        <v>0</v>
      </c>
      <c r="BL49" s="394">
        <v>0</v>
      </c>
      <c r="BM49" s="394">
        <v>0</v>
      </c>
      <c r="BN49" s="394">
        <v>0</v>
      </c>
      <c r="BO49" s="393">
        <v>0</v>
      </c>
      <c r="BP49" s="393">
        <v>0</v>
      </c>
      <c r="BQ49" s="393">
        <v>0</v>
      </c>
      <c r="BR49" s="393">
        <v>0</v>
      </c>
      <c r="BS49" s="394">
        <v>0</v>
      </c>
      <c r="BT49" s="394">
        <v>0</v>
      </c>
      <c r="BU49" s="394">
        <v>0</v>
      </c>
      <c r="BV49" s="394">
        <v>0</v>
      </c>
      <c r="BW49" s="394">
        <v>0</v>
      </c>
      <c r="BZ49" s="77">
        <f t="shared" si="9"/>
        <v>0</v>
      </c>
    </row>
    <row r="50" spans="2:78" x14ac:dyDescent="0.35">
      <c r="B50" s="397" t="s">
        <v>838</v>
      </c>
      <c r="C50" s="344" t="s">
        <v>801</v>
      </c>
      <c r="D50" s="393">
        <v>0</v>
      </c>
      <c r="E50" s="393">
        <v>0</v>
      </c>
      <c r="F50" s="393">
        <v>0</v>
      </c>
      <c r="G50" s="393">
        <v>0</v>
      </c>
      <c r="H50" s="394">
        <v>6.7536176344524607E-2</v>
      </c>
      <c r="I50" s="394">
        <v>-9.0393637000331199E-3</v>
      </c>
      <c r="J50" s="394">
        <v>0.24759328268199901</v>
      </c>
      <c r="K50" s="394">
        <v>1.073</v>
      </c>
      <c r="L50" s="394">
        <v>0.39283753486279799</v>
      </c>
      <c r="M50" s="394">
        <v>0</v>
      </c>
      <c r="N50" s="394">
        <v>0</v>
      </c>
      <c r="O50" s="394">
        <v>0</v>
      </c>
      <c r="P50" s="394">
        <v>0</v>
      </c>
      <c r="Q50" s="394">
        <v>6.4915413810266998E-2</v>
      </c>
      <c r="R50" s="394">
        <v>-9.1759180001963307E-3</v>
      </c>
      <c r="S50" s="394">
        <v>0.26726828492606702</v>
      </c>
      <c r="T50" s="394">
        <v>1.13594553057574</v>
      </c>
      <c r="U50" s="394">
        <v>0.39683473223350402</v>
      </c>
      <c r="V50" s="394">
        <v>0</v>
      </c>
      <c r="W50" s="394">
        <v>0</v>
      </c>
      <c r="X50" s="394">
        <v>0</v>
      </c>
      <c r="Y50" s="394">
        <v>0</v>
      </c>
      <c r="Z50" s="394">
        <v>6.1163422227653703E-2</v>
      </c>
      <c r="AA50" s="394">
        <v>-8.9675477206785197E-3</v>
      </c>
      <c r="AB50" s="394">
        <v>0.25192602736363101</v>
      </c>
      <c r="AC50" s="394">
        <v>1.1530759340485099</v>
      </c>
      <c r="AD50" s="394">
        <v>0.39129634450637002</v>
      </c>
      <c r="AE50" s="394">
        <f t="shared" si="0"/>
        <v>0</v>
      </c>
      <c r="AF50" s="394">
        <f t="shared" si="1"/>
        <v>0</v>
      </c>
      <c r="AG50" s="394">
        <f t="shared" si="2"/>
        <v>0</v>
      </c>
      <c r="AH50" s="394">
        <f t="shared" si="3"/>
        <v>0</v>
      </c>
      <c r="AI50" s="394">
        <f t="shared" si="4"/>
        <v>6.3039418018960347E-2</v>
      </c>
      <c r="AJ50" s="394">
        <f t="shared" si="5"/>
        <v>-9.0717328604374252E-3</v>
      </c>
      <c r="AK50" s="394">
        <f t="shared" si="6"/>
        <v>0.25959715614484902</v>
      </c>
      <c r="AL50" s="394">
        <f t="shared" si="7"/>
        <v>1.1445107323121251</v>
      </c>
      <c r="AM50" s="394">
        <f t="shared" si="8"/>
        <v>0.39406553836993702</v>
      </c>
      <c r="AN50" s="393">
        <v>0</v>
      </c>
      <c r="AO50" s="393">
        <v>0</v>
      </c>
      <c r="AP50" s="393">
        <v>0</v>
      </c>
      <c r="AQ50" s="393">
        <v>0</v>
      </c>
      <c r="AR50" s="394">
        <v>4.6525382166448602E-2</v>
      </c>
      <c r="AS50" s="394">
        <v>-8.8157020485427392E-3</v>
      </c>
      <c r="AT50" s="394">
        <v>0.18124368498120699</v>
      </c>
      <c r="AU50" s="394">
        <v>1.33651885995053</v>
      </c>
      <c r="AV50" s="394">
        <v>0.38743641009104002</v>
      </c>
      <c r="AW50" s="393">
        <v>0</v>
      </c>
      <c r="AX50" s="393">
        <v>0</v>
      </c>
      <c r="AY50" s="393">
        <v>0</v>
      </c>
      <c r="AZ50" s="393">
        <v>0</v>
      </c>
      <c r="BA50" s="394">
        <v>2.5848950178605199E-2</v>
      </c>
      <c r="BB50" s="394">
        <v>-6.3586515986279596E-3</v>
      </c>
      <c r="BC50" s="394">
        <v>0.117180452200342</v>
      </c>
      <c r="BD50" s="394">
        <v>1.7278099200941599</v>
      </c>
      <c r="BE50" s="394">
        <v>0.34614898707146102</v>
      </c>
      <c r="BF50" s="393">
        <v>0</v>
      </c>
      <c r="BG50" s="393">
        <v>0</v>
      </c>
      <c r="BH50" s="393">
        <v>0</v>
      </c>
      <c r="BI50" s="393">
        <v>0</v>
      </c>
      <c r="BJ50" s="394">
        <v>2.47257469759798E-2</v>
      </c>
      <c r="BK50" s="394">
        <v>-6.2242722940993199E-3</v>
      </c>
      <c r="BL50" s="394">
        <v>0.115699266051426</v>
      </c>
      <c r="BM50" s="394">
        <v>1.4803111415243899</v>
      </c>
      <c r="BN50" s="394">
        <v>0.34386086478543099</v>
      </c>
      <c r="BO50" s="393">
        <v>0</v>
      </c>
      <c r="BP50" s="393">
        <v>0</v>
      </c>
      <c r="BQ50" s="393">
        <v>0</v>
      </c>
      <c r="BR50" s="393">
        <v>0</v>
      </c>
      <c r="BS50" s="394">
        <v>2.47257469759798E-2</v>
      </c>
      <c r="BT50" s="394">
        <v>-6.2242722940993199E-3</v>
      </c>
      <c r="BU50" s="394">
        <v>0.115699266051426</v>
      </c>
      <c r="BV50" s="398">
        <v>1.4803111415243899</v>
      </c>
      <c r="BW50" s="394">
        <v>0.34386086478543099</v>
      </c>
      <c r="BZ50" s="77">
        <f t="shared" si="9"/>
        <v>1.9583727470431276</v>
      </c>
    </row>
    <row r="51" spans="2:78" x14ac:dyDescent="0.35">
      <c r="C51" s="399"/>
      <c r="D51" s="399"/>
      <c r="E51" s="399"/>
      <c r="F51" s="399"/>
      <c r="G51" s="399"/>
      <c r="H51" s="399"/>
      <c r="I51" s="399"/>
      <c r="J51" s="399"/>
      <c r="K51" s="399"/>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W51" s="77"/>
      <c r="AX51" s="77"/>
      <c r="AY51" s="77"/>
      <c r="AZ51" s="77"/>
      <c r="BA51" s="77"/>
      <c r="BB51" s="77"/>
      <c r="BC51" s="77"/>
      <c r="BD51" s="77"/>
      <c r="BF51" s="77"/>
      <c r="BG51" s="77"/>
      <c r="BH51" s="77"/>
      <c r="BI51" s="77"/>
      <c r="BJ51" s="77"/>
      <c r="BK51" s="77"/>
      <c r="BL51" s="77"/>
      <c r="BM51" s="77"/>
      <c r="BO51" s="77"/>
      <c r="BP51" s="77"/>
      <c r="BQ51" s="77"/>
      <c r="BR51" s="77"/>
      <c r="BS51" s="77"/>
      <c r="BT51" s="77"/>
      <c r="BU51" s="77"/>
      <c r="BV51" s="77"/>
    </row>
    <row r="52" spans="2:78" x14ac:dyDescent="0.35">
      <c r="B52" s="400" t="s">
        <v>52</v>
      </c>
      <c r="D52" s="77">
        <f>SUM(D39+D37+D33+D26+D22+D17+D14+D12+D6)</f>
        <v>12.452717393481137</v>
      </c>
      <c r="E52" s="77">
        <f t="shared" ref="E52:AI52" si="10">SUM(E39+E37+E33+E26+E22+E17+E14+E12+E6)</f>
        <v>1.3666520990067765</v>
      </c>
      <c r="F52" s="77">
        <f t="shared" si="10"/>
        <v>4.9308939854919993</v>
      </c>
      <c r="G52" s="77">
        <f t="shared" si="10"/>
        <v>13.307546795161608</v>
      </c>
      <c r="H52" s="77">
        <f t="shared" si="10"/>
        <v>2.1547622741316497</v>
      </c>
      <c r="I52" s="77">
        <f t="shared" si="10"/>
        <v>1.1275837860370581</v>
      </c>
      <c r="J52" s="77">
        <f t="shared" si="10"/>
        <v>3.2018183148017663</v>
      </c>
      <c r="K52" s="77">
        <f t="shared" si="10"/>
        <v>8.3467850000000006</v>
      </c>
      <c r="L52" s="77">
        <f t="shared" si="10"/>
        <v>3.7597692307692299</v>
      </c>
      <c r="M52" s="77">
        <f t="shared" si="10"/>
        <v>12.364224140894992</v>
      </c>
      <c r="N52" s="77">
        <f t="shared" si="10"/>
        <v>1.4478083917938585</v>
      </c>
      <c r="O52" s="77">
        <f t="shared" si="10"/>
        <v>4.9143932954168585</v>
      </c>
      <c r="P52" s="77">
        <f t="shared" si="10"/>
        <v>12.780038917049746</v>
      </c>
      <c r="Q52" s="77">
        <f t="shared" si="10"/>
        <v>2.1408104023311276</v>
      </c>
      <c r="R52" s="77">
        <f t="shared" si="10"/>
        <v>1.1263004373708729</v>
      </c>
      <c r="S52" s="77">
        <f t="shared" si="10"/>
        <v>3.3011193757259019</v>
      </c>
      <c r="T52" s="77">
        <f t="shared" si="10"/>
        <v>8.7532724749066393</v>
      </c>
      <c r="U52" s="77">
        <f t="shared" si="10"/>
        <v>3.7980256048424001</v>
      </c>
      <c r="V52" s="77">
        <f t="shared" si="10"/>
        <v>12.117543800818828</v>
      </c>
      <c r="W52" s="77">
        <f t="shared" si="10"/>
        <v>1.4361687976264961</v>
      </c>
      <c r="X52" s="77">
        <f t="shared" si="10"/>
        <v>4.8397594907609847</v>
      </c>
      <c r="Y52" s="77">
        <f t="shared" si="10"/>
        <v>12.15709390747355</v>
      </c>
      <c r="Z52" s="77">
        <f t="shared" si="10"/>
        <v>2.0717212335315116</v>
      </c>
      <c r="AA52" s="77">
        <f t="shared" si="10"/>
        <v>1.0878030768066711</v>
      </c>
      <c r="AB52" s="77">
        <f t="shared" si="10"/>
        <v>3.0587007522347047</v>
      </c>
      <c r="AC52" s="77">
        <f t="shared" si="10"/>
        <v>8.6507564055071207</v>
      </c>
      <c r="AD52" s="77">
        <f t="shared" si="10"/>
        <v>3.74501880707848</v>
      </c>
      <c r="AE52" s="77">
        <f t="shared" si="10"/>
        <v>12.240883970856911</v>
      </c>
      <c r="AF52" s="77">
        <f t="shared" si="10"/>
        <v>1.4419885947101772</v>
      </c>
      <c r="AG52" s="77">
        <f t="shared" si="10"/>
        <v>4.8770763930889212</v>
      </c>
      <c r="AH52" s="77">
        <f t="shared" si="10"/>
        <v>12.468566412261648</v>
      </c>
      <c r="AI52" s="77">
        <f t="shared" si="10"/>
        <v>2.1062658179313196</v>
      </c>
      <c r="AJ52" s="77">
        <f t="shared" ref="AJ52:BO52" si="11">SUM(AJ39+AJ37+AJ33+AJ26+AJ22+AJ17+AJ14+AJ12+AJ6)</f>
        <v>1.1070517570887721</v>
      </c>
      <c r="AK52" s="77">
        <f t="shared" si="11"/>
        <v>3.1799100639803037</v>
      </c>
      <c r="AL52" s="77">
        <f t="shared" si="11"/>
        <v>8.7020144402068809</v>
      </c>
      <c r="AM52" s="77">
        <f t="shared" si="11"/>
        <v>3.7715222059604399</v>
      </c>
      <c r="AN52" s="77">
        <f t="shared" si="11"/>
        <v>11.522328188409002</v>
      </c>
      <c r="AO52" s="77">
        <f t="shared" si="11"/>
        <v>1.644845676063756</v>
      </c>
      <c r="AP52" s="77">
        <f t="shared" si="11"/>
        <v>4.6167552139475774</v>
      </c>
      <c r="AQ52" s="77">
        <f t="shared" si="11"/>
        <v>9.670723861483685</v>
      </c>
      <c r="AR52" s="77">
        <f t="shared" si="11"/>
        <v>1.8840054037614793</v>
      </c>
      <c r="AS52" s="77">
        <f t="shared" si="11"/>
        <v>0.99013587607703313</v>
      </c>
      <c r="AT52" s="77">
        <f t="shared" si="11"/>
        <v>2.0651921583999222</v>
      </c>
      <c r="AU52" s="77">
        <f t="shared" si="11"/>
        <v>9.3315394438301098</v>
      </c>
      <c r="AV52" s="77">
        <f t="shared" si="11"/>
        <v>3.70807614921201</v>
      </c>
      <c r="AW52" s="77">
        <f t="shared" si="11"/>
        <v>11.210823981942463</v>
      </c>
      <c r="AX52" s="77">
        <f t="shared" si="11"/>
        <v>2.1928645770194022</v>
      </c>
      <c r="AY52" s="77">
        <f t="shared" si="11"/>
        <v>3.2791772071073848</v>
      </c>
      <c r="AZ52" s="77">
        <f t="shared" si="11"/>
        <v>6.3772983978803266</v>
      </c>
      <c r="BA52" s="77">
        <f t="shared" si="11"/>
        <v>1.2747629729889769</v>
      </c>
      <c r="BB52" s="77">
        <f t="shared" si="11"/>
        <v>0.77042100405091318</v>
      </c>
      <c r="BC52" s="77">
        <f t="shared" si="11"/>
        <v>1.1371054515788948</v>
      </c>
      <c r="BD52" s="77">
        <f t="shared" si="11"/>
        <v>10.50281853359078</v>
      </c>
      <c r="BE52" s="77">
        <f t="shared" si="11"/>
        <v>3.31292250703018</v>
      </c>
      <c r="BF52" s="77">
        <f t="shared" si="11"/>
        <v>11.20242138023173</v>
      </c>
      <c r="BG52" s="77">
        <f t="shared" si="11"/>
        <v>2.2535712621305226</v>
      </c>
      <c r="BH52" s="77">
        <f t="shared" si="11"/>
        <v>3.4196003247561797</v>
      </c>
      <c r="BI52" s="77">
        <f t="shared" si="11"/>
        <v>5.5291974020373811</v>
      </c>
      <c r="BJ52" s="77">
        <f t="shared" si="11"/>
        <v>1.2409727885404178</v>
      </c>
      <c r="BK52" s="77">
        <f t="shared" si="11"/>
        <v>0.76547959132830046</v>
      </c>
      <c r="BL52" s="77">
        <f t="shared" si="11"/>
        <v>1.1061578532066509</v>
      </c>
      <c r="BM52" s="77">
        <f t="shared" si="11"/>
        <v>9.0739291062920202</v>
      </c>
      <c r="BN52" s="77">
        <f t="shared" si="11"/>
        <v>3.2910233476989301</v>
      </c>
      <c r="BO52" s="77">
        <f t="shared" si="11"/>
        <v>11.20242138023173</v>
      </c>
      <c r="BP52" s="77">
        <f t="shared" ref="BP52:BW52" si="12">SUM(BP39+BP37+BP33+BP26+BP22+BP17+BP14+BP12+BP6)</f>
        <v>2.2210575996403059</v>
      </c>
      <c r="BQ52" s="77">
        <f t="shared" si="12"/>
        <v>3.2609761441736196</v>
      </c>
      <c r="BR52" s="77">
        <f t="shared" si="12"/>
        <v>6.2083286094701409</v>
      </c>
      <c r="BS52" s="77">
        <f t="shared" si="12"/>
        <v>1.2409727885404178</v>
      </c>
      <c r="BT52" s="77">
        <f t="shared" si="12"/>
        <v>0.76547959132830046</v>
      </c>
      <c r="BU52" s="77">
        <f t="shared" si="12"/>
        <v>1.1061578532066509</v>
      </c>
      <c r="BV52" s="77">
        <f t="shared" si="12"/>
        <v>10.56550349992189</v>
      </c>
      <c r="BW52" s="77">
        <f t="shared" si="12"/>
        <v>3.2910233476989301</v>
      </c>
    </row>
    <row r="54" spans="2:78" x14ac:dyDescent="0.35">
      <c r="D54" s="45">
        <v>2014</v>
      </c>
      <c r="E54" s="45">
        <v>2019</v>
      </c>
      <c r="F54" s="45">
        <v>2030</v>
      </c>
      <c r="G54" s="45">
        <v>2049</v>
      </c>
      <c r="H54" s="45">
        <v>2050</v>
      </c>
      <c r="BO54" s="77">
        <f t="shared" ref="BO54:BW54" si="13">BO52-AW52</f>
        <v>-8.4026017107330375E-3</v>
      </c>
      <c r="BP54" s="77">
        <f t="shared" si="13"/>
        <v>2.8193022620903729E-2</v>
      </c>
      <c r="BQ54" s="77">
        <f t="shared" si="13"/>
        <v>-1.8201062933765222E-2</v>
      </c>
      <c r="BR54" s="77">
        <f t="shared" si="13"/>
        <v>-0.16896978841018573</v>
      </c>
      <c r="BS54" s="77">
        <f t="shared" si="13"/>
        <v>-3.379018444855908E-2</v>
      </c>
      <c r="BT54" s="77">
        <f t="shared" si="13"/>
        <v>-4.9414127226127258E-3</v>
      </c>
      <c r="BU54" s="77">
        <f t="shared" si="13"/>
        <v>-3.0947598372243812E-2</v>
      </c>
      <c r="BV54" s="77">
        <f t="shared" si="13"/>
        <v>6.2684966331110203E-2</v>
      </c>
      <c r="BW54" s="77">
        <f t="shared" si="13"/>
        <v>-2.1899159331249862E-2</v>
      </c>
    </row>
    <row r="55" spans="2:78" x14ac:dyDescent="0.35">
      <c r="D55" s="45">
        <v>2014</v>
      </c>
      <c r="E55" s="45">
        <v>2019</v>
      </c>
      <c r="F55" s="45">
        <v>2030</v>
      </c>
      <c r="G55" s="45">
        <v>2050</v>
      </c>
    </row>
  </sheetData>
  <mergeCells count="9">
    <mergeCell ref="AN4:AV4"/>
    <mergeCell ref="AW4:BE4"/>
    <mergeCell ref="BF4:BN4"/>
    <mergeCell ref="BO4:BW4"/>
    <mergeCell ref="B4:C5"/>
    <mergeCell ref="D4:L4"/>
    <mergeCell ref="M4:U4"/>
    <mergeCell ref="V4:AD4"/>
    <mergeCell ref="AE4:AM4"/>
  </mergeCells>
  <pageMargins left="0.7" right="0.7" top="0.75" bottom="0.75" header="0.51180555555555496" footer="0.51180555555555496"/>
  <pageSetup paperSize="9" firstPageNumber="0" orientation="portrait" horizontalDpi="300" verticalDpi="30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AAAC37BD05F7145AA350F90A845546C" ma:contentTypeVersion="11" ma:contentTypeDescription="Crée un document." ma:contentTypeScope="" ma:versionID="3e83b7218e19c03203cacedb8ee62db8">
  <xsd:schema xmlns:xsd="http://www.w3.org/2001/XMLSchema" xmlns:xs="http://www.w3.org/2001/XMLSchema" xmlns:p="http://schemas.microsoft.com/office/2006/metadata/properties" xmlns:ns2="1daa9b06-e6e8-4a5f-a5d5-3619779892a5" xmlns:ns3="123c5334-5dad-4194-9e00-48b8d9851b34" targetNamespace="http://schemas.microsoft.com/office/2006/metadata/properties" ma:root="true" ma:fieldsID="2454b1acacc5d5630cb8d35344f20aa6" ns2:_="" ns3:_="">
    <xsd:import namespace="1daa9b06-e6e8-4a5f-a5d5-3619779892a5"/>
    <xsd:import namespace="123c5334-5dad-4194-9e00-48b8d9851b3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a9b06-e6e8-4a5f-a5d5-361977989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b217d2e-895e-4b73-b90f-e0c73e5e9f1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3c5334-5dad-4194-9e00-48b8d9851b34"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060bf3e5-5c79-4e71-8885-e5cbcb3687cd}" ma:internalName="TaxCatchAll" ma:showField="CatchAllData" ma:web="123c5334-5dad-4194-9e00-48b8d9851b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23c5334-5dad-4194-9e00-48b8d9851b34" xsi:nil="true"/>
    <lcf76f155ced4ddcb4097134ff3c332f xmlns="1daa9b06-e6e8-4a5f-a5d5-3619779892a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1DCA49A-3E60-4584-8BD8-8291DD81A598}">
  <ds:schemaRefs>
    <ds:schemaRef ds:uri="http://schemas.microsoft.com/sharepoint/v3/contenttype/forms"/>
  </ds:schemaRefs>
</ds:datastoreItem>
</file>

<file path=customXml/itemProps2.xml><?xml version="1.0" encoding="utf-8"?>
<ds:datastoreItem xmlns:ds="http://schemas.openxmlformats.org/officeDocument/2006/customXml" ds:itemID="{7FC6C079-D7EF-4D67-8A65-EE46184ADC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a9b06-e6e8-4a5f-a5d5-3619779892a5"/>
    <ds:schemaRef ds:uri="123c5334-5dad-4194-9e00-48b8d9851b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F7E65B-8CC9-4CA2-BD55-038339F93D64}">
  <ds:schemaRefs>
    <ds:schemaRef ds:uri="http://purl.org/dc/elements/1.1/"/>
    <ds:schemaRef ds:uri="1daa9b06-e6e8-4a5f-a5d5-3619779892a5"/>
    <ds:schemaRef ds:uri="http://schemas.microsoft.com/office/2006/documentManagement/types"/>
    <ds:schemaRef ds:uri="http://purl.org/dc/dcmitype/"/>
    <ds:schemaRef ds:uri="http://www.w3.org/XML/1998/namespace"/>
    <ds:schemaRef ds:uri="http://purl.org/dc/terms/"/>
    <ds:schemaRef ds:uri="http://schemas.microsoft.com/office/2006/metadata/properties"/>
    <ds:schemaRef ds:uri="http://schemas.microsoft.com/office/infopath/2007/PartnerControls"/>
    <ds:schemaRef ds:uri="http://schemas.openxmlformats.org/package/2006/metadata/core-properties"/>
    <ds:schemaRef ds:uri="123c5334-5dad-4194-9e00-48b8d9851b34"/>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1. Production</vt:lpstr>
      <vt:lpstr>IGCE</vt:lpstr>
      <vt:lpstr>Diffus</vt:lpstr>
      <vt:lpstr>VA historique</vt:lpstr>
      <vt:lpstr>Mix éner %</vt:lpstr>
      <vt:lpstr>Mix éner % (2)</vt:lpstr>
      <vt:lpstr>3. Efficacité</vt:lpstr>
      <vt:lpstr>4. Recyclage</vt:lpstr>
      <vt:lpstr>5. Non-énergétique</vt:lpstr>
      <vt:lpstr>6. CCUS</vt:lpstr>
      <vt:lpstr>Pepit0 AME</vt:lpstr>
      <vt:lpstr>Pepit0 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PODESTA Gwenaël</dc:creator>
  <dc:description/>
  <cp:lastModifiedBy>CALLONNEC Gael</cp:lastModifiedBy>
  <cp:revision>1</cp:revision>
  <dcterms:created xsi:type="dcterms:W3CDTF">2023-01-30T12:30:44Z</dcterms:created>
  <dcterms:modified xsi:type="dcterms:W3CDTF">2023-09-25T13:59:02Z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0x010100DAAAC37BD05F7145AA350F90A845546C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ProgId">
    <vt:lpwstr>Excel.Sheet</vt:lpwstr>
  </property>
  <property fmtid="{D5CDD505-2E9C-101B-9397-08002B2CF9AE}" pid="9" name="ScaleCrop">
    <vt:bool>false</vt:bool>
  </property>
  <property fmtid="{D5CDD505-2E9C-101B-9397-08002B2CF9AE}" pid="10" name="ShareDoc">
    <vt:bool>false</vt:bool>
  </property>
</Properties>
</file>