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Z:\PROJETS\Travaux_SNBC_2023\Modélisation macro\Documents MTE\Run 2\"/>
    </mc:Choice>
  </mc:AlternateContent>
  <xr:revisionPtr revIDLastSave="0" documentId="13_ncr:1_{A504A51A-CCA7-4EE4-B4D6-6BB3F11483CF}" xr6:coauthVersionLast="47" xr6:coauthVersionMax="47" xr10:uidLastSave="{00000000-0000-0000-0000-000000000000}"/>
  <bookViews>
    <workbookView xWindow="19090" yWindow="-110" windowWidth="19420" windowHeight="10420" tabRatio="500" activeTab="3" xr2:uid="{00000000-000D-0000-FFFF-FFFF00000000}"/>
  </bookViews>
  <sheets>
    <sheet name="1. Population" sheetId="1" r:id="rId1"/>
    <sheet name="pop_active" sheetId="2" r:id="rId2"/>
    <sheet name="2. PIB" sheetId="3" r:id="rId3"/>
    <sheet name="PIB Branches" sheetId="4" r:id="rId4"/>
    <sheet name="3. Prix des énergies" sheetId="5" r:id="rId5"/>
    <sheet name="4. Prix du C" sheetId="6" r:id="rId6"/>
    <sheet name="5. Dynamiques sociales" sheetId="7" r:id="rId7"/>
  </sheets>
  <externalReferences>
    <externalReference r:id="rId8"/>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46" i="4" l="1"/>
  <c r="O47" i="4"/>
  <c r="O48" i="4"/>
  <c r="O52" i="4"/>
  <c r="O51" i="4"/>
  <c r="O50" i="4"/>
  <c r="O49" i="4"/>
  <c r="N41" i="4"/>
  <c r="N42" i="4"/>
  <c r="N43" i="4"/>
  <c r="N44" i="4"/>
  <c r="N45" i="4"/>
  <c r="N46" i="4"/>
  <c r="N47" i="4"/>
  <c r="N48" i="4"/>
  <c r="N49" i="4"/>
  <c r="N50" i="4"/>
  <c r="N51" i="4"/>
  <c r="N52" i="4"/>
  <c r="N40" i="4"/>
  <c r="E14" i="2" l="1"/>
  <c r="F14" i="2"/>
  <c r="G14" i="2"/>
  <c r="H14" i="2"/>
  <c r="I14" i="2"/>
  <c r="J14" i="2"/>
  <c r="K14" i="2"/>
  <c r="D14" i="2"/>
  <c r="D40" i="1" l="1"/>
  <c r="C40" i="1"/>
  <c r="I13" i="6"/>
  <c r="C12" i="6"/>
  <c r="C11" i="6" s="1"/>
  <c r="J11" i="6"/>
  <c r="J13" i="6" s="1"/>
  <c r="I11" i="6"/>
  <c r="H11" i="6"/>
  <c r="G11" i="6"/>
  <c r="F11" i="6"/>
  <c r="E11" i="6"/>
  <c r="D11" i="6"/>
  <c r="B11" i="6"/>
  <c r="J5" i="6"/>
  <c r="I5" i="6"/>
  <c r="H5" i="6"/>
  <c r="G5" i="6"/>
  <c r="F5" i="6"/>
  <c r="E5" i="6"/>
  <c r="D5" i="6"/>
  <c r="C5" i="6"/>
  <c r="D4" i="6"/>
  <c r="E4" i="6" s="1"/>
  <c r="F4" i="6" s="1"/>
  <c r="G4" i="6" s="1"/>
  <c r="H4" i="6" s="1"/>
  <c r="I4" i="6" s="1"/>
  <c r="J4" i="6" s="1"/>
  <c r="J89" i="4"/>
  <c r="J88" i="4" s="1"/>
  <c r="I88" i="4"/>
  <c r="H88" i="4"/>
  <c r="E88" i="4"/>
  <c r="E75" i="4" s="1"/>
  <c r="G72" i="4"/>
  <c r="F72" i="4"/>
  <c r="E72" i="4"/>
  <c r="M56" i="4"/>
  <c r="L56" i="4"/>
  <c r="K56" i="4"/>
  <c r="J56" i="4"/>
  <c r="I56" i="4"/>
  <c r="H56" i="4"/>
  <c r="M55" i="4"/>
  <c r="L55" i="4"/>
  <c r="K55" i="4"/>
  <c r="J55" i="4"/>
  <c r="I55" i="4"/>
  <c r="H55" i="4"/>
  <c r="E55" i="4"/>
  <c r="E42" i="4" s="1"/>
  <c r="M54" i="4"/>
  <c r="L54" i="4"/>
  <c r="K54" i="4"/>
  <c r="J54" i="4"/>
  <c r="I54" i="4"/>
  <c r="H54" i="4"/>
  <c r="G54" i="4"/>
  <c r="G41" i="4" s="1"/>
  <c r="E54" i="4"/>
  <c r="M53" i="4"/>
  <c r="L53" i="4"/>
  <c r="K53" i="4"/>
  <c r="J53" i="4"/>
  <c r="I53" i="4"/>
  <c r="H53" i="4"/>
  <c r="G39" i="4"/>
  <c r="F39" i="4"/>
  <c r="E39" i="4"/>
  <c r="J24" i="4"/>
  <c r="G89" i="4" s="1"/>
  <c r="I24" i="4"/>
  <c r="F89" i="4" s="1"/>
  <c r="H24" i="4"/>
  <c r="E89" i="4" s="1"/>
  <c r="G24" i="4"/>
  <c r="F24" i="4"/>
  <c r="E24" i="4"/>
  <c r="H23" i="4"/>
  <c r="J22" i="4"/>
  <c r="G87" i="4" s="1"/>
  <c r="G74" i="4" s="1"/>
  <c r="I22" i="4"/>
  <c r="F54" i="4" s="1"/>
  <c r="H22" i="4"/>
  <c r="E87" i="4" s="1"/>
  <c r="E74" i="4" s="1"/>
  <c r="G22" i="4"/>
  <c r="F22" i="4"/>
  <c r="E22" i="4"/>
  <c r="J21" i="4"/>
  <c r="G86" i="4" s="1"/>
  <c r="G73" i="4" s="1"/>
  <c r="I21" i="4"/>
  <c r="F53" i="4" s="1"/>
  <c r="F40" i="4" s="1"/>
  <c r="H21" i="4"/>
  <c r="E86" i="4" s="1"/>
  <c r="G21" i="4"/>
  <c r="F21" i="4"/>
  <c r="E21" i="4"/>
  <c r="Y20" i="4"/>
  <c r="X20" i="4"/>
  <c r="W20" i="4"/>
  <c r="V20" i="4"/>
  <c r="U20" i="4"/>
  <c r="T20" i="4"/>
  <c r="S20" i="4"/>
  <c r="I20" i="4"/>
  <c r="Y19" i="4"/>
  <c r="X19" i="4"/>
  <c r="W19" i="4"/>
  <c r="V19" i="4"/>
  <c r="U19" i="4"/>
  <c r="T19" i="4"/>
  <c r="S19" i="4"/>
  <c r="I19" i="4"/>
  <c r="Y18" i="4"/>
  <c r="X18" i="4"/>
  <c r="W18" i="4"/>
  <c r="V18" i="4"/>
  <c r="U18" i="4"/>
  <c r="T18" i="4"/>
  <c r="S18" i="4"/>
  <c r="I18" i="4"/>
  <c r="Y17" i="4"/>
  <c r="X17" i="4"/>
  <c r="W17" i="4"/>
  <c r="V17" i="4"/>
  <c r="U17" i="4"/>
  <c r="T17" i="4"/>
  <c r="S17" i="4"/>
  <c r="I17" i="4"/>
  <c r="Y16" i="4"/>
  <c r="X16" i="4"/>
  <c r="W16" i="4"/>
  <c r="V16" i="4"/>
  <c r="U16" i="4"/>
  <c r="T16" i="4"/>
  <c r="S16" i="4"/>
  <c r="I16" i="4"/>
  <c r="Y15" i="4"/>
  <c r="X15" i="4"/>
  <c r="W15" i="4"/>
  <c r="V15" i="4"/>
  <c r="U15" i="4"/>
  <c r="T15" i="4"/>
  <c r="S15" i="4"/>
  <c r="I15" i="4"/>
  <c r="Y14" i="4"/>
  <c r="X14" i="4"/>
  <c r="W14" i="4"/>
  <c r="V14" i="4"/>
  <c r="U14" i="4"/>
  <c r="T14" i="4"/>
  <c r="S14" i="4"/>
  <c r="I14" i="4"/>
  <c r="Y13" i="4"/>
  <c r="X13" i="4"/>
  <c r="W13" i="4"/>
  <c r="V13" i="4"/>
  <c r="U13" i="4"/>
  <c r="T13" i="4"/>
  <c r="S13" i="4"/>
  <c r="Y12" i="4"/>
  <c r="X12" i="4"/>
  <c r="W12" i="4"/>
  <c r="V12" i="4"/>
  <c r="U12" i="4"/>
  <c r="T12" i="4"/>
  <c r="S12" i="4"/>
  <c r="J10" i="4"/>
  <c r="J23" i="4" s="1"/>
  <c r="I10" i="4"/>
  <c r="I23" i="4" s="1"/>
  <c r="H10" i="4"/>
  <c r="G10" i="4"/>
  <c r="G23" i="4" s="1"/>
  <c r="F10" i="4"/>
  <c r="F23" i="4" s="1"/>
  <c r="E10" i="4"/>
  <c r="E23" i="4" s="1"/>
  <c r="AH38" i="3"/>
  <c r="AG38" i="3"/>
  <c r="AF38" i="3"/>
  <c r="AE38" i="3"/>
  <c r="AD38" i="3"/>
  <c r="AC38" i="3"/>
  <c r="AB38" i="3"/>
  <c r="AA38" i="3"/>
  <c r="Z38" i="3"/>
  <c r="Y38" i="3"/>
  <c r="X38" i="3"/>
  <c r="W38" i="3"/>
  <c r="V38" i="3"/>
  <c r="U38" i="3"/>
  <c r="T38" i="3"/>
  <c r="S38" i="3"/>
  <c r="R38" i="3"/>
  <c r="Q38" i="3"/>
  <c r="P38" i="3"/>
  <c r="O38" i="3"/>
  <c r="N38" i="3"/>
  <c r="M38" i="3"/>
  <c r="L38" i="3"/>
  <c r="K38" i="3"/>
  <c r="J38" i="3"/>
  <c r="I38" i="3"/>
  <c r="H38" i="3"/>
  <c r="G38" i="3"/>
  <c r="F38" i="3"/>
  <c r="E38" i="3"/>
  <c r="D38" i="3"/>
  <c r="C38"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1" i="3"/>
  <c r="D4" i="3" s="1"/>
  <c r="C31" i="3"/>
  <c r="C34" i="3" s="1"/>
  <c r="D34" i="3" s="1"/>
  <c r="C29" i="3"/>
  <c r="D29" i="3" s="1"/>
  <c r="E29" i="3" s="1"/>
  <c r="F29" i="3" s="1"/>
  <c r="G29" i="3" s="1"/>
  <c r="H29" i="3" s="1"/>
  <c r="I29" i="3" s="1"/>
  <c r="J29" i="3" s="1"/>
  <c r="K29" i="3" s="1"/>
  <c r="L29" i="3" s="1"/>
  <c r="M29" i="3" s="1"/>
  <c r="N29" i="3" s="1"/>
  <c r="O29" i="3" s="1"/>
  <c r="P29" i="3" s="1"/>
  <c r="Q29" i="3" s="1"/>
  <c r="R29" i="3" s="1"/>
  <c r="S29" i="3" s="1"/>
  <c r="T29" i="3" s="1"/>
  <c r="U29" i="3" s="1"/>
  <c r="V29" i="3" s="1"/>
  <c r="W29" i="3" s="1"/>
  <c r="X29" i="3" s="1"/>
  <c r="Y29" i="3" s="1"/>
  <c r="Z29" i="3" s="1"/>
  <c r="AA29" i="3" s="1"/>
  <c r="AB29" i="3" s="1"/>
  <c r="AC29" i="3" s="1"/>
  <c r="AD29" i="3" s="1"/>
  <c r="AE29" i="3" s="1"/>
  <c r="AF29" i="3" s="1"/>
  <c r="AG29" i="3" s="1"/>
  <c r="AH29" i="3" s="1"/>
  <c r="C27" i="3"/>
  <c r="D27" i="3" s="1"/>
  <c r="E27" i="3" s="1"/>
  <c r="F27" i="3" s="1"/>
  <c r="G27" i="3" s="1"/>
  <c r="H27" i="3" s="1"/>
  <c r="I27" i="3" s="1"/>
  <c r="J27" i="3" s="1"/>
  <c r="K27" i="3" s="1"/>
  <c r="D26" i="3"/>
  <c r="E26" i="3" s="1"/>
  <c r="F26" i="3" s="1"/>
  <c r="G26" i="3" s="1"/>
  <c r="C26" i="3"/>
  <c r="C25" i="3"/>
  <c r="D25" i="3" s="1"/>
  <c r="E25" i="3" s="1"/>
  <c r="F25" i="3" s="1"/>
  <c r="G25" i="3" s="1"/>
  <c r="H25" i="3" s="1"/>
  <c r="I25" i="3" s="1"/>
  <c r="J25" i="3" s="1"/>
  <c r="K25" i="3" s="1"/>
  <c r="L25" i="3" s="1"/>
  <c r="M25" i="3" s="1"/>
  <c r="N25" i="3" s="1"/>
  <c r="O25" i="3" s="1"/>
  <c r="P25" i="3" s="1"/>
  <c r="Q25" i="3" s="1"/>
  <c r="R25" i="3" s="1"/>
  <c r="S25" i="3" s="1"/>
  <c r="T25" i="3" s="1"/>
  <c r="U25" i="3" s="1"/>
  <c r="V25" i="3" s="1"/>
  <c r="W25" i="3" s="1"/>
  <c r="X25" i="3" s="1"/>
  <c r="Y25" i="3" s="1"/>
  <c r="C24" i="3"/>
  <c r="D24" i="3" s="1"/>
  <c r="E24" i="3" s="1"/>
  <c r="F24" i="3" s="1"/>
  <c r="G24" i="3" s="1"/>
  <c r="H24" i="3" s="1"/>
  <c r="I24" i="3" s="1"/>
  <c r="J24" i="3" s="1"/>
  <c r="K24" i="3" s="1"/>
  <c r="L24" i="3" s="1"/>
  <c r="M24" i="3" s="1"/>
  <c r="N24" i="3" s="1"/>
  <c r="O24" i="3" s="1"/>
  <c r="P24" i="3" s="1"/>
  <c r="Q24" i="3" s="1"/>
  <c r="R24" i="3" s="1"/>
  <c r="S24" i="3" s="1"/>
  <c r="T24" i="3" s="1"/>
  <c r="U24" i="3" s="1"/>
  <c r="V24" i="3" s="1"/>
  <c r="W24" i="3" s="1"/>
  <c r="X24" i="3" s="1"/>
  <c r="Y24" i="3" s="1"/>
  <c r="Z24" i="3" s="1"/>
  <c r="AA24" i="3" s="1"/>
  <c r="AB24" i="3" s="1"/>
  <c r="AC24" i="3" s="1"/>
  <c r="AD24" i="3" s="1"/>
  <c r="AE24" i="3" s="1"/>
  <c r="AF24" i="3" s="1"/>
  <c r="AG24" i="3" s="1"/>
  <c r="AH24" i="3" s="1"/>
  <c r="U19" i="3"/>
  <c r="U33" i="3" s="1"/>
  <c r="P19" i="3"/>
  <c r="P33" i="3" s="1"/>
  <c r="P31" i="3" s="1"/>
  <c r="I19" i="3"/>
  <c r="I33" i="3" s="1"/>
  <c r="D19" i="3"/>
  <c r="AH18" i="3"/>
  <c r="AG18" i="3"/>
  <c r="AF18" i="3"/>
  <c r="AE18" i="3"/>
  <c r="AD18" i="3"/>
  <c r="AC18" i="3"/>
  <c r="AB18" i="3"/>
  <c r="AA18" i="3"/>
  <c r="Z18" i="3"/>
  <c r="Y18" i="3"/>
  <c r="X18" i="3"/>
  <c r="X19" i="3" s="1"/>
  <c r="X33" i="3" s="1"/>
  <c r="W18" i="3"/>
  <c r="W19" i="3" s="1"/>
  <c r="W33" i="3" s="1"/>
  <c r="W31" i="3" s="1"/>
  <c r="V18" i="3"/>
  <c r="V19" i="3" s="1"/>
  <c r="V33" i="3" s="1"/>
  <c r="U18" i="3"/>
  <c r="T18" i="3"/>
  <c r="T19" i="3" s="1"/>
  <c r="T33" i="3" s="1"/>
  <c r="S18" i="3"/>
  <c r="S19" i="3" s="1"/>
  <c r="S33" i="3" s="1"/>
  <c r="S31" i="3" s="1"/>
  <c r="G4" i="3" s="1"/>
  <c r="R18" i="3"/>
  <c r="R19" i="3" s="1"/>
  <c r="R33" i="3" s="1"/>
  <c r="R31" i="3" s="1"/>
  <c r="Q18" i="3"/>
  <c r="Q19" i="3" s="1"/>
  <c r="Q33" i="3" s="1"/>
  <c r="P18" i="3"/>
  <c r="O18" i="3"/>
  <c r="O19" i="3" s="1"/>
  <c r="O33" i="3" s="1"/>
  <c r="O31" i="3" s="1"/>
  <c r="N18" i="3"/>
  <c r="N19" i="3" s="1"/>
  <c r="N33" i="3" s="1"/>
  <c r="N31" i="3" s="1"/>
  <c r="F4" i="3" s="1"/>
  <c r="M18" i="3"/>
  <c r="M19" i="3" s="1"/>
  <c r="M33" i="3" s="1"/>
  <c r="L18" i="3"/>
  <c r="L19" i="3" s="1"/>
  <c r="L33" i="3" s="1"/>
  <c r="K18" i="3"/>
  <c r="K19" i="3" s="1"/>
  <c r="K33" i="3" s="1"/>
  <c r="K31" i="3" s="1"/>
  <c r="J18" i="3"/>
  <c r="J19" i="3" s="1"/>
  <c r="J33" i="3" s="1"/>
  <c r="I18" i="3"/>
  <c r="H18" i="3"/>
  <c r="H19" i="3" s="1"/>
  <c r="H33" i="3" s="1"/>
  <c r="G18" i="3"/>
  <c r="G19" i="3" s="1"/>
  <c r="G33" i="3" s="1"/>
  <c r="G31" i="3" s="1"/>
  <c r="F18" i="3"/>
  <c r="F19" i="3" s="1"/>
  <c r="F33" i="3" s="1"/>
  <c r="F31" i="3" s="1"/>
  <c r="E18" i="3"/>
  <c r="E19" i="3" s="1"/>
  <c r="E33" i="3" s="1"/>
  <c r="D18" i="3"/>
  <c r="C18" i="3"/>
  <c r="C19" i="3" s="1"/>
  <c r="Y17" i="3"/>
  <c r="J11" i="2"/>
  <c r="K10" i="2"/>
  <c r="K11" i="2" s="1"/>
  <c r="J10" i="2"/>
  <c r="I10" i="2"/>
  <c r="I11" i="2" s="1"/>
  <c r="H10" i="2"/>
  <c r="H11" i="2" s="1"/>
  <c r="G10" i="2"/>
  <c r="G11" i="2" s="1"/>
  <c r="F10" i="2"/>
  <c r="F11" i="2" s="1"/>
  <c r="E10" i="2"/>
  <c r="E11" i="2" s="1"/>
  <c r="D10" i="2"/>
  <c r="D11" i="2" s="1"/>
  <c r="K7" i="2"/>
  <c r="K8" i="2" s="1"/>
  <c r="J7" i="2"/>
  <c r="J8" i="2" s="1"/>
  <c r="I7" i="2"/>
  <c r="I8" i="2" s="1"/>
  <c r="H7" i="2"/>
  <c r="H8" i="2" s="1"/>
  <c r="G7" i="2"/>
  <c r="G8" i="2" s="1"/>
  <c r="F7" i="2"/>
  <c r="F8" i="2" s="1"/>
  <c r="E7" i="2"/>
  <c r="E8" i="2" s="1"/>
  <c r="D7" i="2"/>
  <c r="D8" i="2" s="1"/>
  <c r="F5" i="2"/>
  <c r="G5" i="2" s="1"/>
  <c r="H5" i="2" s="1"/>
  <c r="I5" i="2" s="1"/>
  <c r="J5" i="2" s="1"/>
  <c r="K5" i="2" s="1"/>
  <c r="B58" i="1"/>
  <c r="AH40" i="1"/>
  <c r="AG40" i="1"/>
  <c r="AF40" i="1"/>
  <c r="AE40" i="1"/>
  <c r="AD40" i="1"/>
  <c r="AC40" i="1"/>
  <c r="I4" i="1" s="1"/>
  <c r="AB40" i="1"/>
  <c r="AA40" i="1"/>
  <c r="Z40" i="1"/>
  <c r="Y40" i="1"/>
  <c r="X40" i="1"/>
  <c r="W40" i="1"/>
  <c r="V40" i="1"/>
  <c r="U40" i="1"/>
  <c r="T40" i="1"/>
  <c r="S40" i="1"/>
  <c r="R40" i="1"/>
  <c r="Q40" i="1"/>
  <c r="P40" i="1"/>
  <c r="O40" i="1"/>
  <c r="N40" i="1"/>
  <c r="M40" i="1"/>
  <c r="L40" i="1"/>
  <c r="K40" i="1"/>
  <c r="J40" i="1"/>
  <c r="I40" i="1"/>
  <c r="H40" i="1"/>
  <c r="G40" i="1"/>
  <c r="F40" i="1"/>
  <c r="E40" i="1"/>
  <c r="B40" i="1"/>
  <c r="U34" i="1"/>
  <c r="U35" i="1" s="1"/>
  <c r="I34" i="1"/>
  <c r="I35" i="1" s="1"/>
  <c r="I42" i="1" s="1"/>
  <c r="E6" i="1" s="1"/>
  <c r="AH33" i="1"/>
  <c r="AG33" i="1"/>
  <c r="AF33" i="1"/>
  <c r="AE33" i="1"/>
  <c r="AD33" i="1"/>
  <c r="AC33" i="1"/>
  <c r="AB33" i="1"/>
  <c r="AA33" i="1"/>
  <c r="Z33" i="1"/>
  <c r="Y33" i="1"/>
  <c r="X33" i="1"/>
  <c r="W33" i="1"/>
  <c r="V33" i="1"/>
  <c r="U33" i="1"/>
  <c r="T33" i="1"/>
  <c r="S33" i="1"/>
  <c r="R33" i="1"/>
  <c r="Q33" i="1"/>
  <c r="P33" i="1"/>
  <c r="O33" i="1"/>
  <c r="N33" i="1"/>
  <c r="M33" i="1"/>
  <c r="L33" i="1"/>
  <c r="K33" i="1"/>
  <c r="J33" i="1"/>
  <c r="I33" i="1"/>
  <c r="H33" i="1"/>
  <c r="G33" i="1"/>
  <c r="F33" i="1"/>
  <c r="E33" i="1"/>
  <c r="D33" i="1"/>
  <c r="C33" i="1"/>
  <c r="B33"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B24" i="1"/>
  <c r="AH21" i="1"/>
  <c r="AG21" i="1"/>
  <c r="AF21" i="1"/>
  <c r="AE21" i="1"/>
  <c r="AD21" i="1"/>
  <c r="AC21" i="1"/>
  <c r="AB21" i="1"/>
  <c r="AA21" i="1"/>
  <c r="Z21" i="1"/>
  <c r="Y21" i="1"/>
  <c r="X21" i="1"/>
  <c r="W21" i="1"/>
  <c r="V21" i="1"/>
  <c r="U21" i="1"/>
  <c r="T21" i="1"/>
  <c r="S21" i="1"/>
  <c r="R21" i="1"/>
  <c r="Q21" i="1"/>
  <c r="P21" i="1"/>
  <c r="O21" i="1"/>
  <c r="N21" i="1"/>
  <c r="M21" i="1"/>
  <c r="L21" i="1"/>
  <c r="K21" i="1"/>
  <c r="J21" i="1"/>
  <c r="I21" i="1"/>
  <c r="H21" i="1"/>
  <c r="G21" i="1"/>
  <c r="F21" i="1"/>
  <c r="E21" i="1"/>
  <c r="D21" i="1"/>
  <c r="C21" i="1"/>
  <c r="B21" i="1"/>
  <c r="J4" i="1"/>
  <c r="H4" i="1"/>
  <c r="G4" i="1"/>
  <c r="F4" i="1"/>
  <c r="D4" i="1"/>
  <c r="C4" i="1"/>
  <c r="U42" i="1" l="1"/>
  <c r="U47" i="1" s="1"/>
  <c r="X31" i="3"/>
  <c r="H4" i="3" s="1"/>
  <c r="I47" i="1"/>
  <c r="I31" i="3"/>
  <c r="E4" i="3" s="1"/>
  <c r="U31" i="3"/>
  <c r="I41" i="1"/>
  <c r="U41" i="1"/>
  <c r="F86" i="4"/>
  <c r="C4" i="3"/>
  <c r="AG47" i="1"/>
  <c r="AG34" i="1"/>
  <c r="AG35" i="1" s="1"/>
  <c r="AG42" i="1" s="1"/>
  <c r="AG41" i="1" s="1"/>
  <c r="M31" i="3"/>
  <c r="F73" i="4"/>
  <c r="E4" i="1"/>
  <c r="Y19" i="3"/>
  <c r="Y33" i="3" s="1"/>
  <c r="Y31" i="3" s="1"/>
  <c r="E73" i="4"/>
  <c r="L31" i="3"/>
  <c r="G88" i="4"/>
  <c r="G75" i="4" s="1"/>
  <c r="G55" i="4"/>
  <c r="G42" i="4" s="1"/>
  <c r="V31" i="3"/>
  <c r="E34" i="3"/>
  <c r="F34" i="3" s="1"/>
  <c r="G34" i="3" s="1"/>
  <c r="H34" i="3" s="1"/>
  <c r="I34" i="3" s="1"/>
  <c r="J31" i="3"/>
  <c r="E76" i="4"/>
  <c r="E5" i="1"/>
  <c r="F15" i="2"/>
  <c r="F16" i="2" s="1"/>
  <c r="E31" i="3"/>
  <c r="Q31" i="3"/>
  <c r="F88" i="4"/>
  <c r="F55" i="4"/>
  <c r="F42" i="4" s="1"/>
  <c r="H31" i="3"/>
  <c r="T31" i="3"/>
  <c r="G34" i="1"/>
  <c r="G35" i="1" s="1"/>
  <c r="G42" i="1" s="1"/>
  <c r="S34" i="1"/>
  <c r="S35" i="1" s="1"/>
  <c r="S42" i="1" s="1"/>
  <c r="AE34" i="1"/>
  <c r="AE35" i="1" s="1"/>
  <c r="AE42" i="1" s="1"/>
  <c r="Z17" i="3"/>
  <c r="F76" i="4"/>
  <c r="H34" i="1"/>
  <c r="T34" i="1"/>
  <c r="T35" i="1" s="1"/>
  <c r="T42" i="1" s="1"/>
  <c r="AF34" i="1"/>
  <c r="AF35" i="1" s="1"/>
  <c r="AF42" i="1" s="1"/>
  <c r="K35" i="1"/>
  <c r="K42" i="1" s="1"/>
  <c r="K43" i="1" s="1"/>
  <c r="E41" i="4"/>
  <c r="G53" i="4"/>
  <c r="G40" i="4" s="1"/>
  <c r="G76" i="4"/>
  <c r="L43" i="1"/>
  <c r="I46" i="1"/>
  <c r="U46" i="1"/>
  <c r="AG46" i="1"/>
  <c r="L47" i="1"/>
  <c r="F41" i="4"/>
  <c r="E56" i="4"/>
  <c r="E43" i="4" s="1"/>
  <c r="J34" i="1"/>
  <c r="J35" i="1" s="1"/>
  <c r="J42" i="1" s="1"/>
  <c r="V34" i="1"/>
  <c r="V35" i="1" s="1"/>
  <c r="V42" i="1" s="1"/>
  <c r="AH34" i="1"/>
  <c r="AH35" i="1" s="1"/>
  <c r="AH42" i="1" s="1"/>
  <c r="M35" i="1"/>
  <c r="M42" i="1" s="1"/>
  <c r="M45" i="1" s="1"/>
  <c r="F56" i="4"/>
  <c r="F75" i="4"/>
  <c r="F87" i="4"/>
  <c r="K34" i="1"/>
  <c r="W34" i="1"/>
  <c r="W35" i="1" s="1"/>
  <c r="W42" i="1" s="1"/>
  <c r="W47" i="1" s="1"/>
  <c r="G56" i="4"/>
  <c r="G43" i="4" s="1"/>
  <c r="L34" i="1"/>
  <c r="L35" i="1" s="1"/>
  <c r="L42" i="1" s="1"/>
  <c r="L41" i="1" s="1"/>
  <c r="X34" i="1"/>
  <c r="X35" i="1" s="1"/>
  <c r="X42" i="1" s="1"/>
  <c r="H6" i="1" s="1"/>
  <c r="I45" i="1"/>
  <c r="U45" i="1"/>
  <c r="AG45" i="1"/>
  <c r="L46" i="1"/>
  <c r="M34" i="1"/>
  <c r="Y34" i="1"/>
  <c r="Y35" i="1" s="1"/>
  <c r="Y42" i="1" s="1"/>
  <c r="Y47" i="1" s="1"/>
  <c r="F74" i="4"/>
  <c r="K89" i="4"/>
  <c r="B34" i="1"/>
  <c r="B35" i="1" s="1"/>
  <c r="N34" i="1"/>
  <c r="N35" i="1" s="1"/>
  <c r="N42" i="1" s="1"/>
  <c r="Z34" i="1"/>
  <c r="Z35" i="1" s="1"/>
  <c r="Z42" i="1" s="1"/>
  <c r="C34" i="1"/>
  <c r="C35" i="1" s="1"/>
  <c r="C42" i="1" s="1"/>
  <c r="O34" i="1"/>
  <c r="O35" i="1" s="1"/>
  <c r="O42" i="1" s="1"/>
  <c r="AA34" i="1"/>
  <c r="AA35" i="1" s="1"/>
  <c r="AA42" i="1" s="1"/>
  <c r="I44" i="1"/>
  <c r="U44" i="1"/>
  <c r="AG44" i="1"/>
  <c r="L45" i="1"/>
  <c r="F43" i="4"/>
  <c r="D34" i="1"/>
  <c r="D35" i="1" s="1"/>
  <c r="D42" i="1" s="1"/>
  <c r="P34" i="1"/>
  <c r="P35" i="1" s="1"/>
  <c r="P42" i="1" s="1"/>
  <c r="P47" i="1" s="1"/>
  <c r="AB34" i="1"/>
  <c r="AB35" i="1" s="1"/>
  <c r="AB42" i="1" s="1"/>
  <c r="E34" i="1"/>
  <c r="E35" i="1" s="1"/>
  <c r="E42" i="1" s="1"/>
  <c r="Q34" i="1"/>
  <c r="Q35" i="1" s="1"/>
  <c r="Q42" i="1" s="1"/>
  <c r="Q47" i="1" s="1"/>
  <c r="AC34" i="1"/>
  <c r="AC35" i="1" s="1"/>
  <c r="AC42" i="1" s="1"/>
  <c r="I6" i="1" s="1"/>
  <c r="H35" i="1"/>
  <c r="H42" i="1" s="1"/>
  <c r="H43" i="1" s="1"/>
  <c r="F34" i="1"/>
  <c r="F35" i="1" s="1"/>
  <c r="F42" i="1" s="1"/>
  <c r="R34" i="1"/>
  <c r="R35" i="1" s="1"/>
  <c r="R42" i="1" s="1"/>
  <c r="AD34" i="1"/>
  <c r="AD35" i="1" s="1"/>
  <c r="AD42" i="1" s="1"/>
  <c r="I43" i="1"/>
  <c r="U43" i="1"/>
  <c r="AG43" i="1"/>
  <c r="E53" i="4"/>
  <c r="E40" i="4" s="1"/>
  <c r="E44" i="1" l="1"/>
  <c r="E47" i="1"/>
  <c r="X45" i="1"/>
  <c r="M47" i="1"/>
  <c r="K47" i="1"/>
  <c r="G47" i="1"/>
  <c r="G44" i="1"/>
  <c r="G41" i="1"/>
  <c r="G45" i="1"/>
  <c r="G43" i="1"/>
  <c r="G46" i="1"/>
  <c r="AA47" i="1"/>
  <c r="AA45" i="1"/>
  <c r="AA41" i="1"/>
  <c r="AA46" i="1"/>
  <c r="AA44" i="1"/>
  <c r="AA43" i="1"/>
  <c r="G6" i="1"/>
  <c r="S46" i="1"/>
  <c r="S43" i="1"/>
  <c r="S47" i="1"/>
  <c r="S44" i="1"/>
  <c r="S45" i="1"/>
  <c r="S41" i="1"/>
  <c r="J6" i="1"/>
  <c r="AH44" i="1"/>
  <c r="AH47" i="1"/>
  <c r="AH46" i="1"/>
  <c r="AH43" i="1"/>
  <c r="AH45" i="1"/>
  <c r="AH41" i="1"/>
  <c r="Z41" i="1"/>
  <c r="Z44" i="1"/>
  <c r="Z46" i="1"/>
  <c r="Z45" i="1"/>
  <c r="Z43" i="1"/>
  <c r="Z47" i="1"/>
  <c r="F6" i="1"/>
  <c r="N41" i="1"/>
  <c r="N47" i="1"/>
  <c r="N43" i="1"/>
  <c r="N44" i="1"/>
  <c r="N46" i="1"/>
  <c r="N45" i="1"/>
  <c r="V41" i="1"/>
  <c r="V44" i="1"/>
  <c r="V47" i="1"/>
  <c r="V43" i="1"/>
  <c r="V45" i="1"/>
  <c r="V46" i="1"/>
  <c r="C45" i="1"/>
  <c r="C44" i="1"/>
  <c r="C46" i="1"/>
  <c r="C41" i="1"/>
  <c r="C47" i="1"/>
  <c r="C43" i="1"/>
  <c r="B42" i="1"/>
  <c r="U11" i="2"/>
  <c r="U8" i="2"/>
  <c r="T47" i="1"/>
  <c r="T43" i="1"/>
  <c r="T46" i="1"/>
  <c r="T41" i="1"/>
  <c r="T45" i="1"/>
  <c r="T44" i="1"/>
  <c r="AB47" i="1"/>
  <c r="AB43" i="1"/>
  <c r="AB45" i="1"/>
  <c r="AB44" i="1"/>
  <c r="AB46" i="1"/>
  <c r="AB41" i="1"/>
  <c r="D6" i="1"/>
  <c r="D47" i="1"/>
  <c r="D44" i="1"/>
  <c r="D43" i="1"/>
  <c r="D41" i="1"/>
  <c r="D46" i="1"/>
  <c r="D45" i="1"/>
  <c r="AD41" i="1"/>
  <c r="AD45" i="1"/>
  <c r="AD44" i="1"/>
  <c r="AD47" i="1"/>
  <c r="AD43" i="1"/>
  <c r="AD46" i="1"/>
  <c r="R41" i="1"/>
  <c r="R43" i="1"/>
  <c r="R45" i="1"/>
  <c r="R46" i="1"/>
  <c r="R44" i="1"/>
  <c r="R47" i="1"/>
  <c r="J41" i="1"/>
  <c r="J47" i="1"/>
  <c r="J43" i="1"/>
  <c r="J45" i="1"/>
  <c r="J46" i="1"/>
  <c r="J44" i="1"/>
  <c r="F41" i="1"/>
  <c r="F47" i="1"/>
  <c r="F44" i="1"/>
  <c r="F46" i="1"/>
  <c r="F43" i="1"/>
  <c r="F45" i="1"/>
  <c r="O43" i="1"/>
  <c r="O41" i="1"/>
  <c r="O47" i="1"/>
  <c r="O44" i="1"/>
  <c r="O45" i="1"/>
  <c r="O46" i="1"/>
  <c r="AE46" i="1"/>
  <c r="AE47" i="1"/>
  <c r="AE44" i="1"/>
  <c r="AE45" i="1"/>
  <c r="AE43" i="1"/>
  <c r="AE41" i="1"/>
  <c r="AF46" i="1"/>
  <c r="AF47" i="1"/>
  <c r="AF41" i="1"/>
  <c r="AF43" i="1"/>
  <c r="AF45" i="1"/>
  <c r="AF44" i="1"/>
  <c r="AC41" i="1"/>
  <c r="E41" i="1"/>
  <c r="H46" i="1"/>
  <c r="AC46" i="1"/>
  <c r="P41" i="1"/>
  <c r="Y46" i="1"/>
  <c r="Y44" i="1"/>
  <c r="Y45" i="1"/>
  <c r="Q45" i="1"/>
  <c r="G46" i="4"/>
  <c r="G51" i="4"/>
  <c r="G49" i="4"/>
  <c r="G47" i="4"/>
  <c r="X43" i="4"/>
  <c r="G52" i="4"/>
  <c r="G45" i="4"/>
  <c r="G50" i="4"/>
  <c r="G48" i="4"/>
  <c r="G44" i="4"/>
  <c r="H39" i="4"/>
  <c r="J34" i="3"/>
  <c r="K34" i="3" s="1"/>
  <c r="L34" i="3" s="1"/>
  <c r="M34" i="3" s="1"/>
  <c r="N34" i="3" s="1"/>
  <c r="H72" i="4"/>
  <c r="K88" i="4"/>
  <c r="L89" i="4"/>
  <c r="X43" i="1"/>
  <c r="E45" i="1"/>
  <c r="Z19" i="3"/>
  <c r="Z33" i="3" s="1"/>
  <c r="Z31" i="3" s="1"/>
  <c r="AA17" i="3"/>
  <c r="M41" i="1"/>
  <c r="P46" i="1"/>
  <c r="X41" i="1"/>
  <c r="AC45" i="1"/>
  <c r="X46" i="1"/>
  <c r="X47" i="1"/>
  <c r="K41" i="1"/>
  <c r="L44" i="1"/>
  <c r="W45" i="1"/>
  <c r="W46" i="1"/>
  <c r="H44" i="1"/>
  <c r="H45" i="1"/>
  <c r="P44" i="1"/>
  <c r="G79" i="4"/>
  <c r="G84" i="4"/>
  <c r="G77" i="4"/>
  <c r="X44" i="4"/>
  <c r="G82" i="4"/>
  <c r="G80" i="4"/>
  <c r="G85" i="4"/>
  <c r="G78" i="4"/>
  <c r="G83" i="4"/>
  <c r="G81" i="4"/>
  <c r="W41" i="1"/>
  <c r="Y41" i="1"/>
  <c r="H41" i="1"/>
  <c r="K44" i="1"/>
  <c r="X44" i="1"/>
  <c r="P45" i="1"/>
  <c r="K45" i="1"/>
  <c r="K46" i="1"/>
  <c r="M44" i="1"/>
  <c r="P43" i="1"/>
  <c r="AC47" i="1"/>
  <c r="Q43" i="1"/>
  <c r="Q44" i="1"/>
  <c r="Y43" i="1"/>
  <c r="W43" i="1"/>
  <c r="Q46" i="1"/>
  <c r="W44" i="1"/>
  <c r="H47" i="1"/>
  <c r="W43" i="4"/>
  <c r="M46" i="1"/>
  <c r="Q41" i="1"/>
  <c r="E46" i="1"/>
  <c r="W44" i="4"/>
  <c r="AC43" i="1"/>
  <c r="AC44" i="1"/>
  <c r="E43" i="1"/>
  <c r="M43" i="1"/>
  <c r="Z25" i="3"/>
  <c r="AA25" i="3" l="1"/>
  <c r="E15" i="2"/>
  <c r="E16" i="2" s="1"/>
  <c r="D5" i="1"/>
  <c r="G15" i="2"/>
  <c r="G16" i="2" s="1"/>
  <c r="F5" i="1"/>
  <c r="I5" i="1"/>
  <c r="J15" i="2"/>
  <c r="J16" i="2" s="1"/>
  <c r="M89" i="4"/>
  <c r="M88" i="4" s="1"/>
  <c r="L88" i="4"/>
  <c r="D18" i="2"/>
  <c r="D19" i="2"/>
  <c r="U15" i="2"/>
  <c r="I39" i="4"/>
  <c r="O34" i="3"/>
  <c r="P34" i="3" s="1"/>
  <c r="Q34" i="3" s="1"/>
  <c r="R34" i="3" s="1"/>
  <c r="S34" i="3" s="1"/>
  <c r="I72" i="4"/>
  <c r="C6" i="1"/>
  <c r="B44" i="1"/>
  <c r="B45" i="1"/>
  <c r="B43" i="1"/>
  <c r="B41" i="1"/>
  <c r="B47" i="1"/>
  <c r="B46" i="1"/>
  <c r="AA19" i="3"/>
  <c r="AA33" i="3" s="1"/>
  <c r="AA31" i="3" s="1"/>
  <c r="AB17" i="3"/>
  <c r="AB25" i="3" s="1"/>
  <c r="H73" i="4"/>
  <c r="H74" i="4"/>
  <c r="H75" i="4"/>
  <c r="H76" i="4"/>
  <c r="I15" i="2"/>
  <c r="I16" i="2" s="1"/>
  <c r="H5" i="1"/>
  <c r="J5" i="1"/>
  <c r="K15" i="2"/>
  <c r="K16" i="2" s="1"/>
  <c r="H15" i="2"/>
  <c r="H16" i="2" s="1"/>
  <c r="G5" i="1"/>
  <c r="H43" i="4"/>
  <c r="H40" i="4"/>
  <c r="H41" i="4"/>
  <c r="H42" i="4"/>
  <c r="D15" i="2" l="1"/>
  <c r="D16" i="2" s="1"/>
  <c r="C5" i="1"/>
  <c r="I18" i="2"/>
  <c r="I19" i="2"/>
  <c r="H79" i="4"/>
  <c r="H84" i="4"/>
  <c r="H77" i="4"/>
  <c r="Y44" i="4"/>
  <c r="H82" i="4"/>
  <c r="H80" i="4"/>
  <c r="H85" i="4"/>
  <c r="H78" i="4"/>
  <c r="H83" i="4"/>
  <c r="H81" i="4"/>
  <c r="H46" i="4"/>
  <c r="H51" i="4"/>
  <c r="H49" i="4"/>
  <c r="H47" i="4"/>
  <c r="Y43" i="4"/>
  <c r="H52" i="4"/>
  <c r="H45" i="4"/>
  <c r="H50" i="4"/>
  <c r="H48" i="4"/>
  <c r="H44" i="4"/>
  <c r="H19" i="2"/>
  <c r="H18" i="2"/>
  <c r="I74" i="4"/>
  <c r="I75" i="4"/>
  <c r="I76" i="4"/>
  <c r="I73" i="4"/>
  <c r="G19" i="2"/>
  <c r="G22" i="2" s="1"/>
  <c r="G18" i="2"/>
  <c r="AB19" i="3"/>
  <c r="AB33" i="3" s="1"/>
  <c r="AB31" i="3" s="1"/>
  <c r="AC17" i="3"/>
  <c r="K18" i="2"/>
  <c r="K21" i="2" s="1"/>
  <c r="K19" i="2"/>
  <c r="J72" i="4"/>
  <c r="T34" i="3"/>
  <c r="U34" i="3" s="1"/>
  <c r="V34" i="3" s="1"/>
  <c r="W34" i="3" s="1"/>
  <c r="X34" i="3" s="1"/>
  <c r="J39" i="4"/>
  <c r="F19" i="2"/>
  <c r="F18" i="2"/>
  <c r="J18" i="2"/>
  <c r="J19" i="2"/>
  <c r="J22" i="2" s="1"/>
  <c r="I43" i="4"/>
  <c r="I40" i="4"/>
  <c r="I41" i="4"/>
  <c r="I42" i="4"/>
  <c r="E19" i="2"/>
  <c r="E18" i="2"/>
  <c r="F21" i="2" l="1"/>
  <c r="G21" i="2"/>
  <c r="I22" i="2"/>
  <c r="J21" i="2"/>
  <c r="I21" i="2"/>
  <c r="F22" i="2"/>
  <c r="AC19" i="3"/>
  <c r="AC33" i="3" s="1"/>
  <c r="AC31" i="3" s="1"/>
  <c r="I4" i="3" s="1"/>
  <c r="AD17" i="3"/>
  <c r="I51" i="4"/>
  <c r="I49" i="4"/>
  <c r="I47" i="4"/>
  <c r="Z43" i="4"/>
  <c r="I52" i="4"/>
  <c r="I45" i="4"/>
  <c r="I50" i="4"/>
  <c r="I48" i="4"/>
  <c r="I44" i="4"/>
  <c r="I46" i="4"/>
  <c r="I84" i="4"/>
  <c r="I77" i="4"/>
  <c r="Z44" i="4"/>
  <c r="I82" i="4"/>
  <c r="I80" i="4"/>
  <c r="I85" i="4"/>
  <c r="I78" i="4"/>
  <c r="I83" i="4"/>
  <c r="I81" i="4"/>
  <c r="I79" i="4"/>
  <c r="Y34" i="3"/>
  <c r="Z34" i="3" s="1"/>
  <c r="AA34" i="3" s="1"/>
  <c r="AB34" i="3" s="1"/>
  <c r="K72" i="4"/>
  <c r="K39" i="4"/>
  <c r="J74" i="4"/>
  <c r="J75" i="4"/>
  <c r="J76" i="4"/>
  <c r="J73" i="4"/>
  <c r="H22" i="2"/>
  <c r="J40" i="4"/>
  <c r="J41" i="4"/>
  <c r="J42" i="4"/>
  <c r="J43" i="4"/>
  <c r="H21" i="2"/>
  <c r="K22" i="2"/>
  <c r="AC25" i="3"/>
  <c r="AD25" i="3" s="1"/>
  <c r="AC34" i="3" l="1"/>
  <c r="K74" i="4"/>
  <c r="K75" i="4"/>
  <c r="K76" i="4"/>
  <c r="K73" i="4"/>
  <c r="J49" i="4"/>
  <c r="J47" i="4"/>
  <c r="AA43" i="4"/>
  <c r="J52" i="4"/>
  <c r="J45" i="4"/>
  <c r="J50" i="4"/>
  <c r="J48" i="4"/>
  <c r="J44" i="4"/>
  <c r="J46" i="4"/>
  <c r="J51" i="4"/>
  <c r="L72" i="4"/>
  <c r="L39" i="4"/>
  <c r="J77" i="4"/>
  <c r="AA44" i="4"/>
  <c r="J82" i="4"/>
  <c r="J80" i="4"/>
  <c r="J85" i="4"/>
  <c r="J78" i="4"/>
  <c r="J83" i="4"/>
  <c r="J81" i="4"/>
  <c r="J79" i="4"/>
  <c r="J84" i="4"/>
  <c r="AD19" i="3"/>
  <c r="AD33" i="3" s="1"/>
  <c r="AD31" i="3" s="1"/>
  <c r="AE17" i="3"/>
  <c r="K40" i="4"/>
  <c r="K41" i="4"/>
  <c r="K42" i="4"/>
  <c r="K43" i="4"/>
  <c r="K49" i="4" l="1"/>
  <c r="K47" i="4"/>
  <c r="AB43" i="4"/>
  <c r="K52" i="4"/>
  <c r="K45" i="4"/>
  <c r="K50" i="4"/>
  <c r="K48" i="4"/>
  <c r="K44" i="4"/>
  <c r="K46" i="4"/>
  <c r="K51" i="4"/>
  <c r="AD34" i="3"/>
  <c r="AE19" i="3"/>
  <c r="AE33" i="3" s="1"/>
  <c r="AE31" i="3" s="1"/>
  <c r="AF17" i="3"/>
  <c r="L75" i="4"/>
  <c r="L76" i="4"/>
  <c r="L73" i="4"/>
  <c r="L74" i="4"/>
  <c r="K82" i="4"/>
  <c r="K80" i="4"/>
  <c r="K85" i="4"/>
  <c r="K78" i="4"/>
  <c r="K83" i="4"/>
  <c r="K81" i="4"/>
  <c r="K79" i="4"/>
  <c r="K84" i="4"/>
  <c r="K77" i="4"/>
  <c r="AB44" i="4"/>
  <c r="AE25" i="3"/>
  <c r="AF25" i="3" s="1"/>
  <c r="L40" i="4"/>
  <c r="L41" i="4"/>
  <c r="L42" i="4"/>
  <c r="L43" i="4"/>
  <c r="AE34" i="3" l="1"/>
  <c r="L47" i="4"/>
  <c r="AC43" i="4"/>
  <c r="L52" i="4"/>
  <c r="L45" i="4"/>
  <c r="L50" i="4"/>
  <c r="L48" i="4"/>
  <c r="L44" i="4"/>
  <c r="L46" i="4"/>
  <c r="L51" i="4"/>
  <c r="L49" i="4"/>
  <c r="L80" i="4"/>
  <c r="L85" i="4"/>
  <c r="L78" i="4"/>
  <c r="L83" i="4"/>
  <c r="L81" i="4"/>
  <c r="L79" i="4"/>
  <c r="L84" i="4"/>
  <c r="L77" i="4"/>
  <c r="AC44" i="4"/>
  <c r="L82" i="4"/>
  <c r="AF19" i="3"/>
  <c r="AF33" i="3" s="1"/>
  <c r="AF31" i="3" s="1"/>
  <c r="AG17" i="3"/>
  <c r="AG25" i="3" s="1"/>
  <c r="AG19" i="3" l="1"/>
  <c r="AG33" i="3" s="1"/>
  <c r="AG31" i="3" s="1"/>
  <c r="AH17" i="3"/>
  <c r="AH19" i="3" s="1"/>
  <c r="AH33" i="3" s="1"/>
  <c r="AH31" i="3" s="1"/>
  <c r="J4" i="3" s="1"/>
  <c r="AH25" i="3"/>
  <c r="AF34" i="3"/>
  <c r="AG34" i="3" s="1"/>
  <c r="AH34" i="3" s="1"/>
  <c r="M72" i="4" l="1"/>
  <c r="M39" i="4"/>
  <c r="M41" i="4" l="1"/>
  <c r="M42" i="4"/>
  <c r="M43" i="4"/>
  <c r="M40" i="4"/>
  <c r="M75" i="4"/>
  <c r="M76" i="4"/>
  <c r="M73" i="4"/>
  <c r="M74" i="4"/>
  <c r="M80" i="4" l="1"/>
  <c r="M85" i="4"/>
  <c r="M78" i="4"/>
  <c r="M83" i="4"/>
  <c r="M81" i="4"/>
  <c r="M79" i="4"/>
  <c r="M84" i="4"/>
  <c r="M77" i="4"/>
  <c r="AD44" i="4"/>
  <c r="M82" i="4"/>
  <c r="M47" i="4"/>
  <c r="AD43" i="4"/>
  <c r="M52" i="4"/>
  <c r="M45" i="4"/>
  <c r="M50" i="4"/>
  <c r="M48" i="4"/>
  <c r="M44" i="4"/>
  <c r="M46" i="4"/>
  <c r="M51" i="4"/>
  <c r="M49" i="4"/>
</calcChain>
</file>

<file path=xl/sharedStrings.xml><?xml version="1.0" encoding="utf-8"?>
<sst xmlns="http://schemas.openxmlformats.org/spreadsheetml/2006/main" count="322" uniqueCount="205">
  <si>
    <t>Cadrage proposé pour l'AME-AMS 2023</t>
  </si>
  <si>
    <t>en millions hab</t>
  </si>
  <si>
    <t>France entière</t>
  </si>
  <si>
    <t>Métropole</t>
  </si>
  <si>
    <t>Outre mer</t>
  </si>
  <si>
    <t>On prend les chiffres du scénario central de l’INSEE 2021. Projections régionales à venir en 2022 (pour les OM)</t>
  </si>
  <si>
    <t>Sources:</t>
  </si>
  <si>
    <t>données historiques</t>
  </si>
  <si>
    <t>https://www.insee.fr/fr/statistiques/1892117?sommaire=1912926</t>
  </si>
  <si>
    <t>données scénarios INSEE</t>
  </si>
  <si>
    <t>https://www.insee.fr/fr/statistiques/2859843</t>
  </si>
  <si>
    <t>https://www.insee.fr/fr/statistiques/2496724?sommaire=2496793</t>
  </si>
  <si>
    <t xml:space="preserve">INSEE 2021  </t>
  </si>
  <si>
    <t>https://www.insee.fr/fr/statistiques/5893969#consulter</t>
  </si>
  <si>
    <t>AMS18</t>
  </si>
  <si>
    <t>cadrage Cion</t>
  </si>
  <si>
    <t>insee fécondité basse</t>
  </si>
  <si>
    <t>Observé</t>
  </si>
  <si>
    <t>insee fécondité et espérance de vie basse, migration centrale</t>
  </si>
  <si>
    <t>AME 2021</t>
  </si>
  <si>
    <t>INSEE 2021 – scénario central</t>
  </si>
  <si>
    <t>ratio INSEE2021/AME2021</t>
  </si>
  <si>
    <t>INSEE Fécondité basse</t>
  </si>
  <si>
    <t>à actualiser en 2022 avec les projections régionales</t>
  </si>
  <si>
    <t>Guadeloupe</t>
  </si>
  <si>
    <t>Martinique</t>
  </si>
  <si>
    <t>Guyane</t>
  </si>
  <si>
    <t>La Réunion</t>
  </si>
  <si>
    <t>Mayotte</t>
  </si>
  <si>
    <t>Total OM</t>
  </si>
  <si>
    <t>Somme</t>
  </si>
  <si>
    <t>%OM</t>
  </si>
  <si>
    <t>INSEE Fécondité basse, espérance de vie basse, migration centrale</t>
  </si>
  <si>
    <t>Commission cadrage mars 2022</t>
  </si>
  <si>
    <t>AME AMS 2023</t>
  </si>
  <si>
    <t>dont Métropole</t>
  </si>
  <si>
    <t>dont OM</t>
  </si>
  <si>
    <t>OM</t>
  </si>
  <si>
    <t>Metropole</t>
  </si>
  <si>
    <t>L’INSEE a indiqué ne pas prévoir d’actualiser les chiffres de la population active dans son édition 2021, du coup par défaut on reprend les taux du scénario INSEE 2016 fécondité basse</t>
  </si>
  <si>
    <t>M habitants</t>
  </si>
  <si>
    <t>AME 2018 (INSEE central)</t>
  </si>
  <si>
    <t>pop active</t>
  </si>
  <si>
    <t>Vérification avec les données historiques</t>
  </si>
  <si>
    <t>pop totale</t>
  </si>
  <si>
    <t>INSEE</t>
  </si>
  <si>
    <t>population en emploi</t>
  </si>
  <si>
    <t>Fr entière</t>
  </si>
  <si>
    <t>% actifs</t>
  </si>
  <si>
    <t>Avec 9,1 % de chômage</t>
  </si>
  <si>
    <t>population active</t>
  </si>
  <si>
    <t>métropole</t>
  </si>
  <si>
    <t>INSEE fécondité basse</t>
  </si>
  <si>
    <t>Périmètre : FR métropolitaine</t>
  </si>
  <si>
    <t>https://www.insee.fr/fr/statistiques/4277675?sommaire=4318291</t>
  </si>
  <si>
    <t>Source</t>
  </si>
  <si>
    <t>https://www.insee.fr/fr/statistiques/2845558</t>
  </si>
  <si>
    <t>emploi tertiaire</t>
  </si>
  <si>
    <t>pop métropolitaine</t>
  </si>
  <si>
    <t>part de l’emploi tertiaire dans la population active</t>
  </si>
  <si>
    <t>pop active métropole</t>
  </si>
  <si>
    <t>On reprend les taux de pop active de INSEE 2016 fécondité basse</t>
  </si>
  <si>
    <t>Emploi tertiaire</t>
  </si>
  <si>
    <t>AME 2023</t>
  </si>
  <si>
    <t>évolution de l'emploi similaire à la part dans la valeur ajoutée brute</t>
  </si>
  <si>
    <t>AMS 2023</t>
  </si>
  <si>
    <t>Recalage 2018 sur les données INSEE</t>
  </si>
  <si>
    <t>TCAM emploi tertiaire</t>
  </si>
  <si>
    <t>Cadrage proposé pour l'AME et AMS 2023</t>
  </si>
  <si>
    <t>%</t>
  </si>
  <si>
    <t>Croissance PIB</t>
  </si>
  <si>
    <t xml:space="preserve">On prend les mêmes chiffres que l'AME 2021, ajusté du delta de population induit par le scénario INSEE 2021 jusqu'à transmission du nouveau cadrage par la Commission (mi-2022?)
Méthode :  on calcule, à partir de la trajectoire de population de l’AME 2021, la part de la croissance du PIB due à la population, et celle due au PIB/hab (qui inclut la productivité). Pour l’AME/AMS 2023 on conserve le chiffre de gain de PIB/hab de l’AME 2021 et on prend les chiffres de population de INSEE 2021 (courbe bleu clair)
NB : RTE a pris 1,3 % pour la croissance du PIB post-2030
</t>
  </si>
  <si>
    <t xml:space="preserve">Sources : </t>
  </si>
  <si>
    <t>Prévisions Banque de France</t>
  </si>
  <si>
    <t>https://publications.banque-france.fr/projections-macroeconomiques-septembre-2021</t>
  </si>
  <si>
    <t>Croissance du PIB réel (%)</t>
  </si>
  <si>
    <t>FR (cadrage Cion)</t>
  </si>
  <si>
    <t>dont population</t>
  </si>
  <si>
    <t>dont productivité</t>
  </si>
  <si>
    <t>Banque de France</t>
  </si>
  <si>
    <t>PLF2022 et RESF2022</t>
  </si>
  <si>
    <t>PIB (index 2018 = 100)</t>
  </si>
  <si>
    <t>AMS2018</t>
  </si>
  <si>
    <t xml:space="preserve">PLF </t>
  </si>
  <si>
    <t>Cadrage Commission mars 2023</t>
  </si>
  <si>
    <t>OCDE</t>
  </si>
  <si>
    <t>M USD 2016</t>
  </si>
  <si>
    <t>AME : on reprend les chiffres du scénario de référence de la Commission Européenne en ajustant la GVA totale de l’évolution du PIB en AME 2023 par rapport à la trajectoire de PIB du scénario de la Commission
AMS : on maintient la part de l’industrie stable à 13,5 %, et on prend la trajectoire EC Ref 2020 pour l’agriculture et la construction (voir si on ajuste sur ce dernier en fonction du rythme de la construction neuve/rénovation). Les services prennent le reste</t>
  </si>
  <si>
    <t>1. Historique – EC Ref 2020</t>
  </si>
  <si>
    <t>INSEE (Md€ prix courants)</t>
  </si>
  <si>
    <t>EC Ref 2020 (M€ 2015)</t>
  </si>
  <si>
    <t xml:space="preserve">Md€ </t>
  </si>
  <si>
    <t>PIB (volume en prix de marché)</t>
  </si>
  <si>
    <t>Total GVA</t>
  </si>
  <si>
    <t>dont agriculture</t>
  </si>
  <si>
    <t>dont construction</t>
  </si>
  <si>
    <t>dont services</t>
  </si>
  <si>
    <t>dont industrie et énergie</t>
  </si>
  <si>
    <t>dont énergie</t>
  </si>
  <si>
    <t>dont industrie</t>
  </si>
  <si>
    <t>dont sidérurgie</t>
  </si>
  <si>
    <t>dont métaux non-ferreux</t>
  </si>
  <si>
    <t>dont chimie</t>
  </si>
  <si>
    <t>dont minéraux non-métalliques</t>
  </si>
  <si>
    <t>dont papier pâtes</t>
  </si>
  <si>
    <t>dont IAA</t>
  </si>
  <si>
    <t>dont autres</t>
  </si>
  <si>
    <t>% GVA</t>
  </si>
  <si>
    <t>2. AME 2023</t>
  </si>
  <si>
    <t>Md€ 2015</t>
  </si>
  <si>
    <t>Indice 2018 = 100</t>
  </si>
  <si>
    <t>Repris de EC Ref 2020, ajusté du PIB</t>
  </si>
  <si>
    <t>AMS 18</t>
  </si>
  <si>
    <t>AME 18</t>
  </si>
  <si>
    <t>AME 21</t>
  </si>
  <si>
    <t>Ecref</t>
  </si>
  <si>
    <t>AME 23</t>
  </si>
  <si>
    <t>AMS 23</t>
  </si>
  <si>
    <t>EC Ref 2020</t>
  </si>
  <si>
    <t>3. AMS 2023</t>
  </si>
  <si>
    <t>Prend le reste</t>
  </si>
  <si>
    <t>Hyp constant à 13,5 %</t>
  </si>
  <si>
    <t>Voir le fichier excel dédié</t>
  </si>
  <si>
    <t>€2016/tCO2</t>
  </si>
  <si>
    <t>taux inflation 2013-2016</t>
  </si>
  <si>
    <t>Composante carbone</t>
  </si>
  <si>
    <t>EU-ETS</t>
  </si>
  <si>
    <t>On ajuste la trajectoire de la forte hausse des prix liée au ff55. On prend la trajectoire « option 3 » (peut être elle-même trop conservatrice)</t>
  </si>
  <si>
    <t>AME/AMS 2018</t>
  </si>
  <si>
    <t>AME 2018 €2016</t>
  </si>
  <si>
    <t>AME 2018 €2013</t>
  </si>
  <si>
    <t>AME 2021 (€2016)</t>
  </si>
  <si>
    <t>Paramètres recommandés par la Commission</t>
  </si>
  <si>
    <t>EU ref 2020 (€2015)</t>
  </si>
  <si>
    <t>https://op.europa.eu/en/publication-detail/-/publication/96c2ca82-e85e-11eb-93a8-01aa75ed71a1/language-en/format-PDF/source-219903975</t>
  </si>
  <si>
    <t>p42</t>
  </si>
  <si>
    <t>Option 1</t>
  </si>
  <si>
    <t>on retrouve les niveaux AME21 en 2050</t>
  </si>
  <si>
    <t>Option 2</t>
  </si>
  <si>
    <t>on poursuit la trajectoire AME21 à partir du point 2020</t>
  </si>
  <si>
    <t>Option 3</t>
  </si>
  <si>
    <t>hyp de hausse du prix comme CarbonPulse puis trajectoire AME21</t>
  </si>
  <si>
    <t>EI ff55</t>
  </si>
  <si>
    <t>CaarbonPulse (moyen)</t>
  </si>
  <si>
    <t>Variable</t>
  </si>
  <si>
    <t>Plans et stratégies</t>
  </si>
  <si>
    <t>Narratif AME</t>
  </si>
  <si>
    <t>Narratif AMS</t>
  </si>
  <si>
    <t>Commentaire</t>
  </si>
  <si>
    <t>Démographie et structure des ménages</t>
  </si>
  <si>
    <t>- Révision en cours du plan « Bien vieillir » (Santé Publique France)</t>
  </si>
  <si>
    <t>Evolution de la population : Identique AME et AMS (cf cadrage macro-éco) : hausse plus modérée de la population, vieillissement…</t>
  </si>
  <si>
    <t>Poursuite de la dé-cohabitation</t>
  </si>
  <si>
    <t>Stabilisation du nombre de personnes par foyer (développement de l’habitat partagé, intergénérationnel, etc.)</t>
  </si>
  <si>
    <t>Logiques de peuplement</t>
  </si>
  <si>
    <t xml:space="preserve">- Vision habiter la France de demain (E.Wargon) 
-Stratégie logement (2017) 
- Stratégie nationale pour la biodiversité (2021) 
- ODD 11 </t>
  </si>
  <si>
    <t xml:space="preserve">Impact COVID 
- Développement de la bi-résidentialité 
- hausse de la taille des logements et des surfaces de jardin 
- MI favorisées aux LC 
- Poursuite de la métropolisation à la faveur des villes moyennes et grandes  
Poursuite de la métropolisation et étalement urbain (dévitalisation des centres villes des petites villes) </t>
  </si>
  <si>
    <t>Vision habiter la France de demain  
- Rendre désirable l’habitat collectif et les quartiers denses 
- Qualité de la construction (taille minimale des logements) 
- Favoriser la création de logements abordables dans les métropoles 
- MaPrimeAdapt pour adapter les logements au vieillissement 
- Conversions bureaux logements (ex. passer de 350km²/an soit 4/5000lgt/an à 1,4Mm²=20klgt) 
- Développement de tiers-lieux de télétravail 
- Développements d’espaces et de matériel partagé
- Stabilisation du nombre de résidences secondaires
- Revitalisation des centre-villes et densification des villes moyennes 
- Réduction du mal-logements et de la précarité énergétique</t>
  </si>
  <si>
    <t>Système productif</t>
  </si>
  <si>
    <t xml:space="preserve">- Pacte productif 
- France relance 
- France 2030 
- ODD 8,9,12 </t>
  </si>
  <si>
    <t>Poursuite de la baisse de la part de l’industrie dans le PIB et l’emploi au profit du secteur tertiaire. Hausse des importations car la demande croît plus vite que la production. Développement de la numérisation et de la robotisation.</t>
  </si>
  <si>
    <t xml:space="preserve">Ré-industrialisation notamment au profit de quelques filières stratégiques, recherche d’une souveraineté économique. Maintien d’un solde exportateur important dans les secteurs actuellement exportateurs, et développement d’un export de biens et services durables. Développement de la numérisation et de la robotisation. Transition juste des emplois et des compétences. Développement d’offres « de sobriété » aux clients (leasing, lutte contre l’obsolescence, meilleur dimensionnement aux besoins du client, réglages sobres par défaut etc.) </t>
  </si>
  <si>
    <t>Emploi et organisation des entreprises</t>
  </si>
  <si>
    <t>- Plan d'investissement en compétences 2018-2022
- Plan de développement des compétences</t>
  </si>
  <si>
    <t xml:space="preserve">Adaptation des entreprises au développement du télétravail
Tertiairisation – plus d’aide à la personne
</t>
  </si>
  <si>
    <t>Adaptation des entreprises au télétravail
Transition juste : formation et accompagnement des salariés
Adoption par les entreprises de stratégies climat cohérentes avec la SNBC</t>
  </si>
  <si>
    <t>Fiscalité et redistribution</t>
  </si>
  <si>
    <t xml:space="preserve">- Stratégie de prévention et de lutte contre la pauvreté (2018-2022) 
- ODD 1,10 </t>
  </si>
  <si>
    <t>Pas de changements</t>
  </si>
  <si>
    <t>- Prix du carbone et modification de la fiscalité énergétique 
- Compensation et accompagnement renforcé des ménages modestes 
- ODD 10.1 : augmentation plus rapide des revenus des 40% les plus pauvres que le reste de la population 
- fiscalité qui favorise les produits plus écologiques, durables et sains, et pénalise ceux qui ne le sont pas</t>
  </si>
  <si>
    <t>Sensibilité environnementale et consommation</t>
  </si>
  <si>
    <t xml:space="preserve">- Agribalyse 
- Indice de réparabilité 
- CO2 score à terme 
- ODD 4, 12 </t>
  </si>
  <si>
    <t xml:space="preserve">- Plus grande appétence des consommateurs pour les produits fabriqués en France / à basses émissions / réparables / de meilleure qualité via affichage environnemental et éducation. 
- Publicité régulée qui rend désirable des modes de vie durables
- Développement des commerces de proximité </t>
  </si>
  <si>
    <t>Usage du temps, loisirs et tourisme</t>
  </si>
  <si>
    <t>- ODD 4, 8, 16, 17</t>
  </si>
  <si>
    <t>Augmentation des distances parcourus pour les loisirs et le tourisme</t>
  </si>
  <si>
    <t>- Développement d’un tourisme plus local et de loisirs à faible impact environnemental (tourisme vert, culture, etc.)
- Davantage de temps consacré aux projets associatifs et de proximité (énergies citoyennes, etc.)
- trajets longue distance plus longs (en train vs en avion) mais moins fréquents</t>
  </si>
  <si>
    <t>Usages du numérique</t>
  </si>
  <si>
    <t xml:space="preserve">- Feuille de route Numérique et environnement 
- Plan national pour un numérique inclusif </t>
  </si>
  <si>
    <t>Poursuite du développement exponentiel des usages (digitalisation de l’industrie, IoT…)</t>
  </si>
  <si>
    <t>Priorisation des usages (ex dans l’industrie, la santé, l’éducation, le télétravail…) et sobriété numérique. Réduction du temps de loisir passé devant des écrans et lutte contre les addictions. Développement des achats de terminaux réparables ou reconditionnés.</t>
  </si>
  <si>
    <t>Cohésion sociale et engagements</t>
  </si>
  <si>
    <t xml:space="preserve">- ODD 5, 10, 11, 16, 17 </t>
  </si>
  <si>
    <t xml:space="preserve">Solidarité accrue au sein de la société (entre les générations, les territoires, etc.). Réhabilitation des communs (espaces partagés). Implication des citoyens dans les décisions et confiance dans les institutions </t>
  </si>
  <si>
    <t>Santé et bien-être</t>
  </si>
  <si>
    <t>- PNNS 2019-2023 
- Programme national de l’alimentation et de la nutrition 
- Plan national de la santé publique 
- ODD 2, 3 
- Approche « One Health » (OMS)</t>
  </si>
  <si>
    <t>- Régimes alimentaires équilibrés (plus de fruits et légumes et protéines végétales, moins de viande), avec davantage d’aliments frais, locaux, de saison, et de qualité (labels)
- Exercice physique régulier 
- réduction des pollutions (lumineuse, bruit, polluants atmosphériques…)</t>
  </si>
  <si>
    <t>Mobilité</t>
  </si>
  <si>
    <t xml:space="preserve">- France 2030 
- Plan vélo </t>
  </si>
  <si>
    <t>- Impact COVID à court terme. 
- Poursuite du développement du e-commerce, des livraisons à domicile etc. 
- Poursuite de la hausse de la taille et du poids des véhicules</t>
  </si>
  <si>
    <t>- Réduction de la demande en mobilité via le développement du télétravail, la limitation de l’étalement urbain, le développement des circuits circuits courts…)
- utilisation plus importante des modes ferrés ou non motorisés en lien avec des investissements plus forts dans les infrastructures associées (transports en commun, aménagements cyclables, etc.)</t>
  </si>
  <si>
    <t>Adaptation</t>
  </si>
  <si>
    <t>- PNACC
- ODD 13</t>
  </si>
  <si>
    <t xml:space="preserve">Adaptation au changement climatique limitée. </t>
  </si>
  <si>
    <t xml:space="preserve">Adaptation effective dès le milieu du XXIe siècle à un climat régional en métropole et dans les outre-mer cohérent avec une hausse de température de +1,5 à 2 °C au niveau mondial par rapport au XIXe siècle </t>
  </si>
  <si>
    <t>Emissions du reste du monde et niveau de réchauffement climatique</t>
  </si>
  <si>
    <t>- Accord de Paris
- ODD 13</t>
  </si>
  <si>
    <t>Trajectoire d’émissions limitant le réchauffement climatique à 2°C  (~ pleine mise en œuvre des engagements actuels, notamment de neutralité carbone) : SSP1-RCP2.6. Impact à 2100 sur la température globale de surface par rapport à la période pré-industrielle : +1,9°C (+1,5 - +2,3) (GIEC AR6)</t>
  </si>
  <si>
    <t>https://publications.banque-france.fr/projections-macroeconomiques-mars-2023</t>
  </si>
  <si>
    <t>Prévisions Banque de France 2023</t>
  </si>
  <si>
    <t>https://www.insee.fr/fr/statistiques/5225246#tableau-figure1</t>
  </si>
  <si>
    <t>https://www.insee.fr/fr/statistiques/6453758?sommaire=6453776#onglet-2</t>
  </si>
  <si>
    <t>INSEE projections de population active 2022 - 2070</t>
  </si>
  <si>
    <t>Projections de population active INSEE 2022 (basée sur le scénario central de projection 2021-2070)</t>
  </si>
  <si>
    <t>3ME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</si>
</sst>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00"/>
    <numFmt numFmtId="167" formatCode="0\ %"/>
    <numFmt numFmtId="168" formatCode="0.00\ %"/>
    <numFmt numFmtId="169" formatCode="0.0%"/>
    <numFmt numFmtId="170" formatCode="_(* #,##0_);_(* \(#,##0\);_(* \-??_);_(@_)"/>
    <numFmt numFmtId="171" formatCode="_-* #,##0.00_-;\-* #,##0.00_-;_-* \-??_-;_-@_-"/>
    <numFmt numFmtId="172" formatCode="_(* #,##0.00_);_(* \(#,##0.00\);_(* \-??_);_(@_)"/>
    <numFmt numFmtId="173" formatCode="#,##0.0"/>
  </numFmts>
  <fonts count="14" x14ac:knownFonts="1">
    <font>
      <sz val="11"/>
      <color rgb="FF000000"/>
      <name val="Calibri"/>
      <family val="2"/>
      <charset val="1"/>
    </font>
    <font>
      <sz val="10"/>
      <name val="MS Sans Serif"/>
      <family val="2"/>
      <charset val="1"/>
    </font>
    <font>
      <b/>
      <sz val="11"/>
      <color rgb="FF000000"/>
      <name val="Calibri"/>
      <family val="2"/>
      <charset val="1"/>
    </font>
    <font>
      <i/>
      <sz val="11"/>
      <color rgb="FF000000"/>
      <name val="Calibri"/>
      <family val="2"/>
      <charset val="1"/>
    </font>
    <font>
      <u/>
      <sz val="11"/>
      <color rgb="FF0563C1"/>
      <name val="Calibri"/>
      <family val="2"/>
      <charset val="1"/>
    </font>
    <font>
      <sz val="10"/>
      <name val="Arial"/>
      <family val="2"/>
      <charset val="1"/>
    </font>
    <font>
      <sz val="11"/>
      <color rgb="FFCE181E"/>
      <name val="Calibri"/>
      <family val="2"/>
      <charset val="1"/>
    </font>
    <font>
      <b/>
      <sz val="8"/>
      <color rgb="FF000000"/>
      <name val="Arial"/>
      <family val="2"/>
      <charset val="1"/>
    </font>
    <font>
      <sz val="8"/>
      <color rgb="FF000000"/>
      <name val="Calibri"/>
      <family val="2"/>
      <charset val="1"/>
    </font>
    <font>
      <sz val="8"/>
      <name val="Arial"/>
      <family val="2"/>
      <charset val="1"/>
    </font>
    <font>
      <i/>
      <sz val="8"/>
      <name val="Arial"/>
      <family val="2"/>
      <charset val="1"/>
    </font>
    <font>
      <b/>
      <sz val="16"/>
      <color rgb="FF000000"/>
      <name val="Calibri"/>
      <family val="2"/>
      <charset val="1"/>
    </font>
    <font>
      <b/>
      <sz val="15"/>
      <color rgb="FF000000"/>
      <name val="Calibri"/>
      <family val="2"/>
      <charset val="1"/>
    </font>
    <font>
      <sz val="11"/>
      <color rgb="FF000000"/>
      <name val="Calibri"/>
      <family val="2"/>
      <charset val="1"/>
    </font>
  </fonts>
  <fills count="14">
    <fill>
      <patternFill patternType="none"/>
    </fill>
    <fill>
      <patternFill patternType="gray125"/>
    </fill>
    <fill>
      <patternFill patternType="solid">
        <fgColor rgb="FFDEEBF7"/>
        <bgColor rgb="FFDAE3F3"/>
      </patternFill>
    </fill>
    <fill>
      <patternFill patternType="solid">
        <fgColor rgb="FFFFFF00"/>
        <bgColor rgb="FFFFD320"/>
      </patternFill>
    </fill>
    <fill>
      <patternFill patternType="solid">
        <fgColor rgb="FFFFF7D3"/>
        <bgColor rgb="FFFFF2CC"/>
      </patternFill>
    </fill>
    <fill>
      <patternFill patternType="solid">
        <fgColor rgb="FFF2F2F2"/>
        <bgColor rgb="FFF1EEEC"/>
      </patternFill>
    </fill>
    <fill>
      <patternFill patternType="solid">
        <fgColor rgb="FFF1EEEC"/>
        <bgColor rgb="FFF2F2F2"/>
      </patternFill>
    </fill>
    <fill>
      <patternFill patternType="solid">
        <fgColor rgb="FFD9D9D9"/>
        <bgColor rgb="FFDAE3F3"/>
      </patternFill>
    </fill>
    <fill>
      <patternFill patternType="solid">
        <fgColor rgb="FF81D41A"/>
        <bgColor rgb="FF70AD47"/>
      </patternFill>
    </fill>
    <fill>
      <patternFill patternType="solid">
        <fgColor rgb="FFDAE3F3"/>
        <bgColor rgb="FFDEEBF7"/>
      </patternFill>
    </fill>
    <fill>
      <patternFill patternType="solid">
        <fgColor rgb="FFB4C7E7"/>
        <bgColor rgb="FFBDD7EE"/>
      </patternFill>
    </fill>
    <fill>
      <patternFill patternType="solid">
        <fgColor rgb="FFFFF2CC"/>
        <bgColor rgb="FFFFF7D3"/>
      </patternFill>
    </fill>
    <fill>
      <patternFill patternType="solid">
        <fgColor rgb="FFFFBF00"/>
        <bgColor rgb="FFFFC000"/>
      </patternFill>
    </fill>
    <fill>
      <patternFill patternType="solid">
        <fgColor rgb="FFFFC000"/>
        <bgColor rgb="FFFFBF00"/>
      </patternFill>
    </fill>
  </fills>
  <borders count="26">
    <border>
      <left/>
      <right/>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hair">
        <color auto="1"/>
      </left>
      <right/>
      <top style="thin">
        <color auto="1"/>
      </top>
      <bottom style="hair">
        <color auto="1"/>
      </bottom>
      <diagonal/>
    </border>
    <border>
      <left/>
      <right/>
      <top style="thin">
        <color auto="1"/>
      </top>
      <bottom/>
      <diagonal/>
    </border>
    <border>
      <left/>
      <right style="thin">
        <color auto="1"/>
      </right>
      <top style="thin">
        <color auto="1"/>
      </top>
      <bottom/>
      <diagonal/>
    </border>
    <border>
      <left style="hair">
        <color auto="1"/>
      </left>
      <right style="hair">
        <color auto="1"/>
      </right>
      <top/>
      <bottom/>
      <diagonal/>
    </border>
    <border>
      <left style="hair">
        <color auto="1"/>
      </left>
      <right style="thin">
        <color auto="1"/>
      </right>
      <top/>
      <bottom style="hair">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thin">
        <color auto="1"/>
      </right>
      <top/>
      <bottom/>
      <diagonal/>
    </border>
    <border>
      <left/>
      <right style="thin">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s>
  <cellStyleXfs count="5">
    <xf numFmtId="0" fontId="0" fillId="0" borderId="0"/>
    <xf numFmtId="171" fontId="13" fillId="0" borderId="0" applyBorder="0" applyProtection="0"/>
    <xf numFmtId="167" fontId="13" fillId="0" borderId="0" applyBorder="0" applyProtection="0"/>
    <xf numFmtId="0" fontId="4" fillId="0" borderId="0" applyBorder="0" applyProtection="0"/>
    <xf numFmtId="0" fontId="1" fillId="0" borderId="0"/>
  </cellStyleXfs>
  <cellXfs count="117">
    <xf numFmtId="0" fontId="0" fillId="0" borderId="0" xfId="0"/>
    <xf numFmtId="0" fontId="0" fillId="0" borderId="3" xfId="0" applyBorder="1" applyAlignment="1">
      <alignment vertical="top" wrapText="1"/>
    </xf>
    <xf numFmtId="0" fontId="2" fillId="0" borderId="3" xfId="0" applyFont="1" applyBorder="1" applyAlignment="1">
      <alignment horizontal="center" vertical="center" wrapText="1"/>
    </xf>
    <xf numFmtId="0" fontId="0" fillId="2" borderId="2" xfId="0" applyFill="1" applyBorder="1"/>
    <xf numFmtId="0" fontId="0" fillId="2" borderId="3" xfId="0" applyFill="1" applyBorder="1"/>
    <xf numFmtId="0" fontId="0" fillId="2" borderId="4" xfId="0" applyFill="1" applyBorder="1"/>
    <xf numFmtId="4" fontId="0" fillId="2" borderId="3" xfId="0" applyNumberFormat="1" applyFill="1" applyBorder="1"/>
    <xf numFmtId="4" fontId="0" fillId="2" borderId="4" xfId="0" applyNumberFormat="1" applyFill="1" applyBorder="1"/>
    <xf numFmtId="0" fontId="3" fillId="2" borderId="2" xfId="0" applyFont="1" applyFill="1" applyBorder="1" applyAlignment="1">
      <alignment horizontal="right"/>
    </xf>
    <xf numFmtId="0" fontId="3" fillId="2" borderId="5" xfId="0" applyFont="1" applyFill="1" applyBorder="1" applyAlignment="1">
      <alignment horizontal="right"/>
    </xf>
    <xf numFmtId="4" fontId="0" fillId="2" borderId="6" xfId="0" applyNumberFormat="1" applyFill="1" applyBorder="1"/>
    <xf numFmtId="4" fontId="0" fillId="2" borderId="7" xfId="0" applyNumberFormat="1" applyFill="1" applyBorder="1"/>
    <xf numFmtId="0" fontId="0" fillId="0" borderId="0" xfId="0" applyAlignment="1">
      <alignment wrapText="1"/>
    </xf>
    <xf numFmtId="0" fontId="4" fillId="0" borderId="0" xfId="3" applyBorder="1" applyProtection="1"/>
    <xf numFmtId="0" fontId="2" fillId="0" borderId="0" xfId="0" applyFont="1"/>
    <xf numFmtId="164" fontId="0" fillId="0" borderId="0" xfId="0" applyNumberFormat="1"/>
    <xf numFmtId="2" fontId="0" fillId="0" borderId="0" xfId="0" applyNumberFormat="1"/>
    <xf numFmtId="165" fontId="5" fillId="0" borderId="0" xfId="0" applyNumberFormat="1" applyFont="1" applyProtection="1">
      <protection locked="0"/>
    </xf>
    <xf numFmtId="166" fontId="0" fillId="0" borderId="0" xfId="0" applyNumberFormat="1"/>
    <xf numFmtId="3" fontId="0" fillId="0" borderId="0" xfId="0" applyNumberFormat="1" applyProtection="1">
      <protection locked="0"/>
    </xf>
    <xf numFmtId="0" fontId="6" fillId="0" borderId="0" xfId="0" applyFont="1"/>
    <xf numFmtId="3" fontId="5" fillId="0" borderId="0" xfId="0" applyNumberFormat="1" applyFont="1"/>
    <xf numFmtId="0" fontId="3" fillId="0" borderId="0" xfId="0" applyFont="1" applyAlignment="1">
      <alignment horizontal="right"/>
    </xf>
    <xf numFmtId="3" fontId="1" fillId="0" borderId="0" xfId="4" applyNumberFormat="1"/>
    <xf numFmtId="3" fontId="0" fillId="0" borderId="0" xfId="0" applyNumberFormat="1"/>
    <xf numFmtId="0" fontId="2" fillId="0" borderId="0" xfId="0" applyFont="1" applyAlignment="1">
      <alignment horizontal="left"/>
    </xf>
    <xf numFmtId="168" fontId="0" fillId="0" borderId="0" xfId="2" applyNumberFormat="1" applyFont="1" applyBorder="1" applyProtection="1"/>
    <xf numFmtId="2" fontId="0" fillId="4" borderId="0" xfId="0" applyNumberFormat="1" applyFill="1"/>
    <xf numFmtId="2" fontId="0" fillId="5" borderId="0" xfId="0" applyNumberFormat="1" applyFill="1"/>
    <xf numFmtId="2" fontId="0" fillId="6" borderId="0" xfId="0" applyNumberFormat="1" applyFill="1"/>
    <xf numFmtId="165" fontId="0" fillId="5" borderId="0" xfId="0" applyNumberFormat="1" applyFill="1"/>
    <xf numFmtId="0" fontId="2" fillId="0" borderId="0" xfId="0" applyFont="1" applyAlignment="1">
      <alignment horizontal="right"/>
    </xf>
    <xf numFmtId="165" fontId="0" fillId="0" borderId="0" xfId="0" applyNumberFormat="1"/>
    <xf numFmtId="4" fontId="0" fillId="5" borderId="0" xfId="0" applyNumberFormat="1" applyFill="1"/>
    <xf numFmtId="4" fontId="0" fillId="0" borderId="0" xfId="0" applyNumberFormat="1"/>
    <xf numFmtId="0" fontId="0" fillId="0" borderId="3" xfId="0" applyBorder="1"/>
    <xf numFmtId="0" fontId="0" fillId="7" borderId="3" xfId="0" applyFill="1" applyBorder="1"/>
    <xf numFmtId="2" fontId="0" fillId="7" borderId="3" xfId="0" applyNumberFormat="1" applyFill="1" applyBorder="1"/>
    <xf numFmtId="0" fontId="0" fillId="0" borderId="0" xfId="0" applyAlignment="1">
      <alignment horizontal="center"/>
    </xf>
    <xf numFmtId="169" fontId="0" fillId="7" borderId="3" xfId="2" applyNumberFormat="1" applyFont="1" applyFill="1" applyBorder="1" applyProtection="1"/>
    <xf numFmtId="2" fontId="0" fillId="8" borderId="0" xfId="0" applyNumberFormat="1" applyFill="1"/>
    <xf numFmtId="0" fontId="0" fillId="5" borderId="3" xfId="0" applyFill="1" applyBorder="1"/>
    <xf numFmtId="2" fontId="0" fillId="5" borderId="3" xfId="0" applyNumberFormat="1" applyFill="1" applyBorder="1"/>
    <xf numFmtId="169" fontId="0" fillId="5" borderId="3" xfId="2" applyNumberFormat="1" applyFont="1" applyFill="1" applyBorder="1" applyProtection="1"/>
    <xf numFmtId="4" fontId="0" fillId="0" borderId="3" xfId="0" applyNumberFormat="1" applyBorder="1"/>
    <xf numFmtId="2" fontId="0" fillId="0" borderId="3" xfId="0" applyNumberFormat="1" applyBorder="1"/>
    <xf numFmtId="168" fontId="0" fillId="0" borderId="0" xfId="0" applyNumberFormat="1"/>
    <xf numFmtId="0" fontId="2" fillId="3" borderId="3" xfId="0" applyFont="1" applyFill="1" applyBorder="1"/>
    <xf numFmtId="2" fontId="2" fillId="3" borderId="3" xfId="0" applyNumberFormat="1" applyFont="1" applyFill="1" applyBorder="1"/>
    <xf numFmtId="0" fontId="0" fillId="2" borderId="5" xfId="0" applyFill="1" applyBorder="1"/>
    <xf numFmtId="0" fontId="0" fillId="0" borderId="0" xfId="0" applyAlignment="1">
      <alignment horizontal="left"/>
    </xf>
    <xf numFmtId="0" fontId="2" fillId="9" borderId="0" xfId="0" applyFont="1" applyFill="1"/>
    <xf numFmtId="0" fontId="2" fillId="10" borderId="0" xfId="0" applyFont="1" applyFill="1"/>
    <xf numFmtId="0" fontId="0" fillId="0" borderId="0" xfId="0" applyAlignment="1">
      <alignment horizontal="right"/>
    </xf>
    <xf numFmtId="0" fontId="0" fillId="11" borderId="0" xfId="0" applyFill="1"/>
    <xf numFmtId="0" fontId="7" fillId="0" borderId="8" xfId="0" applyFont="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0" fillId="0" borderId="11" xfId="0" applyBorder="1"/>
    <xf numFmtId="170" fontId="8" fillId="0" borderId="10" xfId="0" applyNumberFormat="1" applyFont="1" applyBorder="1" applyAlignment="1">
      <alignment horizontal="right"/>
    </xf>
    <xf numFmtId="170" fontId="8" fillId="0" borderId="9" xfId="0" applyNumberFormat="1" applyFont="1" applyBorder="1" applyAlignment="1">
      <alignment horizontal="right"/>
    </xf>
    <xf numFmtId="1" fontId="0" fillId="0" borderId="0" xfId="0" applyNumberFormat="1"/>
    <xf numFmtId="170" fontId="9" fillId="0" borderId="12" xfId="1" applyNumberFormat="1" applyFont="1" applyBorder="1" applyAlignment="1" applyProtection="1">
      <alignment horizontal="right"/>
    </xf>
    <xf numFmtId="170" fontId="9" fillId="0" borderId="13" xfId="1" applyNumberFormat="1" applyFont="1" applyBorder="1" applyAlignment="1" applyProtection="1">
      <alignment horizontal="right"/>
    </xf>
    <xf numFmtId="170" fontId="8" fillId="0" borderId="14" xfId="0" applyNumberFormat="1" applyFont="1" applyBorder="1" applyAlignment="1">
      <alignment horizontal="right"/>
    </xf>
    <xf numFmtId="170" fontId="8" fillId="0" borderId="15" xfId="0" applyNumberFormat="1" applyFont="1" applyBorder="1" applyAlignment="1">
      <alignment horizontal="right"/>
    </xf>
    <xf numFmtId="170" fontId="9" fillId="0" borderId="16" xfId="1" applyNumberFormat="1" applyFont="1" applyBorder="1" applyAlignment="1" applyProtection="1">
      <alignment horizontal="right"/>
    </xf>
    <xf numFmtId="170" fontId="9" fillId="0" borderId="10" xfId="1" applyNumberFormat="1" applyFont="1" applyBorder="1" applyAlignment="1" applyProtection="1">
      <alignment horizontal="right"/>
    </xf>
    <xf numFmtId="170" fontId="9" fillId="0" borderId="0" xfId="1" applyNumberFormat="1" applyFont="1" applyBorder="1" applyAlignment="1" applyProtection="1">
      <alignment horizontal="right"/>
    </xf>
    <xf numFmtId="170" fontId="9" fillId="0" borderId="17" xfId="1" applyNumberFormat="1" applyFont="1" applyBorder="1" applyAlignment="1" applyProtection="1">
      <alignment horizontal="right"/>
    </xf>
    <xf numFmtId="170" fontId="9" fillId="0" borderId="9" xfId="1" applyNumberFormat="1" applyFont="1" applyBorder="1" applyAlignment="1" applyProtection="1">
      <alignment horizontal="right"/>
    </xf>
    <xf numFmtId="172" fontId="8" fillId="0" borderId="18" xfId="1" applyNumberFormat="1" applyFont="1" applyBorder="1" applyProtection="1"/>
    <xf numFmtId="172" fontId="8" fillId="0" borderId="19" xfId="1" applyNumberFormat="1" applyFont="1" applyBorder="1" applyProtection="1"/>
    <xf numFmtId="172" fontId="8" fillId="0" borderId="20" xfId="1" applyNumberFormat="1" applyFont="1" applyBorder="1" applyProtection="1"/>
    <xf numFmtId="170" fontId="10" fillId="0" borderId="10" xfId="1" applyNumberFormat="1" applyFont="1" applyBorder="1" applyAlignment="1" applyProtection="1">
      <alignment horizontal="right"/>
    </xf>
    <xf numFmtId="170" fontId="10" fillId="0" borderId="9" xfId="1" applyNumberFormat="1" applyFont="1" applyBorder="1" applyAlignment="1" applyProtection="1">
      <alignment horizontal="right"/>
    </xf>
    <xf numFmtId="172" fontId="8" fillId="0" borderId="21" xfId="1" applyNumberFormat="1" applyFont="1" applyBorder="1" applyProtection="1"/>
    <xf numFmtId="172" fontId="8" fillId="0" borderId="22" xfId="1" applyNumberFormat="1" applyFont="1" applyBorder="1" applyProtection="1"/>
    <xf numFmtId="172" fontId="8" fillId="0" borderId="23" xfId="1" applyNumberFormat="1" applyFont="1" applyBorder="1" applyProtection="1"/>
    <xf numFmtId="170" fontId="9" fillId="0" borderId="14" xfId="1" applyNumberFormat="1" applyFont="1" applyBorder="1" applyAlignment="1" applyProtection="1">
      <alignment horizontal="right"/>
    </xf>
    <xf numFmtId="170" fontId="9" fillId="0" borderId="15" xfId="1" applyNumberFormat="1" applyFont="1" applyBorder="1" applyAlignment="1" applyProtection="1">
      <alignment horizontal="right"/>
    </xf>
    <xf numFmtId="172" fontId="8" fillId="0" borderId="0" xfId="1" applyNumberFormat="1" applyFont="1" applyBorder="1" applyProtection="1"/>
    <xf numFmtId="172" fontId="8" fillId="0" borderId="24" xfId="1" applyNumberFormat="1" applyFont="1" applyBorder="1" applyProtection="1"/>
    <xf numFmtId="4" fontId="8" fillId="0" borderId="0" xfId="1" applyNumberFormat="1" applyFont="1" applyBorder="1" applyProtection="1"/>
    <xf numFmtId="172" fontId="8" fillId="0" borderId="25" xfId="1" applyNumberFormat="1" applyFont="1" applyBorder="1" applyProtection="1"/>
    <xf numFmtId="170" fontId="10" fillId="0" borderId="13" xfId="1" applyNumberFormat="1" applyFont="1" applyBorder="1" applyAlignment="1" applyProtection="1">
      <alignment horizontal="right"/>
    </xf>
    <xf numFmtId="170" fontId="10" fillId="0" borderId="0" xfId="1" applyNumberFormat="1" applyFont="1" applyBorder="1" applyAlignment="1" applyProtection="1">
      <alignment horizontal="right"/>
    </xf>
    <xf numFmtId="168" fontId="8" fillId="0" borderId="0" xfId="1" applyNumberFormat="1" applyFont="1" applyBorder="1" applyProtection="1"/>
    <xf numFmtId="172" fontId="8" fillId="0" borderId="9" xfId="1" applyNumberFormat="1" applyFont="1" applyBorder="1" applyProtection="1"/>
    <xf numFmtId="172" fontId="8" fillId="0" borderId="10" xfId="1" applyNumberFormat="1" applyFont="1" applyBorder="1" applyProtection="1"/>
    <xf numFmtId="172" fontId="8" fillId="0" borderId="13" xfId="1" applyNumberFormat="1" applyFont="1" applyBorder="1" applyProtection="1"/>
    <xf numFmtId="170" fontId="0" fillId="0" borderId="0" xfId="0" applyNumberFormat="1"/>
    <xf numFmtId="169" fontId="0" fillId="0" borderId="0" xfId="0" applyNumberFormat="1"/>
    <xf numFmtId="173" fontId="0" fillId="2" borderId="6" xfId="0" applyNumberFormat="1" applyFill="1" applyBorder="1"/>
    <xf numFmtId="0" fontId="0" fillId="10" borderId="0" xfId="0" applyFill="1"/>
    <xf numFmtId="164" fontId="0" fillId="10" borderId="0" xfId="0" applyNumberFormat="1" applyFill="1"/>
    <xf numFmtId="0" fontId="12" fillId="13" borderId="3" xfId="0" applyFont="1" applyFill="1" applyBorder="1" applyAlignment="1">
      <alignment horizontal="center" vertical="center"/>
    </xf>
    <xf numFmtId="0" fontId="0" fillId="0" borderId="3" xfId="0" applyBorder="1" applyAlignment="1">
      <alignment horizontal="left" vertical="top"/>
    </xf>
    <xf numFmtId="0" fontId="0" fillId="0" borderId="3" xfId="0" applyBorder="1" applyAlignment="1">
      <alignment horizontal="left" vertical="top" wrapText="1"/>
    </xf>
    <xf numFmtId="0" fontId="2" fillId="0" borderId="3" xfId="0" applyFont="1" applyBorder="1" applyAlignment="1">
      <alignment horizontal="center" vertical="center"/>
    </xf>
    <xf numFmtId="49" fontId="0" fillId="0" borderId="3" xfId="0" applyNumberFormat="1" applyBorder="1" applyAlignment="1">
      <alignment vertical="top" wrapText="1"/>
    </xf>
    <xf numFmtId="0" fontId="4" fillId="0" borderId="0" xfId="3"/>
    <xf numFmtId="171" fontId="13" fillId="0" borderId="3" xfId="1" applyBorder="1" applyProtection="1"/>
    <xf numFmtId="0" fontId="2" fillId="2" borderId="1" xfId="0" applyFont="1" applyFill="1" applyBorder="1" applyAlignment="1">
      <alignment horizontal="center"/>
    </xf>
    <xf numFmtId="0" fontId="0" fillId="3" borderId="3" xfId="0" applyFill="1" applyBorder="1" applyAlignment="1">
      <alignment horizontal="center" vertical="center" wrapText="1"/>
    </xf>
    <xf numFmtId="0" fontId="0" fillId="0" borderId="0" xfId="0" applyAlignment="1">
      <alignment horizontal="center" wrapText="1"/>
    </xf>
    <xf numFmtId="0" fontId="0" fillId="5" borderId="3" xfId="0" applyFill="1" applyBorder="1" applyAlignment="1">
      <alignment horizontal="center" wrapText="1"/>
    </xf>
    <xf numFmtId="0" fontId="0" fillId="7" borderId="3" xfId="0" applyFill="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horizontal="center" wrapText="1"/>
    </xf>
    <xf numFmtId="0" fontId="0" fillId="0" borderId="0" xfId="0" applyAlignment="1">
      <alignment horizontal="center" vertical="center"/>
    </xf>
    <xf numFmtId="0" fontId="0" fillId="12" borderId="0" xfId="0" applyFill="1" applyAlignment="1">
      <alignment horizontal="center" vertical="center"/>
    </xf>
    <xf numFmtId="0" fontId="11" fillId="3" borderId="3" xfId="0" applyFont="1" applyFill="1" applyBorder="1" applyAlignment="1">
      <alignment horizontal="center" vertical="center" wrapText="1"/>
    </xf>
    <xf numFmtId="0" fontId="0" fillId="0" borderId="3" xfId="0" applyBorder="1" applyAlignment="1">
      <alignment vertical="top" wrapText="1"/>
    </xf>
    <xf numFmtId="0" fontId="0" fillId="0" borderId="3" xfId="0" applyBorder="1" applyAlignment="1">
      <alignment horizontal="center" vertical="center"/>
    </xf>
    <xf numFmtId="167" fontId="13" fillId="0" borderId="0" xfId="2"/>
    <xf numFmtId="9" fontId="0" fillId="0" borderId="0" xfId="0" applyNumberFormat="1"/>
  </cellXfs>
  <cellStyles count="5">
    <cellStyle name="Lien hypertexte" xfId="3" builtinId="8"/>
    <cellStyle name="Milliers" xfId="1" builtinId="3"/>
    <cellStyle name="Normal" xfId="0" builtinId="0"/>
    <cellStyle name="Normal 2" xfId="4" xr:uid="{00000000-0005-0000-0000-000003000000}"/>
    <cellStyle name="Pourcentage" xfId="2" builtinId="5"/>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7E0021"/>
      <rgbColor rgb="FF008000"/>
      <rgbColor rgb="FF000080"/>
      <rgbColor rgb="FFF1EEEC"/>
      <rgbColor rgb="FF800080"/>
      <rgbColor rgb="FF2E75B6"/>
      <rgbColor rgb="FFBFBFBF"/>
      <rgbColor rgb="FF70AD47"/>
      <rgbColor rgb="FF5B9BD5"/>
      <rgbColor rgb="FF9C5BCD"/>
      <rgbColor rgb="FFFFF7D3"/>
      <rgbColor rgb="FFDEEBF7"/>
      <rgbColor rgb="FF660066"/>
      <rgbColor rgb="FFFF420E"/>
      <rgbColor rgb="FF0563C1"/>
      <rgbColor rgb="FFBDD7EE"/>
      <rgbColor rgb="FF000080"/>
      <rgbColor rgb="FFFF00FF"/>
      <rgbColor rgb="FFFFD320"/>
      <rgbColor rgb="FF00FFFF"/>
      <rgbColor rgb="FF800080"/>
      <rgbColor rgb="FF800000"/>
      <rgbColor rgb="FF255E91"/>
      <rgbColor rgb="FF0000FF"/>
      <rgbColor rgb="FF00CCFF"/>
      <rgbColor rgb="FFDAE3F3"/>
      <rgbColor rgb="FFC5E0B4"/>
      <rgbColor rgb="FFFFF2CC"/>
      <rgbColor rgb="FF83CAFF"/>
      <rgbColor rgb="FFD9D9D9"/>
      <rgbColor rgb="FFB3B3B3"/>
      <rgbColor rgb="FFFFD966"/>
      <rgbColor rgb="FF4472C4"/>
      <rgbColor rgb="FFB4C7E7"/>
      <rgbColor rgb="FF81D41A"/>
      <rgbColor rgb="FFFFC000"/>
      <rgbColor rgb="FFFFBF00"/>
      <rgbColor rgb="FFED7D31"/>
      <rgbColor rgb="FF595959"/>
      <rgbColor rgb="FFA5A5A5"/>
      <rgbColor rgb="FF004586"/>
      <rgbColor rgb="FF579D1C"/>
      <rgbColor rgb="FF003300"/>
      <rgbColor rgb="FF314004"/>
      <rgbColor rgb="FFCE18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Projections de population (FR entière)</a:t>
            </a:r>
          </a:p>
        </c:rich>
      </c:tx>
      <c:layout>
        <c:manualLayout>
          <c:xMode val="edge"/>
          <c:yMode val="edge"/>
          <c:x val="0.20692883895131101"/>
          <c:y val="3.2239198771839998E-2"/>
        </c:manualLayout>
      </c:layout>
      <c:overlay val="0"/>
      <c:spPr>
        <a:noFill/>
        <a:ln>
          <a:noFill/>
        </a:ln>
      </c:spPr>
    </c:title>
    <c:autoTitleDeleted val="0"/>
    <c:plotArea>
      <c:layout/>
      <c:scatterChart>
        <c:scatterStyle val="lineMarker"/>
        <c:varyColors val="0"/>
        <c:ser>
          <c:idx val="0"/>
          <c:order val="0"/>
          <c:tx>
            <c:strRef>
              <c:f>'1. Population'!$A$17</c:f>
              <c:strCache>
                <c:ptCount val="1"/>
                <c:pt idx="0">
                  <c:v>AMS18</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Population'!$B$17:$AH$17</c:f>
              <c:numCache>
                <c:formatCode>General</c:formatCode>
                <c:ptCount val="33"/>
                <c:pt idx="2">
                  <c:v>67.819999999999993</c:v>
                </c:pt>
                <c:pt idx="7">
                  <c:v>69.093000000000004</c:v>
                </c:pt>
                <c:pt idx="12">
                  <c:v>70.281000000000006</c:v>
                </c:pt>
                <c:pt idx="17">
                  <c:v>71.417000000000002</c:v>
                </c:pt>
                <c:pt idx="22">
                  <c:v>72.448999999999998</c:v>
                </c:pt>
                <c:pt idx="27">
                  <c:v>73.311999999999998</c:v>
                </c:pt>
                <c:pt idx="32">
                  <c:v>74.025000000000006</c:v>
                </c:pt>
              </c:numCache>
            </c:numRef>
          </c:yVal>
          <c:smooth val="1"/>
          <c:extLst>
            <c:ext xmlns:c16="http://schemas.microsoft.com/office/drawing/2014/chart" uri="{C3380CC4-5D6E-409C-BE32-E72D297353CC}">
              <c16:uniqueId val="{00000000-29AE-4F5D-806F-970386568C5F}"/>
            </c:ext>
          </c:extLst>
        </c:ser>
        <c:ser>
          <c:idx val="1"/>
          <c:order val="1"/>
          <c:tx>
            <c:strRef>
              <c:f>'1. Population'!$A$18</c:f>
              <c:strCache>
                <c:ptCount val="1"/>
                <c:pt idx="0">
                  <c:v>cadrage Cion</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Population'!$B$18:$AH$18</c:f>
              <c:numCache>
                <c:formatCode>0.0</c:formatCode>
                <c:ptCount val="33"/>
                <c:pt idx="1">
                  <c:v>67.012883000000002</c:v>
                </c:pt>
                <c:pt idx="2" formatCode="0.00">
                  <c:v>67.204763</c:v>
                </c:pt>
                <c:pt idx="3" formatCode="0.00">
                  <c:v>67.388433000000006</c:v>
                </c:pt>
                <c:pt idx="4" formatCode="0.00">
                  <c:v>67.575000000000003</c:v>
                </c:pt>
                <c:pt idx="5" formatCode="0.00">
                  <c:v>67.765465000000006</c:v>
                </c:pt>
                <c:pt idx="6" formatCode="0.00">
                  <c:v>67.955439999999996</c:v>
                </c:pt>
                <c:pt idx="7" formatCode="0.00">
                  <c:v>68.145742999999996</c:v>
                </c:pt>
                <c:pt idx="8" formatCode="0.00">
                  <c:v>68.335445000000007</c:v>
                </c:pt>
                <c:pt idx="9" formatCode="0.00">
                  <c:v>68.526661000000004</c:v>
                </c:pt>
                <c:pt idx="10" formatCode="0.00">
                  <c:v>68.718934000000004</c:v>
                </c:pt>
                <c:pt idx="11" formatCode="0.00">
                  <c:v>68.916612999999998</c:v>
                </c:pt>
                <c:pt idx="12" formatCode="0.00">
                  <c:v>69.116879999999995</c:v>
                </c:pt>
                <c:pt idx="13" formatCode="0.00">
                  <c:v>69.319056000000003</c:v>
                </c:pt>
                <c:pt idx="14" formatCode="0.00">
                  <c:v>69.521761999999995</c:v>
                </c:pt>
                <c:pt idx="15" formatCode="0.00">
                  <c:v>69.722271000000006</c:v>
                </c:pt>
                <c:pt idx="16" formatCode="0.00">
                  <c:v>69.91583</c:v>
                </c:pt>
                <c:pt idx="17" formatCode="0.00">
                  <c:v>70.104962</c:v>
                </c:pt>
                <c:pt idx="18" formatCode="0.00">
                  <c:v>70.288808000000003</c:v>
                </c:pt>
                <c:pt idx="19" formatCode="0.00">
                  <c:v>70.465976999999995</c:v>
                </c:pt>
                <c:pt idx="20" formatCode="0.00">
                  <c:v>70.633769999999998</c:v>
                </c:pt>
                <c:pt idx="21" formatCode="0.00">
                  <c:v>70.788492000000005</c:v>
                </c:pt>
                <c:pt idx="22" formatCode="0.00">
                  <c:v>70.926210999999995</c:v>
                </c:pt>
              </c:numCache>
            </c:numRef>
          </c:yVal>
          <c:smooth val="1"/>
          <c:extLst>
            <c:ext xmlns:c16="http://schemas.microsoft.com/office/drawing/2014/chart" uri="{C3380CC4-5D6E-409C-BE32-E72D297353CC}">
              <c16:uniqueId val="{00000001-29AE-4F5D-806F-970386568C5F}"/>
            </c:ext>
          </c:extLst>
        </c:ser>
        <c:ser>
          <c:idx val="2"/>
          <c:order val="2"/>
          <c:tx>
            <c:strRef>
              <c:f>'1. Population'!$A$19</c:f>
              <c:strCache>
                <c:ptCount val="1"/>
                <c:pt idx="0">
                  <c:v>insee fécondité basse</c:v>
                </c:pt>
              </c:strCache>
            </c:strRef>
          </c:tx>
          <c:spPr>
            <a:ln w="1908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Population'!$B$19:$AH$19</c:f>
              <c:numCache>
                <c:formatCode>#\ ##0.000</c:formatCode>
                <c:ptCount val="33"/>
                <c:pt idx="0">
                  <c:v>67.240666000000004</c:v>
                </c:pt>
                <c:pt idx="1">
                  <c:v>67.483286000000007</c:v>
                </c:pt>
                <c:pt idx="2">
                  <c:v>67.707069000000004</c:v>
                </c:pt>
                <c:pt idx="3">
                  <c:v>67.911946</c:v>
                </c:pt>
                <c:pt idx="4">
                  <c:v>68.111450000000005</c:v>
                </c:pt>
                <c:pt idx="5">
                  <c:v>68.305942000000002</c:v>
                </c:pt>
                <c:pt idx="6">
                  <c:v>68.495774999999995</c:v>
                </c:pt>
                <c:pt idx="7">
                  <c:v>68.681546999999995</c:v>
                </c:pt>
                <c:pt idx="8">
                  <c:v>68.863999000000007</c:v>
                </c:pt>
                <c:pt idx="9">
                  <c:v>69.043799000000007</c:v>
                </c:pt>
                <c:pt idx="10">
                  <c:v>69.221366000000003</c:v>
                </c:pt>
                <c:pt idx="11">
                  <c:v>69.396844000000002</c:v>
                </c:pt>
                <c:pt idx="12">
                  <c:v>69.570370999999994</c:v>
                </c:pt>
                <c:pt idx="13">
                  <c:v>69.742040000000003</c:v>
                </c:pt>
                <c:pt idx="14">
                  <c:v>69.911619999999999</c:v>
                </c:pt>
                <c:pt idx="15">
                  <c:v>70.078540000000004</c:v>
                </c:pt>
                <c:pt idx="16">
                  <c:v>70.242058</c:v>
                </c:pt>
                <c:pt idx="17">
                  <c:v>70.401514000000006</c:v>
                </c:pt>
                <c:pt idx="18">
                  <c:v>70.556419000000005</c:v>
                </c:pt>
                <c:pt idx="19">
                  <c:v>70.706194999999994</c:v>
                </c:pt>
                <c:pt idx="20">
                  <c:v>70.850144</c:v>
                </c:pt>
                <c:pt idx="21">
                  <c:v>70.987558000000007</c:v>
                </c:pt>
                <c:pt idx="22">
                  <c:v>71.117945000000006</c:v>
                </c:pt>
                <c:pt idx="23">
                  <c:v>71.240915999999999</c:v>
                </c:pt>
                <c:pt idx="24">
                  <c:v>71.355704000000003</c:v>
                </c:pt>
                <c:pt idx="25">
                  <c:v>71.461843000000002</c:v>
                </c:pt>
                <c:pt idx="26">
                  <c:v>71.559078</c:v>
                </c:pt>
                <c:pt idx="27">
                  <c:v>71.647525000000002</c:v>
                </c:pt>
                <c:pt idx="28">
                  <c:v>71.727486999999996</c:v>
                </c:pt>
                <c:pt idx="29">
                  <c:v>71.799098000000001</c:v>
                </c:pt>
                <c:pt idx="30">
                  <c:v>71.862482999999997</c:v>
                </c:pt>
                <c:pt idx="31">
                  <c:v>71.917776000000003</c:v>
                </c:pt>
                <c:pt idx="32">
                  <c:v>71.965277999999998</c:v>
                </c:pt>
              </c:numCache>
            </c:numRef>
          </c:yVal>
          <c:smooth val="1"/>
          <c:extLst>
            <c:ext xmlns:c16="http://schemas.microsoft.com/office/drawing/2014/chart" uri="{C3380CC4-5D6E-409C-BE32-E72D297353CC}">
              <c16:uniqueId val="{00000002-29AE-4F5D-806F-970386568C5F}"/>
            </c:ext>
          </c:extLst>
        </c:ser>
        <c:ser>
          <c:idx val="3"/>
          <c:order val="3"/>
          <c:tx>
            <c:strRef>
              <c:f>'1. Population'!$A$20</c:f>
              <c:strCache>
                <c:ptCount val="1"/>
                <c:pt idx="0">
                  <c:v>Observé</c:v>
                </c:pt>
              </c:strCache>
            </c:strRef>
          </c:tx>
          <c:spPr>
            <a:ln w="1908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Population'!$B$20:$AH$20</c:f>
              <c:numCache>
                <c:formatCode>#\ ##0.000</c:formatCode>
                <c:ptCount val="33"/>
                <c:pt idx="0">
                  <c:v>66.992000000000004</c:v>
                </c:pt>
                <c:pt idx="1">
                  <c:v>67.257981999999998</c:v>
                </c:pt>
                <c:pt idx="2" formatCode="General">
                  <c:v>67.441850000000002</c:v>
                </c:pt>
                <c:pt idx="3">
                  <c:v>67.635124000000005</c:v>
                </c:pt>
                <c:pt idx="4">
                  <c:v>67.842590999999999</c:v>
                </c:pt>
                <c:pt idx="5">
                  <c:v>68.042591000000002</c:v>
                </c:pt>
              </c:numCache>
            </c:numRef>
          </c:yVal>
          <c:smooth val="1"/>
          <c:extLst>
            <c:ext xmlns:c16="http://schemas.microsoft.com/office/drawing/2014/chart" uri="{C3380CC4-5D6E-409C-BE32-E72D297353CC}">
              <c16:uniqueId val="{00000003-29AE-4F5D-806F-970386568C5F}"/>
            </c:ext>
          </c:extLst>
        </c:ser>
        <c:ser>
          <c:idx val="4"/>
          <c:order val="4"/>
          <c:tx>
            <c:strRef>
              <c:f>'1. Population'!$A$21</c:f>
              <c:strCache>
                <c:ptCount val="1"/>
                <c:pt idx="0">
                  <c:v>insee fécondité et espérance de vie basse, migration centrale</c:v>
                </c:pt>
              </c:strCache>
            </c:strRef>
          </c:tx>
          <c:spPr>
            <a:ln w="1908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Population'!$B$21:$AH$21</c:f>
              <c:numCache>
                <c:formatCode>General</c:formatCode>
                <c:ptCount val="33"/>
                <c:pt idx="0">
                  <c:v>67.206745999999995</c:v>
                </c:pt>
                <c:pt idx="1">
                  <c:v>67.428681999999995</c:v>
                </c:pt>
                <c:pt idx="2">
                  <c:v>67.629662999999994</c:v>
                </c:pt>
                <c:pt idx="3">
                  <c:v>67.809889999999996</c:v>
                </c:pt>
                <c:pt idx="4">
                  <c:v>67.983099999999993</c:v>
                </c:pt>
                <c:pt idx="5">
                  <c:v>68.149870000000007</c:v>
                </c:pt>
                <c:pt idx="6">
                  <c:v>68.310732999999999</c:v>
                </c:pt>
                <c:pt idx="7">
                  <c:v>68.466417000000007</c:v>
                </c:pt>
                <c:pt idx="8">
                  <c:v>68.617774999999995</c:v>
                </c:pt>
                <c:pt idx="9">
                  <c:v>68.765558999999996</c:v>
                </c:pt>
                <c:pt idx="10">
                  <c:v>68.910235999999998</c:v>
                </c:pt>
                <c:pt idx="11">
                  <c:v>69.051948999999993</c:v>
                </c:pt>
                <c:pt idx="12">
                  <c:v>69.190828999999994</c:v>
                </c:pt>
                <c:pt idx="13">
                  <c:v>69.326939999999993</c:v>
                </c:pt>
                <c:pt idx="14">
                  <c:v>69.460024000000004</c:v>
                </c:pt>
                <c:pt idx="15">
                  <c:v>69.589449000000002</c:v>
                </c:pt>
                <c:pt idx="16">
                  <c:v>69.714400999999995</c:v>
                </c:pt>
                <c:pt idx="17">
                  <c:v>69.834173000000007</c:v>
                </c:pt>
                <c:pt idx="18">
                  <c:v>69.948241999999993</c:v>
                </c:pt>
                <c:pt idx="19">
                  <c:v>70.056044</c:v>
                </c:pt>
                <c:pt idx="20">
                  <c:v>70.156874999999999</c:v>
                </c:pt>
                <c:pt idx="21">
                  <c:v>70.250091999999995</c:v>
                </c:pt>
                <c:pt idx="22">
                  <c:v>70.335294000000005</c:v>
                </c:pt>
                <c:pt idx="23">
                  <c:v>70.412218999999993</c:v>
                </c:pt>
                <c:pt idx="24">
                  <c:v>70.480187000000001</c:v>
                </c:pt>
                <c:pt idx="25">
                  <c:v>70.538775999999999</c:v>
                </c:pt>
                <c:pt idx="26">
                  <c:v>70.587789000000001</c:v>
                </c:pt>
                <c:pt idx="27">
                  <c:v>70.627307000000002</c:v>
                </c:pt>
                <c:pt idx="28">
                  <c:v>70.657548000000006</c:v>
                </c:pt>
                <c:pt idx="29">
                  <c:v>70.678640000000001</c:v>
                </c:pt>
                <c:pt idx="30">
                  <c:v>70.690723000000006</c:v>
                </c:pt>
                <c:pt idx="31">
                  <c:v>70.693977000000004</c:v>
                </c:pt>
                <c:pt idx="32">
                  <c:v>70.688738000000001</c:v>
                </c:pt>
              </c:numCache>
            </c:numRef>
          </c:yVal>
          <c:smooth val="1"/>
          <c:extLst>
            <c:ext xmlns:c16="http://schemas.microsoft.com/office/drawing/2014/chart" uri="{C3380CC4-5D6E-409C-BE32-E72D297353CC}">
              <c16:uniqueId val="{00000004-29AE-4F5D-806F-970386568C5F}"/>
            </c:ext>
          </c:extLst>
        </c:ser>
        <c:ser>
          <c:idx val="5"/>
          <c:order val="5"/>
          <c:tx>
            <c:strRef>
              <c:f>'1. Population'!$A$23</c:f>
              <c:strCache>
                <c:ptCount val="1"/>
                <c:pt idx="0">
                  <c:v>INSEE 2021 – scénario central</c:v>
                </c:pt>
              </c:strCache>
            </c:strRef>
          </c:tx>
          <c:spPr>
            <a:ln w="28800">
              <a:solidFill>
                <a:srgbClr val="83CAFF"/>
              </a:solidFill>
              <a:round/>
            </a:ln>
          </c:spPr>
          <c:marker>
            <c:symbol val="triangle"/>
            <c:size val="8"/>
            <c:spPr>
              <a:solidFill>
                <a:srgbClr val="83CAFF"/>
              </a:solidFill>
            </c:spPr>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Population'!$B$23:$AH$23</c:f>
              <c:numCache>
                <c:formatCode>General</c:formatCode>
                <c:ptCount val="33"/>
                <c:pt idx="0">
                  <c:v>67</c:v>
                </c:pt>
                <c:pt idx="1">
                  <c:v>67.099999999999994</c:v>
                </c:pt>
                <c:pt idx="2">
                  <c:v>67.3</c:v>
                </c:pt>
                <c:pt idx="3">
                  <c:v>67.400000000000006</c:v>
                </c:pt>
                <c:pt idx="4">
                  <c:v>67.5</c:v>
                </c:pt>
                <c:pt idx="5">
                  <c:v>67.7</c:v>
                </c:pt>
                <c:pt idx="6">
                  <c:v>67.8</c:v>
                </c:pt>
                <c:pt idx="7">
                  <c:v>68</c:v>
                </c:pt>
                <c:pt idx="8">
                  <c:v>68.099999999999994</c:v>
                </c:pt>
                <c:pt idx="9">
                  <c:v>68.2</c:v>
                </c:pt>
                <c:pt idx="10">
                  <c:v>68.3</c:v>
                </c:pt>
                <c:pt idx="11">
                  <c:v>68.400000000000006</c:v>
                </c:pt>
                <c:pt idx="12">
                  <c:v>68.599999999999994</c:v>
                </c:pt>
                <c:pt idx="13">
                  <c:v>68.7</c:v>
                </c:pt>
                <c:pt idx="14">
                  <c:v>68.7</c:v>
                </c:pt>
                <c:pt idx="15">
                  <c:v>68.8</c:v>
                </c:pt>
                <c:pt idx="16">
                  <c:v>68.900000000000006</c:v>
                </c:pt>
                <c:pt idx="17">
                  <c:v>69</c:v>
                </c:pt>
                <c:pt idx="18">
                  <c:v>69</c:v>
                </c:pt>
                <c:pt idx="19">
                  <c:v>69.099999999999994</c:v>
                </c:pt>
                <c:pt idx="20">
                  <c:v>69.2</c:v>
                </c:pt>
                <c:pt idx="21">
                  <c:v>69.2</c:v>
                </c:pt>
                <c:pt idx="22">
                  <c:v>69.2</c:v>
                </c:pt>
                <c:pt idx="23">
                  <c:v>69.3</c:v>
                </c:pt>
                <c:pt idx="24">
                  <c:v>69.3</c:v>
                </c:pt>
                <c:pt idx="25">
                  <c:v>69.3</c:v>
                </c:pt>
                <c:pt idx="26">
                  <c:v>69.3</c:v>
                </c:pt>
                <c:pt idx="27">
                  <c:v>69.3</c:v>
                </c:pt>
                <c:pt idx="28">
                  <c:v>69.3</c:v>
                </c:pt>
                <c:pt idx="29">
                  <c:v>69.3</c:v>
                </c:pt>
                <c:pt idx="30">
                  <c:v>69.3</c:v>
                </c:pt>
                <c:pt idx="31">
                  <c:v>69.2</c:v>
                </c:pt>
                <c:pt idx="32">
                  <c:v>69.2</c:v>
                </c:pt>
              </c:numCache>
            </c:numRef>
          </c:yVal>
          <c:smooth val="1"/>
          <c:extLst>
            <c:ext xmlns:c16="http://schemas.microsoft.com/office/drawing/2014/chart" uri="{C3380CC4-5D6E-409C-BE32-E72D297353CC}">
              <c16:uniqueId val="{00000005-29AE-4F5D-806F-970386568C5F}"/>
            </c:ext>
          </c:extLst>
        </c:ser>
        <c:dLbls>
          <c:showLegendKey val="0"/>
          <c:showVal val="0"/>
          <c:showCatName val="0"/>
          <c:showSerName val="0"/>
          <c:showPercent val="0"/>
          <c:showBubbleSize val="0"/>
        </c:dLbls>
        <c:axId val="8659587"/>
        <c:axId val="4511678"/>
      </c:scatterChart>
      <c:valAx>
        <c:axId val="8659587"/>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4511678"/>
        <c:crosses val="autoZero"/>
        <c:crossBetween val="midCat"/>
      </c:valAx>
      <c:valAx>
        <c:axId val="4511678"/>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fr-FR" sz="1000" b="0" strike="noStrike" spc="-1">
                    <a:solidFill>
                      <a:srgbClr val="595959"/>
                    </a:solidFill>
                    <a:latin typeface="Calibri"/>
                  </a:rPr>
                  <a:t>millions habitants</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8659587"/>
        <c:crosses val="autoZero"/>
        <c:crossBetween val="midCat"/>
      </c:valAx>
      <c:spPr>
        <a:noFill/>
        <a:ln>
          <a:noFill/>
        </a:ln>
      </c:spPr>
    </c:plotArea>
    <c:legend>
      <c:legendPos val="r"/>
      <c:layout>
        <c:manualLayout>
          <c:xMode val="edge"/>
          <c:yMode val="edge"/>
          <c:x val="0.179618293122074"/>
          <c:y val="0.734795321637427"/>
          <c:w val="0.70844137136272001"/>
          <c:h val="0.18195774544922899"/>
        </c:manualLayout>
      </c:layout>
      <c:overlay val="1"/>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Projections de population (FR entière)</a:t>
            </a:r>
          </a:p>
        </c:rich>
      </c:tx>
      <c:layout>
        <c:manualLayout>
          <c:xMode val="edge"/>
          <c:yMode val="edge"/>
          <c:x val="0.20685794261721499"/>
          <c:y val="3.2516402933230402E-2"/>
        </c:manualLayout>
      </c:layout>
      <c:overlay val="0"/>
      <c:spPr>
        <a:noFill/>
        <a:ln>
          <a:noFill/>
        </a:ln>
      </c:spPr>
    </c:title>
    <c:autoTitleDeleted val="0"/>
    <c:plotArea>
      <c:layout>
        <c:manualLayout>
          <c:layoutTarget val="inner"/>
          <c:xMode val="edge"/>
          <c:yMode val="edge"/>
          <c:x val="0.106368089573128"/>
          <c:y val="0.11211887302199899"/>
          <c:w val="0.84513645906228096"/>
          <c:h val="0.72703589347742203"/>
        </c:manualLayout>
      </c:layout>
      <c:scatterChart>
        <c:scatterStyle val="lineMarker"/>
        <c:varyColors val="0"/>
        <c:ser>
          <c:idx val="0"/>
          <c:order val="0"/>
          <c:tx>
            <c:strRef>
              <c:f>'1. Population'!$A$17</c:f>
              <c:strCache>
                <c:ptCount val="1"/>
                <c:pt idx="0">
                  <c:v>AMS18</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Population'!$B$17:$AH$17</c:f>
              <c:numCache>
                <c:formatCode>General</c:formatCode>
                <c:ptCount val="33"/>
                <c:pt idx="2">
                  <c:v>67.819999999999993</c:v>
                </c:pt>
                <c:pt idx="7">
                  <c:v>69.093000000000004</c:v>
                </c:pt>
                <c:pt idx="12">
                  <c:v>70.281000000000006</c:v>
                </c:pt>
                <c:pt idx="17">
                  <c:v>71.417000000000002</c:v>
                </c:pt>
                <c:pt idx="22">
                  <c:v>72.448999999999998</c:v>
                </c:pt>
                <c:pt idx="27">
                  <c:v>73.311999999999998</c:v>
                </c:pt>
                <c:pt idx="32">
                  <c:v>74.025000000000006</c:v>
                </c:pt>
              </c:numCache>
            </c:numRef>
          </c:yVal>
          <c:smooth val="1"/>
          <c:extLst>
            <c:ext xmlns:c16="http://schemas.microsoft.com/office/drawing/2014/chart" uri="{C3380CC4-5D6E-409C-BE32-E72D297353CC}">
              <c16:uniqueId val="{00000000-ED9D-43A4-A8C5-69890C0BB1EF}"/>
            </c:ext>
          </c:extLst>
        </c:ser>
        <c:ser>
          <c:idx val="1"/>
          <c:order val="1"/>
          <c:tx>
            <c:strRef>
              <c:f>'1. Population'!$A$38</c:f>
              <c:strCache>
                <c:ptCount val="1"/>
                <c:pt idx="0">
                  <c:v>Commission cadrage mars 2022</c:v>
                </c:pt>
              </c:strCache>
            </c:strRef>
          </c:tx>
          <c:spPr>
            <a:ln w="28800">
              <a:solidFill>
                <a:srgbClr val="7E0021"/>
              </a:solidFill>
              <a:round/>
            </a:ln>
          </c:spPr>
          <c:marker>
            <c:symbol val="triangle"/>
            <c:size val="8"/>
            <c:spPr>
              <a:solidFill>
                <a:srgbClr val="7E0021"/>
              </a:solidFill>
            </c:spPr>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Population'!$D$16:$AH$16</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'1. Population'!$D$38:$AH$38</c:f>
              <c:numCache>
                <c:formatCode>0.00</c:formatCode>
                <c:ptCount val="31"/>
                <c:pt idx="0">
                  <c:v>67.320216000000002</c:v>
                </c:pt>
                <c:pt idx="1">
                  <c:v>67.439599000000001</c:v>
                </c:pt>
                <c:pt idx="2">
                  <c:v>67.588901250000006</c:v>
                </c:pt>
                <c:pt idx="3">
                  <c:v>67.738203499999997</c:v>
                </c:pt>
                <c:pt idx="4">
                  <c:v>67.887505750000003</c:v>
                </c:pt>
                <c:pt idx="5">
                  <c:v>68.036807999999994</c:v>
                </c:pt>
                <c:pt idx="6">
                  <c:v>68.189108000000004</c:v>
                </c:pt>
                <c:pt idx="7">
                  <c:v>68.335925000000003</c:v>
                </c:pt>
                <c:pt idx="8">
                  <c:v>68.477953999999997</c:v>
                </c:pt>
                <c:pt idx="9">
                  <c:v>68.615684000000002</c:v>
                </c:pt>
                <c:pt idx="10">
                  <c:v>68.749399999999994</c:v>
                </c:pt>
                <c:pt idx="11">
                  <c:v>68.879193999999998</c:v>
                </c:pt>
                <c:pt idx="12">
                  <c:v>69.004981000000001</c:v>
                </c:pt>
                <c:pt idx="13">
                  <c:v>69.126434000000003</c:v>
                </c:pt>
                <c:pt idx="14">
                  <c:v>69.243088999999998</c:v>
                </c:pt>
                <c:pt idx="15">
                  <c:v>69.354320999999999</c:v>
                </c:pt>
                <c:pt idx="16">
                  <c:v>69.459440000000001</c:v>
                </c:pt>
                <c:pt idx="17">
                  <c:v>69.557590000000005</c:v>
                </c:pt>
                <c:pt idx="18">
                  <c:v>69.647993</c:v>
                </c:pt>
                <c:pt idx="19">
                  <c:v>69.729805999999996</c:v>
                </c:pt>
                <c:pt idx="20">
                  <c:v>69.802408999999997</c:v>
                </c:pt>
                <c:pt idx="21">
                  <c:v>69.865297999999996</c:v>
                </c:pt>
                <c:pt idx="22">
                  <c:v>69.918087</c:v>
                </c:pt>
                <c:pt idx="23">
                  <c:v>69.960555999999997</c:v>
                </c:pt>
                <c:pt idx="24">
                  <c:v>69.992966999999993</c:v>
                </c:pt>
                <c:pt idx="25">
                  <c:v>70.015780000000007</c:v>
                </c:pt>
                <c:pt idx="26">
                  <c:v>70.029606999999999</c:v>
                </c:pt>
                <c:pt idx="27">
                  <c:v>70.035050999999996</c:v>
                </c:pt>
                <c:pt idx="28">
                  <c:v>70.033175</c:v>
                </c:pt>
                <c:pt idx="29">
                  <c:v>70.024900000000002</c:v>
                </c:pt>
                <c:pt idx="30">
                  <c:v>70.010902999999999</c:v>
                </c:pt>
              </c:numCache>
            </c:numRef>
          </c:yVal>
          <c:smooth val="1"/>
          <c:extLst>
            <c:ext xmlns:c16="http://schemas.microsoft.com/office/drawing/2014/chart" uri="{C3380CC4-5D6E-409C-BE32-E72D297353CC}">
              <c16:uniqueId val="{00000001-ED9D-43A4-A8C5-69890C0BB1EF}"/>
            </c:ext>
          </c:extLst>
        </c:ser>
        <c:ser>
          <c:idx val="2"/>
          <c:order val="2"/>
          <c:tx>
            <c:strRef>
              <c:f>'1. Population'!$A$20</c:f>
              <c:strCache>
                <c:ptCount val="1"/>
                <c:pt idx="0">
                  <c:v>Observé</c:v>
                </c:pt>
              </c:strCache>
            </c:strRef>
          </c:tx>
          <c:spPr>
            <a:ln w="1908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Population'!$B$20:$AH$20</c:f>
              <c:numCache>
                <c:formatCode>#\ ##0.000</c:formatCode>
                <c:ptCount val="33"/>
                <c:pt idx="0">
                  <c:v>66.992000000000004</c:v>
                </c:pt>
                <c:pt idx="1">
                  <c:v>67.257981999999998</c:v>
                </c:pt>
                <c:pt idx="2" formatCode="General">
                  <c:v>67.441850000000002</c:v>
                </c:pt>
                <c:pt idx="3">
                  <c:v>67.635124000000005</c:v>
                </c:pt>
                <c:pt idx="4">
                  <c:v>67.842590999999999</c:v>
                </c:pt>
                <c:pt idx="5">
                  <c:v>68.042591000000002</c:v>
                </c:pt>
              </c:numCache>
            </c:numRef>
          </c:yVal>
          <c:smooth val="1"/>
          <c:extLst>
            <c:ext xmlns:c16="http://schemas.microsoft.com/office/drawing/2014/chart" uri="{C3380CC4-5D6E-409C-BE32-E72D297353CC}">
              <c16:uniqueId val="{00000002-ED9D-43A4-A8C5-69890C0BB1EF}"/>
            </c:ext>
          </c:extLst>
        </c:ser>
        <c:ser>
          <c:idx val="3"/>
          <c:order val="3"/>
          <c:tx>
            <c:strRef>
              <c:f>'1. Population'!$A$22</c:f>
              <c:strCache>
                <c:ptCount val="1"/>
                <c:pt idx="0">
                  <c:v>AME 2021</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Population'!$B$22:$AH$22</c:f>
              <c:numCache>
                <c:formatCode>0.0</c:formatCode>
                <c:ptCount val="33"/>
                <c:pt idx="0">
                  <c:v>66.98</c:v>
                </c:pt>
                <c:pt idx="1">
                  <c:v>67.012883000000002</c:v>
                </c:pt>
                <c:pt idx="2">
                  <c:v>67.204763</c:v>
                </c:pt>
                <c:pt idx="3">
                  <c:v>67.388433000000006</c:v>
                </c:pt>
                <c:pt idx="4">
                  <c:v>67.575000000000003</c:v>
                </c:pt>
                <c:pt idx="5">
                  <c:v>67.765465000000006</c:v>
                </c:pt>
                <c:pt idx="6">
                  <c:v>67.955439999999996</c:v>
                </c:pt>
                <c:pt idx="7">
                  <c:v>68.145742999999996</c:v>
                </c:pt>
                <c:pt idx="8">
                  <c:v>68.335445000000007</c:v>
                </c:pt>
                <c:pt idx="9">
                  <c:v>68.526661000000004</c:v>
                </c:pt>
                <c:pt idx="10">
                  <c:v>68.718934000000004</c:v>
                </c:pt>
                <c:pt idx="11">
                  <c:v>68.916612999999998</c:v>
                </c:pt>
                <c:pt idx="12">
                  <c:v>69.116879999999995</c:v>
                </c:pt>
                <c:pt idx="13">
                  <c:v>69.319056000000003</c:v>
                </c:pt>
                <c:pt idx="14">
                  <c:v>69.521761999999995</c:v>
                </c:pt>
                <c:pt idx="15">
                  <c:v>69.722271000000006</c:v>
                </c:pt>
                <c:pt idx="16">
                  <c:v>69.91583</c:v>
                </c:pt>
                <c:pt idx="17">
                  <c:v>70.104962</c:v>
                </c:pt>
                <c:pt idx="18">
                  <c:v>70.288808000000003</c:v>
                </c:pt>
                <c:pt idx="19">
                  <c:v>70.465976999999995</c:v>
                </c:pt>
                <c:pt idx="20">
                  <c:v>70.633769999999998</c:v>
                </c:pt>
                <c:pt idx="21">
                  <c:v>70.788492000000005</c:v>
                </c:pt>
                <c:pt idx="22">
                  <c:v>70.926210999999995</c:v>
                </c:pt>
                <c:pt idx="23">
                  <c:v>71.046882993855405</c:v>
                </c:pt>
                <c:pt idx="24">
                  <c:v>71.166557698505301</c:v>
                </c:pt>
                <c:pt idx="25">
                  <c:v>71.269278486663197</c:v>
                </c:pt>
                <c:pt idx="26">
                  <c:v>71.366015539588602</c:v>
                </c:pt>
                <c:pt idx="27">
                  <c:v>71.459760724897706</c:v>
                </c:pt>
                <c:pt idx="28">
                  <c:v>71.533560126098493</c:v>
                </c:pt>
                <c:pt idx="29">
                  <c:v>71.606362238093894</c:v>
                </c:pt>
                <c:pt idx="30">
                  <c:v>71.671186036445903</c:v>
                </c:pt>
                <c:pt idx="31">
                  <c:v>71.726036942743804</c:v>
                </c:pt>
                <c:pt idx="32">
                  <c:v>71.776898692220101</c:v>
                </c:pt>
              </c:numCache>
            </c:numRef>
          </c:yVal>
          <c:smooth val="1"/>
          <c:extLst>
            <c:ext xmlns:c16="http://schemas.microsoft.com/office/drawing/2014/chart" uri="{C3380CC4-5D6E-409C-BE32-E72D297353CC}">
              <c16:uniqueId val="{00000003-ED9D-43A4-A8C5-69890C0BB1EF}"/>
            </c:ext>
          </c:extLst>
        </c:ser>
        <c:ser>
          <c:idx val="4"/>
          <c:order val="4"/>
          <c:tx>
            <c:strRef>
              <c:f>'1. Population'!$A$23</c:f>
              <c:strCache>
                <c:ptCount val="1"/>
                <c:pt idx="0">
                  <c:v>INSEE 2021 – scénario central</c:v>
                </c:pt>
              </c:strCache>
            </c:strRef>
          </c:tx>
          <c:spPr>
            <a:ln w="28800">
              <a:solidFill>
                <a:srgbClr val="579D1C"/>
              </a:solidFill>
              <a:round/>
            </a:ln>
          </c:spPr>
          <c:marker>
            <c:symbol val="triangle"/>
            <c:size val="8"/>
            <c:spPr>
              <a:solidFill>
                <a:srgbClr val="579D1C"/>
              </a:solidFill>
            </c:spPr>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'1. Population'!$B$23:$AH$23</c:f>
              <c:numCache>
                <c:formatCode>General</c:formatCode>
                <c:ptCount val="33"/>
                <c:pt idx="0">
                  <c:v>67</c:v>
                </c:pt>
                <c:pt idx="1">
                  <c:v>67.099999999999994</c:v>
                </c:pt>
                <c:pt idx="2">
                  <c:v>67.3</c:v>
                </c:pt>
                <c:pt idx="3">
                  <c:v>67.400000000000006</c:v>
                </c:pt>
                <c:pt idx="4">
                  <c:v>67.5</c:v>
                </c:pt>
                <c:pt idx="5">
                  <c:v>67.7</c:v>
                </c:pt>
                <c:pt idx="6">
                  <c:v>67.8</c:v>
                </c:pt>
                <c:pt idx="7">
                  <c:v>68</c:v>
                </c:pt>
                <c:pt idx="8">
                  <c:v>68.099999999999994</c:v>
                </c:pt>
                <c:pt idx="9">
                  <c:v>68.2</c:v>
                </c:pt>
                <c:pt idx="10">
                  <c:v>68.3</c:v>
                </c:pt>
                <c:pt idx="11">
                  <c:v>68.400000000000006</c:v>
                </c:pt>
                <c:pt idx="12">
                  <c:v>68.599999999999994</c:v>
                </c:pt>
                <c:pt idx="13">
                  <c:v>68.7</c:v>
                </c:pt>
                <c:pt idx="14">
                  <c:v>68.7</c:v>
                </c:pt>
                <c:pt idx="15">
                  <c:v>68.8</c:v>
                </c:pt>
                <c:pt idx="16">
                  <c:v>68.900000000000006</c:v>
                </c:pt>
                <c:pt idx="17">
                  <c:v>69</c:v>
                </c:pt>
                <c:pt idx="18">
                  <c:v>69</c:v>
                </c:pt>
                <c:pt idx="19">
                  <c:v>69.099999999999994</c:v>
                </c:pt>
                <c:pt idx="20">
                  <c:v>69.2</c:v>
                </c:pt>
                <c:pt idx="21">
                  <c:v>69.2</c:v>
                </c:pt>
                <c:pt idx="22">
                  <c:v>69.2</c:v>
                </c:pt>
                <c:pt idx="23">
                  <c:v>69.3</c:v>
                </c:pt>
                <c:pt idx="24">
                  <c:v>69.3</c:v>
                </c:pt>
                <c:pt idx="25">
                  <c:v>69.3</c:v>
                </c:pt>
                <c:pt idx="26">
                  <c:v>69.3</c:v>
                </c:pt>
                <c:pt idx="27">
                  <c:v>69.3</c:v>
                </c:pt>
                <c:pt idx="28">
                  <c:v>69.3</c:v>
                </c:pt>
                <c:pt idx="29">
                  <c:v>69.3</c:v>
                </c:pt>
                <c:pt idx="30">
                  <c:v>69.3</c:v>
                </c:pt>
                <c:pt idx="31">
                  <c:v>69.2</c:v>
                </c:pt>
                <c:pt idx="32">
                  <c:v>69.2</c:v>
                </c:pt>
              </c:numCache>
            </c:numRef>
          </c:yVal>
          <c:smooth val="1"/>
          <c:extLst>
            <c:ext xmlns:c16="http://schemas.microsoft.com/office/drawing/2014/chart" uri="{C3380CC4-5D6E-409C-BE32-E72D297353CC}">
              <c16:uniqueId val="{00000004-ED9D-43A4-A8C5-69890C0BB1EF}"/>
            </c:ext>
          </c:extLst>
        </c:ser>
        <c:dLbls>
          <c:showLegendKey val="0"/>
          <c:showVal val="0"/>
          <c:showCatName val="0"/>
          <c:showSerName val="0"/>
          <c:showPercent val="0"/>
          <c:showBubbleSize val="0"/>
        </c:dLbls>
        <c:axId val="71136249"/>
        <c:axId val="79384038"/>
      </c:scatterChart>
      <c:valAx>
        <c:axId val="71136249"/>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9384038"/>
        <c:crosses val="autoZero"/>
        <c:crossBetween val="midCat"/>
      </c:valAx>
      <c:valAx>
        <c:axId val="79384038"/>
        <c:scaling>
          <c:orientation val="minMax"/>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lang="fr-FR" sz="1000" b="0" strike="noStrike" spc="-1">
                    <a:solidFill>
                      <a:srgbClr val="595959"/>
                    </a:solidFill>
                    <a:latin typeface="Calibri"/>
                  </a:rPr>
                  <a:t>millions habitants</a:t>
                </a:r>
              </a:p>
            </c:rich>
          </c:tx>
          <c:overlay val="0"/>
          <c:spPr>
            <a:noFill/>
            <a:ln>
              <a:noFill/>
            </a:ln>
          </c:spPr>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1136249"/>
        <c:crosses val="autoZero"/>
        <c:crossBetween val="midCat"/>
      </c:valAx>
      <c:spPr>
        <a:noFill/>
        <a:ln>
          <a:noFill/>
        </a:ln>
      </c:spPr>
    </c:plotArea>
    <c:legend>
      <c:legendPos val="r"/>
      <c:layout>
        <c:manualLayout>
          <c:xMode val="edge"/>
          <c:yMode val="edge"/>
          <c:x val="8.2149604646280905E-2"/>
          <c:y val="0.90217076700434096"/>
          <c:w val="0.89209237228831395"/>
          <c:h val="5.08490930142802E-2"/>
        </c:manualLayout>
      </c:layout>
      <c:overlay val="1"/>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Evolution du PIB (index 2018 = 100)</a:t>
            </a:r>
          </a:p>
        </c:rich>
      </c:tx>
      <c:overlay val="0"/>
      <c:spPr>
        <a:noFill/>
        <a:ln>
          <a:noFill/>
        </a:ln>
      </c:spPr>
    </c:title>
    <c:autoTitleDeleted val="0"/>
    <c:plotArea>
      <c:layout>
        <c:manualLayout>
          <c:layoutTarget val="inner"/>
          <c:xMode val="edge"/>
          <c:yMode val="edge"/>
          <c:x val="5.8266666666666703E-2"/>
          <c:y val="0.16960914379018299"/>
          <c:w val="0.89959999999999996"/>
          <c:h val="0.61047045616899698"/>
        </c:manualLayout>
      </c:layout>
      <c:scatterChart>
        <c:scatterStyle val="lineMarker"/>
        <c:varyColors val="0"/>
        <c:ser>
          <c:idx val="0"/>
          <c:order val="0"/>
          <c:tx>
            <c:strRef>
              <c:f>'2. PIB'!$A$24</c:f>
              <c:strCache>
                <c:ptCount val="1"/>
                <c:pt idx="0">
                  <c:v>AMS2018</c:v>
                </c:pt>
              </c:strCache>
            </c:strRef>
          </c:tx>
          <c:spPr>
            <a:ln w="19080">
              <a:solidFill>
                <a:srgbClr val="5B9BD5"/>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PIB'!$B$23:$AH$23</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PIB'!$B$24:$AH$24</c:f>
              <c:numCache>
                <c:formatCode>0.0</c:formatCode>
                <c:ptCount val="33"/>
                <c:pt idx="0" formatCode="General">
                  <c:v>100</c:v>
                </c:pt>
                <c:pt idx="1">
                  <c:v>101.6</c:v>
                </c:pt>
                <c:pt idx="2">
                  <c:v>102.92079999999999</c:v>
                </c:pt>
                <c:pt idx="3">
                  <c:v>104.25877039999997</c:v>
                </c:pt>
                <c:pt idx="4">
                  <c:v>105.61413441519997</c:v>
                </c:pt>
                <c:pt idx="5">
                  <c:v>106.98711816259755</c:v>
                </c:pt>
                <c:pt idx="6">
                  <c:v>108.37795069871132</c:v>
                </c:pt>
                <c:pt idx="7">
                  <c:v>109.89524200849327</c:v>
                </c:pt>
                <c:pt idx="8">
                  <c:v>111.43377539661218</c:v>
                </c:pt>
                <c:pt idx="9">
                  <c:v>112.99384825216475</c:v>
                </c:pt>
                <c:pt idx="10">
                  <c:v>114.57576212769506</c:v>
                </c:pt>
                <c:pt idx="11">
                  <c:v>116.17982279748279</c:v>
                </c:pt>
                <c:pt idx="12">
                  <c:v>118.15487978503998</c:v>
                </c:pt>
                <c:pt idx="13">
                  <c:v>120.16351274138565</c:v>
                </c:pt>
                <c:pt idx="14">
                  <c:v>122.20629245798919</c:v>
                </c:pt>
                <c:pt idx="15">
                  <c:v>124.283799429775</c:v>
                </c:pt>
                <c:pt idx="16">
                  <c:v>126.39662402008116</c:v>
                </c:pt>
                <c:pt idx="17">
                  <c:v>128.54536662842253</c:v>
                </c:pt>
                <c:pt idx="18">
                  <c:v>130.73063786110569</c:v>
                </c:pt>
                <c:pt idx="19">
                  <c:v>132.95305870474448</c:v>
                </c:pt>
                <c:pt idx="20">
                  <c:v>135.21326070272511</c:v>
                </c:pt>
                <c:pt idx="21">
                  <c:v>137.51188613467141</c:v>
                </c:pt>
                <c:pt idx="22">
                  <c:v>139.84958819896082</c:v>
                </c:pt>
                <c:pt idx="23">
                  <c:v>142.22703119834313</c:v>
                </c:pt>
                <c:pt idx="24">
                  <c:v>144.64489072871496</c:v>
                </c:pt>
                <c:pt idx="25">
                  <c:v>147.1038538711031</c:v>
                </c:pt>
                <c:pt idx="26">
                  <c:v>149.60461938691185</c:v>
                </c:pt>
                <c:pt idx="27">
                  <c:v>152.14789791648934</c:v>
                </c:pt>
                <c:pt idx="28">
                  <c:v>154.73441218106964</c:v>
                </c:pt>
                <c:pt idx="29">
                  <c:v>157.36489718814781</c:v>
                </c:pt>
                <c:pt idx="30">
                  <c:v>160.04010044034629</c:v>
                </c:pt>
                <c:pt idx="31">
                  <c:v>162.76078214783217</c:v>
                </c:pt>
                <c:pt idx="32">
                  <c:v>165.52771544434532</c:v>
                </c:pt>
              </c:numCache>
            </c:numRef>
          </c:yVal>
          <c:smooth val="1"/>
          <c:extLst>
            <c:ext xmlns:c16="http://schemas.microsoft.com/office/drawing/2014/chart" uri="{C3380CC4-5D6E-409C-BE32-E72D297353CC}">
              <c16:uniqueId val="{00000000-824C-41A4-A4FA-D6760038273E}"/>
            </c:ext>
          </c:extLst>
        </c:ser>
        <c:ser>
          <c:idx val="1"/>
          <c:order val="1"/>
          <c:tx>
            <c:strRef>
              <c:f>'2. PIB'!$A$28</c:f>
              <c:strCache>
                <c:ptCount val="1"/>
                <c:pt idx="0">
                  <c:v>Cadrage Commission mars 2023</c:v>
                </c:pt>
              </c:strCache>
            </c:strRef>
          </c:tx>
          <c:spPr>
            <a:ln w="28800">
              <a:solidFill>
                <a:srgbClr val="314004"/>
              </a:solidFill>
              <a:round/>
            </a:ln>
          </c:spPr>
          <c:marker>
            <c:symbol val="none"/>
          </c:marker>
          <c:dLbls>
            <c:spPr>
              <a:noFill/>
              <a:ln>
                <a:noFill/>
              </a:ln>
              <a:effectLst/>
            </c:spPr>
            <c:txPr>
              <a:bodyPr/>
              <a:lstStyle/>
              <a:p>
                <a:pPr>
                  <a:defRPr sz="1000" b="0" strike="noStrike" spc="-1">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PIB'!$B$29:$AH$29</c:f>
              <c:numCache>
                <c:formatCode>0.0</c:formatCode>
                <c:ptCount val="33"/>
                <c:pt idx="0" formatCode="General">
                  <c:v>100</c:v>
                </c:pt>
                <c:pt idx="1">
                  <c:v>101.32000000000001</c:v>
                </c:pt>
                <c:pt idx="2">
                  <c:v>93.361054913447916</c:v>
                </c:pt>
                <c:pt idx="3">
                  <c:v>99.924385247588049</c:v>
                </c:pt>
                <c:pt idx="4">
                  <c:v>103.53323599895631</c:v>
                </c:pt>
                <c:pt idx="5">
                  <c:v>105.74358634243598</c:v>
                </c:pt>
                <c:pt idx="6">
                  <c:v>107.33454329012829</c:v>
                </c:pt>
                <c:pt idx="7">
                  <c:v>108.27282526384543</c:v>
                </c:pt>
                <c:pt idx="8">
                  <c:v>109.27767664942375</c:v>
                </c:pt>
                <c:pt idx="9">
                  <c:v>110.32798465546372</c:v>
                </c:pt>
                <c:pt idx="10">
                  <c:v>111.43090206311096</c:v>
                </c:pt>
                <c:pt idx="11">
                  <c:v>112.54313800339079</c:v>
                </c:pt>
                <c:pt idx="12">
                  <c:v>113.69599671819253</c:v>
                </c:pt>
                <c:pt idx="13">
                  <c:v>114.91073929166399</c:v>
                </c:pt>
                <c:pt idx="14">
                  <c:v>116.17262905252129</c:v>
                </c:pt>
                <c:pt idx="15">
                  <c:v>117.50676889211171</c:v>
                </c:pt>
                <c:pt idx="16">
                  <c:v>118.94242717280494</c:v>
                </c:pt>
                <c:pt idx="17">
                  <c:v>120.491786699641</c:v>
                </c:pt>
                <c:pt idx="18">
                  <c:v>122.18250441857778</c:v>
                </c:pt>
                <c:pt idx="19">
                  <c:v>124.04041523205635</c:v>
                </c:pt>
                <c:pt idx="20">
                  <c:v>125.96231900504922</c:v>
                </c:pt>
                <c:pt idx="21">
                  <c:v>127.95359276878915</c:v>
                </c:pt>
                <c:pt idx="22">
                  <c:v>129.99201248506532</c:v>
                </c:pt>
                <c:pt idx="23">
                  <c:v>132.09421021955413</c:v>
                </c:pt>
                <c:pt idx="24">
                  <c:v>134.25535475689921</c:v>
                </c:pt>
                <c:pt idx="25">
                  <c:v>136.41495522628196</c:v>
                </c:pt>
                <c:pt idx="26">
                  <c:v>138.55701873760282</c:v>
                </c:pt>
                <c:pt idx="27">
                  <c:v>140.68426773468107</c:v>
                </c:pt>
                <c:pt idx="28">
                  <c:v>142.80858991783089</c:v>
                </c:pt>
                <c:pt idx="29">
                  <c:v>144.93714292151174</c:v>
                </c:pt>
                <c:pt idx="30">
                  <c:v>147.08736148877816</c:v>
                </c:pt>
                <c:pt idx="31">
                  <c:v>149.25199762628532</c:v>
                </c:pt>
                <c:pt idx="32">
                  <c:v>151.43456591920418</c:v>
                </c:pt>
              </c:numCache>
            </c:numRef>
          </c:yVal>
          <c:smooth val="1"/>
          <c:extLst>
            <c:ext xmlns:c16="http://schemas.microsoft.com/office/drawing/2014/chart" uri="{C3380CC4-5D6E-409C-BE32-E72D297353CC}">
              <c16:uniqueId val="{00000001-824C-41A4-A4FA-D6760038273E}"/>
            </c:ext>
          </c:extLst>
        </c:ser>
        <c:ser>
          <c:idx val="2"/>
          <c:order val="2"/>
          <c:tx>
            <c:strRef>
              <c:f>'2. PIB'!$A$25</c:f>
              <c:strCache>
                <c:ptCount val="1"/>
                <c:pt idx="0">
                  <c:v>AME 2021</c:v>
                </c:pt>
              </c:strCache>
            </c:strRef>
          </c:tx>
          <c:spPr>
            <a:ln w="19080">
              <a:solidFill>
                <a:srgbClr val="ED7D31"/>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PIB'!$B$23:$AH$23</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PIB'!$B$25:$AH$25</c:f>
              <c:numCache>
                <c:formatCode>0.0</c:formatCode>
                <c:ptCount val="33"/>
                <c:pt idx="0" formatCode="General">
                  <c:v>100</c:v>
                </c:pt>
                <c:pt idx="1">
                  <c:v>101.31539403407143</c:v>
                </c:pt>
                <c:pt idx="2">
                  <c:v>92.958615750341849</c:v>
                </c:pt>
                <c:pt idx="3">
                  <c:v>99.838582535791048</c:v>
                </c:pt>
                <c:pt idx="4">
                  <c:v>101.6070362109557</c:v>
                </c:pt>
                <c:pt idx="5">
                  <c:v>103.27448067683179</c:v>
                </c:pt>
                <c:pt idx="6">
                  <c:v>104.91629154979603</c:v>
                </c:pt>
                <c:pt idx="7">
                  <c:v>105.83343399148264</c:v>
                </c:pt>
                <c:pt idx="8">
                  <c:v>106.81564603340267</c:v>
                </c:pt>
                <c:pt idx="9">
                  <c:v>107.84229055622806</c:v>
                </c:pt>
                <c:pt idx="10">
                  <c:v>108.92035918864666</c:v>
                </c:pt>
                <c:pt idx="11">
                  <c:v>110.00753640676869</c:v>
                </c:pt>
                <c:pt idx="12">
                  <c:v>111.17119376391018</c:v>
                </c:pt>
                <c:pt idx="13">
                  <c:v>112.41348307430265</c:v>
                </c:pt>
                <c:pt idx="14">
                  <c:v>113.73671836167573</c:v>
                </c:pt>
                <c:pt idx="15">
                  <c:v>115.12881672813886</c:v>
                </c:pt>
                <c:pt idx="16">
                  <c:v>116.59568081340892</c:v>
                </c:pt>
                <c:pt idx="17">
                  <c:v>118.14101366041143</c:v>
                </c:pt>
                <c:pt idx="18">
                  <c:v>119.78642139262945</c:v>
                </c:pt>
                <c:pt idx="19">
                  <c:v>121.52667496863968</c:v>
                </c:pt>
                <c:pt idx="20">
                  <c:v>123.36429205366608</c:v>
                </c:pt>
                <c:pt idx="21">
                  <c:v>125.29925182122975</c:v>
                </c:pt>
                <c:pt idx="22">
                  <c:v>127.33885823754892</c:v>
                </c:pt>
                <c:pt idx="23">
                  <c:v>129.4116651261217</c:v>
                </c:pt>
                <c:pt idx="24">
                  <c:v>131.51821292031264</c:v>
                </c:pt>
                <c:pt idx="25">
                  <c:v>133.65905085059669</c:v>
                </c:pt>
                <c:pt idx="26">
                  <c:v>135.83473708775759</c:v>
                </c:pt>
                <c:pt idx="27">
                  <c:v>138.04583888841717</c:v>
                </c:pt>
                <c:pt idx="28">
                  <c:v>140.29293274293349</c:v>
                </c:pt>
                <c:pt idx="29">
                  <c:v>142.57660452570659</c:v>
                </c:pt>
                <c:pt idx="30">
                  <c:v>144.8974496479307</c:v>
                </c:pt>
                <c:pt idx="31">
                  <c:v>147.2560732128332</c:v>
                </c:pt>
                <c:pt idx="32">
                  <c:v>149.65309017344023</c:v>
                </c:pt>
              </c:numCache>
            </c:numRef>
          </c:yVal>
          <c:smooth val="1"/>
          <c:extLst>
            <c:ext xmlns:c16="http://schemas.microsoft.com/office/drawing/2014/chart" uri="{C3380CC4-5D6E-409C-BE32-E72D297353CC}">
              <c16:uniqueId val="{00000002-824C-41A4-A4FA-D6760038273E}"/>
            </c:ext>
          </c:extLst>
        </c:ser>
        <c:ser>
          <c:idx val="3"/>
          <c:order val="3"/>
          <c:tx>
            <c:strRef>
              <c:f>'2. PIB'!$A$28</c:f>
              <c:strCache>
                <c:ptCount val="1"/>
                <c:pt idx="0">
                  <c:v>Cadrage Commission mars 2023</c:v>
                </c:pt>
              </c:strCache>
            </c:strRef>
          </c:tx>
          <c:spPr>
            <a:ln w="19080">
              <a:solidFill>
                <a:srgbClr val="579D1C"/>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PIB'!$B$31:$AH$31</c:f>
              <c:numCache>
                <c:formatCode>0.00</c:formatCode>
                <c:ptCount val="33"/>
                <c:pt idx="1">
                  <c:v>1.8</c:v>
                </c:pt>
                <c:pt idx="2">
                  <c:v>-8</c:v>
                </c:pt>
                <c:pt idx="3">
                  <c:v>7.2763965093855836</c:v>
                </c:pt>
                <c:pt idx="4">
                  <c:v>1.6428276852789661</c:v>
                </c:pt>
                <c:pt idx="5">
                  <c:v>1.6555109476340737</c:v>
                </c:pt>
                <c:pt idx="6">
                  <c:v>1.4571232395160085</c:v>
                </c:pt>
                <c:pt idx="7">
                  <c:v>0.88911028620158183</c:v>
                </c:pt>
                <c:pt idx="8">
                  <c:v>0.7967554212014416</c:v>
                </c:pt>
                <c:pt idx="9">
                  <c:v>0.82816007059447405</c:v>
                </c:pt>
                <c:pt idx="10">
                  <c:v>0.86571775015107955</c:v>
                </c:pt>
                <c:pt idx="11">
                  <c:v>0.85688938955858518</c:v>
                </c:pt>
                <c:pt idx="12">
                  <c:v>1.0596022998227892</c:v>
                </c:pt>
                <c:pt idx="13">
                  <c:v>0.9707155128307553</c:v>
                </c:pt>
                <c:pt idx="14">
                  <c:v>0.88468975154733931</c:v>
                </c:pt>
                <c:pt idx="15">
                  <c:v>1.0811142094819362</c:v>
                </c:pt>
                <c:pt idx="16">
                  <c:v>1.1418413316753344</c:v>
                </c:pt>
                <c:pt idx="17">
                  <c:v>1.200001473826996</c:v>
                </c:pt>
                <c:pt idx="18">
                  <c:v>1.1305050348450973</c:v>
                </c:pt>
                <c:pt idx="19">
                  <c:v>1.3456659485303804</c:v>
                </c:pt>
                <c:pt idx="20">
                  <c:v>1.4187086956310875</c:v>
                </c:pt>
                <c:pt idx="21">
                  <c:v>1.3494443827854126</c:v>
                </c:pt>
                <c:pt idx="22">
                  <c:v>1.4332382002272377</c:v>
                </c:pt>
                <c:pt idx="23">
                  <c:v>1.602159479560467</c:v>
                </c:pt>
                <c:pt idx="24">
                  <c:v>1.4593434904331615</c:v>
                </c:pt>
                <c:pt idx="25">
                  <c:v>1.4834496194027706</c:v>
                </c:pt>
                <c:pt idx="26">
                  <c:v>1.4920536084907827</c:v>
                </c:pt>
                <c:pt idx="27">
                  <c:v>1.4964298836985941</c:v>
                </c:pt>
                <c:pt idx="28">
                  <c:v>1.5245141173808356</c:v>
                </c:pt>
                <c:pt idx="29">
                  <c:v>1.5260148183756816</c:v>
                </c:pt>
                <c:pt idx="30">
                  <c:v>1.5372601973498992</c:v>
                </c:pt>
                <c:pt idx="31">
                  <c:v>1.4069567179421243</c:v>
                </c:pt>
                <c:pt idx="32">
                  <c:v>1.5568770458147063</c:v>
                </c:pt>
              </c:numCache>
            </c:numRef>
          </c:yVal>
          <c:smooth val="1"/>
          <c:extLst>
            <c:ext xmlns:c16="http://schemas.microsoft.com/office/drawing/2014/chart" uri="{C3380CC4-5D6E-409C-BE32-E72D297353CC}">
              <c16:uniqueId val="{00000003-824C-41A4-A4FA-D6760038273E}"/>
            </c:ext>
          </c:extLst>
        </c:ser>
        <c:ser>
          <c:idx val="4"/>
          <c:order val="4"/>
          <c:tx>
            <c:strRef>
              <c:f>'2. PIB'!$A$31:$A$31</c:f>
              <c:strCache>
                <c:ptCount val="1"/>
                <c:pt idx="0">
                  <c:v>AME AMS 2023</c:v>
                </c:pt>
              </c:strCache>
            </c:strRef>
          </c:tx>
          <c:spPr>
            <a:ln w="28800">
              <a:solidFill>
                <a:srgbClr val="83CAFF"/>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PIB'!$B$34:$AH$34</c:f>
              <c:numCache>
                <c:formatCode>0.0</c:formatCode>
                <c:ptCount val="33"/>
                <c:pt idx="0" formatCode="General">
                  <c:v>100</c:v>
                </c:pt>
                <c:pt idx="1">
                  <c:v>101.8</c:v>
                </c:pt>
                <c:pt idx="2">
                  <c:v>93.656000000000006</c:v>
                </c:pt>
                <c:pt idx="3">
                  <c:v>100.33161995346313</c:v>
                </c:pt>
                <c:pt idx="4">
                  <c:v>101.83103561289015</c:v>
                </c:pt>
                <c:pt idx="5">
                  <c:v>103.21513796854953</c:v>
                </c:pt>
                <c:pt idx="6">
                  <c:v>104.56665014717782</c:v>
                </c:pt>
                <c:pt idx="7">
                  <c:v>105.18790679444839</c:v>
                </c:pt>
                <c:pt idx="8">
                  <c:v>105.87130904605436</c:v>
                </c:pt>
                <c:pt idx="9">
                  <c:v>106.59262847648246</c:v>
                </c:pt>
                <c:pt idx="10">
                  <c:v>107.35912560490425</c:v>
                </c:pt>
                <c:pt idx="11">
                  <c:v>108.12188696854183</c:v>
                </c:pt>
                <c:pt idx="12">
                  <c:v>108.95140310114323</c:v>
                </c:pt>
                <c:pt idx="13">
                  <c:v>109.85018998517333</c:v>
                </c:pt>
                <c:pt idx="14">
                  <c:v>110.82202335802744</c:v>
                </c:pt>
                <c:pt idx="15">
                  <c:v>111.85882301091017</c:v>
                </c:pt>
                <c:pt idx="16">
                  <c:v>112.97348778661193</c:v>
                </c:pt>
                <c:pt idx="17">
                  <c:v>114.16520397883451</c:v>
                </c:pt>
                <c:pt idx="18">
                  <c:v>115.4558473578564</c:v>
                </c:pt>
                <c:pt idx="19">
                  <c:v>116.84217006632691</c:v>
                </c:pt>
                <c:pt idx="20">
                  <c:v>118.33072867489152</c:v>
                </c:pt>
                <c:pt idx="21">
                  <c:v>119.9275360461039</c:v>
                </c:pt>
                <c:pt idx="22">
                  <c:v>121.64638330530794</c:v>
                </c:pt>
                <c:pt idx="23">
                  <c:v>123.41956279572594</c:v>
                </c:pt>
                <c:pt idx="24">
                  <c:v>125.22067815130642</c:v>
                </c:pt>
                <c:pt idx="25">
                  <c:v>127.07826382475554</c:v>
                </c:pt>
                <c:pt idx="26">
                  <c:v>128.97433964576024</c:v>
                </c:pt>
                <c:pt idx="27">
                  <c:v>130.90435020652234</c:v>
                </c:pt>
                <c:pt idx="28">
                  <c:v>132.90000550568641</c:v>
                </c:pt>
                <c:pt idx="29">
                  <c:v>134.92807928332527</c:v>
                </c:pt>
                <c:pt idx="30">
                  <c:v>137.00227494119656</c:v>
                </c:pt>
                <c:pt idx="31">
                  <c:v>139.12753213264989</c:v>
                </c:pt>
                <c:pt idx="32">
                  <c:v>141.2935767448316</c:v>
                </c:pt>
              </c:numCache>
            </c:numRef>
          </c:yVal>
          <c:smooth val="1"/>
          <c:extLst>
            <c:ext xmlns:c16="http://schemas.microsoft.com/office/drawing/2014/chart" uri="{C3380CC4-5D6E-409C-BE32-E72D297353CC}">
              <c16:uniqueId val="{00000004-824C-41A4-A4FA-D6760038273E}"/>
            </c:ext>
          </c:extLst>
        </c:ser>
        <c:ser>
          <c:idx val="5"/>
          <c:order val="5"/>
          <c:tx>
            <c:strRef>
              <c:f>'2. PIB'!$A$26</c:f>
              <c:strCache>
                <c:ptCount val="1"/>
                <c:pt idx="0">
                  <c:v>Banque de France</c:v>
                </c:pt>
              </c:strCache>
            </c:strRef>
          </c:tx>
          <c:spPr>
            <a:ln w="19080">
              <a:solidFill>
                <a:srgbClr val="A5A5A5"/>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PIB'!$B$23:$AH$23</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PIB'!$B$26:$AH$26</c:f>
              <c:numCache>
                <c:formatCode>0.0</c:formatCode>
                <c:ptCount val="33"/>
                <c:pt idx="0" formatCode="General">
                  <c:v>100</c:v>
                </c:pt>
                <c:pt idx="1">
                  <c:v>101.8</c:v>
                </c:pt>
                <c:pt idx="2">
                  <c:v>93.656000000000006</c:v>
                </c:pt>
                <c:pt idx="3">
                  <c:v>99.556328000000008</c:v>
                </c:pt>
                <c:pt idx="4">
                  <c:v>103.239912136</c:v>
                </c:pt>
                <c:pt idx="5">
                  <c:v>105.20147046658398</c:v>
                </c:pt>
              </c:numCache>
            </c:numRef>
          </c:yVal>
          <c:smooth val="1"/>
          <c:extLst>
            <c:ext xmlns:c16="http://schemas.microsoft.com/office/drawing/2014/chart" uri="{C3380CC4-5D6E-409C-BE32-E72D297353CC}">
              <c16:uniqueId val="{00000005-824C-41A4-A4FA-D6760038273E}"/>
            </c:ext>
          </c:extLst>
        </c:ser>
        <c:ser>
          <c:idx val="6"/>
          <c:order val="6"/>
          <c:tx>
            <c:strRef>
              <c:f>'2. PIB'!$A$36:$A$36</c:f>
              <c:strCache>
                <c:ptCount val="1"/>
                <c:pt idx="0">
                  <c:v>OCDE</c:v>
                </c:pt>
              </c:strCache>
            </c:strRef>
          </c:tx>
          <c:spPr>
            <a:ln w="19080">
              <a:solidFill>
                <a:srgbClr val="7E0021"/>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'2. PIB'!$B$38:$AH$38</c:f>
              <c:numCache>
                <c:formatCode>0.0</c:formatCode>
                <c:ptCount val="33"/>
                <c:pt idx="0">
                  <c:v>100</c:v>
                </c:pt>
                <c:pt idx="1">
                  <c:v>101.48987266534593</c:v>
                </c:pt>
                <c:pt idx="2">
                  <c:v>93.21004125700469</c:v>
                </c:pt>
                <c:pt idx="3">
                  <c:v>98.604685670969644</c:v>
                </c:pt>
                <c:pt idx="4">
                  <c:v>102.50678167606564</c:v>
                </c:pt>
                <c:pt idx="5">
                  <c:v>104.49889130672172</c:v>
                </c:pt>
                <c:pt idx="6">
                  <c:v>105.94836653204729</c:v>
                </c:pt>
                <c:pt idx="7">
                  <c:v>107.26898865126448</c:v>
                </c:pt>
                <c:pt idx="8">
                  <c:v>108.58723624169706</c:v>
                </c:pt>
                <c:pt idx="9">
                  <c:v>109.93038146482752</c:v>
                </c:pt>
                <c:pt idx="10">
                  <c:v>111.29790052754163</c:v>
                </c:pt>
                <c:pt idx="11">
                  <c:v>112.67889853306272</c:v>
                </c:pt>
                <c:pt idx="12">
                  <c:v>114.06691536631493</c:v>
                </c:pt>
                <c:pt idx="13">
                  <c:v>115.4607637629059</c:v>
                </c:pt>
                <c:pt idx="14">
                  <c:v>116.85632321700348</c:v>
                </c:pt>
                <c:pt idx="15">
                  <c:v>118.25516510795042</c:v>
                </c:pt>
                <c:pt idx="16">
                  <c:v>119.66168929790652</c:v>
                </c:pt>
                <c:pt idx="17">
                  <c:v>121.08239082148866</c:v>
                </c:pt>
                <c:pt idx="18">
                  <c:v>122.52313616157653</c:v>
                </c:pt>
                <c:pt idx="19">
                  <c:v>123.98217934112262</c:v>
                </c:pt>
                <c:pt idx="20">
                  <c:v>125.4577394635384</c:v>
                </c:pt>
                <c:pt idx="21">
                  <c:v>126.94890862075916</c:v>
                </c:pt>
                <c:pt idx="22">
                  <c:v>128.45750262891437</c:v>
                </c:pt>
                <c:pt idx="23">
                  <c:v>129.98690868347626</c:v>
                </c:pt>
                <c:pt idx="24">
                  <c:v>131.53646331316673</c:v>
                </c:pt>
                <c:pt idx="25">
                  <c:v>133.10585224211724</c:v>
                </c:pt>
                <c:pt idx="26">
                  <c:v>134.69577386114682</c:v>
                </c:pt>
                <c:pt idx="27">
                  <c:v>136.30930108985908</c:v>
                </c:pt>
                <c:pt idx="28">
                  <c:v>137.95170677893768</c:v>
                </c:pt>
                <c:pt idx="29">
                  <c:v>139.62285125021873</c:v>
                </c:pt>
                <c:pt idx="30">
                  <c:v>141.32503919340502</c:v>
                </c:pt>
                <c:pt idx="31">
                  <c:v>143.06308950514776</c:v>
                </c:pt>
                <c:pt idx="32">
                  <c:v>144.84492892124274</c:v>
                </c:pt>
              </c:numCache>
            </c:numRef>
          </c:yVal>
          <c:smooth val="1"/>
          <c:extLst>
            <c:ext xmlns:c16="http://schemas.microsoft.com/office/drawing/2014/chart" uri="{C3380CC4-5D6E-409C-BE32-E72D297353CC}">
              <c16:uniqueId val="{00000006-824C-41A4-A4FA-D6760038273E}"/>
            </c:ext>
          </c:extLst>
        </c:ser>
        <c:dLbls>
          <c:showLegendKey val="0"/>
          <c:showVal val="0"/>
          <c:showCatName val="0"/>
          <c:showSerName val="0"/>
          <c:showPercent val="0"/>
          <c:showBubbleSize val="0"/>
        </c:dLbls>
        <c:axId val="75053505"/>
        <c:axId val="36044173"/>
      </c:scatterChart>
      <c:valAx>
        <c:axId val="7505350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36044173"/>
        <c:crosses val="autoZero"/>
        <c:crossBetween val="midCat"/>
      </c:valAx>
      <c:valAx>
        <c:axId val="36044173"/>
        <c:scaling>
          <c:orientation val="minMax"/>
          <c:min val="90"/>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75053505"/>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span"/>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300" b="0" strike="noStrike" spc="-1">
                <a:solidFill>
                  <a:srgbClr val="000000"/>
                </a:solidFill>
                <a:latin typeface="Arial"/>
              </a:defRPr>
            </a:pPr>
            <a:r>
              <a:rPr lang="fr-FR" sz="1300" b="0" strike="noStrike" spc="-1">
                <a:solidFill>
                  <a:srgbClr val="000000"/>
                </a:solidFill>
                <a:latin typeface="Arial"/>
              </a:rPr>
              <a:t>Valeur ajoutée brute de l'industrie</a:t>
            </a:r>
          </a:p>
        </c:rich>
      </c:tx>
      <c:overlay val="0"/>
      <c:spPr>
        <a:noFill/>
        <a:ln>
          <a:noFill/>
        </a:ln>
      </c:spPr>
    </c:title>
    <c:autoTitleDeleted val="0"/>
    <c:plotArea>
      <c:layout/>
      <c:scatterChart>
        <c:scatterStyle val="lineMarker"/>
        <c:varyColors val="0"/>
        <c:ser>
          <c:idx val="0"/>
          <c:order val="0"/>
          <c:tx>
            <c:strRef>
              <c:f>'PIB Branches'!$U$43</c:f>
              <c:strCache>
                <c:ptCount val="1"/>
                <c:pt idx="0">
                  <c:v>AME 23</c:v>
                </c:pt>
              </c:strCache>
            </c:strRef>
          </c:tx>
          <c:spPr>
            <a:ln w="28800">
              <a:solidFill>
                <a:srgbClr val="004586"/>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Branches'!$V$43:$AD$43</c:f>
              <c:numCache>
                <c:formatCode>General</c:formatCode>
                <c:ptCount val="9"/>
                <c:pt idx="0">
                  <c:v>100</c:v>
                </c:pt>
                <c:pt idx="1">
                  <c:v>104.08587257617729</c:v>
                </c:pt>
                <c:pt idx="2">
                  <c:v>94.18282548476455</c:v>
                </c:pt>
                <c:pt idx="3">
                  <c:v>95.864833908560001</c:v>
                </c:pt>
                <c:pt idx="4">
                  <c:v>97.527398133185827</c:v>
                </c:pt>
                <c:pt idx="5">
                  <c:v>100.44959047263693</c:v>
                </c:pt>
                <c:pt idx="6">
                  <c:v>105.39430116692401</c:v>
                </c:pt>
                <c:pt idx="7">
                  <c:v>111.63828740388988</c:v>
                </c:pt>
                <c:pt idx="8">
                  <c:v>118.36280467753268</c:v>
                </c:pt>
              </c:numCache>
            </c:numRef>
          </c:yVal>
          <c:smooth val="0"/>
          <c:extLst>
            <c:ext xmlns:c16="http://schemas.microsoft.com/office/drawing/2014/chart" uri="{C3380CC4-5D6E-409C-BE32-E72D297353CC}">
              <c16:uniqueId val="{00000000-B901-4F50-82DD-53F5CF2EE9F2}"/>
            </c:ext>
          </c:extLst>
        </c:ser>
        <c:ser>
          <c:idx val="1"/>
          <c:order val="1"/>
          <c:tx>
            <c:strRef>
              <c:f>'PIB Branches'!$U$44</c:f>
              <c:strCache>
                <c:ptCount val="1"/>
                <c:pt idx="0">
                  <c:v>AMS 23</c:v>
                </c:pt>
              </c:strCache>
            </c:strRef>
          </c:tx>
          <c:spPr>
            <a:ln w="28800">
              <a:solidFill>
                <a:srgbClr val="FF420E"/>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Branches'!$V$44:$AD$44</c:f>
              <c:numCache>
                <c:formatCode>General</c:formatCode>
                <c:ptCount val="9"/>
                <c:pt idx="0">
                  <c:v>100</c:v>
                </c:pt>
                <c:pt idx="1">
                  <c:v>104.08587257617729</c:v>
                </c:pt>
                <c:pt idx="2">
                  <c:v>94.18282548476455</c:v>
                </c:pt>
                <c:pt idx="3">
                  <c:v>101.49223071943661</c:v>
                </c:pt>
                <c:pt idx="4">
                  <c:v>105.08872802371614</c:v>
                </c:pt>
                <c:pt idx="5">
                  <c:v>109.81480942383151</c:v>
                </c:pt>
                <c:pt idx="6">
                  <c:v>117.11845132151883</c:v>
                </c:pt>
                <c:pt idx="7">
                  <c:v>125.81913559992317</c:v>
                </c:pt>
                <c:pt idx="8">
                  <c:v>134.84416270001068</c:v>
                </c:pt>
              </c:numCache>
            </c:numRef>
          </c:yVal>
          <c:smooth val="0"/>
          <c:extLst>
            <c:ext xmlns:c16="http://schemas.microsoft.com/office/drawing/2014/chart" uri="{C3380CC4-5D6E-409C-BE32-E72D297353CC}">
              <c16:uniqueId val="{00000001-B901-4F50-82DD-53F5CF2EE9F2}"/>
            </c:ext>
          </c:extLst>
        </c:ser>
        <c:ser>
          <c:idx val="2"/>
          <c:order val="2"/>
          <c:tx>
            <c:strRef>
              <c:f>'PIB Branches'!$U$42</c:f>
              <c:strCache>
                <c:ptCount val="1"/>
                <c:pt idx="0">
                  <c:v>Ecref</c:v>
                </c:pt>
              </c:strCache>
            </c:strRef>
          </c:tx>
          <c:spPr>
            <a:ln w="28800">
              <a:solidFill>
                <a:srgbClr val="FFD320"/>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Branches'!$V$42:$AD$42</c:f>
              <c:numCache>
                <c:formatCode>General</c:formatCode>
                <c:ptCount val="9"/>
                <c:pt idx="0">
                  <c:v>100</c:v>
                </c:pt>
                <c:pt idx="1">
                  <c:v>100.637830425595</c:v>
                </c:pt>
                <c:pt idx="2">
                  <c:v>92.625754616218302</c:v>
                </c:pt>
                <c:pt idx="3">
                  <c:v>105.081100657764</c:v>
                </c:pt>
                <c:pt idx="4">
                  <c:v>108.05230346096801</c:v>
                </c:pt>
                <c:pt idx="5">
                  <c:v>112.373387824452</c:v>
                </c:pt>
                <c:pt idx="6">
                  <c:v>118.559911781263</c:v>
                </c:pt>
                <c:pt idx="7">
                  <c:v>126.625026965546</c:v>
                </c:pt>
                <c:pt idx="8">
                  <c:v>136.11526444239399</c:v>
                </c:pt>
              </c:numCache>
            </c:numRef>
          </c:yVal>
          <c:smooth val="0"/>
          <c:extLst>
            <c:ext xmlns:c16="http://schemas.microsoft.com/office/drawing/2014/chart" uri="{C3380CC4-5D6E-409C-BE32-E72D297353CC}">
              <c16:uniqueId val="{00000002-B901-4F50-82DD-53F5CF2EE9F2}"/>
            </c:ext>
          </c:extLst>
        </c:ser>
        <c:ser>
          <c:idx val="3"/>
          <c:order val="3"/>
          <c:tx>
            <c:strRef>
              <c:f>'PIB Branches'!$U$41</c:f>
              <c:strCache>
                <c:ptCount val="1"/>
                <c:pt idx="0">
                  <c:v>AME 21</c:v>
                </c:pt>
              </c:strCache>
            </c:strRef>
          </c:tx>
          <c:spPr>
            <a:ln w="28800">
              <a:solidFill>
                <a:srgbClr val="579D1C"/>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Branches'!$V$41:$AD$41</c:f>
              <c:numCache>
                <c:formatCode>General</c:formatCode>
                <c:ptCount val="9"/>
                <c:pt idx="0">
                  <c:v>100</c:v>
                </c:pt>
                <c:pt idx="1">
                  <c:v>101.31539403407101</c:v>
                </c:pt>
                <c:pt idx="2">
                  <c:v>92.958615750341806</c:v>
                </c:pt>
                <c:pt idx="3">
                  <c:v>105.83343399148301</c:v>
                </c:pt>
                <c:pt idx="4">
                  <c:v>111.232002761643</c:v>
                </c:pt>
                <c:pt idx="5">
                  <c:v>118.652524718704</c:v>
                </c:pt>
                <c:pt idx="6">
                  <c:v>126.568085376391</c:v>
                </c:pt>
                <c:pt idx="7">
                  <c:v>135.01170981252699</c:v>
                </c:pt>
                <c:pt idx="8">
                  <c:v>144.01862627766499</c:v>
                </c:pt>
              </c:numCache>
            </c:numRef>
          </c:yVal>
          <c:smooth val="0"/>
          <c:extLst>
            <c:ext xmlns:c16="http://schemas.microsoft.com/office/drawing/2014/chart" uri="{C3380CC4-5D6E-409C-BE32-E72D297353CC}">
              <c16:uniqueId val="{00000003-B901-4F50-82DD-53F5CF2EE9F2}"/>
            </c:ext>
          </c:extLst>
        </c:ser>
        <c:ser>
          <c:idx val="4"/>
          <c:order val="4"/>
          <c:tx>
            <c:strRef>
              <c:f>'PIB Branches'!$U$39</c:f>
              <c:strCache>
                <c:ptCount val="1"/>
                <c:pt idx="0">
                  <c:v>AMS 18</c:v>
                </c:pt>
              </c:strCache>
            </c:strRef>
          </c:tx>
          <c:spPr>
            <a:ln w="28800">
              <a:solidFill>
                <a:srgbClr val="7E0021"/>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Branches'!$V$39:$AD$39</c:f>
              <c:numCache>
                <c:formatCode>General</c:formatCode>
                <c:ptCount val="9"/>
                <c:pt idx="0">
                  <c:v>100</c:v>
                </c:pt>
                <c:pt idx="1">
                  <c:v>101.4</c:v>
                </c:pt>
                <c:pt idx="2">
                  <c:v>102.81959999999999</c:v>
                </c:pt>
                <c:pt idx="3">
                  <c:v>108.06443294726201</c:v>
                </c:pt>
                <c:pt idx="4">
                  <c:v>114.14018098909099</c:v>
                </c:pt>
                <c:pt idx="5">
                  <c:v>121.754713661197</c:v>
                </c:pt>
                <c:pt idx="6">
                  <c:v>129.87722789871</c:v>
                </c:pt>
                <c:pt idx="7">
                  <c:v>138.54161222531201</c:v>
                </c:pt>
                <c:pt idx="8">
                  <c:v>147.78401593971299</c:v>
                </c:pt>
              </c:numCache>
            </c:numRef>
          </c:yVal>
          <c:smooth val="0"/>
          <c:extLst>
            <c:ext xmlns:c16="http://schemas.microsoft.com/office/drawing/2014/chart" uri="{C3380CC4-5D6E-409C-BE32-E72D297353CC}">
              <c16:uniqueId val="{00000004-B901-4F50-82DD-53F5CF2EE9F2}"/>
            </c:ext>
          </c:extLst>
        </c:ser>
        <c:ser>
          <c:idx val="5"/>
          <c:order val="5"/>
          <c:tx>
            <c:strRef>
              <c:f>'PIB Branches'!$U$40</c:f>
              <c:strCache>
                <c:ptCount val="1"/>
                <c:pt idx="0">
                  <c:v>AME 18</c:v>
                </c:pt>
              </c:strCache>
            </c:strRef>
          </c:tx>
          <c:spPr>
            <a:ln w="28800">
              <a:solidFill>
                <a:srgbClr val="83CAFF"/>
              </a:solidFill>
              <a:round/>
            </a:ln>
          </c:spPr>
          <c:marker>
            <c:symbol val="none"/>
          </c:marker>
          <c:dLbls>
            <c:spPr>
              <a:noFill/>
              <a:ln>
                <a:noFill/>
              </a:ln>
              <a:effectLst/>
            </c:spPr>
            <c:txPr>
              <a:bodyPr/>
              <a:lstStyle/>
              <a:p>
                <a:pPr>
                  <a:defRPr sz="1000" b="0" strike="noStrike" spc="-1">
                    <a:solidFill>
                      <a:srgbClr val="000000"/>
                    </a:solidFill>
                    <a:latin typeface="Arial"/>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'PIB Branches'!$V$40:$AD$40</c:f>
              <c:numCache>
                <c:formatCode>General</c:formatCode>
                <c:ptCount val="9"/>
                <c:pt idx="0">
                  <c:v>100</c:v>
                </c:pt>
                <c:pt idx="1">
                  <c:v>101.7</c:v>
                </c:pt>
                <c:pt idx="2">
                  <c:v>103.4289</c:v>
                </c:pt>
                <c:pt idx="3">
                  <c:v>112.52439082213699</c:v>
                </c:pt>
                <c:pt idx="4">
                  <c:v>122.419735005332</c:v>
                </c:pt>
                <c:pt idx="5">
                  <c:v>124.887795368493</c:v>
                </c:pt>
                <c:pt idx="6">
                  <c:v>127.40561341129499</c:v>
                </c:pt>
                <c:pt idx="7">
                  <c:v>129.974192280469</c:v>
                </c:pt>
                <c:pt idx="8">
                  <c:v>132.59455534682601</c:v>
                </c:pt>
              </c:numCache>
            </c:numRef>
          </c:yVal>
          <c:smooth val="0"/>
          <c:extLst>
            <c:ext xmlns:c16="http://schemas.microsoft.com/office/drawing/2014/chart" uri="{C3380CC4-5D6E-409C-BE32-E72D297353CC}">
              <c16:uniqueId val="{00000005-B901-4F50-82DD-53F5CF2EE9F2}"/>
            </c:ext>
          </c:extLst>
        </c:ser>
        <c:dLbls>
          <c:showLegendKey val="0"/>
          <c:showVal val="0"/>
          <c:showCatName val="0"/>
          <c:showSerName val="0"/>
          <c:showPercent val="0"/>
          <c:showBubbleSize val="0"/>
        </c:dLbls>
        <c:axId val="67244917"/>
        <c:axId val="95087666"/>
      </c:scatterChart>
      <c:valAx>
        <c:axId val="67244917"/>
        <c:scaling>
          <c:orientation val="minMax"/>
        </c:scaling>
        <c:delete val="0"/>
        <c:axPos val="b"/>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fr-FR"/>
          </a:p>
        </c:txPr>
        <c:crossAx val="95087666"/>
        <c:crosses val="autoZero"/>
        <c:crossBetween val="midCat"/>
      </c:valAx>
      <c:valAx>
        <c:axId val="95087666"/>
        <c:scaling>
          <c:orientation val="minMax"/>
        </c:scaling>
        <c:delete val="0"/>
        <c:axPos val="l"/>
        <c:majorGridlines>
          <c:spPr>
            <a:ln w="6480">
              <a:solidFill>
                <a:srgbClr val="B3B3B3"/>
              </a:solidFill>
              <a:round/>
            </a:ln>
          </c:spPr>
        </c:majorGridlines>
        <c:title>
          <c:tx>
            <c:rich>
              <a:bodyPr rot="-5400000"/>
              <a:lstStyle/>
              <a:p>
                <a:pPr>
                  <a:defRPr sz="900" b="0" strike="noStrike" spc="-1">
                    <a:solidFill>
                      <a:srgbClr val="000000"/>
                    </a:solidFill>
                    <a:latin typeface="Arial"/>
                  </a:defRPr>
                </a:pPr>
                <a:r>
                  <a:rPr lang="fr-FR" sz="900" b="0" strike="noStrike" spc="-1">
                    <a:solidFill>
                      <a:srgbClr val="000000"/>
                    </a:solidFill>
                    <a:latin typeface="Arial"/>
                  </a:rPr>
                  <a:t>valeur ajoutée brute (indice 2018)</a:t>
                </a:r>
              </a:p>
            </c:rich>
          </c:tx>
          <c:overlay val="0"/>
          <c:spPr>
            <a:noFill/>
            <a:ln>
              <a:noFill/>
            </a:ln>
          </c:spPr>
        </c:title>
        <c:numFmt formatCode="General" sourceLinked="0"/>
        <c:majorTickMark val="out"/>
        <c:minorTickMark val="none"/>
        <c:tickLblPos val="nextTo"/>
        <c:spPr>
          <a:ln w="6480">
            <a:solidFill>
              <a:srgbClr val="B3B3B3"/>
            </a:solidFill>
            <a:round/>
          </a:ln>
        </c:spPr>
        <c:txPr>
          <a:bodyPr/>
          <a:lstStyle/>
          <a:p>
            <a:pPr>
              <a:defRPr sz="1000" b="0" strike="noStrike" spc="-1">
                <a:solidFill>
                  <a:srgbClr val="000000"/>
                </a:solidFill>
                <a:latin typeface="Arial"/>
              </a:defRPr>
            </a:pPr>
            <a:endParaRPr lang="fr-FR"/>
          </a:p>
        </c:txPr>
        <c:crossAx val="67244917"/>
        <c:crosses val="autoZero"/>
        <c:crossBetween val="midCat"/>
      </c:valAx>
      <c:spPr>
        <a:noFill/>
        <a:ln>
          <a:solidFill>
            <a:srgbClr val="B3B3B3"/>
          </a:solidFill>
        </a:ln>
      </c:spPr>
    </c:plotArea>
    <c:legend>
      <c:legendPos val="r"/>
      <c:overlay val="0"/>
      <c:spPr>
        <a:noFill/>
        <a:ln>
          <a:noFill/>
        </a:ln>
      </c:spPr>
      <c:txPr>
        <a:bodyPr/>
        <a:lstStyle/>
        <a:p>
          <a:pPr>
            <a:defRPr sz="1000" b="0" strike="noStrike" spc="-1">
              <a:solidFill>
                <a:srgbClr val="000000"/>
              </a:solidFill>
              <a:latin typeface="Arial"/>
            </a:defRPr>
          </a:pPr>
          <a:endParaRPr lang="fr-FR"/>
        </a:p>
      </c:txPr>
    </c:legend>
    <c:plotVisOnly val="1"/>
    <c:dispBlanksAs val="span"/>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EU-ETS prices (€2016/tCO2)</a:t>
            </a:r>
          </a:p>
        </c:rich>
      </c:tx>
      <c:overlay val="0"/>
      <c:spPr>
        <a:noFill/>
        <a:ln>
          <a:noFill/>
        </a:ln>
      </c:spPr>
    </c:title>
    <c:autoTitleDeleted val="0"/>
    <c:plotArea>
      <c:layout/>
      <c:scatterChart>
        <c:scatterStyle val="lineMarker"/>
        <c:varyColors val="0"/>
        <c:ser>
          <c:idx val="0"/>
          <c:order val="0"/>
          <c:tx>
            <c:strRef>
              <c:f>'4. Prix du C'!$A$11</c:f>
              <c:strCache>
                <c:ptCount val="1"/>
                <c:pt idx="0">
                  <c:v>AME 2018 €2016</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C'!$B$11:$J$11</c:f>
              <c:numCache>
                <c:formatCode>0.0</c:formatCode>
                <c:ptCount val="9"/>
                <c:pt idx="0">
                  <c:v>7.62</c:v>
                </c:pt>
                <c:pt idx="1">
                  <c:v>12.192</c:v>
                </c:pt>
                <c:pt idx="2">
                  <c:v>15.24</c:v>
                </c:pt>
                <c:pt idx="3">
                  <c:v>22.86</c:v>
                </c:pt>
                <c:pt idx="4">
                  <c:v>34.036000000000001</c:v>
                </c:pt>
                <c:pt idx="5">
                  <c:v>42.671999999999997</c:v>
                </c:pt>
                <c:pt idx="6">
                  <c:v>50.8</c:v>
                </c:pt>
                <c:pt idx="7">
                  <c:v>70.103999999999999</c:v>
                </c:pt>
                <c:pt idx="8">
                  <c:v>89.408000000000001</c:v>
                </c:pt>
              </c:numCache>
            </c:numRef>
          </c:yVal>
          <c:smooth val="1"/>
          <c:extLst>
            <c:ext xmlns:c16="http://schemas.microsoft.com/office/drawing/2014/chart" uri="{C3380CC4-5D6E-409C-BE32-E72D297353CC}">
              <c16:uniqueId val="{00000000-09F2-478A-9487-60679418D31E}"/>
            </c:ext>
          </c:extLst>
        </c:ser>
        <c:ser>
          <c:idx val="1"/>
          <c:order val="1"/>
          <c:tx>
            <c:strRef>
              <c:f>'4. Prix du C'!$A$13</c:f>
              <c:strCache>
                <c:ptCount val="1"/>
                <c:pt idx="0">
                  <c:v>AME 2021 (€2016)</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C'!$B$13:$J$13</c:f>
              <c:numCache>
                <c:formatCode>General</c:formatCode>
                <c:ptCount val="9"/>
                <c:pt idx="1">
                  <c:v>15.5</c:v>
                </c:pt>
                <c:pt idx="2">
                  <c:v>25</c:v>
                </c:pt>
                <c:pt idx="3">
                  <c:v>28</c:v>
                </c:pt>
                <c:pt idx="4">
                  <c:v>30</c:v>
                </c:pt>
                <c:pt idx="5">
                  <c:v>40</c:v>
                </c:pt>
                <c:pt idx="6">
                  <c:v>53</c:v>
                </c:pt>
                <c:pt idx="7" formatCode="0.0">
                  <c:v>70.103999999999999</c:v>
                </c:pt>
                <c:pt idx="8" formatCode="0.0">
                  <c:v>89.408000000000001</c:v>
                </c:pt>
              </c:numCache>
            </c:numRef>
          </c:yVal>
          <c:smooth val="1"/>
          <c:extLst>
            <c:ext xmlns:c16="http://schemas.microsoft.com/office/drawing/2014/chart" uri="{C3380CC4-5D6E-409C-BE32-E72D297353CC}">
              <c16:uniqueId val="{00000001-09F2-478A-9487-60679418D31E}"/>
            </c:ext>
          </c:extLst>
        </c:ser>
        <c:ser>
          <c:idx val="2"/>
          <c:order val="2"/>
          <c:tx>
            <c:strRef>
              <c:f>'4. Prix du C'!$A$20</c:f>
              <c:strCache>
                <c:ptCount val="1"/>
                <c:pt idx="0">
                  <c:v>CaarbonPulse (moyen)</c:v>
                </c:pt>
              </c:strCache>
            </c:strRef>
          </c:tx>
          <c:spPr>
            <a:ln w="1908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C'!$C$10:$F$10</c:f>
              <c:numCache>
                <c:formatCode>General</c:formatCode>
                <c:ptCount val="4"/>
                <c:pt idx="0">
                  <c:v>2018</c:v>
                </c:pt>
                <c:pt idx="1">
                  <c:v>2020</c:v>
                </c:pt>
                <c:pt idx="2">
                  <c:v>2025</c:v>
                </c:pt>
                <c:pt idx="3">
                  <c:v>2030</c:v>
                </c:pt>
              </c:numCache>
            </c:numRef>
          </c:xVal>
          <c:yVal>
            <c:numRef>
              <c:f>'4. Prix du C'!$C$20:$F$20</c:f>
              <c:numCache>
                <c:formatCode>General</c:formatCode>
                <c:ptCount val="4"/>
                <c:pt idx="0">
                  <c:v>15.5</c:v>
                </c:pt>
                <c:pt idx="1">
                  <c:v>56</c:v>
                </c:pt>
                <c:pt idx="2">
                  <c:v>71.25</c:v>
                </c:pt>
                <c:pt idx="3">
                  <c:v>94.7</c:v>
                </c:pt>
              </c:numCache>
            </c:numRef>
          </c:yVal>
          <c:smooth val="1"/>
          <c:extLst>
            <c:ext xmlns:c16="http://schemas.microsoft.com/office/drawing/2014/chart" uri="{C3380CC4-5D6E-409C-BE32-E72D297353CC}">
              <c16:uniqueId val="{00000002-09F2-478A-9487-60679418D31E}"/>
            </c:ext>
          </c:extLst>
        </c:ser>
        <c:ser>
          <c:idx val="3"/>
          <c:order val="3"/>
          <c:tx>
            <c:strRef>
              <c:f>'4. Prix du C'!$A$17</c:f>
              <c:strCache>
                <c:ptCount val="1"/>
                <c:pt idx="0">
                  <c:v>Option 3</c:v>
                </c:pt>
              </c:strCache>
            </c:strRef>
          </c:tx>
          <c:spPr>
            <a:ln w="19080">
              <a:solidFill>
                <a:srgbClr val="70AD47"/>
              </a:solidFill>
              <a:round/>
            </a:ln>
          </c:spPr>
          <c:marker>
            <c:symbol val="circle"/>
            <c:size val="5"/>
            <c:spPr>
              <a:solidFill>
                <a:srgbClr val="70AD47"/>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'4. Prix du C'!$C$17:$J$17</c:f>
              <c:numCache>
                <c:formatCode>General</c:formatCode>
                <c:ptCount val="8"/>
                <c:pt idx="0">
                  <c:v>15.5</c:v>
                </c:pt>
                <c:pt idx="1">
                  <c:v>55</c:v>
                </c:pt>
                <c:pt idx="2">
                  <c:v>65</c:v>
                </c:pt>
                <c:pt idx="3">
                  <c:v>85</c:v>
                </c:pt>
                <c:pt idx="4">
                  <c:v>96</c:v>
                </c:pt>
                <c:pt idx="5">
                  <c:v>105</c:v>
                </c:pt>
                <c:pt idx="6">
                  <c:v>125</c:v>
                </c:pt>
                <c:pt idx="7">
                  <c:v>150</c:v>
                </c:pt>
              </c:numCache>
            </c:numRef>
          </c:yVal>
          <c:smooth val="1"/>
          <c:extLst>
            <c:ext xmlns:c16="http://schemas.microsoft.com/office/drawing/2014/chart" uri="{C3380CC4-5D6E-409C-BE32-E72D297353CC}">
              <c16:uniqueId val="{00000003-09F2-478A-9487-60679418D31E}"/>
            </c:ext>
          </c:extLst>
        </c:ser>
        <c:ser>
          <c:idx val="4"/>
          <c:order val="4"/>
          <c:tx>
            <c:strRef>
              <c:f>'4. Prix du C'!$A$14</c:f>
              <c:strCache>
                <c:ptCount val="1"/>
                <c:pt idx="0">
                  <c:v>EU ref 2020 (€2015)</c:v>
                </c:pt>
              </c:strCache>
            </c:strRef>
          </c:tx>
          <c:spPr>
            <a:ln w="19080">
              <a:solidFill>
                <a:srgbClr val="255E91"/>
              </a:solidFill>
              <a:round/>
            </a:ln>
          </c:spPr>
          <c:marker>
            <c:symbol val="circle"/>
            <c:size val="5"/>
            <c:spPr>
              <a:solidFill>
                <a:srgbClr val="255E9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C'!$B$14:$J$14</c:f>
              <c:numCache>
                <c:formatCode>General</c:formatCode>
                <c:ptCount val="9"/>
                <c:pt idx="0">
                  <c:v>7.5</c:v>
                </c:pt>
                <c:pt idx="1">
                  <c:v>15.5</c:v>
                </c:pt>
                <c:pt idx="2">
                  <c:v>25</c:v>
                </c:pt>
                <c:pt idx="3">
                  <c:v>26.5</c:v>
                </c:pt>
                <c:pt idx="4">
                  <c:v>30</c:v>
                </c:pt>
                <c:pt idx="5">
                  <c:v>50</c:v>
                </c:pt>
                <c:pt idx="6">
                  <c:v>80</c:v>
                </c:pt>
                <c:pt idx="7">
                  <c:v>120</c:v>
                </c:pt>
                <c:pt idx="8">
                  <c:v>150</c:v>
                </c:pt>
              </c:numCache>
            </c:numRef>
          </c:yVal>
          <c:smooth val="1"/>
          <c:extLst>
            <c:ext xmlns:c16="http://schemas.microsoft.com/office/drawing/2014/chart" uri="{C3380CC4-5D6E-409C-BE32-E72D297353CC}">
              <c16:uniqueId val="{00000004-09F2-478A-9487-60679418D31E}"/>
            </c:ext>
          </c:extLst>
        </c:ser>
        <c:dLbls>
          <c:showLegendKey val="0"/>
          <c:showVal val="0"/>
          <c:showCatName val="0"/>
          <c:showSerName val="0"/>
          <c:showPercent val="0"/>
          <c:showBubbleSize val="0"/>
        </c:dLbls>
        <c:axId val="13917978"/>
        <c:axId val="83130210"/>
      </c:scatterChart>
      <c:valAx>
        <c:axId val="1391797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83130210"/>
        <c:crosses val="autoZero"/>
        <c:crossBetween val="midCat"/>
      </c:valAx>
      <c:valAx>
        <c:axId val="83130210"/>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13917978"/>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c:style val="2"/>
  <c:chart>
    <c:title>
      <c:tx>
        <c:rich>
          <a:bodyPr rot="0"/>
          <a:lstStyle/>
          <a:p>
            <a:pPr>
              <a:defRPr sz="1400" b="0" strike="noStrike" spc="-1">
                <a:solidFill>
                  <a:srgbClr val="595959"/>
                </a:solidFill>
                <a:latin typeface="Calibri"/>
              </a:defRPr>
            </a:pPr>
            <a:r>
              <a:rPr lang="fr-FR" sz="1400" b="0" strike="noStrike" spc="-1">
                <a:solidFill>
                  <a:srgbClr val="595959"/>
                </a:solidFill>
                <a:latin typeface="Calibri"/>
              </a:rPr>
              <a:t>EU-ETS prices (€/tCO2eq)</a:t>
            </a:r>
          </a:p>
        </c:rich>
      </c:tx>
      <c:overlay val="0"/>
      <c:spPr>
        <a:noFill/>
        <a:ln>
          <a:noFill/>
        </a:ln>
      </c:spPr>
    </c:title>
    <c:autoTitleDeleted val="0"/>
    <c:plotArea>
      <c:layout/>
      <c:scatterChart>
        <c:scatterStyle val="lineMarker"/>
        <c:varyColors val="0"/>
        <c:ser>
          <c:idx val="0"/>
          <c:order val="0"/>
          <c:tx>
            <c:strRef>
              <c:f>'4. Prix du C'!$A$11</c:f>
              <c:strCache>
                <c:ptCount val="1"/>
                <c:pt idx="0">
                  <c:v>AME 2018 €2016</c:v>
                </c:pt>
              </c:strCache>
            </c:strRef>
          </c:tx>
          <c:spPr>
            <a:ln w="19080">
              <a:solidFill>
                <a:srgbClr val="5B9BD5"/>
              </a:solidFill>
              <a:round/>
            </a:ln>
          </c:spPr>
          <c:marker>
            <c:symbol val="circle"/>
            <c:size val="5"/>
            <c:spPr>
              <a:solidFill>
                <a:srgbClr val="5B9BD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C'!$B$11:$J$11</c:f>
              <c:numCache>
                <c:formatCode>0.0</c:formatCode>
                <c:ptCount val="9"/>
                <c:pt idx="0">
                  <c:v>7.62</c:v>
                </c:pt>
                <c:pt idx="1">
                  <c:v>12.192</c:v>
                </c:pt>
                <c:pt idx="2">
                  <c:v>15.24</c:v>
                </c:pt>
                <c:pt idx="3">
                  <c:v>22.86</c:v>
                </c:pt>
                <c:pt idx="4">
                  <c:v>34.036000000000001</c:v>
                </c:pt>
                <c:pt idx="5">
                  <c:v>42.671999999999997</c:v>
                </c:pt>
                <c:pt idx="6">
                  <c:v>50.8</c:v>
                </c:pt>
                <c:pt idx="7">
                  <c:v>70.103999999999999</c:v>
                </c:pt>
                <c:pt idx="8">
                  <c:v>89.408000000000001</c:v>
                </c:pt>
              </c:numCache>
            </c:numRef>
          </c:yVal>
          <c:smooth val="1"/>
          <c:extLst>
            <c:ext xmlns:c16="http://schemas.microsoft.com/office/drawing/2014/chart" uri="{C3380CC4-5D6E-409C-BE32-E72D297353CC}">
              <c16:uniqueId val="{00000000-BF9C-4133-AC9B-83AAE09A0AFE}"/>
            </c:ext>
          </c:extLst>
        </c:ser>
        <c:ser>
          <c:idx val="1"/>
          <c:order val="1"/>
          <c:tx>
            <c:strRef>
              <c:f>'4. Prix du C'!$A$13</c:f>
              <c:strCache>
                <c:ptCount val="1"/>
                <c:pt idx="0">
                  <c:v>AME 2021 (€2016)</c:v>
                </c:pt>
              </c:strCache>
            </c:strRef>
          </c:tx>
          <c:spPr>
            <a:ln w="19080">
              <a:solidFill>
                <a:srgbClr val="ED7D31"/>
              </a:solidFill>
              <a:round/>
            </a:ln>
          </c:spPr>
          <c:marker>
            <c:symbol val="circle"/>
            <c:size val="5"/>
            <c:spPr>
              <a:solidFill>
                <a:srgbClr val="ED7D3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C'!$B$13:$J$13</c:f>
              <c:numCache>
                <c:formatCode>General</c:formatCode>
                <c:ptCount val="9"/>
                <c:pt idx="1">
                  <c:v>15.5</c:v>
                </c:pt>
                <c:pt idx="2">
                  <c:v>25</c:v>
                </c:pt>
                <c:pt idx="3">
                  <c:v>28</c:v>
                </c:pt>
                <c:pt idx="4">
                  <c:v>30</c:v>
                </c:pt>
                <c:pt idx="5">
                  <c:v>40</c:v>
                </c:pt>
                <c:pt idx="6">
                  <c:v>53</c:v>
                </c:pt>
                <c:pt idx="7" formatCode="0.0">
                  <c:v>70.103999999999999</c:v>
                </c:pt>
                <c:pt idx="8" formatCode="0.0">
                  <c:v>89.408000000000001</c:v>
                </c:pt>
              </c:numCache>
            </c:numRef>
          </c:yVal>
          <c:smooth val="1"/>
          <c:extLst>
            <c:ext xmlns:c16="http://schemas.microsoft.com/office/drawing/2014/chart" uri="{C3380CC4-5D6E-409C-BE32-E72D297353CC}">
              <c16:uniqueId val="{00000001-BF9C-4133-AC9B-83AAE09A0AFE}"/>
            </c:ext>
          </c:extLst>
        </c:ser>
        <c:ser>
          <c:idx val="2"/>
          <c:order val="2"/>
          <c:tx>
            <c:strRef>
              <c:f>'4. Prix du C'!$A$16</c:f>
              <c:strCache>
                <c:ptCount val="1"/>
                <c:pt idx="0">
                  <c:v>Option 2</c:v>
                </c:pt>
              </c:strCache>
            </c:strRef>
          </c:tx>
          <c:spPr>
            <a:ln w="19080">
              <a:solidFill>
                <a:srgbClr val="A5A5A5"/>
              </a:solidFill>
              <a:round/>
            </a:ln>
          </c:spPr>
          <c:marker>
            <c:symbol val="circle"/>
            <c:size val="5"/>
            <c:spPr>
              <a:solidFill>
                <a:srgbClr val="A5A5A5"/>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C'!$B$16:$J$16</c:f>
              <c:numCache>
                <c:formatCode>General</c:formatCode>
                <c:ptCount val="9"/>
                <c:pt idx="1">
                  <c:v>15.5</c:v>
                </c:pt>
                <c:pt idx="2">
                  <c:v>55</c:v>
                </c:pt>
                <c:pt idx="3">
                  <c:v>60</c:v>
                </c:pt>
                <c:pt idx="4">
                  <c:v>70</c:v>
                </c:pt>
                <c:pt idx="5">
                  <c:v>80</c:v>
                </c:pt>
                <c:pt idx="6">
                  <c:v>90</c:v>
                </c:pt>
                <c:pt idx="7">
                  <c:v>110</c:v>
                </c:pt>
                <c:pt idx="8">
                  <c:v>130</c:v>
                </c:pt>
              </c:numCache>
            </c:numRef>
          </c:yVal>
          <c:smooth val="1"/>
          <c:extLst>
            <c:ext xmlns:c16="http://schemas.microsoft.com/office/drawing/2014/chart" uri="{C3380CC4-5D6E-409C-BE32-E72D297353CC}">
              <c16:uniqueId val="{00000002-BF9C-4133-AC9B-83AAE09A0AFE}"/>
            </c:ext>
          </c:extLst>
        </c:ser>
        <c:ser>
          <c:idx val="3"/>
          <c:order val="3"/>
          <c:tx>
            <c:strRef>
              <c:f>'4. Prix du C'!$A$15</c:f>
              <c:strCache>
                <c:ptCount val="1"/>
                <c:pt idx="0">
                  <c:v>Option 1</c:v>
                </c:pt>
              </c:strCache>
            </c:strRef>
          </c:tx>
          <c:spPr>
            <a:ln w="19080">
              <a:solidFill>
                <a:srgbClr val="FFC000"/>
              </a:solidFill>
              <a:round/>
            </a:ln>
          </c:spPr>
          <c:marker>
            <c:symbol val="circle"/>
            <c:size val="5"/>
            <c:spPr>
              <a:solidFill>
                <a:srgbClr val="FFC000"/>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'4. Prix du C'!$C$15:$J$15</c:f>
              <c:numCache>
                <c:formatCode>General</c:formatCode>
                <c:ptCount val="8"/>
                <c:pt idx="0">
                  <c:v>15.5</c:v>
                </c:pt>
                <c:pt idx="1">
                  <c:v>55</c:v>
                </c:pt>
                <c:pt idx="2">
                  <c:v>60</c:v>
                </c:pt>
                <c:pt idx="3">
                  <c:v>65</c:v>
                </c:pt>
                <c:pt idx="4">
                  <c:v>67</c:v>
                </c:pt>
                <c:pt idx="5">
                  <c:v>70</c:v>
                </c:pt>
                <c:pt idx="6">
                  <c:v>75</c:v>
                </c:pt>
                <c:pt idx="7">
                  <c:v>90</c:v>
                </c:pt>
              </c:numCache>
            </c:numRef>
          </c:yVal>
          <c:smooth val="1"/>
          <c:extLst>
            <c:ext xmlns:c16="http://schemas.microsoft.com/office/drawing/2014/chart" uri="{C3380CC4-5D6E-409C-BE32-E72D297353CC}">
              <c16:uniqueId val="{00000003-BF9C-4133-AC9B-83AAE09A0AFE}"/>
            </c:ext>
          </c:extLst>
        </c:ser>
        <c:ser>
          <c:idx val="4"/>
          <c:order val="4"/>
          <c:tx>
            <c:strRef>
              <c:f>'4. Prix du C'!$A$20</c:f>
              <c:strCache>
                <c:ptCount val="1"/>
                <c:pt idx="0">
                  <c:v>CaarbonPulse (moyen)</c:v>
                </c:pt>
              </c:strCache>
            </c:strRef>
          </c:tx>
          <c:spPr>
            <a:ln w="19080">
              <a:solidFill>
                <a:srgbClr val="4472C4"/>
              </a:solidFill>
              <a:round/>
            </a:ln>
          </c:spPr>
          <c:marker>
            <c:symbol val="circle"/>
            <c:size val="5"/>
            <c:spPr>
              <a:solidFill>
                <a:srgbClr val="4472C4"/>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C'!$C$10:$F$10</c:f>
              <c:numCache>
                <c:formatCode>General</c:formatCode>
                <c:ptCount val="4"/>
                <c:pt idx="0">
                  <c:v>2018</c:v>
                </c:pt>
                <c:pt idx="1">
                  <c:v>2020</c:v>
                </c:pt>
                <c:pt idx="2">
                  <c:v>2025</c:v>
                </c:pt>
                <c:pt idx="3">
                  <c:v>2030</c:v>
                </c:pt>
              </c:numCache>
            </c:numRef>
          </c:xVal>
          <c:yVal>
            <c:numRef>
              <c:f>'4. Prix du C'!$C$20:$F$20</c:f>
              <c:numCache>
                <c:formatCode>General</c:formatCode>
                <c:ptCount val="4"/>
                <c:pt idx="0">
                  <c:v>15.5</c:v>
                </c:pt>
                <c:pt idx="1">
                  <c:v>56</c:v>
                </c:pt>
                <c:pt idx="2">
                  <c:v>71.25</c:v>
                </c:pt>
                <c:pt idx="3">
                  <c:v>94.7</c:v>
                </c:pt>
              </c:numCache>
            </c:numRef>
          </c:yVal>
          <c:smooth val="1"/>
          <c:extLst>
            <c:ext xmlns:c16="http://schemas.microsoft.com/office/drawing/2014/chart" uri="{C3380CC4-5D6E-409C-BE32-E72D297353CC}">
              <c16:uniqueId val="{00000004-BF9C-4133-AC9B-83AAE09A0AFE}"/>
            </c:ext>
          </c:extLst>
        </c:ser>
        <c:ser>
          <c:idx val="5"/>
          <c:order val="5"/>
          <c:tx>
            <c:strRef>
              <c:f>'4. Prix du C'!$A$17</c:f>
              <c:strCache>
                <c:ptCount val="1"/>
                <c:pt idx="0">
                  <c:v>Option 3</c:v>
                </c:pt>
              </c:strCache>
            </c:strRef>
          </c:tx>
          <c:spPr>
            <a:ln w="19080">
              <a:solidFill>
                <a:srgbClr val="70AD47"/>
              </a:solidFill>
              <a:round/>
            </a:ln>
          </c:spPr>
          <c:marker>
            <c:symbol val="circle"/>
            <c:size val="5"/>
            <c:spPr>
              <a:solidFill>
                <a:srgbClr val="70AD47"/>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'4. Prix du C'!$C$17:$J$17</c:f>
              <c:numCache>
                <c:formatCode>General</c:formatCode>
                <c:ptCount val="8"/>
                <c:pt idx="0">
                  <c:v>15.5</c:v>
                </c:pt>
                <c:pt idx="1">
                  <c:v>55</c:v>
                </c:pt>
                <c:pt idx="2">
                  <c:v>65</c:v>
                </c:pt>
                <c:pt idx="3">
                  <c:v>85</c:v>
                </c:pt>
                <c:pt idx="4">
                  <c:v>96</c:v>
                </c:pt>
                <c:pt idx="5">
                  <c:v>105</c:v>
                </c:pt>
                <c:pt idx="6">
                  <c:v>125</c:v>
                </c:pt>
                <c:pt idx="7">
                  <c:v>150</c:v>
                </c:pt>
              </c:numCache>
            </c:numRef>
          </c:yVal>
          <c:smooth val="1"/>
          <c:extLst>
            <c:ext xmlns:c16="http://schemas.microsoft.com/office/drawing/2014/chart" uri="{C3380CC4-5D6E-409C-BE32-E72D297353CC}">
              <c16:uniqueId val="{00000005-BF9C-4133-AC9B-83AAE09A0AFE}"/>
            </c:ext>
          </c:extLst>
        </c:ser>
        <c:ser>
          <c:idx val="6"/>
          <c:order val="6"/>
          <c:tx>
            <c:strRef>
              <c:f>'4. Prix du C'!$A$14</c:f>
              <c:strCache>
                <c:ptCount val="1"/>
                <c:pt idx="0">
                  <c:v>EU ref 2020 (€2015)</c:v>
                </c:pt>
              </c:strCache>
            </c:strRef>
          </c:tx>
          <c:spPr>
            <a:ln w="19080">
              <a:solidFill>
                <a:srgbClr val="255E91"/>
              </a:solidFill>
              <a:round/>
            </a:ln>
          </c:spPr>
          <c:marker>
            <c:symbol val="circle"/>
            <c:size val="5"/>
            <c:spPr>
              <a:solidFill>
                <a:srgbClr val="255E91"/>
              </a:solidFill>
            </c:spPr>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'4. Prix du C'!$B$14:$J$14</c:f>
              <c:numCache>
                <c:formatCode>General</c:formatCode>
                <c:ptCount val="9"/>
                <c:pt idx="0">
                  <c:v>7.5</c:v>
                </c:pt>
                <c:pt idx="1">
                  <c:v>15.5</c:v>
                </c:pt>
                <c:pt idx="2">
                  <c:v>25</c:v>
                </c:pt>
                <c:pt idx="3">
                  <c:v>26.5</c:v>
                </c:pt>
                <c:pt idx="4">
                  <c:v>30</c:v>
                </c:pt>
                <c:pt idx="5">
                  <c:v>50</c:v>
                </c:pt>
                <c:pt idx="6">
                  <c:v>80</c:v>
                </c:pt>
                <c:pt idx="7">
                  <c:v>120</c:v>
                </c:pt>
                <c:pt idx="8">
                  <c:v>150</c:v>
                </c:pt>
              </c:numCache>
            </c:numRef>
          </c:yVal>
          <c:smooth val="1"/>
          <c:extLst>
            <c:ext xmlns:c16="http://schemas.microsoft.com/office/drawing/2014/chart" uri="{C3380CC4-5D6E-409C-BE32-E72D297353CC}">
              <c16:uniqueId val="{00000006-BF9C-4133-AC9B-83AAE09A0AFE}"/>
            </c:ext>
          </c:extLst>
        </c:ser>
        <c:dLbls>
          <c:showLegendKey val="0"/>
          <c:showVal val="0"/>
          <c:showCatName val="0"/>
          <c:showSerName val="0"/>
          <c:showPercent val="0"/>
          <c:showBubbleSize val="0"/>
        </c:dLbls>
        <c:axId val="92340145"/>
        <c:axId val="80223323"/>
      </c:scatterChart>
      <c:valAx>
        <c:axId val="92340145"/>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80223323"/>
        <c:crosses val="autoZero"/>
        <c:crossBetween val="midCat"/>
      </c:valAx>
      <c:valAx>
        <c:axId val="80223323"/>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fr-FR"/>
          </a:p>
        </c:txPr>
        <c:crossAx val="92340145"/>
        <c:crosses val="autoZero"/>
        <c:crossBetween val="midCat"/>
      </c:valAx>
      <c:spPr>
        <a:noFill/>
        <a:ln>
          <a:noFill/>
        </a:ln>
      </c:spPr>
    </c:plotArea>
    <c:legend>
      <c:legendPos val="b"/>
      <c:overlay val="0"/>
      <c:spPr>
        <a:noFill/>
        <a:ln>
          <a:noFill/>
        </a:ln>
      </c:spPr>
      <c:txPr>
        <a:bodyPr/>
        <a:lstStyle/>
        <a:p>
          <a:pPr>
            <a:defRPr sz="900" b="0" strike="noStrike" spc="-1">
              <a:solidFill>
                <a:srgbClr val="595959"/>
              </a:solidFill>
              <a:latin typeface="Calibri"/>
            </a:defRPr>
          </a:pPr>
          <a:endParaRPr lang="fr-FR"/>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502920</xdr:colOff>
      <xdr:row>60</xdr:row>
      <xdr:rowOff>168120</xdr:rowOff>
    </xdr:from>
    <xdr:to>
      <xdr:col>11</xdr:col>
      <xdr:colOff>353520</xdr:colOff>
      <xdr:row>86</xdr:row>
      <xdr:rowOff>139320</xdr:rowOff>
    </xdr:to>
    <xdr:graphicFrame macro="">
      <xdr:nvGraphicFramePr>
        <xdr:cNvPr id="2" name="Graphique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198720</xdr:colOff>
      <xdr:row>0</xdr:row>
      <xdr:rowOff>0</xdr:rowOff>
    </xdr:from>
    <xdr:to>
      <xdr:col>17</xdr:col>
      <xdr:colOff>195480</xdr:colOff>
      <xdr:row>18</xdr:row>
      <xdr:rowOff>46440</xdr:rowOff>
    </xdr:to>
    <xdr:graphicFrame macro="">
      <xdr:nvGraphicFramePr>
        <xdr:cNvPr id="3" name="Graphique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270720</xdr:colOff>
      <xdr:row>0</xdr:row>
      <xdr:rowOff>83520</xdr:rowOff>
    </xdr:from>
    <xdr:to>
      <xdr:col>17</xdr:col>
      <xdr:colOff>523080</xdr:colOff>
      <xdr:row>13</xdr:row>
      <xdr:rowOff>6563</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555840</xdr:colOff>
      <xdr:row>36</xdr:row>
      <xdr:rowOff>76320</xdr:rowOff>
    </xdr:from>
    <xdr:to>
      <xdr:col>28</xdr:col>
      <xdr:colOff>631800</xdr:colOff>
      <xdr:row>58</xdr:row>
      <xdr:rowOff>83160</xdr:rowOff>
    </xdr:to>
    <xdr:graphicFrame macro="">
      <xdr:nvGraphicFramePr>
        <xdr:cNvPr id="3" name="Graphique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454457</xdr:colOff>
      <xdr:row>1</xdr:row>
      <xdr:rowOff>131109</xdr:rowOff>
    </xdr:from>
    <xdr:to>
      <xdr:col>17</xdr:col>
      <xdr:colOff>352937</xdr:colOff>
      <xdr:row>21</xdr:row>
      <xdr:rowOff>1952</xdr:rowOff>
    </xdr:to>
    <xdr:graphicFrame macro="">
      <xdr:nvGraphicFramePr>
        <xdr:cNvPr id="4" name="Graphique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419304</xdr:colOff>
      <xdr:row>1</xdr:row>
      <xdr:rowOff>4543</xdr:rowOff>
    </xdr:from>
    <xdr:to>
      <xdr:col>22</xdr:col>
      <xdr:colOff>333596</xdr:colOff>
      <xdr:row>20</xdr:row>
      <xdr:rowOff>61423</xdr:rowOff>
    </xdr:to>
    <xdr:graphicFrame macro="">
      <xdr:nvGraphicFramePr>
        <xdr:cNvPr id="5" name="Graphique 3">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llonnecg\AppData\Local\Microsoft\Windows\INetCache\Content.Outlook\BHA4FFGL\reporting%203%20-%20economie%20SNBC3.xlsx" TargetMode="External"/><Relationship Id="rId1" Type="http://schemas.openxmlformats.org/officeDocument/2006/relationships/externalLinkPath" Target="file:///C:\Users\Callonnecg\AppData\Local\Microsoft\Windows\INetCache\Content.Outlook\BHA4FFGL\reporting%203%20-%20economie%20SNBC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role comptable"/>
      <sheetName val="Résultats"/>
      <sheetName val="comparaison agrégats "/>
      <sheetName val="T macro"/>
      <sheetName val="G PIB"/>
      <sheetName val="G BC"/>
      <sheetName val="T Invt"/>
      <sheetName val="G réno"/>
      <sheetName val="T Inv MDE"/>
      <sheetName val="G Inv MDE"/>
      <sheetName val="T ménages"/>
      <sheetName val="G ménages"/>
      <sheetName val="G ménages trsp"/>
      <sheetName val="G ménages lgt"/>
      <sheetName val="T FIPU"/>
      <sheetName val="G taxe carbone"/>
      <sheetName val="G solde pub"/>
      <sheetName val="G solde pub 2"/>
      <sheetName val="T VA"/>
      <sheetName val="T VA 2"/>
      <sheetName val="G VA"/>
      <sheetName val="part VA "/>
      <sheetName val="T Emplois"/>
      <sheetName val="T emplois EnR"/>
      <sheetName val="G Emplois"/>
      <sheetName val="G Emplois EnR"/>
      <sheetName val="T prix énergies"/>
      <sheetName val="G prix énergie"/>
      <sheetName val="G prix carbu"/>
      <sheetName val="G prix elec"/>
      <sheetName val="G prix gaz"/>
      <sheetName val="Table Graphs"/>
    </sheetNames>
    <sheetDataSet>
      <sheetData sheetId="1"/>
      <sheetData sheetId="2"/>
      <sheetData sheetId="3"/>
      <sheetData sheetId="6"/>
      <sheetData sheetId="8"/>
      <sheetData sheetId="10"/>
      <sheetData sheetId="14"/>
      <sheetData sheetId="18">
        <row r="47">
          <cell r="AG47">
            <v>0.68287957051898585</v>
          </cell>
        </row>
        <row r="48">
          <cell r="AG48">
            <v>0.43373424642256397</v>
          </cell>
        </row>
        <row r="49">
          <cell r="AG49">
            <v>0.51299578681130353</v>
          </cell>
        </row>
        <row r="50">
          <cell r="AG50">
            <v>0.54261053146494076</v>
          </cell>
        </row>
        <row r="51">
          <cell r="AG51">
            <v>0.44676185671397906</v>
          </cell>
        </row>
        <row r="52">
          <cell r="AG52">
            <v>0.56121699610093811</v>
          </cell>
        </row>
        <row r="53">
          <cell r="AG53">
            <v>0.48647566995829505</v>
          </cell>
        </row>
      </sheetData>
      <sheetData sheetId="19"/>
      <sheetData sheetId="21"/>
      <sheetData sheetId="22"/>
      <sheetData sheetId="23"/>
      <sheetData sheetId="26"/>
      <sheetData sheetId="3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insee.fr/fr/statistiques/5225246" TargetMode="External"/><Relationship Id="rId1" Type="http://schemas.openxmlformats.org/officeDocument/2006/relationships/hyperlink" Target="https://www.insee.fr/fr/statistiques/285984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insee.fr/fr/statistiques/6453758?sommaire=6453776"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publications.banque-france.fr/projections-macroeconomiques-mars-2023" TargetMode="External"/><Relationship Id="rId1" Type="http://schemas.openxmlformats.org/officeDocument/2006/relationships/hyperlink" Target="https://publications.banque-france.fr/projections-macroeconomiques-septembre-202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op.europa.eu/en/publication-detail/-/publication/96c2ca82-e85e-11eb-93a8-01aa75ed71a1/language-en/format-PDF/source-2199039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6"/>
  </sheetPr>
  <dimension ref="A2:AH59"/>
  <sheetViews>
    <sheetView topLeftCell="A4" zoomScale="72" zoomScaleNormal="72" workbookViewId="0">
      <selection activeCell="AG23" sqref="AG23"/>
    </sheetView>
  </sheetViews>
  <sheetFormatPr baseColWidth="10" defaultColWidth="8.90625" defaultRowHeight="14.5" x14ac:dyDescent="0.35"/>
  <cols>
    <col min="1" max="1" width="27" customWidth="1"/>
    <col min="2" max="2" width="14.08984375" customWidth="1"/>
    <col min="3" max="1025" width="10.453125" customWidth="1"/>
  </cols>
  <sheetData>
    <row r="2" spans="1:34" x14ac:dyDescent="0.35">
      <c r="B2" s="103" t="s">
        <v>0</v>
      </c>
      <c r="C2" s="103"/>
      <c r="D2" s="103"/>
      <c r="E2" s="103"/>
      <c r="F2" s="103"/>
      <c r="G2" s="103"/>
      <c r="H2" s="103"/>
      <c r="I2" s="103"/>
      <c r="J2" s="103"/>
    </row>
    <row r="3" spans="1:34" x14ac:dyDescent="0.35">
      <c r="B3" s="3" t="s">
        <v>1</v>
      </c>
      <c r="C3" s="4">
        <v>2018</v>
      </c>
      <c r="D3" s="4">
        <v>2020</v>
      </c>
      <c r="E3" s="4">
        <v>2025</v>
      </c>
      <c r="F3" s="4">
        <v>2030</v>
      </c>
      <c r="G3" s="4">
        <v>2035</v>
      </c>
      <c r="H3" s="4">
        <v>2040</v>
      </c>
      <c r="I3" s="4">
        <v>2045</v>
      </c>
      <c r="J3" s="5">
        <v>2050</v>
      </c>
    </row>
    <row r="4" spans="1:34" x14ac:dyDescent="0.35">
      <c r="B4" s="3" t="s">
        <v>2</v>
      </c>
      <c r="C4" s="6">
        <f>B20</f>
        <v>66.992000000000004</v>
      </c>
      <c r="D4" s="6">
        <f>D40</f>
        <v>67.441850000000002</v>
      </c>
      <c r="E4" s="6">
        <f>I40</f>
        <v>68</v>
      </c>
      <c r="F4" s="6">
        <f>N40</f>
        <v>68.599999999999994</v>
      </c>
      <c r="G4" s="6">
        <f>S40</f>
        <v>69</v>
      </c>
      <c r="H4" s="6">
        <f>X40</f>
        <v>69.2</v>
      </c>
      <c r="I4" s="6">
        <f>AC40</f>
        <v>69.3</v>
      </c>
      <c r="J4" s="7">
        <f>AH40</f>
        <v>69.2</v>
      </c>
    </row>
    <row r="5" spans="1:34" x14ac:dyDescent="0.35">
      <c r="B5" s="8" t="s">
        <v>3</v>
      </c>
      <c r="C5" s="6">
        <f>B41</f>
        <v>64.880941050502656</v>
      </c>
      <c r="D5" s="6">
        <f>D41</f>
        <v>65.320191375337856</v>
      </c>
      <c r="E5" s="6">
        <f>I41</f>
        <v>65.867326732673263</v>
      </c>
      <c r="F5" s="6">
        <f>N41</f>
        <v>66.451350457818847</v>
      </c>
      <c r="G5" s="6">
        <f>S41</f>
        <v>66.835909090909098</v>
      </c>
      <c r="H5" s="6">
        <f>X41</f>
        <v>67.022387828850242</v>
      </c>
      <c r="I5" s="6">
        <f>AC41</f>
        <v>67.109410500460541</v>
      </c>
      <c r="J5" s="7">
        <f>AH41</f>
        <v>66.999160784749634</v>
      </c>
    </row>
    <row r="6" spans="1:34" x14ac:dyDescent="0.35">
      <c r="B6" s="9" t="s">
        <v>4</v>
      </c>
      <c r="C6" s="10">
        <f>B42</f>
        <v>2.1110589494973531</v>
      </c>
      <c r="D6" s="10">
        <f>D42</f>
        <v>2.1216586246621469</v>
      </c>
      <c r="E6" s="10">
        <f>I42</f>
        <v>2.1326732673267328</v>
      </c>
      <c r="F6" s="10">
        <f>N42</f>
        <v>2.1486495421811433</v>
      </c>
      <c r="G6" s="10">
        <f>S42</f>
        <v>2.1640909090909091</v>
      </c>
      <c r="H6" s="10">
        <f>X42</f>
        <v>2.1776121711497631</v>
      </c>
      <c r="I6" s="10">
        <f>AC42</f>
        <v>2.1905894995394535</v>
      </c>
      <c r="J6" s="11">
        <f>AH42</f>
        <v>2.2008392152503751</v>
      </c>
    </row>
    <row r="8" spans="1:34" ht="35.15" customHeight="1" x14ac:dyDescent="0.35">
      <c r="B8" s="104" t="s">
        <v>5</v>
      </c>
      <c r="C8" s="104"/>
      <c r="D8" s="104"/>
      <c r="E8" s="104"/>
      <c r="F8" s="104"/>
      <c r="G8" s="104"/>
      <c r="H8" s="104"/>
      <c r="I8" s="104"/>
      <c r="J8" s="104"/>
      <c r="K8" s="12"/>
      <c r="L8" s="12"/>
      <c r="M8" s="12"/>
    </row>
    <row r="9" spans="1:34" x14ac:dyDescent="0.35">
      <c r="B9" s="12"/>
      <c r="C9" s="12"/>
      <c r="D9" s="12"/>
      <c r="E9" s="12"/>
      <c r="F9" s="12"/>
      <c r="G9" s="12"/>
      <c r="H9" s="12"/>
      <c r="I9" s="12"/>
      <c r="J9" s="12"/>
      <c r="K9" s="12"/>
      <c r="L9" s="12"/>
      <c r="M9" s="12"/>
    </row>
    <row r="10" spans="1:34" x14ac:dyDescent="0.35">
      <c r="A10" t="s">
        <v>6</v>
      </c>
    </row>
    <row r="11" spans="1:34" x14ac:dyDescent="0.35">
      <c r="A11" t="s">
        <v>7</v>
      </c>
      <c r="B11" t="s">
        <v>8</v>
      </c>
      <c r="G11" s="101" t="s">
        <v>200</v>
      </c>
    </row>
    <row r="12" spans="1:34" x14ac:dyDescent="0.35">
      <c r="A12" t="s">
        <v>9</v>
      </c>
      <c r="B12" s="13" t="s">
        <v>10</v>
      </c>
    </row>
    <row r="13" spans="1:34" x14ac:dyDescent="0.35">
      <c r="B13" t="s">
        <v>11</v>
      </c>
    </row>
    <row r="14" spans="1:34" x14ac:dyDescent="0.35">
      <c r="A14" t="s">
        <v>12</v>
      </c>
      <c r="B14" t="s">
        <v>13</v>
      </c>
    </row>
    <row r="16" spans="1:34" x14ac:dyDescent="0.35">
      <c r="B16" s="14">
        <v>2018</v>
      </c>
      <c r="C16" s="14">
        <v>2019</v>
      </c>
      <c r="D16" s="14">
        <v>2020</v>
      </c>
      <c r="E16" s="14">
        <v>2021</v>
      </c>
      <c r="F16" s="14">
        <v>2022</v>
      </c>
      <c r="G16" s="14">
        <v>2023</v>
      </c>
      <c r="H16" s="14">
        <v>2024</v>
      </c>
      <c r="I16" s="14">
        <v>2025</v>
      </c>
      <c r="J16" s="14">
        <v>2026</v>
      </c>
      <c r="K16" s="14">
        <v>2027</v>
      </c>
      <c r="L16" s="14">
        <v>2028</v>
      </c>
      <c r="M16" s="14">
        <v>2029</v>
      </c>
      <c r="N16" s="14">
        <v>2030</v>
      </c>
      <c r="O16" s="14">
        <v>2031</v>
      </c>
      <c r="P16" s="14">
        <v>2032</v>
      </c>
      <c r="Q16" s="14">
        <v>2033</v>
      </c>
      <c r="R16" s="14">
        <v>2034</v>
      </c>
      <c r="S16" s="14">
        <v>2035</v>
      </c>
      <c r="T16" s="14">
        <v>2036</v>
      </c>
      <c r="U16" s="14">
        <v>2037</v>
      </c>
      <c r="V16" s="14">
        <v>2038</v>
      </c>
      <c r="W16" s="14">
        <v>2039</v>
      </c>
      <c r="X16" s="14">
        <v>2040</v>
      </c>
      <c r="Y16" s="14">
        <v>2041</v>
      </c>
      <c r="Z16" s="14">
        <v>2042</v>
      </c>
      <c r="AA16" s="14">
        <v>2043</v>
      </c>
      <c r="AB16" s="14">
        <v>2044</v>
      </c>
      <c r="AC16" s="14">
        <v>2045</v>
      </c>
      <c r="AD16" s="14">
        <v>2046</v>
      </c>
      <c r="AE16" s="14">
        <v>2047</v>
      </c>
      <c r="AF16" s="14">
        <v>2048</v>
      </c>
      <c r="AG16" s="14">
        <v>2049</v>
      </c>
      <c r="AH16" s="14">
        <v>2050</v>
      </c>
    </row>
    <row r="17" spans="1:34" x14ac:dyDescent="0.35">
      <c r="A17" t="s">
        <v>14</v>
      </c>
      <c r="D17">
        <v>67.819999999999993</v>
      </c>
      <c r="I17">
        <v>69.093000000000004</v>
      </c>
      <c r="N17">
        <v>70.281000000000006</v>
      </c>
      <c r="S17">
        <v>71.417000000000002</v>
      </c>
      <c r="X17">
        <v>72.448999999999998</v>
      </c>
      <c r="AC17">
        <v>73.311999999999998</v>
      </c>
      <c r="AH17">
        <v>74.025000000000006</v>
      </c>
    </row>
    <row r="18" spans="1:34" x14ac:dyDescent="0.35">
      <c r="A18" s="15" t="s">
        <v>15</v>
      </c>
      <c r="B18" s="15"/>
      <c r="C18" s="15">
        <v>67.012883000000002</v>
      </c>
      <c r="D18" s="16">
        <v>67.204763</v>
      </c>
      <c r="E18" s="16">
        <v>67.388433000000006</v>
      </c>
      <c r="F18" s="16">
        <v>67.575000000000003</v>
      </c>
      <c r="G18" s="16">
        <v>67.765465000000006</v>
      </c>
      <c r="H18" s="16">
        <v>67.955439999999996</v>
      </c>
      <c r="I18" s="16">
        <v>68.145742999999996</v>
      </c>
      <c r="J18" s="16">
        <v>68.335445000000007</v>
      </c>
      <c r="K18" s="16">
        <v>68.526661000000004</v>
      </c>
      <c r="L18" s="16">
        <v>68.718934000000004</v>
      </c>
      <c r="M18" s="16">
        <v>68.916612999999998</v>
      </c>
      <c r="N18" s="16">
        <v>69.116879999999995</v>
      </c>
      <c r="O18" s="16">
        <v>69.319056000000003</v>
      </c>
      <c r="P18" s="16">
        <v>69.521761999999995</v>
      </c>
      <c r="Q18" s="16">
        <v>69.722271000000006</v>
      </c>
      <c r="R18" s="16">
        <v>69.91583</v>
      </c>
      <c r="S18" s="16">
        <v>70.104962</v>
      </c>
      <c r="T18" s="16">
        <v>70.288808000000003</v>
      </c>
      <c r="U18" s="16">
        <v>70.465976999999995</v>
      </c>
      <c r="V18" s="16">
        <v>70.633769999999998</v>
      </c>
      <c r="W18" s="16">
        <v>70.788492000000005</v>
      </c>
      <c r="X18" s="16">
        <v>70.926210999999995</v>
      </c>
      <c r="Y18" s="15"/>
      <c r="Z18" s="15"/>
      <c r="AA18" s="15"/>
      <c r="AB18" s="15"/>
      <c r="AC18" s="15"/>
      <c r="AD18" s="15"/>
      <c r="AE18" s="15"/>
      <c r="AF18" s="15"/>
      <c r="AG18" s="15"/>
      <c r="AH18" s="15"/>
    </row>
    <row r="19" spans="1:34" x14ac:dyDescent="0.35">
      <c r="A19" t="s">
        <v>16</v>
      </c>
      <c r="B19" s="17">
        <v>67.240666000000004</v>
      </c>
      <c r="C19" s="17">
        <v>67.483286000000007</v>
      </c>
      <c r="D19" s="17">
        <v>67.707069000000004</v>
      </c>
      <c r="E19" s="17">
        <v>67.911946</v>
      </c>
      <c r="F19" s="17">
        <v>68.111450000000005</v>
      </c>
      <c r="G19" s="17">
        <v>68.305942000000002</v>
      </c>
      <c r="H19" s="17">
        <v>68.495774999999995</v>
      </c>
      <c r="I19" s="17">
        <v>68.681546999999995</v>
      </c>
      <c r="J19" s="17">
        <v>68.863999000000007</v>
      </c>
      <c r="K19" s="17">
        <v>69.043799000000007</v>
      </c>
      <c r="L19" s="17">
        <v>69.221366000000003</v>
      </c>
      <c r="M19" s="17">
        <v>69.396844000000002</v>
      </c>
      <c r="N19" s="17">
        <v>69.570370999999994</v>
      </c>
      <c r="O19" s="17">
        <v>69.742040000000003</v>
      </c>
      <c r="P19" s="17">
        <v>69.911619999999999</v>
      </c>
      <c r="Q19" s="17">
        <v>70.078540000000004</v>
      </c>
      <c r="R19" s="17">
        <v>70.242058</v>
      </c>
      <c r="S19" s="17">
        <v>70.401514000000006</v>
      </c>
      <c r="T19" s="17">
        <v>70.556419000000005</v>
      </c>
      <c r="U19" s="17">
        <v>70.706194999999994</v>
      </c>
      <c r="V19" s="17">
        <v>70.850144</v>
      </c>
      <c r="W19" s="17">
        <v>70.987558000000007</v>
      </c>
      <c r="X19" s="17">
        <v>71.117945000000006</v>
      </c>
      <c r="Y19" s="17">
        <v>71.240915999999999</v>
      </c>
      <c r="Z19" s="17">
        <v>71.355704000000003</v>
      </c>
      <c r="AA19" s="17">
        <v>71.461843000000002</v>
      </c>
      <c r="AB19" s="17">
        <v>71.559078</v>
      </c>
      <c r="AC19" s="17">
        <v>71.647525000000002</v>
      </c>
      <c r="AD19" s="17">
        <v>71.727486999999996</v>
      </c>
      <c r="AE19" s="17">
        <v>71.799098000000001</v>
      </c>
      <c r="AF19" s="17">
        <v>71.862482999999997</v>
      </c>
      <c r="AG19" s="17">
        <v>71.917776000000003</v>
      </c>
      <c r="AH19" s="17">
        <v>71.965277999999998</v>
      </c>
    </row>
    <row r="20" spans="1:34" x14ac:dyDescent="0.35">
      <c r="A20" t="s">
        <v>17</v>
      </c>
      <c r="B20" s="17">
        <v>66.992000000000004</v>
      </c>
      <c r="C20" s="17">
        <v>67.257981999999998</v>
      </c>
      <c r="D20">
        <v>67.441850000000002</v>
      </c>
      <c r="E20" s="17">
        <v>67.635124000000005</v>
      </c>
      <c r="F20" s="17">
        <v>67.842590999999999</v>
      </c>
      <c r="G20" s="17">
        <v>68.042591000000002</v>
      </c>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row>
    <row r="21" spans="1:34" x14ac:dyDescent="0.35">
      <c r="A21" t="s">
        <v>18</v>
      </c>
      <c r="B21">
        <f t="shared" ref="B21:AH21" si="0">B37/1000000</f>
        <v>67.206745999999995</v>
      </c>
      <c r="C21">
        <f t="shared" si="0"/>
        <v>67.428681999999995</v>
      </c>
      <c r="D21">
        <f t="shared" si="0"/>
        <v>67.629662999999994</v>
      </c>
      <c r="E21">
        <f t="shared" si="0"/>
        <v>67.809889999999996</v>
      </c>
      <c r="F21">
        <f t="shared" si="0"/>
        <v>67.983099999999993</v>
      </c>
      <c r="G21">
        <f t="shared" si="0"/>
        <v>68.149870000000007</v>
      </c>
      <c r="H21">
        <f t="shared" si="0"/>
        <v>68.310732999999999</v>
      </c>
      <c r="I21">
        <f t="shared" si="0"/>
        <v>68.466417000000007</v>
      </c>
      <c r="J21">
        <f t="shared" si="0"/>
        <v>68.617774999999995</v>
      </c>
      <c r="K21">
        <f t="shared" si="0"/>
        <v>68.765558999999996</v>
      </c>
      <c r="L21">
        <f t="shared" si="0"/>
        <v>68.910235999999998</v>
      </c>
      <c r="M21">
        <f t="shared" si="0"/>
        <v>69.051948999999993</v>
      </c>
      <c r="N21">
        <f t="shared" si="0"/>
        <v>69.190828999999994</v>
      </c>
      <c r="O21">
        <f t="shared" si="0"/>
        <v>69.326939999999993</v>
      </c>
      <c r="P21">
        <f t="shared" si="0"/>
        <v>69.460024000000004</v>
      </c>
      <c r="Q21">
        <f t="shared" si="0"/>
        <v>69.589449000000002</v>
      </c>
      <c r="R21">
        <f t="shared" si="0"/>
        <v>69.714400999999995</v>
      </c>
      <c r="S21">
        <f t="shared" si="0"/>
        <v>69.834173000000007</v>
      </c>
      <c r="T21">
        <f t="shared" si="0"/>
        <v>69.948241999999993</v>
      </c>
      <c r="U21">
        <f t="shared" si="0"/>
        <v>70.056044</v>
      </c>
      <c r="V21">
        <f t="shared" si="0"/>
        <v>70.156874999999999</v>
      </c>
      <c r="W21">
        <f t="shared" si="0"/>
        <v>70.250091999999995</v>
      </c>
      <c r="X21">
        <f t="shared" si="0"/>
        <v>70.335294000000005</v>
      </c>
      <c r="Y21">
        <f t="shared" si="0"/>
        <v>70.412218999999993</v>
      </c>
      <c r="Z21">
        <f t="shared" si="0"/>
        <v>70.480187000000001</v>
      </c>
      <c r="AA21">
        <f t="shared" si="0"/>
        <v>70.538775999999999</v>
      </c>
      <c r="AB21">
        <f t="shared" si="0"/>
        <v>70.587789000000001</v>
      </c>
      <c r="AC21">
        <f t="shared" si="0"/>
        <v>70.627307000000002</v>
      </c>
      <c r="AD21">
        <f t="shared" si="0"/>
        <v>70.657548000000006</v>
      </c>
      <c r="AE21">
        <f t="shared" si="0"/>
        <v>70.678640000000001</v>
      </c>
      <c r="AF21">
        <f t="shared" si="0"/>
        <v>70.690723000000006</v>
      </c>
      <c r="AG21">
        <f t="shared" si="0"/>
        <v>70.693977000000004</v>
      </c>
      <c r="AH21">
        <f t="shared" si="0"/>
        <v>70.688738000000001</v>
      </c>
    </row>
    <row r="22" spans="1:34" x14ac:dyDescent="0.35">
      <c r="A22" t="s">
        <v>19</v>
      </c>
      <c r="B22" s="15">
        <v>66.98</v>
      </c>
      <c r="C22" s="15">
        <v>67.012883000000002</v>
      </c>
      <c r="D22" s="15">
        <v>67.204763</v>
      </c>
      <c r="E22" s="15">
        <v>67.388433000000006</v>
      </c>
      <c r="F22" s="15">
        <v>67.575000000000003</v>
      </c>
      <c r="G22" s="15">
        <v>67.765465000000006</v>
      </c>
      <c r="H22" s="15">
        <v>67.955439999999996</v>
      </c>
      <c r="I22" s="15">
        <v>68.145742999999996</v>
      </c>
      <c r="J22" s="15">
        <v>68.335445000000007</v>
      </c>
      <c r="K22" s="15">
        <v>68.526661000000004</v>
      </c>
      <c r="L22" s="15">
        <v>68.718934000000004</v>
      </c>
      <c r="M22" s="15">
        <v>68.916612999999998</v>
      </c>
      <c r="N22" s="15">
        <v>69.116879999999995</v>
      </c>
      <c r="O22" s="15">
        <v>69.319056000000003</v>
      </c>
      <c r="P22" s="15">
        <v>69.521761999999995</v>
      </c>
      <c r="Q22" s="15">
        <v>69.722271000000006</v>
      </c>
      <c r="R22" s="15">
        <v>69.91583</v>
      </c>
      <c r="S22" s="15">
        <v>70.104962</v>
      </c>
      <c r="T22" s="15">
        <v>70.288808000000003</v>
      </c>
      <c r="U22" s="15">
        <v>70.465976999999995</v>
      </c>
      <c r="V22" s="15">
        <v>70.633769999999998</v>
      </c>
      <c r="W22" s="15">
        <v>70.788492000000005</v>
      </c>
      <c r="X22" s="15">
        <v>70.926210999999995</v>
      </c>
      <c r="Y22" s="15">
        <v>71.046882993855405</v>
      </c>
      <c r="Z22" s="15">
        <v>71.166557698505301</v>
      </c>
      <c r="AA22" s="15">
        <v>71.269278486663197</v>
      </c>
      <c r="AB22" s="15">
        <v>71.366015539588602</v>
      </c>
      <c r="AC22" s="15">
        <v>71.459760724897706</v>
      </c>
      <c r="AD22" s="15">
        <v>71.533560126098493</v>
      </c>
      <c r="AE22" s="15">
        <v>71.606362238093894</v>
      </c>
      <c r="AF22" s="15">
        <v>71.671186036445903</v>
      </c>
      <c r="AG22" s="15">
        <v>71.726036942743804</v>
      </c>
      <c r="AH22" s="15">
        <v>71.776898692220101</v>
      </c>
    </row>
    <row r="23" spans="1:34" x14ac:dyDescent="0.35">
      <c r="A23" t="s">
        <v>20</v>
      </c>
      <c r="B23">
        <v>67</v>
      </c>
      <c r="C23">
        <v>67.099999999999994</v>
      </c>
      <c r="D23">
        <v>67.3</v>
      </c>
      <c r="E23">
        <v>67.400000000000006</v>
      </c>
      <c r="F23">
        <v>67.5</v>
      </c>
      <c r="G23">
        <v>67.7</v>
      </c>
      <c r="H23">
        <v>67.8</v>
      </c>
      <c r="I23">
        <v>68</v>
      </c>
      <c r="J23">
        <v>68.099999999999994</v>
      </c>
      <c r="K23">
        <v>68.2</v>
      </c>
      <c r="L23">
        <v>68.3</v>
      </c>
      <c r="M23">
        <v>68.400000000000006</v>
      </c>
      <c r="N23">
        <v>68.599999999999994</v>
      </c>
      <c r="O23">
        <v>68.7</v>
      </c>
      <c r="P23">
        <v>68.7</v>
      </c>
      <c r="Q23">
        <v>68.8</v>
      </c>
      <c r="R23">
        <v>68.900000000000006</v>
      </c>
      <c r="S23">
        <v>69</v>
      </c>
      <c r="T23">
        <v>69</v>
      </c>
      <c r="U23">
        <v>69.099999999999994</v>
      </c>
      <c r="V23">
        <v>69.2</v>
      </c>
      <c r="W23">
        <v>69.2</v>
      </c>
      <c r="X23">
        <v>69.2</v>
      </c>
      <c r="Y23">
        <v>69.3</v>
      </c>
      <c r="Z23">
        <v>69.3</v>
      </c>
      <c r="AA23">
        <v>69.3</v>
      </c>
      <c r="AB23">
        <v>69.3</v>
      </c>
      <c r="AC23">
        <v>69.3</v>
      </c>
      <c r="AD23">
        <v>69.3</v>
      </c>
      <c r="AE23">
        <v>69.3</v>
      </c>
      <c r="AF23">
        <v>69.3</v>
      </c>
      <c r="AG23">
        <v>69.2</v>
      </c>
      <c r="AH23">
        <v>69.2</v>
      </c>
    </row>
    <row r="24" spans="1:34" x14ac:dyDescent="0.35">
      <c r="A24" t="s">
        <v>21</v>
      </c>
      <c r="B24" s="18">
        <f t="shared" ref="B24:AH24" si="1">B23/B22</f>
        <v>1.0002985965959987</v>
      </c>
      <c r="C24" s="18">
        <f t="shared" si="1"/>
        <v>1.001300003761963</v>
      </c>
      <c r="D24" s="18">
        <f t="shared" si="1"/>
        <v>1.0014171168195325</v>
      </c>
      <c r="E24" s="18">
        <f t="shared" si="1"/>
        <v>1.0001716466682049</v>
      </c>
      <c r="F24" s="18">
        <f t="shared" si="1"/>
        <v>0.99889012208657046</v>
      </c>
      <c r="G24" s="18">
        <f t="shared" si="1"/>
        <v>0.99903394745391327</v>
      </c>
      <c r="H24" s="18">
        <f t="shared" si="1"/>
        <v>0.99771261873957406</v>
      </c>
      <c r="I24" s="18">
        <f t="shared" si="1"/>
        <v>0.99786130441046039</v>
      </c>
      <c r="J24" s="18">
        <f t="shared" si="1"/>
        <v>0.99655456988682789</v>
      </c>
      <c r="K24" s="18">
        <f t="shared" si="1"/>
        <v>0.99523308161767865</v>
      </c>
      <c r="L24" s="18">
        <f t="shared" si="1"/>
        <v>0.99390365979774942</v>
      </c>
      <c r="M24" s="18">
        <f t="shared" si="1"/>
        <v>0.9925037958554348</v>
      </c>
      <c r="N24" s="18">
        <f t="shared" si="1"/>
        <v>0.99252165317647434</v>
      </c>
      <c r="O24" s="18">
        <f t="shared" si="1"/>
        <v>0.99106946868982171</v>
      </c>
      <c r="P24" s="18">
        <f t="shared" si="1"/>
        <v>0.98817978750308444</v>
      </c>
      <c r="Q24" s="18">
        <f t="shared" si="1"/>
        <v>0.98677221801911741</v>
      </c>
      <c r="R24" s="18">
        <f t="shared" si="1"/>
        <v>0.98547067237848718</v>
      </c>
      <c r="S24" s="18">
        <f t="shared" si="1"/>
        <v>0.98423846232168277</v>
      </c>
      <c r="T24" s="18">
        <f t="shared" si="1"/>
        <v>0.98166410789040548</v>
      </c>
      <c r="U24" s="18">
        <f t="shared" si="1"/>
        <v>0.98061508463864766</v>
      </c>
      <c r="V24" s="18">
        <f t="shared" si="1"/>
        <v>0.97970135248338019</v>
      </c>
      <c r="W24" s="18">
        <f t="shared" si="1"/>
        <v>0.97756002486957905</v>
      </c>
      <c r="X24" s="18">
        <f t="shared" si="1"/>
        <v>0.97566187484624001</v>
      </c>
      <c r="Y24" s="18">
        <f t="shared" si="1"/>
        <v>0.97541225004893617</v>
      </c>
      <c r="Z24" s="18">
        <f t="shared" si="1"/>
        <v>0.97377198281230759</v>
      </c>
      <c r="AA24" s="18">
        <f t="shared" si="1"/>
        <v>0.97236848010139854</v>
      </c>
      <c r="AB24" s="18">
        <f t="shared" si="1"/>
        <v>0.97105042891959503</v>
      </c>
      <c r="AC24" s="18">
        <f t="shared" si="1"/>
        <v>0.96977654692670678</v>
      </c>
      <c r="AD24" s="18">
        <f t="shared" si="1"/>
        <v>0.96877605249674137</v>
      </c>
      <c r="AE24" s="18">
        <f t="shared" si="1"/>
        <v>0.96779109891904358</v>
      </c>
      <c r="AF24" s="18">
        <f t="shared" si="1"/>
        <v>0.96691576953616865</v>
      </c>
      <c r="AG24" s="18">
        <f t="shared" si="1"/>
        <v>0.96478214815130181</v>
      </c>
      <c r="AH24" s="18">
        <f t="shared" si="1"/>
        <v>0.96409849493121935</v>
      </c>
    </row>
    <row r="25" spans="1:34" x14ac:dyDescent="0.35">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spans="1:34" x14ac:dyDescent="0.35">
      <c r="A26" t="s">
        <v>22</v>
      </c>
      <c r="B26" s="20" t="s">
        <v>23</v>
      </c>
    </row>
    <row r="27" spans="1:34" x14ac:dyDescent="0.35">
      <c r="A27" t="s">
        <v>3</v>
      </c>
      <c r="B27" s="21">
        <v>65125</v>
      </c>
      <c r="C27" s="21">
        <v>65361</v>
      </c>
      <c r="D27" s="21">
        <v>65577</v>
      </c>
      <c r="E27" s="21">
        <v>65777</v>
      </c>
      <c r="F27" s="21">
        <v>65971</v>
      </c>
      <c r="G27" s="21">
        <v>66160</v>
      </c>
      <c r="H27" s="21">
        <v>66345</v>
      </c>
      <c r="I27" s="21">
        <v>66526</v>
      </c>
      <c r="J27" s="21">
        <v>66702</v>
      </c>
      <c r="K27" s="21">
        <v>66881</v>
      </c>
      <c r="L27" s="21">
        <v>67052</v>
      </c>
      <c r="M27" s="21">
        <v>67227</v>
      </c>
      <c r="N27" s="21">
        <v>67390</v>
      </c>
      <c r="O27" s="21">
        <v>67563</v>
      </c>
      <c r="P27" s="21">
        <v>67726</v>
      </c>
      <c r="Q27" s="21">
        <v>67876</v>
      </c>
      <c r="R27" s="21">
        <v>68043</v>
      </c>
      <c r="S27" s="21">
        <v>68192</v>
      </c>
      <c r="T27" s="21">
        <v>68344</v>
      </c>
      <c r="U27" s="21">
        <v>68487</v>
      </c>
      <c r="V27" s="21">
        <v>68627</v>
      </c>
      <c r="W27" s="21">
        <v>68761</v>
      </c>
      <c r="X27" s="21">
        <v>68881</v>
      </c>
      <c r="Y27" s="21">
        <v>68997</v>
      </c>
      <c r="Z27" s="21">
        <v>69111</v>
      </c>
      <c r="AA27" s="21">
        <v>69207</v>
      </c>
      <c r="AB27" s="21">
        <v>69300</v>
      </c>
      <c r="AC27" s="21">
        <v>69389</v>
      </c>
      <c r="AD27" s="21">
        <v>69458</v>
      </c>
      <c r="AE27" s="21">
        <v>69526</v>
      </c>
      <c r="AF27" s="21">
        <v>69586</v>
      </c>
      <c r="AG27" s="21">
        <v>69637</v>
      </c>
      <c r="AH27" s="21">
        <v>69683</v>
      </c>
    </row>
    <row r="28" spans="1:34" x14ac:dyDescent="0.35">
      <c r="A28" s="22" t="s">
        <v>24</v>
      </c>
      <c r="B28" s="23">
        <v>394</v>
      </c>
      <c r="C28" s="23">
        <v>392</v>
      </c>
      <c r="D28" s="23">
        <v>390</v>
      </c>
      <c r="E28" s="23">
        <v>388</v>
      </c>
      <c r="F28" s="23">
        <v>385</v>
      </c>
      <c r="G28" s="23">
        <v>383</v>
      </c>
      <c r="H28" s="23">
        <v>381</v>
      </c>
      <c r="I28" s="23">
        <v>379</v>
      </c>
      <c r="J28" s="23">
        <v>377</v>
      </c>
      <c r="K28" s="23">
        <v>374</v>
      </c>
      <c r="L28" s="23">
        <v>372</v>
      </c>
      <c r="M28" s="23">
        <v>370</v>
      </c>
      <c r="N28" s="23">
        <v>368</v>
      </c>
      <c r="O28" s="23">
        <v>366</v>
      </c>
      <c r="P28" s="23">
        <v>363</v>
      </c>
      <c r="Q28" s="23">
        <v>361</v>
      </c>
      <c r="R28" s="23">
        <v>359</v>
      </c>
      <c r="S28" s="23">
        <v>357</v>
      </c>
      <c r="T28" s="23">
        <v>355</v>
      </c>
      <c r="U28" s="23">
        <v>352</v>
      </c>
      <c r="V28" s="23">
        <v>350</v>
      </c>
      <c r="W28" s="23">
        <v>348</v>
      </c>
      <c r="X28" s="23">
        <v>346</v>
      </c>
      <c r="Y28" s="23">
        <v>343</v>
      </c>
      <c r="Z28" s="23">
        <v>341</v>
      </c>
      <c r="AA28" s="23">
        <v>339</v>
      </c>
      <c r="AB28" s="23">
        <v>336</v>
      </c>
      <c r="AC28" s="23">
        <v>334</v>
      </c>
      <c r="AD28" s="23">
        <v>332</v>
      </c>
      <c r="AE28" s="23">
        <v>329</v>
      </c>
      <c r="AF28" s="23">
        <v>327</v>
      </c>
      <c r="AG28" s="23">
        <v>324</v>
      </c>
      <c r="AH28" s="23">
        <v>322</v>
      </c>
    </row>
    <row r="29" spans="1:34" x14ac:dyDescent="0.35">
      <c r="A29" s="22" t="s">
        <v>25</v>
      </c>
      <c r="B29" s="23">
        <v>372</v>
      </c>
      <c r="C29" s="23">
        <v>369</v>
      </c>
      <c r="D29" s="23">
        <v>366</v>
      </c>
      <c r="E29" s="23">
        <v>363</v>
      </c>
      <c r="F29" s="23">
        <v>360</v>
      </c>
      <c r="G29" s="23">
        <v>357</v>
      </c>
      <c r="H29" s="23">
        <v>354</v>
      </c>
      <c r="I29" s="23">
        <v>351</v>
      </c>
      <c r="J29" s="23">
        <v>348</v>
      </c>
      <c r="K29" s="23">
        <v>345</v>
      </c>
      <c r="L29" s="23">
        <v>341</v>
      </c>
      <c r="M29" s="23">
        <v>338</v>
      </c>
      <c r="N29" s="23">
        <v>335</v>
      </c>
      <c r="O29" s="23">
        <v>332</v>
      </c>
      <c r="P29" s="23">
        <v>329</v>
      </c>
      <c r="Q29" s="23">
        <v>326</v>
      </c>
      <c r="R29" s="23">
        <v>323</v>
      </c>
      <c r="S29" s="23">
        <v>320</v>
      </c>
      <c r="T29" s="23">
        <v>317</v>
      </c>
      <c r="U29" s="23">
        <v>314</v>
      </c>
      <c r="V29" s="23">
        <v>311</v>
      </c>
      <c r="W29" s="23">
        <v>309</v>
      </c>
      <c r="X29" s="23">
        <v>306</v>
      </c>
      <c r="Y29" s="23">
        <v>303</v>
      </c>
      <c r="Z29" s="23">
        <v>300</v>
      </c>
      <c r="AA29" s="23">
        <v>297</v>
      </c>
      <c r="AB29" s="23">
        <v>294</v>
      </c>
      <c r="AC29" s="23">
        <v>290</v>
      </c>
      <c r="AD29" s="23">
        <v>287</v>
      </c>
      <c r="AE29" s="23">
        <v>284</v>
      </c>
      <c r="AF29" s="23">
        <v>281</v>
      </c>
      <c r="AG29" s="23">
        <v>278</v>
      </c>
      <c r="AH29" s="23">
        <v>275</v>
      </c>
    </row>
    <row r="30" spans="1:34" x14ac:dyDescent="0.35">
      <c r="A30" s="22" t="s">
        <v>26</v>
      </c>
      <c r="B30" s="23">
        <v>266</v>
      </c>
      <c r="C30" s="23">
        <v>270</v>
      </c>
      <c r="D30" s="23">
        <v>274</v>
      </c>
      <c r="E30" s="23">
        <v>278</v>
      </c>
      <c r="F30" s="23">
        <v>282</v>
      </c>
      <c r="G30" s="23">
        <v>285</v>
      </c>
      <c r="H30" s="23">
        <v>289</v>
      </c>
      <c r="I30" s="23">
        <v>292</v>
      </c>
      <c r="J30" s="23">
        <v>296</v>
      </c>
      <c r="K30" s="23">
        <v>299</v>
      </c>
      <c r="L30" s="23">
        <v>303</v>
      </c>
      <c r="M30" s="23">
        <v>306</v>
      </c>
      <c r="N30" s="23">
        <v>309</v>
      </c>
      <c r="O30" s="23">
        <v>312</v>
      </c>
      <c r="P30" s="23">
        <v>316</v>
      </c>
      <c r="Q30" s="23">
        <v>319</v>
      </c>
      <c r="R30" s="23">
        <v>322</v>
      </c>
      <c r="S30" s="23">
        <v>325</v>
      </c>
      <c r="T30" s="23">
        <v>328</v>
      </c>
      <c r="U30" s="23">
        <v>331</v>
      </c>
      <c r="V30" s="23">
        <v>334</v>
      </c>
      <c r="W30" s="23">
        <v>337</v>
      </c>
      <c r="X30" s="23">
        <v>340</v>
      </c>
      <c r="Y30" s="23">
        <v>342</v>
      </c>
      <c r="Z30" s="23">
        <v>345</v>
      </c>
      <c r="AA30" s="23">
        <v>348</v>
      </c>
      <c r="AB30" s="23">
        <v>350</v>
      </c>
      <c r="AC30" s="23">
        <v>353</v>
      </c>
      <c r="AD30" s="23">
        <v>355</v>
      </c>
      <c r="AE30" s="23">
        <v>358</v>
      </c>
      <c r="AF30" s="23">
        <v>360</v>
      </c>
      <c r="AG30" s="23">
        <v>362</v>
      </c>
      <c r="AH30" s="23">
        <v>364</v>
      </c>
    </row>
    <row r="31" spans="1:34" x14ac:dyDescent="0.35">
      <c r="A31" s="22" t="s">
        <v>27</v>
      </c>
      <c r="B31" s="23">
        <v>849</v>
      </c>
      <c r="C31" s="23">
        <v>852</v>
      </c>
      <c r="D31" s="23">
        <v>853</v>
      </c>
      <c r="E31" s="23">
        <v>855</v>
      </c>
      <c r="F31" s="23">
        <v>857</v>
      </c>
      <c r="G31" s="23">
        <v>858</v>
      </c>
      <c r="H31" s="23">
        <v>860</v>
      </c>
      <c r="I31" s="23">
        <v>861</v>
      </c>
      <c r="J31" s="23">
        <v>862</v>
      </c>
      <c r="K31" s="23">
        <v>864</v>
      </c>
      <c r="L31" s="23">
        <v>865</v>
      </c>
      <c r="M31" s="23">
        <v>866</v>
      </c>
      <c r="N31" s="23">
        <v>867</v>
      </c>
      <c r="O31" s="23">
        <v>868</v>
      </c>
      <c r="P31" s="23">
        <v>869</v>
      </c>
      <c r="Q31" s="23">
        <v>870</v>
      </c>
      <c r="R31" s="23">
        <v>871</v>
      </c>
      <c r="S31" s="23">
        <v>872</v>
      </c>
      <c r="T31" s="23">
        <v>873</v>
      </c>
      <c r="U31" s="23">
        <v>874</v>
      </c>
      <c r="V31" s="23">
        <v>874</v>
      </c>
      <c r="W31" s="23">
        <v>875</v>
      </c>
      <c r="X31" s="23">
        <v>875</v>
      </c>
      <c r="Y31" s="23">
        <v>876</v>
      </c>
      <c r="Z31" s="23">
        <v>876</v>
      </c>
      <c r="AA31" s="23">
        <v>877</v>
      </c>
      <c r="AB31" s="23">
        <v>877</v>
      </c>
      <c r="AC31" s="23">
        <v>877</v>
      </c>
      <c r="AD31" s="23">
        <v>877</v>
      </c>
      <c r="AE31" s="23">
        <v>877</v>
      </c>
      <c r="AF31" s="23">
        <v>876</v>
      </c>
      <c r="AG31" s="23">
        <v>876</v>
      </c>
      <c r="AH31" s="23">
        <v>875</v>
      </c>
    </row>
    <row r="32" spans="1:34" x14ac:dyDescent="0.35">
      <c r="A32" s="22" t="s">
        <v>28</v>
      </c>
      <c r="B32" s="23">
        <v>238</v>
      </c>
      <c r="C32" s="23">
        <v>242</v>
      </c>
      <c r="D32" s="23">
        <v>247</v>
      </c>
      <c r="E32" s="23">
        <v>251</v>
      </c>
      <c r="F32" s="23">
        <v>256</v>
      </c>
      <c r="G32" s="23">
        <v>261</v>
      </c>
      <c r="H32" s="23">
        <v>266</v>
      </c>
      <c r="I32" s="23">
        <v>271</v>
      </c>
      <c r="J32" s="23">
        <v>276</v>
      </c>
      <c r="K32" s="23">
        <v>282</v>
      </c>
      <c r="L32" s="23">
        <v>288</v>
      </c>
      <c r="M32" s="23">
        <v>294</v>
      </c>
      <c r="N32" s="23">
        <v>300</v>
      </c>
      <c r="O32" s="23">
        <v>306</v>
      </c>
      <c r="P32" s="23">
        <v>313</v>
      </c>
      <c r="Q32" s="23">
        <v>319</v>
      </c>
      <c r="R32" s="23">
        <v>326</v>
      </c>
      <c r="S32" s="23">
        <v>334</v>
      </c>
      <c r="T32" s="23">
        <v>341</v>
      </c>
      <c r="U32" s="23">
        <v>348</v>
      </c>
      <c r="V32" s="23">
        <v>356</v>
      </c>
      <c r="W32" s="23">
        <v>363</v>
      </c>
      <c r="X32" s="23">
        <v>371</v>
      </c>
      <c r="Y32" s="23">
        <v>379</v>
      </c>
      <c r="Z32" s="23">
        <v>387</v>
      </c>
      <c r="AA32" s="23">
        <v>395</v>
      </c>
      <c r="AB32" s="23">
        <v>403</v>
      </c>
      <c r="AC32" s="23">
        <v>411</v>
      </c>
      <c r="AD32" s="23">
        <v>419</v>
      </c>
      <c r="AE32" s="23">
        <v>427</v>
      </c>
      <c r="AF32" s="23">
        <v>436</v>
      </c>
      <c r="AG32" s="23">
        <v>444</v>
      </c>
      <c r="AH32" s="23">
        <v>453</v>
      </c>
    </row>
    <row r="33" spans="1:34" x14ac:dyDescent="0.35">
      <c r="A33" t="s">
        <v>29</v>
      </c>
      <c r="B33" s="24">
        <f t="shared" ref="B33:AH33" si="2">SUM(B28:B32)</f>
        <v>2119</v>
      </c>
      <c r="C33" s="24">
        <f t="shared" si="2"/>
        <v>2125</v>
      </c>
      <c r="D33" s="24">
        <f t="shared" si="2"/>
        <v>2130</v>
      </c>
      <c r="E33" s="24">
        <f t="shared" si="2"/>
        <v>2135</v>
      </c>
      <c r="F33" s="24">
        <f t="shared" si="2"/>
        <v>2140</v>
      </c>
      <c r="G33" s="24">
        <f t="shared" si="2"/>
        <v>2144</v>
      </c>
      <c r="H33" s="24">
        <f t="shared" si="2"/>
        <v>2150</v>
      </c>
      <c r="I33" s="24">
        <f t="shared" si="2"/>
        <v>2154</v>
      </c>
      <c r="J33" s="24">
        <f t="shared" si="2"/>
        <v>2159</v>
      </c>
      <c r="K33" s="24">
        <f t="shared" si="2"/>
        <v>2164</v>
      </c>
      <c r="L33" s="24">
        <f t="shared" si="2"/>
        <v>2169</v>
      </c>
      <c r="M33" s="24">
        <f t="shared" si="2"/>
        <v>2174</v>
      </c>
      <c r="N33" s="24">
        <f t="shared" si="2"/>
        <v>2179</v>
      </c>
      <c r="O33" s="24">
        <f t="shared" si="2"/>
        <v>2184</v>
      </c>
      <c r="P33" s="24">
        <f t="shared" si="2"/>
        <v>2190</v>
      </c>
      <c r="Q33" s="24">
        <f t="shared" si="2"/>
        <v>2195</v>
      </c>
      <c r="R33" s="24">
        <f t="shared" si="2"/>
        <v>2201</v>
      </c>
      <c r="S33" s="24">
        <f t="shared" si="2"/>
        <v>2208</v>
      </c>
      <c r="T33" s="24">
        <f t="shared" si="2"/>
        <v>2214</v>
      </c>
      <c r="U33" s="24">
        <f t="shared" si="2"/>
        <v>2219</v>
      </c>
      <c r="V33" s="24">
        <f t="shared" si="2"/>
        <v>2225</v>
      </c>
      <c r="W33" s="24">
        <f t="shared" si="2"/>
        <v>2232</v>
      </c>
      <c r="X33" s="24">
        <f t="shared" si="2"/>
        <v>2238</v>
      </c>
      <c r="Y33" s="24">
        <f t="shared" si="2"/>
        <v>2243</v>
      </c>
      <c r="Z33" s="24">
        <f t="shared" si="2"/>
        <v>2249</v>
      </c>
      <c r="AA33" s="24">
        <f t="shared" si="2"/>
        <v>2256</v>
      </c>
      <c r="AB33" s="24">
        <f t="shared" si="2"/>
        <v>2260</v>
      </c>
      <c r="AC33" s="24">
        <f t="shared" si="2"/>
        <v>2265</v>
      </c>
      <c r="AD33" s="24">
        <f t="shared" si="2"/>
        <v>2270</v>
      </c>
      <c r="AE33" s="24">
        <f t="shared" si="2"/>
        <v>2275</v>
      </c>
      <c r="AF33" s="24">
        <f t="shared" si="2"/>
        <v>2280</v>
      </c>
      <c r="AG33" s="24">
        <f t="shared" si="2"/>
        <v>2284</v>
      </c>
      <c r="AH33" s="24">
        <f t="shared" si="2"/>
        <v>2289</v>
      </c>
    </row>
    <row r="34" spans="1:34" x14ac:dyDescent="0.35">
      <c r="A34" s="25" t="s">
        <v>30</v>
      </c>
      <c r="B34" s="24">
        <f t="shared" ref="B34:AH34" si="3">B27+B33</f>
        <v>67244</v>
      </c>
      <c r="C34" s="24">
        <f t="shared" si="3"/>
        <v>67486</v>
      </c>
      <c r="D34" s="24">
        <f t="shared" si="3"/>
        <v>67707</v>
      </c>
      <c r="E34" s="24">
        <f t="shared" si="3"/>
        <v>67912</v>
      </c>
      <c r="F34" s="24">
        <f t="shared" si="3"/>
        <v>68111</v>
      </c>
      <c r="G34" s="24">
        <f t="shared" si="3"/>
        <v>68304</v>
      </c>
      <c r="H34" s="24">
        <f t="shared" si="3"/>
        <v>68495</v>
      </c>
      <c r="I34" s="24">
        <f t="shared" si="3"/>
        <v>68680</v>
      </c>
      <c r="J34" s="24">
        <f t="shared" si="3"/>
        <v>68861</v>
      </c>
      <c r="K34" s="24">
        <f t="shared" si="3"/>
        <v>69045</v>
      </c>
      <c r="L34" s="24">
        <f t="shared" si="3"/>
        <v>69221</v>
      </c>
      <c r="M34" s="24">
        <f t="shared" si="3"/>
        <v>69401</v>
      </c>
      <c r="N34" s="24">
        <f t="shared" si="3"/>
        <v>69569</v>
      </c>
      <c r="O34" s="24">
        <f t="shared" si="3"/>
        <v>69747</v>
      </c>
      <c r="P34" s="24">
        <f t="shared" si="3"/>
        <v>69916</v>
      </c>
      <c r="Q34" s="24">
        <f t="shared" si="3"/>
        <v>70071</v>
      </c>
      <c r="R34" s="24">
        <f t="shared" si="3"/>
        <v>70244</v>
      </c>
      <c r="S34" s="24">
        <f t="shared" si="3"/>
        <v>70400</v>
      </c>
      <c r="T34" s="24">
        <f t="shared" si="3"/>
        <v>70558</v>
      </c>
      <c r="U34" s="24">
        <f t="shared" si="3"/>
        <v>70706</v>
      </c>
      <c r="V34" s="24">
        <f t="shared" si="3"/>
        <v>70852</v>
      </c>
      <c r="W34" s="24">
        <f t="shared" si="3"/>
        <v>70993</v>
      </c>
      <c r="X34" s="24">
        <f t="shared" si="3"/>
        <v>71119</v>
      </c>
      <c r="Y34" s="24">
        <f t="shared" si="3"/>
        <v>71240</v>
      </c>
      <c r="Z34" s="24">
        <f t="shared" si="3"/>
        <v>71360</v>
      </c>
      <c r="AA34" s="24">
        <f t="shared" si="3"/>
        <v>71463</v>
      </c>
      <c r="AB34" s="24">
        <f t="shared" si="3"/>
        <v>71560</v>
      </c>
      <c r="AC34" s="24">
        <f t="shared" si="3"/>
        <v>71654</v>
      </c>
      <c r="AD34" s="24">
        <f t="shared" si="3"/>
        <v>71728</v>
      </c>
      <c r="AE34" s="24">
        <f t="shared" si="3"/>
        <v>71801</v>
      </c>
      <c r="AF34" s="24">
        <f t="shared" si="3"/>
        <v>71866</v>
      </c>
      <c r="AG34" s="24">
        <f t="shared" si="3"/>
        <v>71921</v>
      </c>
      <c r="AH34" s="24">
        <f t="shared" si="3"/>
        <v>71972</v>
      </c>
    </row>
    <row r="35" spans="1:34" x14ac:dyDescent="0.35">
      <c r="A35" s="22" t="s">
        <v>31</v>
      </c>
      <c r="B35" s="26">
        <f t="shared" ref="B35:AH35" si="4">B33/B34</f>
        <v>3.1512105169234431E-2</v>
      </c>
      <c r="C35" s="26">
        <f t="shared" si="4"/>
        <v>3.1488012328482945E-2</v>
      </c>
      <c r="D35" s="26">
        <f t="shared" si="4"/>
        <v>3.14590810403651E-2</v>
      </c>
      <c r="E35" s="26">
        <f t="shared" si="4"/>
        <v>3.143774296147956E-2</v>
      </c>
      <c r="F35" s="26">
        <f t="shared" si="4"/>
        <v>3.1419300847146572E-2</v>
      </c>
      <c r="G35" s="26">
        <f t="shared" si="4"/>
        <v>3.1389084094635748E-2</v>
      </c>
      <c r="H35" s="26">
        <f t="shared" si="4"/>
        <v>3.138915249288269E-2</v>
      </c>
      <c r="I35" s="26">
        <f t="shared" si="4"/>
        <v>3.13628421665696E-2</v>
      </c>
      <c r="J35" s="26">
        <f t="shared" si="4"/>
        <v>3.1353015494982643E-2</v>
      </c>
      <c r="K35" s="26">
        <f t="shared" si="4"/>
        <v>3.1341878485045986E-2</v>
      </c>
      <c r="L35" s="26">
        <f t="shared" si="4"/>
        <v>3.1334421635052949E-2</v>
      </c>
      <c r="M35" s="26">
        <f t="shared" si="4"/>
        <v>3.1325197043270268E-2</v>
      </c>
      <c r="N35" s="26">
        <f t="shared" si="4"/>
        <v>3.1321421897684311E-2</v>
      </c>
      <c r="O35" s="26">
        <f t="shared" si="4"/>
        <v>3.1313174760204739E-2</v>
      </c>
      <c r="P35" s="26">
        <f t="shared" si="4"/>
        <v>3.1323302248412378E-2</v>
      </c>
      <c r="Q35" s="26">
        <f t="shared" si="4"/>
        <v>3.1325369981875524E-2</v>
      </c>
      <c r="R35" s="26">
        <f t="shared" si="4"/>
        <v>3.1333637036615229E-2</v>
      </c>
      <c r="S35" s="26">
        <f t="shared" si="4"/>
        <v>3.1363636363636364E-2</v>
      </c>
      <c r="T35" s="26">
        <f t="shared" si="4"/>
        <v>3.1378440431985032E-2</v>
      </c>
      <c r="U35" s="26">
        <f t="shared" si="4"/>
        <v>3.1383475235482135E-2</v>
      </c>
      <c r="V35" s="26">
        <f t="shared" si="4"/>
        <v>3.14034889629086E-2</v>
      </c>
      <c r="W35" s="26">
        <f t="shared" si="4"/>
        <v>3.1439719408955812E-2</v>
      </c>
      <c r="X35" s="26">
        <f t="shared" si="4"/>
        <v>3.1468383976152647E-2</v>
      </c>
      <c r="Y35" s="26">
        <f t="shared" si="4"/>
        <v>3.1485120718697364E-2</v>
      </c>
      <c r="Z35" s="26">
        <f t="shared" si="4"/>
        <v>3.1516255605381169E-2</v>
      </c>
      <c r="AA35" s="26">
        <f t="shared" si="4"/>
        <v>3.1568783846186138E-2</v>
      </c>
      <c r="AB35" s="26">
        <f t="shared" si="4"/>
        <v>3.1581889323644495E-2</v>
      </c>
      <c r="AC35" s="26">
        <f t="shared" si="4"/>
        <v>3.1610238088592403E-2</v>
      </c>
      <c r="AD35" s="26">
        <f t="shared" si="4"/>
        <v>3.1647334374302921E-2</v>
      </c>
      <c r="AE35" s="26">
        <f t="shared" si="4"/>
        <v>3.168479547638612E-2</v>
      </c>
      <c r="AF35" s="26">
        <f t="shared" si="4"/>
        <v>3.1725711741296299E-2</v>
      </c>
      <c r="AG35" s="26">
        <f t="shared" si="4"/>
        <v>3.1757066781607599E-2</v>
      </c>
      <c r="AH35" s="26">
        <f t="shared" si="4"/>
        <v>3.1804034902462065E-2</v>
      </c>
    </row>
    <row r="37" spans="1:34" x14ac:dyDescent="0.35">
      <c r="A37" t="s">
        <v>32</v>
      </c>
      <c r="B37" s="19">
        <v>67206746</v>
      </c>
      <c r="C37" s="19">
        <v>67428682</v>
      </c>
      <c r="D37" s="19">
        <v>67629663</v>
      </c>
      <c r="E37" s="19">
        <v>67809890</v>
      </c>
      <c r="F37" s="19">
        <v>67983100</v>
      </c>
      <c r="G37" s="19">
        <v>68149870</v>
      </c>
      <c r="H37" s="19">
        <v>68310733</v>
      </c>
      <c r="I37" s="19">
        <v>68466417</v>
      </c>
      <c r="J37" s="19">
        <v>68617775</v>
      </c>
      <c r="K37" s="19">
        <v>68765559</v>
      </c>
      <c r="L37" s="19">
        <v>68910236</v>
      </c>
      <c r="M37" s="19">
        <v>69051949</v>
      </c>
      <c r="N37" s="19">
        <v>69190829</v>
      </c>
      <c r="O37" s="19">
        <v>69326940</v>
      </c>
      <c r="P37" s="19">
        <v>69460024</v>
      </c>
      <c r="Q37" s="19">
        <v>69589449</v>
      </c>
      <c r="R37" s="19">
        <v>69714401</v>
      </c>
      <c r="S37" s="19">
        <v>69834173</v>
      </c>
      <c r="T37" s="19">
        <v>69948242</v>
      </c>
      <c r="U37" s="19">
        <v>70056044</v>
      </c>
      <c r="V37" s="19">
        <v>70156875</v>
      </c>
      <c r="W37" s="19">
        <v>70250092</v>
      </c>
      <c r="X37" s="19">
        <v>70335294</v>
      </c>
      <c r="Y37" s="19">
        <v>70412219</v>
      </c>
      <c r="Z37" s="19">
        <v>70480187</v>
      </c>
      <c r="AA37" s="19">
        <v>70538776</v>
      </c>
      <c r="AB37" s="19">
        <v>70587789</v>
      </c>
      <c r="AC37" s="19">
        <v>70627307</v>
      </c>
      <c r="AD37" s="19">
        <v>70657548</v>
      </c>
      <c r="AE37" s="19">
        <v>70678640</v>
      </c>
      <c r="AF37" s="19">
        <v>70690723</v>
      </c>
      <c r="AG37" s="19">
        <v>70693977</v>
      </c>
      <c r="AH37" s="19">
        <v>70688738</v>
      </c>
    </row>
    <row r="38" spans="1:34" x14ac:dyDescent="0.35">
      <c r="A38" t="s">
        <v>33</v>
      </c>
      <c r="D38" s="27">
        <v>67.320216000000002</v>
      </c>
      <c r="E38" s="27">
        <v>67.439599000000001</v>
      </c>
      <c r="F38" s="28">
        <v>67.588901250000006</v>
      </c>
      <c r="G38" s="28">
        <v>67.738203499999997</v>
      </c>
      <c r="H38" s="28">
        <v>67.887505750000003</v>
      </c>
      <c r="I38" s="29">
        <v>68.036807999999994</v>
      </c>
      <c r="J38" s="29">
        <v>68.189108000000004</v>
      </c>
      <c r="K38" s="29">
        <v>68.335925000000003</v>
      </c>
      <c r="L38" s="29">
        <v>68.477953999999997</v>
      </c>
      <c r="M38" s="29">
        <v>68.615684000000002</v>
      </c>
      <c r="N38" s="29">
        <v>68.749399999999994</v>
      </c>
      <c r="O38" s="29">
        <v>68.879193999999998</v>
      </c>
      <c r="P38" s="29">
        <v>69.004981000000001</v>
      </c>
      <c r="Q38" s="29">
        <v>69.126434000000003</v>
      </c>
      <c r="R38" s="29">
        <v>69.243088999999998</v>
      </c>
      <c r="S38" s="29">
        <v>69.354320999999999</v>
      </c>
      <c r="T38" s="29">
        <v>69.459440000000001</v>
      </c>
      <c r="U38" s="29">
        <v>69.557590000000005</v>
      </c>
      <c r="V38" s="29">
        <v>69.647993</v>
      </c>
      <c r="W38" s="29">
        <v>69.729805999999996</v>
      </c>
      <c r="X38" s="29">
        <v>69.802408999999997</v>
      </c>
      <c r="Y38" s="29">
        <v>69.865297999999996</v>
      </c>
      <c r="Z38" s="29">
        <v>69.918087</v>
      </c>
      <c r="AA38" s="29">
        <v>69.960555999999997</v>
      </c>
      <c r="AB38" s="29">
        <v>69.992966999999993</v>
      </c>
      <c r="AC38" s="29">
        <v>70.015780000000007</v>
      </c>
      <c r="AD38" s="29">
        <v>70.029606999999999</v>
      </c>
      <c r="AE38" s="29">
        <v>70.035050999999996</v>
      </c>
      <c r="AF38" s="29">
        <v>70.033175</v>
      </c>
      <c r="AG38" s="29">
        <v>70.024900000000002</v>
      </c>
      <c r="AH38" s="29">
        <v>70.010902999999999</v>
      </c>
    </row>
    <row r="39" spans="1:34" x14ac:dyDescent="0.35">
      <c r="D39" s="27"/>
      <c r="E39" s="27"/>
      <c r="F39" s="28"/>
      <c r="G39" s="28"/>
      <c r="H39" s="28"/>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row>
    <row r="40" spans="1:34" x14ac:dyDescent="0.35">
      <c r="A40" s="14" t="s">
        <v>34</v>
      </c>
      <c r="B40" s="30">
        <f>B20</f>
        <v>66.992000000000004</v>
      </c>
      <c r="C40" s="15">
        <f>C20</f>
        <v>67.257981999999998</v>
      </c>
      <c r="D40" s="15">
        <f>D20</f>
        <v>67.441850000000002</v>
      </c>
      <c r="E40" s="15">
        <f t="shared" ref="E40:AH40" si="5">E23</f>
        <v>67.400000000000006</v>
      </c>
      <c r="F40" s="15">
        <f t="shared" si="5"/>
        <v>67.5</v>
      </c>
      <c r="G40" s="15">
        <f t="shared" si="5"/>
        <v>67.7</v>
      </c>
      <c r="H40" s="15">
        <f t="shared" si="5"/>
        <v>67.8</v>
      </c>
      <c r="I40" s="15">
        <f t="shared" si="5"/>
        <v>68</v>
      </c>
      <c r="J40" s="15">
        <f t="shared" si="5"/>
        <v>68.099999999999994</v>
      </c>
      <c r="K40" s="15">
        <f t="shared" si="5"/>
        <v>68.2</v>
      </c>
      <c r="L40" s="15">
        <f t="shared" si="5"/>
        <v>68.3</v>
      </c>
      <c r="M40" s="15">
        <f t="shared" si="5"/>
        <v>68.400000000000006</v>
      </c>
      <c r="N40" s="15">
        <f t="shared" si="5"/>
        <v>68.599999999999994</v>
      </c>
      <c r="O40" s="15">
        <f t="shared" si="5"/>
        <v>68.7</v>
      </c>
      <c r="P40" s="15">
        <f t="shared" si="5"/>
        <v>68.7</v>
      </c>
      <c r="Q40" s="15">
        <f t="shared" si="5"/>
        <v>68.8</v>
      </c>
      <c r="R40" s="15">
        <f t="shared" si="5"/>
        <v>68.900000000000006</v>
      </c>
      <c r="S40" s="15">
        <f t="shared" si="5"/>
        <v>69</v>
      </c>
      <c r="T40" s="15">
        <f t="shared" si="5"/>
        <v>69</v>
      </c>
      <c r="U40" s="15">
        <f t="shared" si="5"/>
        <v>69.099999999999994</v>
      </c>
      <c r="V40" s="15">
        <f t="shared" si="5"/>
        <v>69.2</v>
      </c>
      <c r="W40" s="15">
        <f t="shared" si="5"/>
        <v>69.2</v>
      </c>
      <c r="X40" s="15">
        <f t="shared" si="5"/>
        <v>69.2</v>
      </c>
      <c r="Y40" s="15">
        <f t="shared" si="5"/>
        <v>69.3</v>
      </c>
      <c r="Z40" s="15">
        <f t="shared" si="5"/>
        <v>69.3</v>
      </c>
      <c r="AA40" s="15">
        <f t="shared" si="5"/>
        <v>69.3</v>
      </c>
      <c r="AB40" s="15">
        <f t="shared" si="5"/>
        <v>69.3</v>
      </c>
      <c r="AC40" s="15">
        <f t="shared" si="5"/>
        <v>69.3</v>
      </c>
      <c r="AD40" s="15">
        <f t="shared" si="5"/>
        <v>69.3</v>
      </c>
      <c r="AE40" s="15">
        <f t="shared" si="5"/>
        <v>69.3</v>
      </c>
      <c r="AF40" s="15">
        <f t="shared" si="5"/>
        <v>69.3</v>
      </c>
      <c r="AG40" s="15">
        <f t="shared" si="5"/>
        <v>69.2</v>
      </c>
      <c r="AH40" s="15">
        <f t="shared" si="5"/>
        <v>69.2</v>
      </c>
    </row>
    <row r="41" spans="1:34" x14ac:dyDescent="0.35">
      <c r="A41" s="31" t="s">
        <v>35</v>
      </c>
      <c r="B41" s="30">
        <f t="shared" ref="B41:AH41" si="6">B40-B42</f>
        <v>64.880941050502656</v>
      </c>
      <c r="C41" s="32">
        <f t="shared" si="6"/>
        <v>65.140161833595116</v>
      </c>
      <c r="D41" s="32">
        <f t="shared" si="6"/>
        <v>65.320191375337856</v>
      </c>
      <c r="E41" s="32">
        <f t="shared" si="6"/>
        <v>65.281096124396285</v>
      </c>
      <c r="F41" s="32">
        <f t="shared" si="6"/>
        <v>65.3791971928176</v>
      </c>
      <c r="G41" s="32">
        <f t="shared" si="6"/>
        <v>65.574959006793165</v>
      </c>
      <c r="H41" s="32">
        <f t="shared" si="6"/>
        <v>65.671815460982558</v>
      </c>
      <c r="I41" s="32">
        <f t="shared" si="6"/>
        <v>65.867326732673263</v>
      </c>
      <c r="J41" s="32">
        <f t="shared" si="6"/>
        <v>65.964859644791673</v>
      </c>
      <c r="K41" s="32">
        <f t="shared" si="6"/>
        <v>66.062483887319871</v>
      </c>
      <c r="L41" s="32">
        <f t="shared" si="6"/>
        <v>66.159859002325874</v>
      </c>
      <c r="M41" s="32">
        <f t="shared" si="6"/>
        <v>66.257356522240315</v>
      </c>
      <c r="N41" s="32">
        <f t="shared" si="6"/>
        <v>66.451350457818847</v>
      </c>
      <c r="O41" s="32">
        <f t="shared" si="6"/>
        <v>66.548784893973931</v>
      </c>
      <c r="P41" s="32">
        <f t="shared" si="6"/>
        <v>66.54808913553407</v>
      </c>
      <c r="Q41" s="32">
        <f t="shared" si="6"/>
        <v>66.644814545246959</v>
      </c>
      <c r="R41" s="32">
        <f t="shared" si="6"/>
        <v>66.741112408177216</v>
      </c>
      <c r="S41" s="32">
        <f t="shared" si="6"/>
        <v>66.835909090909098</v>
      </c>
      <c r="T41" s="32">
        <f t="shared" si="6"/>
        <v>66.834887610193036</v>
      </c>
      <c r="U41" s="32">
        <f t="shared" si="6"/>
        <v>66.931401861228181</v>
      </c>
      <c r="V41" s="32">
        <f t="shared" si="6"/>
        <v>67.026878563766729</v>
      </c>
      <c r="W41" s="32">
        <f t="shared" si="6"/>
        <v>67.024371416900266</v>
      </c>
      <c r="X41" s="32">
        <f t="shared" si="6"/>
        <v>67.022387828850242</v>
      </c>
      <c r="Y41" s="32">
        <f t="shared" si="6"/>
        <v>67.11808113419427</v>
      </c>
      <c r="Z41" s="32">
        <f t="shared" si="6"/>
        <v>67.115923486547075</v>
      </c>
      <c r="AA41" s="32">
        <f t="shared" si="6"/>
        <v>67.112283279459291</v>
      </c>
      <c r="AB41" s="32">
        <f t="shared" si="6"/>
        <v>67.111375069871428</v>
      </c>
      <c r="AC41" s="32">
        <f t="shared" si="6"/>
        <v>67.109410500460541</v>
      </c>
      <c r="AD41" s="32">
        <f t="shared" si="6"/>
        <v>67.106839727860802</v>
      </c>
      <c r="AE41" s="32">
        <f t="shared" si="6"/>
        <v>67.104243673486437</v>
      </c>
      <c r="AF41" s="32">
        <f t="shared" si="6"/>
        <v>67.101408176328164</v>
      </c>
      <c r="AG41" s="32">
        <f t="shared" si="6"/>
        <v>67.00241097871276</v>
      </c>
      <c r="AH41" s="32">
        <f t="shared" si="6"/>
        <v>66.999160784749634</v>
      </c>
    </row>
    <row r="42" spans="1:34" x14ac:dyDescent="0.35">
      <c r="A42" s="31" t="s">
        <v>36</v>
      </c>
      <c r="B42" s="33">
        <f t="shared" ref="B42:AH42" si="7">B35*B40</f>
        <v>2.1110589494973531</v>
      </c>
      <c r="C42" s="34">
        <f t="shared" si="7"/>
        <v>2.1178201664048841</v>
      </c>
      <c r="D42" s="34">
        <f t="shared" si="7"/>
        <v>2.1216586246621469</v>
      </c>
      <c r="E42" s="34">
        <f t="shared" si="7"/>
        <v>2.1189038756037224</v>
      </c>
      <c r="F42" s="34">
        <f t="shared" si="7"/>
        <v>2.1208028071823937</v>
      </c>
      <c r="G42" s="34">
        <f t="shared" si="7"/>
        <v>2.1250409932068401</v>
      </c>
      <c r="H42" s="34">
        <f t="shared" si="7"/>
        <v>2.1281845390174463</v>
      </c>
      <c r="I42" s="34">
        <f t="shared" si="7"/>
        <v>2.1326732673267328</v>
      </c>
      <c r="J42" s="34">
        <f t="shared" si="7"/>
        <v>2.1351403552083177</v>
      </c>
      <c r="K42" s="34">
        <f t="shared" si="7"/>
        <v>2.1375161126801365</v>
      </c>
      <c r="L42" s="34">
        <f t="shared" si="7"/>
        <v>2.1401409976741164</v>
      </c>
      <c r="M42" s="34">
        <f t="shared" si="7"/>
        <v>2.1426434777596866</v>
      </c>
      <c r="N42" s="34">
        <f t="shared" si="7"/>
        <v>2.1486495421811433</v>
      </c>
      <c r="O42" s="34">
        <f t="shared" si="7"/>
        <v>2.1512151060260658</v>
      </c>
      <c r="P42" s="34">
        <f t="shared" si="7"/>
        <v>2.1519108644659304</v>
      </c>
      <c r="Q42" s="34">
        <f t="shared" si="7"/>
        <v>2.155185454753036</v>
      </c>
      <c r="R42" s="34">
        <f t="shared" si="7"/>
        <v>2.1588875918227894</v>
      </c>
      <c r="S42" s="34">
        <f t="shared" si="7"/>
        <v>2.1640909090909091</v>
      </c>
      <c r="T42" s="34">
        <f t="shared" si="7"/>
        <v>2.1651123898069673</v>
      </c>
      <c r="U42" s="34">
        <f t="shared" si="7"/>
        <v>2.1685981387718152</v>
      </c>
      <c r="V42" s="34">
        <f t="shared" si="7"/>
        <v>2.1731214362332754</v>
      </c>
      <c r="W42" s="34">
        <f t="shared" si="7"/>
        <v>2.1756285830997424</v>
      </c>
      <c r="X42" s="34">
        <f t="shared" si="7"/>
        <v>2.1776121711497631</v>
      </c>
      <c r="Y42" s="34">
        <f t="shared" si="7"/>
        <v>2.1819188658057271</v>
      </c>
      <c r="Z42" s="34">
        <f t="shared" si="7"/>
        <v>2.184076513452915</v>
      </c>
      <c r="AA42" s="34">
        <f t="shared" si="7"/>
        <v>2.1877167205406991</v>
      </c>
      <c r="AB42" s="34">
        <f t="shared" si="7"/>
        <v>2.1886249301285634</v>
      </c>
      <c r="AC42" s="34">
        <f t="shared" si="7"/>
        <v>2.1905894995394535</v>
      </c>
      <c r="AD42" s="34">
        <f t="shared" si="7"/>
        <v>2.1931602721391923</v>
      </c>
      <c r="AE42" s="34">
        <f t="shared" si="7"/>
        <v>2.1957563265135578</v>
      </c>
      <c r="AF42" s="34">
        <f t="shared" si="7"/>
        <v>2.1985918236718334</v>
      </c>
      <c r="AG42" s="34">
        <f t="shared" si="7"/>
        <v>2.197589021287246</v>
      </c>
      <c r="AH42" s="34">
        <f t="shared" si="7"/>
        <v>2.2008392152503751</v>
      </c>
    </row>
    <row r="43" spans="1:34" x14ac:dyDescent="0.35">
      <c r="A43" s="22" t="s">
        <v>24</v>
      </c>
      <c r="B43" s="18">
        <f t="shared" ref="B43:AH43" si="8">B28/B$33*B$42</f>
        <v>0.39252346677770505</v>
      </c>
      <c r="C43" s="18">
        <f t="shared" si="8"/>
        <v>0.39067553187327742</v>
      </c>
      <c r="D43" s="18">
        <f t="shared" si="8"/>
        <v>0.38847270592405508</v>
      </c>
      <c r="E43" s="18">
        <f t="shared" si="8"/>
        <v>0.38507480268582872</v>
      </c>
      <c r="F43" s="18">
        <f t="shared" si="8"/>
        <v>0.38154629942300072</v>
      </c>
      <c r="G43" s="18">
        <f t="shared" si="8"/>
        <v>0.37961319981260255</v>
      </c>
      <c r="H43" s="18">
        <f t="shared" si="8"/>
        <v>0.37713409737937076</v>
      </c>
      <c r="I43" s="18">
        <f t="shared" si="8"/>
        <v>0.37524752475247525</v>
      </c>
      <c r="J43" s="18">
        <f t="shared" si="8"/>
        <v>0.37283367944119306</v>
      </c>
      <c r="K43" s="18">
        <f t="shared" si="8"/>
        <v>0.36942284017669641</v>
      </c>
      <c r="L43" s="18">
        <f t="shared" si="8"/>
        <v>0.36705046156513199</v>
      </c>
      <c r="M43" s="18">
        <f t="shared" si="8"/>
        <v>0.36466333338136342</v>
      </c>
      <c r="N43" s="18">
        <f t="shared" si="8"/>
        <v>0.36287426871163869</v>
      </c>
      <c r="O43" s="18">
        <f t="shared" si="8"/>
        <v>0.36050582820766486</v>
      </c>
      <c r="P43" s="18">
        <f t="shared" si="8"/>
        <v>0.35668659534298303</v>
      </c>
      <c r="Q43" s="18">
        <f t="shared" si="8"/>
        <v>0.35445191305961099</v>
      </c>
      <c r="R43" s="18">
        <f t="shared" si="8"/>
        <v>0.35213114287341274</v>
      </c>
      <c r="S43" s="18">
        <f t="shared" si="8"/>
        <v>0.34990056818181819</v>
      </c>
      <c r="T43" s="18">
        <f t="shared" si="8"/>
        <v>0.34716120071430595</v>
      </c>
      <c r="U43" s="18">
        <f t="shared" si="8"/>
        <v>0.34400475207195985</v>
      </c>
      <c r="V43" s="18">
        <f t="shared" si="8"/>
        <v>0.34183932704793096</v>
      </c>
      <c r="W43" s="18">
        <f t="shared" si="8"/>
        <v>0.33921090811770177</v>
      </c>
      <c r="X43" s="18">
        <f t="shared" si="8"/>
        <v>0.33666390134844421</v>
      </c>
      <c r="Y43" s="18">
        <f t="shared" si="8"/>
        <v>0.33365946097697924</v>
      </c>
      <c r="Z43" s="18">
        <f t="shared" si="8"/>
        <v>0.33115610986547089</v>
      </c>
      <c r="AA43" s="18">
        <f t="shared" si="8"/>
        <v>0.32873934763444018</v>
      </c>
      <c r="AB43" s="18">
        <f t="shared" si="8"/>
        <v>0.32538848518725544</v>
      </c>
      <c r="AC43" s="18">
        <f t="shared" si="8"/>
        <v>0.32302732575990173</v>
      </c>
      <c r="AD43" s="18">
        <f t="shared" si="8"/>
        <v>0.32076176667410217</v>
      </c>
      <c r="AE43" s="18">
        <f t="shared" si="8"/>
        <v>0.31754014568042221</v>
      </c>
      <c r="AF43" s="18">
        <f t="shared" si="8"/>
        <v>0.31532435365819717</v>
      </c>
      <c r="AG43" s="18">
        <f t="shared" si="8"/>
        <v>0.31174205030519603</v>
      </c>
      <c r="AH43" s="18">
        <f t="shared" si="8"/>
        <v>0.30959817706886011</v>
      </c>
    </row>
    <row r="44" spans="1:34" x14ac:dyDescent="0.35">
      <c r="A44" s="22" t="s">
        <v>25</v>
      </c>
      <c r="B44" s="18">
        <f t="shared" ref="B44:AH44" si="9">B29/B$33*B$42</f>
        <v>0.37060591279519367</v>
      </c>
      <c r="C44" s="18">
        <f t="shared" si="9"/>
        <v>0.36775324301336576</v>
      </c>
      <c r="D44" s="18">
        <f t="shared" si="9"/>
        <v>0.36456669325180552</v>
      </c>
      <c r="E44" s="18">
        <f t="shared" si="9"/>
        <v>0.36026328189421608</v>
      </c>
      <c r="F44" s="18">
        <f t="shared" si="9"/>
        <v>0.35677056569423443</v>
      </c>
      <c r="G44" s="18">
        <f t="shared" si="9"/>
        <v>0.35384311314125089</v>
      </c>
      <c r="H44" s="18">
        <f t="shared" si="9"/>
        <v>0.3504080589824074</v>
      </c>
      <c r="I44" s="18">
        <f t="shared" si="9"/>
        <v>0.34752475247524756</v>
      </c>
      <c r="J44" s="18">
        <f t="shared" si="9"/>
        <v>0.34415416563802431</v>
      </c>
      <c r="K44" s="18">
        <f t="shared" si="9"/>
        <v>0.3407777536389312</v>
      </c>
      <c r="L44" s="18">
        <f t="shared" si="9"/>
        <v>0.33646292310137099</v>
      </c>
      <c r="M44" s="18">
        <f t="shared" si="9"/>
        <v>0.33312488292675901</v>
      </c>
      <c r="N44" s="18">
        <f t="shared" si="9"/>
        <v>0.33033391309347543</v>
      </c>
      <c r="O44" s="18">
        <f t="shared" si="9"/>
        <v>0.32701621575121509</v>
      </c>
      <c r="P44" s="18">
        <f t="shared" si="9"/>
        <v>0.32327793352022427</v>
      </c>
      <c r="Q44" s="18">
        <f t="shared" si="9"/>
        <v>0.3200867691341639</v>
      </c>
      <c r="R44" s="18">
        <f t="shared" si="9"/>
        <v>0.31681994191674739</v>
      </c>
      <c r="S44" s="18">
        <f t="shared" si="9"/>
        <v>0.31363636363636366</v>
      </c>
      <c r="T44" s="18">
        <f t="shared" si="9"/>
        <v>0.31000028345474645</v>
      </c>
      <c r="U44" s="18">
        <f t="shared" si="9"/>
        <v>0.30686787542782784</v>
      </c>
      <c r="V44" s="18">
        <f t="shared" si="9"/>
        <v>0.30374865917687577</v>
      </c>
      <c r="W44" s="18">
        <f t="shared" si="9"/>
        <v>0.30119589255278689</v>
      </c>
      <c r="X44" s="18">
        <f t="shared" si="9"/>
        <v>0.29774321911162982</v>
      </c>
      <c r="Y44" s="18">
        <f t="shared" si="9"/>
        <v>0.29474873666479506</v>
      </c>
      <c r="Z44" s="18">
        <f t="shared" si="9"/>
        <v>0.29133968609865474</v>
      </c>
      <c r="AA44" s="18">
        <f t="shared" si="9"/>
        <v>0.28801057890096965</v>
      </c>
      <c r="AB44" s="18">
        <f t="shared" si="9"/>
        <v>0.2847149245388485</v>
      </c>
      <c r="AC44" s="18">
        <f t="shared" si="9"/>
        <v>0.28047282775560328</v>
      </c>
      <c r="AD44" s="18">
        <f t="shared" si="9"/>
        <v>0.2772850211911666</v>
      </c>
      <c r="AE44" s="18">
        <f t="shared" si="9"/>
        <v>0.27410760295817599</v>
      </c>
      <c r="AF44" s="18">
        <f t="shared" si="9"/>
        <v>0.27096679932095841</v>
      </c>
      <c r="AG44" s="18">
        <f t="shared" si="9"/>
        <v>0.26748237649643364</v>
      </c>
      <c r="AH44" s="18">
        <f t="shared" si="9"/>
        <v>0.26440838103706998</v>
      </c>
    </row>
    <row r="45" spans="1:34" x14ac:dyDescent="0.35">
      <c r="A45" s="22" t="s">
        <v>26</v>
      </c>
      <c r="B45" s="18">
        <f t="shared" ref="B45:AH45" si="10">B30/B$33*B$42</f>
        <v>0.26500315269763847</v>
      </c>
      <c r="C45" s="18">
        <f t="shared" si="10"/>
        <v>0.26908773879026759</v>
      </c>
      <c r="D45" s="18">
        <f t="shared" si="10"/>
        <v>0.27292697800818233</v>
      </c>
      <c r="E45" s="18">
        <f t="shared" si="10"/>
        <v>0.27590411120273295</v>
      </c>
      <c r="F45" s="18">
        <f t="shared" si="10"/>
        <v>0.27947027646048367</v>
      </c>
      <c r="G45" s="18">
        <f t="shared" si="10"/>
        <v>0.28247979620520031</v>
      </c>
      <c r="H45" s="18">
        <f t="shared" si="10"/>
        <v>0.28606759617490324</v>
      </c>
      <c r="I45" s="18">
        <f t="shared" si="10"/>
        <v>0.28910891089108914</v>
      </c>
      <c r="J45" s="18">
        <f t="shared" si="10"/>
        <v>0.29272883054268739</v>
      </c>
      <c r="K45" s="18">
        <f t="shared" si="10"/>
        <v>0.29534071982040705</v>
      </c>
      <c r="L45" s="18">
        <f t="shared" si="10"/>
        <v>0.29896852111353495</v>
      </c>
      <c r="M45" s="18">
        <f t="shared" si="10"/>
        <v>0.30158643247215461</v>
      </c>
      <c r="N45" s="18">
        <f t="shared" si="10"/>
        <v>0.3046960571518923</v>
      </c>
      <c r="O45" s="18">
        <f t="shared" si="10"/>
        <v>0.30731644371800937</v>
      </c>
      <c r="P45" s="18">
        <f t="shared" si="10"/>
        <v>0.31050403341152238</v>
      </c>
      <c r="Q45" s="18">
        <f t="shared" si="10"/>
        <v>0.31321374034907451</v>
      </c>
      <c r="R45" s="18">
        <f t="shared" si="10"/>
        <v>0.31583907522350668</v>
      </c>
      <c r="S45" s="18">
        <f t="shared" si="10"/>
        <v>0.31853693181818177</v>
      </c>
      <c r="T45" s="18">
        <f t="shared" si="10"/>
        <v>0.32075739108251367</v>
      </c>
      <c r="U45" s="18">
        <f t="shared" si="10"/>
        <v>0.32348174129493956</v>
      </c>
      <c r="V45" s="18">
        <f t="shared" si="10"/>
        <v>0.32621238638288269</v>
      </c>
      <c r="W45" s="18">
        <f t="shared" si="10"/>
        <v>0.32848872424041808</v>
      </c>
      <c r="X45" s="18">
        <f t="shared" si="10"/>
        <v>0.33082579901292203</v>
      </c>
      <c r="Y45" s="18">
        <f t="shared" si="10"/>
        <v>0.33268669286917463</v>
      </c>
      <c r="Z45" s="18">
        <f t="shared" si="10"/>
        <v>0.33504063901345293</v>
      </c>
      <c r="AA45" s="18">
        <f t="shared" si="10"/>
        <v>0.33746694093446955</v>
      </c>
      <c r="AB45" s="18">
        <f t="shared" si="10"/>
        <v>0.33894633873672442</v>
      </c>
      <c r="AC45" s="18">
        <f t="shared" si="10"/>
        <v>0.34140313171630338</v>
      </c>
      <c r="AD45" s="18">
        <f t="shared" si="10"/>
        <v>0.34298321436538026</v>
      </c>
      <c r="AE45" s="18">
        <f t="shared" si="10"/>
        <v>0.34553000654586974</v>
      </c>
      <c r="AF45" s="18">
        <f t="shared" si="10"/>
        <v>0.34714607742186843</v>
      </c>
      <c r="AG45" s="18">
        <f t="shared" si="10"/>
        <v>0.3483043895385215</v>
      </c>
      <c r="AH45" s="18">
        <f t="shared" si="10"/>
        <v>0.34998054799088535</v>
      </c>
    </row>
    <row r="46" spans="1:34" x14ac:dyDescent="0.35">
      <c r="A46" s="22" t="s">
        <v>27</v>
      </c>
      <c r="B46" s="18">
        <f t="shared" ref="B46:AH46" si="11">B31/B$33*B$42</f>
        <v>0.84581833323419198</v>
      </c>
      <c r="C46" s="18">
        <f t="shared" si="11"/>
        <v>0.84912130907151118</v>
      </c>
      <c r="D46" s="18">
        <f t="shared" si="11"/>
        <v>0.84965953372620251</v>
      </c>
      <c r="E46" s="18">
        <f t="shared" si="11"/>
        <v>0.84855401107315342</v>
      </c>
      <c r="F46" s="18">
        <f t="shared" si="11"/>
        <v>0.8493121522221081</v>
      </c>
      <c r="G46" s="18">
        <f t="shared" si="11"/>
        <v>0.85041286015460305</v>
      </c>
      <c r="H46" s="18">
        <f t="shared" si="11"/>
        <v>0.85127381560697857</v>
      </c>
      <c r="I46" s="18">
        <f t="shared" si="11"/>
        <v>0.85247524752475257</v>
      </c>
      <c r="J46" s="18">
        <f t="shared" si="11"/>
        <v>0.85247382408039363</v>
      </c>
      <c r="K46" s="18">
        <f t="shared" si="11"/>
        <v>0.85342602650445376</v>
      </c>
      <c r="L46" s="18">
        <f t="shared" si="11"/>
        <v>0.85349099261784733</v>
      </c>
      <c r="M46" s="18">
        <f t="shared" si="11"/>
        <v>0.85350931542773167</v>
      </c>
      <c r="N46" s="18">
        <f t="shared" si="11"/>
        <v>0.85492388851356182</v>
      </c>
      <c r="O46" s="18">
        <f t="shared" si="11"/>
        <v>0.85497010624112868</v>
      </c>
      <c r="P46" s="18">
        <f t="shared" si="11"/>
        <v>0.85388609188168652</v>
      </c>
      <c r="Q46" s="18">
        <f t="shared" si="11"/>
        <v>0.85421929186111223</v>
      </c>
      <c r="R46" s="18">
        <f t="shared" si="11"/>
        <v>0.85433488981265315</v>
      </c>
      <c r="S46" s="18">
        <f t="shared" si="11"/>
        <v>0.85465909090909087</v>
      </c>
      <c r="T46" s="18">
        <f t="shared" si="11"/>
        <v>0.85372317809461717</v>
      </c>
      <c r="U46" s="18">
        <f t="shared" si="11"/>
        <v>0.8541481628150368</v>
      </c>
      <c r="V46" s="18">
        <f t="shared" si="11"/>
        <v>0.85362163382826195</v>
      </c>
      <c r="W46" s="18">
        <f t="shared" si="11"/>
        <v>0.85290099023847432</v>
      </c>
      <c r="X46" s="18">
        <f t="shared" si="11"/>
        <v>0.8513899239303141</v>
      </c>
      <c r="Y46" s="18">
        <f t="shared" si="11"/>
        <v>0.85214486243683318</v>
      </c>
      <c r="Z46" s="18">
        <f t="shared" si="11"/>
        <v>0.8507118834080718</v>
      </c>
      <c r="AA46" s="18">
        <f t="shared" si="11"/>
        <v>0.85045548045841901</v>
      </c>
      <c r="AB46" s="18">
        <f t="shared" si="11"/>
        <v>0.84930268306316381</v>
      </c>
      <c r="AC46" s="18">
        <f t="shared" si="11"/>
        <v>0.84818851704022102</v>
      </c>
      <c r="AD46" s="18">
        <f t="shared" si="11"/>
        <v>0.8473134619674324</v>
      </c>
      <c r="AE46" s="18">
        <f t="shared" si="11"/>
        <v>0.84645199927577586</v>
      </c>
      <c r="AF46" s="18">
        <f t="shared" si="11"/>
        <v>0.84472212172654648</v>
      </c>
      <c r="AG46" s="18">
        <f t="shared" si="11"/>
        <v>0.84285813601034476</v>
      </c>
      <c r="AH46" s="18">
        <f t="shared" si="11"/>
        <v>0.84129939420885902</v>
      </c>
    </row>
    <row r="47" spans="1:34" x14ac:dyDescent="0.35">
      <c r="A47" s="22" t="s">
        <v>28</v>
      </c>
      <c r="B47" s="18">
        <f t="shared" ref="B47:AH47" si="12">B32/B$33*B$42</f>
        <v>0.2371080839926239</v>
      </c>
      <c r="C47" s="18">
        <f t="shared" si="12"/>
        <v>0.2411823436564621</v>
      </c>
      <c r="D47" s="18">
        <f t="shared" si="12"/>
        <v>0.24603271375190156</v>
      </c>
      <c r="E47" s="18">
        <f t="shared" si="12"/>
        <v>0.24910766874779125</v>
      </c>
      <c r="F47" s="18">
        <f t="shared" si="12"/>
        <v>0.25370351338256675</v>
      </c>
      <c r="G47" s="18">
        <f t="shared" si="12"/>
        <v>0.25869202389318341</v>
      </c>
      <c r="H47" s="18">
        <f t="shared" si="12"/>
        <v>0.2633009708737864</v>
      </c>
      <c r="I47" s="18">
        <f t="shared" si="12"/>
        <v>0.26831683168316833</v>
      </c>
      <c r="J47" s="18">
        <f t="shared" si="12"/>
        <v>0.2729498555060193</v>
      </c>
      <c r="K47" s="18">
        <f t="shared" si="12"/>
        <v>0.2785487725396481</v>
      </c>
      <c r="L47" s="18">
        <f t="shared" si="12"/>
        <v>0.28416809927623121</v>
      </c>
      <c r="M47" s="18">
        <f t="shared" si="12"/>
        <v>0.28975951355167795</v>
      </c>
      <c r="N47" s="18">
        <f t="shared" si="12"/>
        <v>0.29582141471057505</v>
      </c>
      <c r="O47" s="18">
        <f t="shared" si="12"/>
        <v>0.3014065121080477</v>
      </c>
      <c r="P47" s="18">
        <f t="shared" si="12"/>
        <v>0.30755621030951424</v>
      </c>
      <c r="Q47" s="18">
        <f t="shared" si="12"/>
        <v>0.31321374034907451</v>
      </c>
      <c r="R47" s="18">
        <f t="shared" si="12"/>
        <v>0.31976254199646947</v>
      </c>
      <c r="S47" s="18">
        <f t="shared" si="12"/>
        <v>0.32735795454545458</v>
      </c>
      <c r="T47" s="18">
        <f t="shared" si="12"/>
        <v>0.333470336460784</v>
      </c>
      <c r="U47" s="18">
        <f t="shared" si="12"/>
        <v>0.34009560716205123</v>
      </c>
      <c r="V47" s="18">
        <f t="shared" si="12"/>
        <v>0.34769942979732404</v>
      </c>
      <c r="W47" s="18">
        <f t="shared" si="12"/>
        <v>0.35383206795036132</v>
      </c>
      <c r="X47" s="18">
        <f t="shared" si="12"/>
        <v>0.36098932774645315</v>
      </c>
      <c r="Y47" s="18">
        <f t="shared" si="12"/>
        <v>0.36867911285794497</v>
      </c>
      <c r="Z47" s="18">
        <f t="shared" si="12"/>
        <v>0.37582819506726461</v>
      </c>
      <c r="AA47" s="18">
        <f t="shared" si="12"/>
        <v>0.38304437261240082</v>
      </c>
      <c r="AB47" s="18">
        <f t="shared" si="12"/>
        <v>0.39027249860257124</v>
      </c>
      <c r="AC47" s="18">
        <f t="shared" si="12"/>
        <v>0.39749769726742401</v>
      </c>
      <c r="AD47" s="18">
        <f t="shared" si="12"/>
        <v>0.4048168079411108</v>
      </c>
      <c r="AE47" s="18">
        <f t="shared" si="12"/>
        <v>0.41212657205331393</v>
      </c>
      <c r="AF47" s="18">
        <f t="shared" si="12"/>
        <v>0.42043247154426289</v>
      </c>
      <c r="AG47" s="18">
        <f t="shared" si="12"/>
        <v>0.42720206893675006</v>
      </c>
      <c r="AH47" s="18">
        <f t="shared" si="12"/>
        <v>0.43555271494470071</v>
      </c>
    </row>
    <row r="50" spans="1:34"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row>
    <row r="51" spans="1:34" x14ac:dyDescent="0.35">
      <c r="B51" t="s">
        <v>17</v>
      </c>
    </row>
    <row r="52" spans="1:34" x14ac:dyDescent="0.35">
      <c r="A52" s="22" t="s">
        <v>24</v>
      </c>
      <c r="B52">
        <v>0.3876</v>
      </c>
    </row>
    <row r="53" spans="1:34" x14ac:dyDescent="0.35">
      <c r="A53" s="22" t="s">
        <v>25</v>
      </c>
      <c r="B53">
        <v>0.36880000000000002</v>
      </c>
    </row>
    <row r="54" spans="1:34" x14ac:dyDescent="0.35">
      <c r="A54" s="22" t="s">
        <v>26</v>
      </c>
      <c r="B54">
        <v>0.28349999999999997</v>
      </c>
    </row>
    <row r="55" spans="1:34" x14ac:dyDescent="0.35">
      <c r="A55" s="22" t="s">
        <v>27</v>
      </c>
      <c r="B55">
        <v>0.85599999999999998</v>
      </c>
    </row>
    <row r="56" spans="1:34" x14ac:dyDescent="0.35">
      <c r="A56" s="22" t="s">
        <v>28</v>
      </c>
      <c r="B56">
        <v>0.26040000000000002</v>
      </c>
    </row>
    <row r="58" spans="1:34" x14ac:dyDescent="0.35">
      <c r="A58" s="22" t="s">
        <v>37</v>
      </c>
      <c r="B58">
        <f>SUM(B52:B56)</f>
        <v>2.1562999999999999</v>
      </c>
    </row>
    <row r="59" spans="1:34" x14ac:dyDescent="0.35">
      <c r="A59" s="22" t="s">
        <v>38</v>
      </c>
      <c r="B59">
        <v>64.73</v>
      </c>
    </row>
  </sheetData>
  <mergeCells count="2">
    <mergeCell ref="B2:J2"/>
    <mergeCell ref="B8:J8"/>
  </mergeCells>
  <hyperlinks>
    <hyperlink ref="B12" r:id="rId1" xr:uid="{00000000-0004-0000-0000-000000000000}"/>
    <hyperlink ref="G11" r:id="rId2" location="tableau-figure1" xr:uid="{00000000-0004-0000-0000-000001000000}"/>
  </hyperlinks>
  <pageMargins left="0.7" right="0.7" top="0.75" bottom="0.75" header="0.51180555555555496" footer="0.51180555555555496"/>
  <pageSetup paperSize="9" firstPageNumber="0" orientation="portrait" horizontalDpi="300" verticalDpi="30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DD7EE"/>
  </sheetPr>
  <dimension ref="B3:V22"/>
  <sheetViews>
    <sheetView zoomScale="72" zoomScaleNormal="72" workbookViewId="0">
      <selection activeCell="N22" sqref="N22"/>
    </sheetView>
  </sheetViews>
  <sheetFormatPr baseColWidth="10" defaultColWidth="8.90625" defaultRowHeight="14.5" x14ac:dyDescent="0.35"/>
  <cols>
    <col min="1" max="1023" width="10.453125" customWidth="1"/>
    <col min="1024" max="1025" width="11.54296875" customWidth="1"/>
  </cols>
  <sheetData>
    <row r="3" spans="2:22" ht="36" customHeight="1" x14ac:dyDescent="0.35">
      <c r="B3" s="104" t="s">
        <v>39</v>
      </c>
      <c r="C3" s="104"/>
      <c r="D3" s="104"/>
      <c r="E3" s="104"/>
      <c r="F3" s="104"/>
      <c r="G3" s="104"/>
      <c r="H3" s="104"/>
      <c r="I3" s="104"/>
    </row>
    <row r="5" spans="2:22" x14ac:dyDescent="0.35">
      <c r="C5" t="s">
        <v>40</v>
      </c>
      <c r="D5" s="35">
        <v>2018</v>
      </c>
      <c r="E5" s="35">
        <v>2020</v>
      </c>
      <c r="F5" s="35">
        <f t="shared" ref="F5:K5" si="0">E5+5</f>
        <v>2025</v>
      </c>
      <c r="G5" s="35">
        <f t="shared" si="0"/>
        <v>2030</v>
      </c>
      <c r="H5" s="35">
        <f t="shared" si="0"/>
        <v>2035</v>
      </c>
      <c r="I5" s="35">
        <f t="shared" si="0"/>
        <v>2040</v>
      </c>
      <c r="J5" s="35">
        <f t="shared" si="0"/>
        <v>2045</v>
      </c>
      <c r="K5" s="35">
        <f t="shared" si="0"/>
        <v>2050</v>
      </c>
    </row>
    <row r="6" spans="2:22" ht="14.4" customHeight="1" x14ac:dyDescent="0.35">
      <c r="B6" s="107" t="s">
        <v>41</v>
      </c>
      <c r="C6" s="36" t="s">
        <v>42</v>
      </c>
      <c r="D6" s="36">
        <v>29.9</v>
      </c>
      <c r="E6" s="36">
        <v>30</v>
      </c>
      <c r="F6" s="36">
        <v>30.2</v>
      </c>
      <c r="G6" s="36">
        <v>30.5</v>
      </c>
      <c r="H6" s="36">
        <v>31</v>
      </c>
      <c r="I6" s="36">
        <v>31.1</v>
      </c>
      <c r="J6" s="36">
        <v>31.2</v>
      </c>
      <c r="K6" s="36">
        <v>31.3</v>
      </c>
      <c r="S6" s="14" t="s">
        <v>43</v>
      </c>
    </row>
    <row r="7" spans="2:22" x14ac:dyDescent="0.35">
      <c r="B7" s="107"/>
      <c r="C7" s="36" t="s">
        <v>44</v>
      </c>
      <c r="D7" s="37">
        <f>'1. Population'!B20</f>
        <v>66.992000000000004</v>
      </c>
      <c r="E7" s="37">
        <f>'1. Population'!D17</f>
        <v>67.819999999999993</v>
      </c>
      <c r="F7" s="37">
        <f>'1. Population'!I17</f>
        <v>69.093000000000004</v>
      </c>
      <c r="G7" s="37">
        <f>'1. Population'!N17</f>
        <v>70.281000000000006</v>
      </c>
      <c r="H7" s="37">
        <f>'1. Population'!S17</f>
        <v>71.417000000000002</v>
      </c>
      <c r="I7" s="37">
        <f>'1. Population'!X17</f>
        <v>72.448999999999998</v>
      </c>
      <c r="J7" s="37">
        <f>'1. Population'!AC17</f>
        <v>73.311999999999998</v>
      </c>
      <c r="K7" s="37">
        <f>'1. Population'!AH17</f>
        <v>74.025000000000006</v>
      </c>
      <c r="S7" s="38" t="s">
        <v>45</v>
      </c>
      <c r="T7" t="s">
        <v>46</v>
      </c>
      <c r="U7">
        <v>27.122</v>
      </c>
      <c r="V7" t="s">
        <v>47</v>
      </c>
    </row>
    <row r="8" spans="2:22" x14ac:dyDescent="0.35">
      <c r="B8" s="107"/>
      <c r="C8" s="36" t="s">
        <v>48</v>
      </c>
      <c r="D8" s="39">
        <f t="shared" ref="D8:K8" si="1">D6/D7</f>
        <v>0.44632194888941956</v>
      </c>
      <c r="E8" s="39">
        <f t="shared" si="1"/>
        <v>0.44234739015039815</v>
      </c>
      <c r="F8" s="39">
        <f t="shared" si="1"/>
        <v>0.43709203537261371</v>
      </c>
      <c r="G8" s="39">
        <f t="shared" si="1"/>
        <v>0.43397219732217807</v>
      </c>
      <c r="H8" s="39">
        <f t="shared" si="1"/>
        <v>0.43407031939174145</v>
      </c>
      <c r="I8" s="39">
        <f t="shared" si="1"/>
        <v>0.42926748471338461</v>
      </c>
      <c r="J8" s="39">
        <f t="shared" si="1"/>
        <v>0.42557835006547362</v>
      </c>
      <c r="K8" s="39">
        <f t="shared" si="1"/>
        <v>0.42283012495778449</v>
      </c>
      <c r="S8" t="s">
        <v>49</v>
      </c>
      <c r="T8" t="s">
        <v>50</v>
      </c>
      <c r="U8" s="40">
        <f>U7*(1-'1. Population'!B35)*1.091</f>
        <v>28.657655593807625</v>
      </c>
      <c r="V8" t="s">
        <v>51</v>
      </c>
    </row>
    <row r="9" spans="2:22" ht="14.4" customHeight="1" x14ac:dyDescent="0.35">
      <c r="B9" s="106" t="s">
        <v>52</v>
      </c>
      <c r="C9" s="41" t="s">
        <v>42</v>
      </c>
      <c r="D9" s="41">
        <v>29.9</v>
      </c>
      <c r="E9" s="41">
        <v>30</v>
      </c>
      <c r="F9" s="41">
        <v>30.2</v>
      </c>
      <c r="G9" s="41">
        <v>30.5</v>
      </c>
      <c r="H9" s="41">
        <v>31</v>
      </c>
      <c r="I9" s="41">
        <v>31</v>
      </c>
      <c r="J9" s="41">
        <v>31</v>
      </c>
      <c r="K9" s="41">
        <v>30.8</v>
      </c>
      <c r="M9" t="s">
        <v>53</v>
      </c>
      <c r="S9" t="s">
        <v>54</v>
      </c>
    </row>
    <row r="10" spans="2:22" x14ac:dyDescent="0.35">
      <c r="B10" s="106"/>
      <c r="C10" s="41" t="s">
        <v>44</v>
      </c>
      <c r="D10" s="42">
        <f>'1. Population'!B19</f>
        <v>67.240666000000004</v>
      </c>
      <c r="E10" s="42">
        <f>'1. Population'!D19</f>
        <v>67.707069000000004</v>
      </c>
      <c r="F10" s="42">
        <f>'1. Population'!I19</f>
        <v>68.681546999999995</v>
      </c>
      <c r="G10" s="42">
        <f>'1. Population'!N19</f>
        <v>69.570370999999994</v>
      </c>
      <c r="H10" s="42">
        <f>'1. Population'!S19</f>
        <v>70.401514000000006</v>
      </c>
      <c r="I10" s="42">
        <f>'1. Population'!X19</f>
        <v>71.117945000000006</v>
      </c>
      <c r="J10" s="42">
        <f>'1. Population'!AC19</f>
        <v>71.647525000000002</v>
      </c>
      <c r="K10" s="42">
        <f>'1. Population'!AH19</f>
        <v>71.965277999999998</v>
      </c>
      <c r="M10" t="s">
        <v>55</v>
      </c>
      <c r="N10" t="s">
        <v>56</v>
      </c>
      <c r="T10" t="s">
        <v>57</v>
      </c>
      <c r="U10">
        <v>20.64</v>
      </c>
      <c r="V10" t="s">
        <v>47</v>
      </c>
    </row>
    <row r="11" spans="2:22" x14ac:dyDescent="0.35">
      <c r="B11" s="106"/>
      <c r="C11" s="41" t="s">
        <v>48</v>
      </c>
      <c r="D11" s="43">
        <f t="shared" ref="D11:K11" si="2">D9/D10</f>
        <v>0.44467138383192095</v>
      </c>
      <c r="E11" s="43">
        <f t="shared" si="2"/>
        <v>0.44308519690905535</v>
      </c>
      <c r="F11" s="43">
        <f t="shared" si="2"/>
        <v>0.43971053826146345</v>
      </c>
      <c r="G11" s="43">
        <f t="shared" si="2"/>
        <v>0.43840502158598527</v>
      </c>
      <c r="H11" s="43">
        <f t="shared" si="2"/>
        <v>0.4403314394630774</v>
      </c>
      <c r="I11" s="43">
        <f t="shared" si="2"/>
        <v>0.43589560975081604</v>
      </c>
      <c r="J11" s="43">
        <f t="shared" si="2"/>
        <v>0.4326737036624782</v>
      </c>
      <c r="K11" s="43">
        <f t="shared" si="2"/>
        <v>0.42798417314527709</v>
      </c>
      <c r="T11" t="s">
        <v>57</v>
      </c>
      <c r="U11" s="16">
        <f>U10*(1-'1. Population'!B35)</f>
        <v>19.989590149307002</v>
      </c>
      <c r="V11" t="s">
        <v>51</v>
      </c>
    </row>
    <row r="12" spans="2:22" x14ac:dyDescent="0.35">
      <c r="B12" s="106" t="s">
        <v>202</v>
      </c>
      <c r="C12" s="41" t="s">
        <v>42</v>
      </c>
      <c r="D12" s="102">
        <v>29.92</v>
      </c>
      <c r="E12" s="102">
        <v>29.599</v>
      </c>
      <c r="F12" s="102">
        <v>30.09</v>
      </c>
      <c r="G12" s="102">
        <v>30.193999999999999</v>
      </c>
      <c r="H12" s="102">
        <v>30.390999999999998</v>
      </c>
      <c r="I12" s="102">
        <v>30.460999999999999</v>
      </c>
      <c r="J12" s="102">
        <v>30.251000000000001</v>
      </c>
      <c r="K12" s="102">
        <v>29.934000000000001</v>
      </c>
      <c r="U12" s="16"/>
    </row>
    <row r="13" spans="2:22" x14ac:dyDescent="0.35">
      <c r="B13" s="106"/>
      <c r="C13" s="41" t="s">
        <v>44</v>
      </c>
      <c r="D13" s="102">
        <v>67</v>
      </c>
      <c r="E13" s="102">
        <v>67.3</v>
      </c>
      <c r="F13" s="102">
        <v>68</v>
      </c>
      <c r="G13" s="102">
        <v>68.599999999999994</v>
      </c>
      <c r="H13" s="102">
        <v>69</v>
      </c>
      <c r="I13" s="102">
        <v>69.2</v>
      </c>
      <c r="J13" s="102">
        <v>69.3</v>
      </c>
      <c r="K13" s="102">
        <v>69.2</v>
      </c>
      <c r="U13" s="16"/>
    </row>
    <row r="14" spans="2:22" x14ac:dyDescent="0.35">
      <c r="B14" s="106"/>
      <c r="C14" s="41" t="s">
        <v>48</v>
      </c>
      <c r="D14" s="43">
        <f>D12/D13</f>
        <v>0.44656716417910453</v>
      </c>
      <c r="E14" s="43">
        <f t="shared" ref="E14:K14" si="3">E12/E13</f>
        <v>0.4398068350668648</v>
      </c>
      <c r="F14" s="43">
        <f t="shared" si="3"/>
        <v>0.4425</v>
      </c>
      <c r="G14" s="43">
        <f t="shared" si="3"/>
        <v>0.44014577259475218</v>
      </c>
      <c r="H14" s="43">
        <f t="shared" si="3"/>
        <v>0.44044927536231882</v>
      </c>
      <c r="I14" s="43">
        <f t="shared" si="3"/>
        <v>0.44018786127167625</v>
      </c>
      <c r="J14" s="43">
        <f t="shared" si="3"/>
        <v>0.43652236652236653</v>
      </c>
      <c r="K14" s="43">
        <f t="shared" si="3"/>
        <v>0.43257225433526009</v>
      </c>
      <c r="U14" s="16"/>
    </row>
    <row r="15" spans="2:22" ht="13.65" customHeight="1" x14ac:dyDescent="0.35">
      <c r="B15" s="108" t="s">
        <v>34</v>
      </c>
      <c r="C15" s="35" t="s">
        <v>58</v>
      </c>
      <c r="D15" s="44">
        <f>'1. Population'!B41</f>
        <v>64.880941050502656</v>
      </c>
      <c r="E15" s="45">
        <f>'1. Population'!D41</f>
        <v>65.320191375337856</v>
      </c>
      <c r="F15" s="45">
        <f>'1. Population'!I41</f>
        <v>65.867326732673263</v>
      </c>
      <c r="G15" s="45">
        <f>'1. Population'!N41</f>
        <v>66.451350457818847</v>
      </c>
      <c r="H15" s="45">
        <f>'1. Population'!S41</f>
        <v>66.835909090909098</v>
      </c>
      <c r="I15" s="45">
        <f>'1. Population'!X41</f>
        <v>67.022387828850242</v>
      </c>
      <c r="J15" s="45">
        <f>'1. Population'!AC41</f>
        <v>67.109410500460541</v>
      </c>
      <c r="K15" s="45">
        <f>'1. Population'!AH41</f>
        <v>66.999160784749634</v>
      </c>
      <c r="T15" t="s">
        <v>59</v>
      </c>
      <c r="U15" s="46">
        <f>U11/U8</f>
        <v>0.69753054585617857</v>
      </c>
      <c r="V15" t="s">
        <v>51</v>
      </c>
    </row>
    <row r="16" spans="2:22" x14ac:dyDescent="0.35">
      <c r="B16" s="108"/>
      <c r="C16" s="47" t="s">
        <v>60</v>
      </c>
      <c r="D16" s="48">
        <f>D15*D14</f>
        <v>28.973697854194622</v>
      </c>
      <c r="E16" s="48">
        <f t="shared" ref="E16:K16" si="4">E15*E14</f>
        <v>28.728266634749261</v>
      </c>
      <c r="F16" s="48">
        <f t="shared" si="4"/>
        <v>29.146292079207917</v>
      </c>
      <c r="G16" s="48">
        <f t="shared" si="4"/>
        <v>29.248280987221317</v>
      </c>
      <c r="H16" s="48">
        <f t="shared" si="4"/>
        <v>29.43782772727273</v>
      </c>
      <c r="I16" s="48">
        <f t="shared" si="4"/>
        <v>29.502441555702415</v>
      </c>
      <c r="J16" s="48">
        <f t="shared" si="4"/>
        <v>29.294758687581989</v>
      </c>
      <c r="K16" s="48">
        <f t="shared" si="4"/>
        <v>28.981978019229704</v>
      </c>
      <c r="M16" t="s">
        <v>61</v>
      </c>
    </row>
    <row r="18" spans="2:14" ht="13.65" customHeight="1" x14ac:dyDescent="0.35">
      <c r="B18" s="109" t="s">
        <v>62</v>
      </c>
      <c r="C18" s="35" t="s">
        <v>63</v>
      </c>
      <c r="D18" s="45">
        <f>U11</f>
        <v>19.989590149307002</v>
      </c>
      <c r="E18" s="45">
        <f>E16*'PIB Branches'!G55/'PIB Branches'!$E55*$U15</f>
        <v>20.281892359321908</v>
      </c>
      <c r="F18" s="45">
        <f>F16*'PIB Branches'!H55/'PIB Branches'!$E55*$U15</f>
        <v>20.733453829579926</v>
      </c>
      <c r="G18" s="45">
        <f>G16*'PIB Branches'!I55/'PIB Branches'!$E55*$U15</f>
        <v>20.904744148151241</v>
      </c>
      <c r="H18" s="45">
        <f>H16*'PIB Branches'!J55/'PIB Branches'!$E55*$U15</f>
        <v>21.127380105285951</v>
      </c>
      <c r="I18" s="45">
        <f>I16*'PIB Branches'!K55/'PIB Branches'!$E55*$U15</f>
        <v>21.283901214659014</v>
      </c>
      <c r="J18" s="45">
        <f>J16*'PIB Branches'!L55/'PIB Branches'!$E55*$U15</f>
        <v>21.230626872846766</v>
      </c>
      <c r="K18" s="45">
        <f>K16*'PIB Branches'!M55/'PIB Branches'!$E55*$U15</f>
        <v>21.079531849773684</v>
      </c>
      <c r="M18" t="s">
        <v>64</v>
      </c>
    </row>
    <row r="19" spans="2:14" x14ac:dyDescent="0.35">
      <c r="B19" s="109"/>
      <c r="C19" s="35" t="s">
        <v>65</v>
      </c>
      <c r="D19" s="45">
        <f>U11</f>
        <v>19.989590149307002</v>
      </c>
      <c r="E19" s="45">
        <f>E16*'PIB Branches'!G88/'PIB Branches'!$E88*$U15</f>
        <v>20.281892359321908</v>
      </c>
      <c r="F19" s="45">
        <f>F16*'PIB Branches'!H88/'PIB Branches'!$E88*$U15</f>
        <v>20.542214495331773</v>
      </c>
      <c r="G19" s="45">
        <f>G16*'PIB Branches'!I88/'PIB Branches'!$E88*$U15</f>
        <v>20.65426634514219</v>
      </c>
      <c r="H19" s="45">
        <f>H16*'PIB Branches'!J88/'PIB Branches'!$E88*$U15</f>
        <v>20.827171469362543</v>
      </c>
      <c r="I19" s="45">
        <f>I16*'PIB Branches'!K88/'PIB Branches'!$E88*$U15</f>
        <v>20.92871028367691</v>
      </c>
      <c r="J19" s="45">
        <f>J16*'PIB Branches'!L88/'PIB Branches'!$E88*$U15</f>
        <v>20.831786833010923</v>
      </c>
      <c r="K19" s="45">
        <f>K16*'PIB Branches'!M88/'PIB Branches'!$E88*$U15</f>
        <v>20.650226142127774</v>
      </c>
      <c r="M19" t="s">
        <v>64</v>
      </c>
    </row>
    <row r="20" spans="2:14" x14ac:dyDescent="0.35">
      <c r="D20" t="s">
        <v>66</v>
      </c>
    </row>
    <row r="21" spans="2:14" ht="13.75" customHeight="1" x14ac:dyDescent="0.35">
      <c r="B21" s="105" t="s">
        <v>67</v>
      </c>
      <c r="C21" s="35" t="s">
        <v>63</v>
      </c>
      <c r="E21" s="46"/>
      <c r="F21" s="46">
        <f t="shared" ref="F21:K22" si="5">(F18/E18)^(1/5)-1</f>
        <v>4.4137192528317382E-3</v>
      </c>
      <c r="G21" s="46">
        <f t="shared" si="5"/>
        <v>1.6468752460130354E-3</v>
      </c>
      <c r="H21" s="46">
        <f t="shared" si="5"/>
        <v>2.1209878505432656E-3</v>
      </c>
      <c r="I21" s="46">
        <f t="shared" si="5"/>
        <v>1.4773183261627132E-3</v>
      </c>
      <c r="J21" s="46">
        <f t="shared" si="5"/>
        <v>-5.0110889474308529E-4</v>
      </c>
      <c r="K21" s="46">
        <f t="shared" si="5"/>
        <v>-1.427437801540643E-3</v>
      </c>
      <c r="N21" t="s">
        <v>203</v>
      </c>
    </row>
    <row r="22" spans="2:14" x14ac:dyDescent="0.35">
      <c r="B22" s="105"/>
      <c r="C22" s="35" t="s">
        <v>65</v>
      </c>
      <c r="E22" s="46"/>
      <c r="F22" s="46">
        <f t="shared" si="5"/>
        <v>2.5539611183293953E-3</v>
      </c>
      <c r="G22" s="46">
        <f t="shared" si="5"/>
        <v>1.0885697133626859E-3</v>
      </c>
      <c r="H22" s="46">
        <f t="shared" si="5"/>
        <v>1.6687015589647025E-3</v>
      </c>
      <c r="I22" s="46">
        <f t="shared" si="5"/>
        <v>9.7316506603584152E-4</v>
      </c>
      <c r="J22" s="46">
        <f t="shared" si="5"/>
        <v>-9.2794535044171678E-4</v>
      </c>
      <c r="K22" s="46">
        <f t="shared" si="5"/>
        <v>-1.7492208794865904E-3</v>
      </c>
      <c r="N22" s="101" t="s">
        <v>201</v>
      </c>
    </row>
  </sheetData>
  <mergeCells count="7">
    <mergeCell ref="B21:B22"/>
    <mergeCell ref="B12:B14"/>
    <mergeCell ref="B3:I3"/>
    <mergeCell ref="B6:B8"/>
    <mergeCell ref="B9:B11"/>
    <mergeCell ref="B15:B16"/>
    <mergeCell ref="B18:B19"/>
  </mergeCells>
  <hyperlinks>
    <hyperlink ref="N22" r:id="rId1" location="onglet-2" xr:uid="{00000000-0004-0000-0100-000000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AD47"/>
  </sheetPr>
  <dimension ref="A2:AJ38"/>
  <sheetViews>
    <sheetView topLeftCell="N15" zoomScale="72" zoomScaleNormal="72" workbookViewId="0">
      <selection activeCell="AH34" sqref="AH34"/>
    </sheetView>
  </sheetViews>
  <sheetFormatPr baseColWidth="10" defaultColWidth="8.90625" defaultRowHeight="14.5" x14ac:dyDescent="0.35"/>
  <cols>
    <col min="1" max="1" width="22.08984375" customWidth="1"/>
    <col min="2" max="2" width="14.453125" customWidth="1"/>
    <col min="3" max="9" width="10.453125" customWidth="1"/>
    <col min="10" max="10" width="12.6328125" customWidth="1"/>
    <col min="11" max="1025" width="10.453125" customWidth="1"/>
  </cols>
  <sheetData>
    <row r="2" spans="1:34" x14ac:dyDescent="0.35">
      <c r="B2" s="103" t="s">
        <v>68</v>
      </c>
      <c r="C2" s="103"/>
      <c r="D2" s="103"/>
      <c r="E2" s="103"/>
      <c r="F2" s="103"/>
      <c r="G2" s="103"/>
      <c r="H2" s="103"/>
      <c r="I2" s="103"/>
      <c r="J2" s="103"/>
    </row>
    <row r="3" spans="1:34" x14ac:dyDescent="0.35">
      <c r="B3" s="3" t="s">
        <v>69</v>
      </c>
      <c r="C3" s="4">
        <v>2019</v>
      </c>
      <c r="D3" s="4">
        <v>2020</v>
      </c>
      <c r="E3" s="4">
        <v>2025</v>
      </c>
      <c r="F3" s="4">
        <v>2030</v>
      </c>
      <c r="G3" s="4">
        <v>2035</v>
      </c>
      <c r="H3" s="4">
        <v>2040</v>
      </c>
      <c r="I3" s="4">
        <v>2045</v>
      </c>
      <c r="J3" s="5">
        <v>2050</v>
      </c>
    </row>
    <row r="4" spans="1:34" x14ac:dyDescent="0.35">
      <c r="B4" s="49" t="s">
        <v>70</v>
      </c>
      <c r="C4" s="10">
        <f>C31</f>
        <v>1.8</v>
      </c>
      <c r="D4" s="10">
        <f>D31</f>
        <v>-8</v>
      </c>
      <c r="E4" s="10">
        <f>I31</f>
        <v>0.88911028620158183</v>
      </c>
      <c r="F4" s="10">
        <f>N31</f>
        <v>1.0596022998227892</v>
      </c>
      <c r="G4" s="10">
        <f>S31</f>
        <v>1.200001473826996</v>
      </c>
      <c r="H4" s="10">
        <f>X31</f>
        <v>1.4332382002272377</v>
      </c>
      <c r="I4" s="10">
        <f>AC31</f>
        <v>1.4964298836985941</v>
      </c>
      <c r="J4" s="11">
        <f>AH31</f>
        <v>1.5568770458147063</v>
      </c>
    </row>
    <row r="6" spans="1:34" ht="104.75" customHeight="1" x14ac:dyDescent="0.35">
      <c r="B6" s="104" t="s">
        <v>71</v>
      </c>
      <c r="C6" s="104"/>
      <c r="D6" s="104"/>
      <c r="E6" s="104"/>
      <c r="F6" s="104"/>
      <c r="G6" s="104"/>
      <c r="H6" s="104"/>
      <c r="I6" s="104"/>
      <c r="J6" s="104"/>
    </row>
    <row r="9" spans="1:34" x14ac:dyDescent="0.35">
      <c r="A9" t="s">
        <v>72</v>
      </c>
    </row>
    <row r="10" spans="1:34" x14ac:dyDescent="0.35">
      <c r="A10" t="s">
        <v>73</v>
      </c>
      <c r="B10" s="13" t="s">
        <v>74</v>
      </c>
    </row>
    <row r="11" spans="1:34" x14ac:dyDescent="0.35">
      <c r="A11" t="s">
        <v>199</v>
      </c>
      <c r="B11" s="101" t="s">
        <v>198</v>
      </c>
    </row>
    <row r="14" spans="1:34" x14ac:dyDescent="0.35">
      <c r="D14" s="16"/>
      <c r="E14" s="16"/>
      <c r="F14" s="16"/>
      <c r="G14" s="16"/>
      <c r="H14" s="16"/>
      <c r="I14" s="16"/>
      <c r="J14" s="16"/>
      <c r="K14" s="16"/>
      <c r="L14" s="16"/>
      <c r="M14" s="16"/>
      <c r="N14" s="16"/>
      <c r="O14" s="16"/>
      <c r="P14" s="16"/>
      <c r="Q14" s="16"/>
      <c r="R14" s="16"/>
      <c r="S14" s="16"/>
      <c r="T14" s="16"/>
      <c r="U14" s="16"/>
      <c r="V14" s="16"/>
      <c r="W14" s="16"/>
      <c r="X14" s="16"/>
    </row>
    <row r="15" spans="1:34" x14ac:dyDescent="0.35">
      <c r="A15" s="50" t="s">
        <v>75</v>
      </c>
      <c r="B15" s="51">
        <v>2018</v>
      </c>
      <c r="C15" s="51">
        <v>2019</v>
      </c>
      <c r="D15" s="52">
        <v>2020</v>
      </c>
      <c r="E15" s="52">
        <v>2021</v>
      </c>
      <c r="F15" s="52">
        <v>2022</v>
      </c>
      <c r="G15" s="52">
        <v>2023</v>
      </c>
      <c r="H15" s="52">
        <v>2024</v>
      </c>
      <c r="I15" s="52">
        <v>2025</v>
      </c>
      <c r="J15" s="52">
        <v>2026</v>
      </c>
      <c r="K15" s="52">
        <v>2027</v>
      </c>
      <c r="L15" s="52">
        <v>2028</v>
      </c>
      <c r="M15" s="52">
        <v>2029</v>
      </c>
      <c r="N15" s="52">
        <v>2030</v>
      </c>
      <c r="O15" s="52">
        <v>2031</v>
      </c>
      <c r="P15" s="52">
        <v>2032</v>
      </c>
      <c r="Q15" s="52">
        <v>2033</v>
      </c>
      <c r="R15" s="52">
        <v>2034</v>
      </c>
      <c r="S15" s="52">
        <v>2035</v>
      </c>
      <c r="T15" s="52">
        <v>2036</v>
      </c>
      <c r="U15" s="52">
        <v>2037</v>
      </c>
      <c r="V15" s="52">
        <v>2038</v>
      </c>
      <c r="W15" s="52">
        <v>2039</v>
      </c>
      <c r="X15" s="52">
        <v>2040</v>
      </c>
      <c r="Y15" s="52">
        <v>2041</v>
      </c>
      <c r="Z15" s="52">
        <v>2042</v>
      </c>
      <c r="AA15" s="52">
        <v>2043</v>
      </c>
      <c r="AB15" s="52">
        <v>2044</v>
      </c>
      <c r="AC15" s="52">
        <v>2045</v>
      </c>
      <c r="AD15" s="52">
        <v>2046</v>
      </c>
      <c r="AE15" s="52">
        <v>2047</v>
      </c>
      <c r="AF15" s="52">
        <v>2048</v>
      </c>
      <c r="AG15" s="52">
        <v>2049</v>
      </c>
      <c r="AH15" s="52">
        <v>2050</v>
      </c>
    </row>
    <row r="16" spans="1:34" x14ac:dyDescent="0.35">
      <c r="A16" t="s">
        <v>14</v>
      </c>
      <c r="B16">
        <v>1.6</v>
      </c>
      <c r="C16">
        <v>1.6</v>
      </c>
      <c r="D16">
        <v>1.3</v>
      </c>
      <c r="E16">
        <v>1.3</v>
      </c>
      <c r="F16">
        <v>1.3</v>
      </c>
      <c r="G16">
        <v>1.3</v>
      </c>
      <c r="H16">
        <v>1.3</v>
      </c>
      <c r="I16">
        <v>1.4</v>
      </c>
      <c r="J16">
        <v>1.4</v>
      </c>
      <c r="K16">
        <v>1.4</v>
      </c>
      <c r="L16">
        <v>1.4</v>
      </c>
      <c r="M16">
        <v>1.4</v>
      </c>
      <c r="N16">
        <v>1.7</v>
      </c>
      <c r="O16">
        <v>1.7</v>
      </c>
      <c r="P16">
        <v>1.7</v>
      </c>
      <c r="Q16">
        <v>1.7</v>
      </c>
      <c r="R16">
        <v>1.7</v>
      </c>
      <c r="S16">
        <v>1.7</v>
      </c>
      <c r="T16">
        <v>1.7</v>
      </c>
      <c r="U16">
        <v>1.7</v>
      </c>
      <c r="V16">
        <v>1.7</v>
      </c>
      <c r="W16">
        <v>1.7</v>
      </c>
      <c r="X16">
        <v>1.7</v>
      </c>
      <c r="Y16">
        <v>1.7</v>
      </c>
      <c r="Z16">
        <v>1.7</v>
      </c>
      <c r="AA16">
        <v>1.7</v>
      </c>
      <c r="AB16">
        <v>1.7</v>
      </c>
      <c r="AC16">
        <v>1.7</v>
      </c>
      <c r="AD16">
        <v>1.7</v>
      </c>
      <c r="AE16">
        <v>1.7</v>
      </c>
      <c r="AF16">
        <v>1.7</v>
      </c>
      <c r="AG16">
        <v>1.7</v>
      </c>
      <c r="AH16">
        <v>1.7</v>
      </c>
    </row>
    <row r="17" spans="1:36" x14ac:dyDescent="0.35">
      <c r="A17" s="14" t="s">
        <v>76</v>
      </c>
      <c r="B17" s="16"/>
      <c r="C17" s="16">
        <v>1.3153940340714401</v>
      </c>
      <c r="D17" s="16">
        <v>-8.2482808890021904</v>
      </c>
      <c r="E17" s="16">
        <v>7.4011071807767301</v>
      </c>
      <c r="F17" s="16">
        <v>1.7713128835044101</v>
      </c>
      <c r="G17" s="16">
        <v>1.64107184704625</v>
      </c>
      <c r="H17" s="16">
        <v>1.5897546636926001</v>
      </c>
      <c r="I17" s="16">
        <v>0.87416589753490703</v>
      </c>
      <c r="J17" s="16">
        <v>0.92807348762686803</v>
      </c>
      <c r="K17" s="16">
        <v>0.96113683804743799</v>
      </c>
      <c r="L17" s="16">
        <v>0.99967148959665397</v>
      </c>
      <c r="M17" s="16">
        <v>0.99813958218690801</v>
      </c>
      <c r="N17" s="16">
        <v>1.0577978519932401</v>
      </c>
      <c r="O17" s="16">
        <v>1.11745612179957</v>
      </c>
      <c r="P17" s="16">
        <v>1.1771143916058999</v>
      </c>
      <c r="Q17" s="16">
        <v>1.2239656520037301</v>
      </c>
      <c r="R17" s="16">
        <v>1.2741068022386299</v>
      </c>
      <c r="S17" s="16">
        <v>1.32537743784484</v>
      </c>
      <c r="T17" s="16">
        <v>1.39274895418422</v>
      </c>
      <c r="U17" s="16">
        <v>1.4527970330678199</v>
      </c>
      <c r="V17" s="16">
        <v>1.5121100659592599</v>
      </c>
      <c r="W17" s="16">
        <v>1.5684925802694301</v>
      </c>
      <c r="X17" s="16">
        <v>1.62778818442522</v>
      </c>
      <c r="Y17" s="16">
        <f t="shared" ref="Y17:AH17" si="0">X17</f>
        <v>1.62778818442522</v>
      </c>
      <c r="Z17" s="16">
        <f t="shared" si="0"/>
        <v>1.62778818442522</v>
      </c>
      <c r="AA17" s="16">
        <f t="shared" si="0"/>
        <v>1.62778818442522</v>
      </c>
      <c r="AB17" s="16">
        <f t="shared" si="0"/>
        <v>1.62778818442522</v>
      </c>
      <c r="AC17" s="16">
        <f t="shared" si="0"/>
        <v>1.62778818442522</v>
      </c>
      <c r="AD17" s="16">
        <f t="shared" si="0"/>
        <v>1.62778818442522</v>
      </c>
      <c r="AE17" s="16">
        <f t="shared" si="0"/>
        <v>1.62778818442522</v>
      </c>
      <c r="AF17" s="16">
        <f t="shared" si="0"/>
        <v>1.62778818442522</v>
      </c>
      <c r="AG17" s="16">
        <f t="shared" si="0"/>
        <v>1.62778818442522</v>
      </c>
      <c r="AH17" s="16">
        <f t="shared" si="0"/>
        <v>1.62778818442522</v>
      </c>
    </row>
    <row r="18" spans="1:36" x14ac:dyDescent="0.35">
      <c r="A18" s="53" t="s">
        <v>77</v>
      </c>
      <c r="B18" s="16"/>
      <c r="C18" s="34">
        <f>('1. Population'!C22-'1. Population'!B22)/'1. Population'!B22*100</f>
        <v>4.9093759331140963E-2</v>
      </c>
      <c r="D18" s="34">
        <f>('1. Population'!D22-'1. Population'!C22)/'1. Population'!C22*100</f>
        <v>0.28633300256608507</v>
      </c>
      <c r="E18" s="34">
        <f>('1. Population'!E22-'1. Population'!D22)/'1. Population'!D22*100</f>
        <v>0.2732990814951709</v>
      </c>
      <c r="F18" s="34">
        <f>('1. Population'!F22-'1. Population'!E22)/'1. Population'!E22*100</f>
        <v>0.27685315074769073</v>
      </c>
      <c r="G18" s="34">
        <f>('1. Population'!G22-'1. Population'!F22)/'1. Population'!F22*100</f>
        <v>0.28185719570847678</v>
      </c>
      <c r="H18" s="34">
        <f>('1. Population'!H22-'1. Population'!G22)/'1. Population'!G22*100</f>
        <v>0.28034191162119193</v>
      </c>
      <c r="I18" s="34">
        <f>('1. Population'!I22-'1. Population'!H22)/'1. Population'!H22*100</f>
        <v>0.28004086207079248</v>
      </c>
      <c r="J18" s="34">
        <f>('1. Population'!J22-'1. Population'!I22)/'1. Population'!I22*100</f>
        <v>0.27837688995482979</v>
      </c>
      <c r="K18" s="34">
        <f>('1. Population'!K22-'1. Population'!J22)/'1. Population'!J22*100</f>
        <v>0.27981964557338751</v>
      </c>
      <c r="L18" s="34">
        <f>('1. Population'!L22-'1. Population'!K22)/'1. Population'!K22*100</f>
        <v>0.28058130542797077</v>
      </c>
      <c r="M18" s="34">
        <f>('1. Population'!M22-'1. Population'!L22)/'1. Population'!L22*100</f>
        <v>0.28766307696215676</v>
      </c>
      <c r="N18" s="34">
        <f>('1. Population'!N22-'1. Population'!M22)/'1. Population'!M22*100</f>
        <v>0.2905932129891477</v>
      </c>
      <c r="O18" s="34">
        <f>('1. Population'!O22-'1. Population'!N22)/'1. Population'!N22*100</f>
        <v>0.29251320372101375</v>
      </c>
      <c r="P18" s="34">
        <f>('1. Population'!P22-'1. Population'!O22)/'1. Population'!O22*100</f>
        <v>0.29242464005856061</v>
      </c>
      <c r="Q18" s="34">
        <f>('1. Population'!Q22-'1. Population'!P22)/'1. Population'!P22*100</f>
        <v>0.28841185009092685</v>
      </c>
      <c r="R18" s="34">
        <f>('1. Population'!R22-'1. Population'!Q22)/'1. Population'!Q22*100</f>
        <v>0.2776143077726102</v>
      </c>
      <c r="S18" s="34">
        <f>('1. Population'!S22-'1. Population'!R22)/'1. Population'!R22*100</f>
        <v>0.27051384500477321</v>
      </c>
      <c r="T18" s="34">
        <f>('1. Population'!T22-'1. Population'!S22)/'1. Population'!S22*100</f>
        <v>0.26224391933912267</v>
      </c>
      <c r="U18" s="34">
        <f>('1. Population'!U22-'1. Population'!T22)/'1. Population'!T22*100</f>
        <v>0.25205862076931529</v>
      </c>
      <c r="V18" s="34">
        <f>('1. Population'!V22-'1. Population'!U22)/'1. Population'!U22*100</f>
        <v>0.23811917061762047</v>
      </c>
      <c r="W18" s="34">
        <f>('1. Population'!W22-'1. Population'!V22)/'1. Population'!V22*100</f>
        <v>0.21904819748401749</v>
      </c>
      <c r="X18" s="34">
        <f>('1. Population'!X22-'1. Population'!W22)/'1. Population'!W22*100</f>
        <v>0.19454998419798225</v>
      </c>
      <c r="Y18" s="34">
        <f>('1. Population'!Y22-'1. Population'!X22)/'1. Population'!X22*100</f>
        <v>0.17013737538497606</v>
      </c>
      <c r="Z18" s="34">
        <f>('1. Population'!Z22-'1. Population'!Y22)/'1. Population'!Y22*100</f>
        <v>0.16844469399205853</v>
      </c>
      <c r="AA18" s="34">
        <f>('1. Population'!AA22-'1. Population'!Z22)/'1. Population'!Z22*100</f>
        <v>0.14433856502244932</v>
      </c>
      <c r="AB18" s="34">
        <f>('1. Population'!AB22-'1. Population'!AA22)/'1. Population'!AA22*100</f>
        <v>0.13573457593443733</v>
      </c>
      <c r="AC18" s="34">
        <f>('1. Population'!AC22-'1. Population'!AB22)/'1. Population'!AB22*100</f>
        <v>0.13135830072662588</v>
      </c>
      <c r="AD18" s="34">
        <f>('1. Population'!AD22-'1. Population'!AC22)/'1. Population'!AC22*100</f>
        <v>0.10327406704438427</v>
      </c>
      <c r="AE18" s="34">
        <f>('1. Population'!AE22-'1. Population'!AD22)/'1. Population'!AD22*100</f>
        <v>0.10177336604953827</v>
      </c>
      <c r="AF18" s="34">
        <f>('1. Population'!AF22-'1. Population'!AE22)/'1. Population'!AE22*100</f>
        <v>9.0527987075320782E-2</v>
      </c>
      <c r="AG18" s="34">
        <f>('1. Population'!AG22-'1. Population'!AF22)/'1. Population'!AF22*100</f>
        <v>7.6531322182959632E-2</v>
      </c>
      <c r="AH18" s="34">
        <f>('1. Population'!AH22-'1. Population'!AG22)/'1. Population'!AG22*100</f>
        <v>7.0911138610513652E-2</v>
      </c>
    </row>
    <row r="19" spans="1:36" x14ac:dyDescent="0.35">
      <c r="A19" s="53" t="s">
        <v>78</v>
      </c>
      <c r="B19" s="16"/>
      <c r="C19" s="16">
        <f t="shared" ref="C19:AH19" si="1">C17-C18</f>
        <v>1.2663002747402992</v>
      </c>
      <c r="D19" s="16">
        <f t="shared" si="1"/>
        <v>-8.5346138915682754</v>
      </c>
      <c r="E19" s="16">
        <f t="shared" si="1"/>
        <v>7.1278080992815589</v>
      </c>
      <c r="F19" s="16">
        <f t="shared" si="1"/>
        <v>1.4944597327567193</v>
      </c>
      <c r="G19" s="16">
        <f t="shared" si="1"/>
        <v>1.3592146513377732</v>
      </c>
      <c r="H19" s="16">
        <f t="shared" si="1"/>
        <v>1.3094127520714083</v>
      </c>
      <c r="I19" s="16">
        <f t="shared" si="1"/>
        <v>0.59412503546411455</v>
      </c>
      <c r="J19" s="16">
        <f t="shared" si="1"/>
        <v>0.64969659767203825</v>
      </c>
      <c r="K19" s="16">
        <f t="shared" si="1"/>
        <v>0.68131719247405043</v>
      </c>
      <c r="L19" s="16">
        <f t="shared" si="1"/>
        <v>0.7190901841686832</v>
      </c>
      <c r="M19" s="16">
        <f t="shared" si="1"/>
        <v>0.71047650522475125</v>
      </c>
      <c r="N19" s="16">
        <f t="shared" si="1"/>
        <v>0.7672046390040923</v>
      </c>
      <c r="O19" s="16">
        <f t="shared" si="1"/>
        <v>0.82494291807855624</v>
      </c>
      <c r="P19" s="16">
        <f t="shared" si="1"/>
        <v>0.88468975154733931</v>
      </c>
      <c r="Q19" s="16">
        <f t="shared" si="1"/>
        <v>0.93555380191280324</v>
      </c>
      <c r="R19" s="16">
        <f t="shared" si="1"/>
        <v>0.99649249446601973</v>
      </c>
      <c r="S19" s="16">
        <f t="shared" si="1"/>
        <v>1.0548635928400667</v>
      </c>
      <c r="T19" s="16">
        <f t="shared" si="1"/>
        <v>1.1305050348450973</v>
      </c>
      <c r="U19" s="16">
        <f t="shared" si="1"/>
        <v>1.2007384122985045</v>
      </c>
      <c r="V19" s="16">
        <f t="shared" si="1"/>
        <v>1.2739908953416395</v>
      </c>
      <c r="W19" s="16">
        <f t="shared" si="1"/>
        <v>1.3494443827854126</v>
      </c>
      <c r="X19" s="16">
        <f t="shared" si="1"/>
        <v>1.4332382002272377</v>
      </c>
      <c r="Y19" s="16">
        <f t="shared" si="1"/>
        <v>1.457650809040244</v>
      </c>
      <c r="Z19" s="16">
        <f t="shared" si="1"/>
        <v>1.4593434904331615</v>
      </c>
      <c r="AA19" s="16">
        <f t="shared" si="1"/>
        <v>1.4834496194027706</v>
      </c>
      <c r="AB19" s="16">
        <f t="shared" si="1"/>
        <v>1.4920536084907827</v>
      </c>
      <c r="AC19" s="16">
        <f t="shared" si="1"/>
        <v>1.4964298836985941</v>
      </c>
      <c r="AD19" s="16">
        <f t="shared" si="1"/>
        <v>1.5245141173808356</v>
      </c>
      <c r="AE19" s="16">
        <f t="shared" si="1"/>
        <v>1.5260148183756816</v>
      </c>
      <c r="AF19" s="16">
        <f t="shared" si="1"/>
        <v>1.5372601973498992</v>
      </c>
      <c r="AG19" s="16">
        <f t="shared" si="1"/>
        <v>1.5512568622422604</v>
      </c>
      <c r="AH19" s="16">
        <f t="shared" si="1"/>
        <v>1.5568770458147063</v>
      </c>
    </row>
    <row r="20" spans="1:36" x14ac:dyDescent="0.35">
      <c r="A20" t="s">
        <v>79</v>
      </c>
      <c r="C20">
        <v>1.8</v>
      </c>
      <c r="D20">
        <v>-8</v>
      </c>
      <c r="E20" s="54">
        <v>6.3</v>
      </c>
      <c r="F20" s="54">
        <v>3.7</v>
      </c>
      <c r="G20" s="54">
        <v>1.9</v>
      </c>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row>
    <row r="21" spans="1:36" x14ac:dyDescent="0.35">
      <c r="A21" t="s">
        <v>80</v>
      </c>
      <c r="C21">
        <v>1.8</v>
      </c>
      <c r="D21">
        <v>-8</v>
      </c>
      <c r="E21" s="54">
        <v>6</v>
      </c>
      <c r="F21" s="54">
        <v>4</v>
      </c>
      <c r="G21">
        <v>1.6</v>
      </c>
      <c r="H21" s="16">
        <v>1.4</v>
      </c>
      <c r="I21" s="16">
        <v>1.4</v>
      </c>
      <c r="J21" s="16">
        <v>1.4</v>
      </c>
      <c r="K21" s="16">
        <v>1.4</v>
      </c>
      <c r="L21" s="16"/>
      <c r="M21" s="16"/>
      <c r="N21" s="16"/>
      <c r="O21" s="16"/>
      <c r="P21" s="16"/>
      <c r="Q21" s="16"/>
      <c r="R21" s="16"/>
      <c r="S21" s="16"/>
      <c r="T21" s="16"/>
      <c r="U21" s="16"/>
      <c r="V21" s="16"/>
      <c r="W21" s="16"/>
      <c r="X21" s="16"/>
      <c r="Y21" s="16"/>
      <c r="Z21" s="16"/>
      <c r="AA21" s="16"/>
      <c r="AB21" s="16"/>
      <c r="AC21" s="16"/>
      <c r="AD21" s="16"/>
      <c r="AE21" s="16"/>
      <c r="AF21" s="16"/>
      <c r="AG21" s="16"/>
      <c r="AH21" s="16"/>
    </row>
    <row r="22" spans="1:36" x14ac:dyDescent="0.35">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row>
    <row r="23" spans="1:36" x14ac:dyDescent="0.35">
      <c r="A23" t="s">
        <v>81</v>
      </c>
      <c r="B23">
        <v>2018</v>
      </c>
      <c r="C23">
        <v>2019</v>
      </c>
      <c r="D23">
        <v>2020</v>
      </c>
      <c r="E23">
        <v>2021</v>
      </c>
      <c r="F23">
        <v>2022</v>
      </c>
      <c r="G23">
        <v>2023</v>
      </c>
      <c r="H23">
        <v>2024</v>
      </c>
      <c r="I23">
        <v>2025</v>
      </c>
      <c r="J23">
        <v>2026</v>
      </c>
      <c r="K23">
        <v>2027</v>
      </c>
      <c r="L23">
        <v>2028</v>
      </c>
      <c r="M23">
        <v>2029</v>
      </c>
      <c r="N23">
        <v>2030</v>
      </c>
      <c r="O23">
        <v>2031</v>
      </c>
      <c r="P23">
        <v>2032</v>
      </c>
      <c r="Q23">
        <v>2033</v>
      </c>
      <c r="R23">
        <v>2034</v>
      </c>
      <c r="S23">
        <v>2035</v>
      </c>
      <c r="T23">
        <v>2036</v>
      </c>
      <c r="U23">
        <v>2037</v>
      </c>
      <c r="V23">
        <v>2038</v>
      </c>
      <c r="W23">
        <v>2039</v>
      </c>
      <c r="X23">
        <v>2040</v>
      </c>
      <c r="Y23">
        <v>2041</v>
      </c>
      <c r="Z23">
        <v>2042</v>
      </c>
      <c r="AA23">
        <v>2043</v>
      </c>
      <c r="AB23">
        <v>2044</v>
      </c>
      <c r="AC23">
        <v>2045</v>
      </c>
      <c r="AD23">
        <v>2046</v>
      </c>
      <c r="AE23">
        <v>2047</v>
      </c>
      <c r="AF23">
        <v>2048</v>
      </c>
      <c r="AG23">
        <v>2049</v>
      </c>
      <c r="AH23">
        <v>2050</v>
      </c>
    </row>
    <row r="24" spans="1:36" x14ac:dyDescent="0.35">
      <c r="A24" t="s">
        <v>82</v>
      </c>
      <c r="B24">
        <v>100</v>
      </c>
      <c r="C24" s="15">
        <f t="shared" ref="C24:AH24" si="2">B24*(1+(C16/100))</f>
        <v>101.6</v>
      </c>
      <c r="D24" s="15">
        <f t="shared" si="2"/>
        <v>102.92079999999999</v>
      </c>
      <c r="E24" s="15">
        <f t="shared" si="2"/>
        <v>104.25877039999997</v>
      </c>
      <c r="F24" s="15">
        <f t="shared" si="2"/>
        <v>105.61413441519997</v>
      </c>
      <c r="G24" s="15">
        <f t="shared" si="2"/>
        <v>106.98711816259755</v>
      </c>
      <c r="H24" s="15">
        <f t="shared" si="2"/>
        <v>108.37795069871132</v>
      </c>
      <c r="I24" s="15">
        <f t="shared" si="2"/>
        <v>109.89524200849327</v>
      </c>
      <c r="J24" s="15">
        <f t="shared" si="2"/>
        <v>111.43377539661218</v>
      </c>
      <c r="K24" s="15">
        <f t="shared" si="2"/>
        <v>112.99384825216475</v>
      </c>
      <c r="L24" s="15">
        <f t="shared" si="2"/>
        <v>114.57576212769506</v>
      </c>
      <c r="M24" s="15">
        <f t="shared" si="2"/>
        <v>116.17982279748279</v>
      </c>
      <c r="N24" s="15">
        <f t="shared" si="2"/>
        <v>118.15487978503998</v>
      </c>
      <c r="O24" s="15">
        <f t="shared" si="2"/>
        <v>120.16351274138565</v>
      </c>
      <c r="P24" s="15">
        <f t="shared" si="2"/>
        <v>122.20629245798919</v>
      </c>
      <c r="Q24" s="15">
        <f t="shared" si="2"/>
        <v>124.283799429775</v>
      </c>
      <c r="R24" s="15">
        <f t="shared" si="2"/>
        <v>126.39662402008116</v>
      </c>
      <c r="S24" s="15">
        <f t="shared" si="2"/>
        <v>128.54536662842253</v>
      </c>
      <c r="T24" s="15">
        <f t="shared" si="2"/>
        <v>130.73063786110569</v>
      </c>
      <c r="U24" s="15">
        <f t="shared" si="2"/>
        <v>132.95305870474448</v>
      </c>
      <c r="V24" s="15">
        <f t="shared" si="2"/>
        <v>135.21326070272511</v>
      </c>
      <c r="W24" s="15">
        <f t="shared" si="2"/>
        <v>137.51188613467141</v>
      </c>
      <c r="X24" s="15">
        <f t="shared" si="2"/>
        <v>139.84958819896082</v>
      </c>
      <c r="Y24" s="15">
        <f t="shared" si="2"/>
        <v>142.22703119834313</v>
      </c>
      <c r="Z24" s="15">
        <f t="shared" si="2"/>
        <v>144.64489072871496</v>
      </c>
      <c r="AA24" s="15">
        <f t="shared" si="2"/>
        <v>147.1038538711031</v>
      </c>
      <c r="AB24" s="15">
        <f t="shared" si="2"/>
        <v>149.60461938691185</v>
      </c>
      <c r="AC24" s="15">
        <f t="shared" si="2"/>
        <v>152.14789791648934</v>
      </c>
      <c r="AD24" s="15">
        <f t="shared" si="2"/>
        <v>154.73441218106964</v>
      </c>
      <c r="AE24" s="15">
        <f t="shared" si="2"/>
        <v>157.36489718814781</v>
      </c>
      <c r="AF24" s="15">
        <f t="shared" si="2"/>
        <v>160.04010044034629</v>
      </c>
      <c r="AG24" s="15">
        <f t="shared" si="2"/>
        <v>162.76078214783217</v>
      </c>
      <c r="AH24" s="15">
        <f t="shared" si="2"/>
        <v>165.52771544434532</v>
      </c>
    </row>
    <row r="25" spans="1:36" x14ac:dyDescent="0.35">
      <c r="A25" t="s">
        <v>19</v>
      </c>
      <c r="B25">
        <v>100</v>
      </c>
      <c r="C25" s="15">
        <f t="shared" ref="C25:AH25" si="3">B25*(1+(C17/100))</f>
        <v>101.31539403407143</v>
      </c>
      <c r="D25" s="15">
        <f t="shared" si="3"/>
        <v>92.958615750341849</v>
      </c>
      <c r="E25" s="15">
        <f t="shared" si="3"/>
        <v>99.838582535791048</v>
      </c>
      <c r="F25" s="15">
        <f t="shared" si="3"/>
        <v>101.6070362109557</v>
      </c>
      <c r="G25" s="15">
        <f t="shared" si="3"/>
        <v>103.27448067683179</v>
      </c>
      <c r="H25" s="15">
        <f t="shared" si="3"/>
        <v>104.91629154979603</v>
      </c>
      <c r="I25" s="15">
        <f t="shared" si="3"/>
        <v>105.83343399148264</v>
      </c>
      <c r="J25" s="15">
        <f t="shared" si="3"/>
        <v>106.81564603340267</v>
      </c>
      <c r="K25" s="15">
        <f t="shared" si="3"/>
        <v>107.84229055622806</v>
      </c>
      <c r="L25" s="15">
        <f t="shared" si="3"/>
        <v>108.92035918864666</v>
      </c>
      <c r="M25" s="15">
        <f t="shared" si="3"/>
        <v>110.00753640676869</v>
      </c>
      <c r="N25" s="15">
        <f t="shared" si="3"/>
        <v>111.17119376391018</v>
      </c>
      <c r="O25" s="15">
        <f t="shared" si="3"/>
        <v>112.41348307430265</v>
      </c>
      <c r="P25" s="15">
        <f t="shared" si="3"/>
        <v>113.73671836167573</v>
      </c>
      <c r="Q25" s="15">
        <f t="shared" si="3"/>
        <v>115.12881672813886</v>
      </c>
      <c r="R25" s="15">
        <f t="shared" si="3"/>
        <v>116.59568081340892</v>
      </c>
      <c r="S25" s="15">
        <f t="shared" si="3"/>
        <v>118.14101366041143</v>
      </c>
      <c r="T25" s="15">
        <f t="shared" si="3"/>
        <v>119.78642139262945</v>
      </c>
      <c r="U25" s="15">
        <f t="shared" si="3"/>
        <v>121.52667496863968</v>
      </c>
      <c r="V25" s="15">
        <f t="shared" si="3"/>
        <v>123.36429205366608</v>
      </c>
      <c r="W25" s="15">
        <f t="shared" si="3"/>
        <v>125.29925182122975</v>
      </c>
      <c r="X25" s="15">
        <f t="shared" si="3"/>
        <v>127.33885823754892</v>
      </c>
      <c r="Y25" s="15">
        <f t="shared" si="3"/>
        <v>129.4116651261217</v>
      </c>
      <c r="Z25" s="15">
        <f t="shared" si="3"/>
        <v>131.51821292031264</v>
      </c>
      <c r="AA25" s="15">
        <f t="shared" si="3"/>
        <v>133.65905085059669</v>
      </c>
      <c r="AB25" s="15">
        <f t="shared" si="3"/>
        <v>135.83473708775759</v>
      </c>
      <c r="AC25" s="15">
        <f t="shared" si="3"/>
        <v>138.04583888841717</v>
      </c>
      <c r="AD25" s="15">
        <f t="shared" si="3"/>
        <v>140.29293274293349</v>
      </c>
      <c r="AE25" s="15">
        <f t="shared" si="3"/>
        <v>142.57660452570659</v>
      </c>
      <c r="AF25" s="15">
        <f t="shared" si="3"/>
        <v>144.8974496479307</v>
      </c>
      <c r="AG25" s="15">
        <f t="shared" si="3"/>
        <v>147.2560732128332</v>
      </c>
      <c r="AH25" s="15">
        <f t="shared" si="3"/>
        <v>149.65309017344023</v>
      </c>
    </row>
    <row r="26" spans="1:36" x14ac:dyDescent="0.35">
      <c r="A26" t="s">
        <v>79</v>
      </c>
      <c r="B26">
        <v>100</v>
      </c>
      <c r="C26" s="15">
        <f t="shared" ref="C26:G27" si="4">B26*(1+(C20/100))</f>
        <v>101.8</v>
      </c>
      <c r="D26" s="15">
        <f t="shared" si="4"/>
        <v>93.656000000000006</v>
      </c>
      <c r="E26" s="15">
        <f t="shared" si="4"/>
        <v>99.556328000000008</v>
      </c>
      <c r="F26" s="15">
        <f t="shared" si="4"/>
        <v>103.239912136</v>
      </c>
      <c r="G26" s="15">
        <f t="shared" si="4"/>
        <v>105.20147046658398</v>
      </c>
    </row>
    <row r="27" spans="1:36" x14ac:dyDescent="0.35">
      <c r="A27" t="s">
        <v>83</v>
      </c>
      <c r="B27">
        <v>100</v>
      </c>
      <c r="C27" s="15">
        <f t="shared" si="4"/>
        <v>101.8</v>
      </c>
      <c r="D27" s="15">
        <f t="shared" si="4"/>
        <v>93.656000000000006</v>
      </c>
      <c r="E27" s="15">
        <f t="shared" si="4"/>
        <v>99.275360000000006</v>
      </c>
      <c r="F27" s="15">
        <f t="shared" si="4"/>
        <v>103.24637440000001</v>
      </c>
      <c r="G27" s="15">
        <f t="shared" si="4"/>
        <v>104.89831639040001</v>
      </c>
      <c r="H27" s="15">
        <f>G27*(1+(H21/100))</f>
        <v>106.36689281986561</v>
      </c>
      <c r="I27" s="15">
        <f>H27*(1+(I21/100))</f>
        <v>107.85602931934373</v>
      </c>
      <c r="J27" s="15">
        <f>I27*(1+(J21/100))</f>
        <v>109.36601372981454</v>
      </c>
      <c r="K27" s="15">
        <f>J27*(1+(K21/100))</f>
        <v>110.89713792203194</v>
      </c>
    </row>
    <row r="28" spans="1:36" x14ac:dyDescent="0.35">
      <c r="A28" t="s">
        <v>84</v>
      </c>
      <c r="C28">
        <v>1.32</v>
      </c>
      <c r="D28">
        <v>-7.8552557111647197</v>
      </c>
      <c r="E28">
        <v>7.0300515993791901</v>
      </c>
      <c r="F28">
        <v>3.6115816398834202</v>
      </c>
      <c r="G28">
        <v>2.1349186298996301</v>
      </c>
      <c r="H28">
        <v>1.5045422637172701</v>
      </c>
      <c r="I28">
        <v>0.87416589753490703</v>
      </c>
      <c r="J28">
        <v>0.92807348762686803</v>
      </c>
      <c r="K28">
        <v>0.96113683804743799</v>
      </c>
      <c r="L28">
        <v>0.99967148959665397</v>
      </c>
      <c r="M28">
        <v>0.99813958218690801</v>
      </c>
      <c r="N28">
        <v>1.0243705082819099</v>
      </c>
      <c r="O28">
        <v>1.0684127924770499</v>
      </c>
      <c r="P28">
        <v>1.09814780466638</v>
      </c>
      <c r="Q28">
        <v>1.1484115066271401</v>
      </c>
      <c r="R28">
        <v>1.2217664516087501</v>
      </c>
      <c r="S28">
        <v>1.3026130066986801</v>
      </c>
      <c r="T28">
        <v>1.4031808849771199</v>
      </c>
      <c r="U28">
        <v>1.5206029883899299</v>
      </c>
      <c r="V28">
        <v>1.5494173970615499</v>
      </c>
      <c r="W28">
        <v>1.5808487645103599</v>
      </c>
      <c r="X28">
        <v>1.5930929895493899</v>
      </c>
      <c r="Y28">
        <v>1.6171745434976801</v>
      </c>
      <c r="Z28">
        <v>1.6360630293735401</v>
      </c>
      <c r="AA28">
        <v>1.6085767851071699</v>
      </c>
      <c r="AB28">
        <v>1.5702556275942401</v>
      </c>
      <c r="AC28">
        <v>1.53528779448321</v>
      </c>
      <c r="AD28">
        <v>1.50999270732682</v>
      </c>
      <c r="AE28">
        <v>1.4904936775200801</v>
      </c>
      <c r="AF28">
        <v>1.4835524724196001</v>
      </c>
      <c r="AG28">
        <v>1.4716669845711501</v>
      </c>
      <c r="AH28">
        <v>1.4623377426303199</v>
      </c>
    </row>
    <row r="29" spans="1:36" x14ac:dyDescent="0.35">
      <c r="B29">
        <v>100</v>
      </c>
      <c r="C29" s="15">
        <f t="shared" ref="C29:AH29" si="5">B29*(1+(C28/100))</f>
        <v>101.32000000000001</v>
      </c>
      <c r="D29" s="15">
        <f t="shared" si="5"/>
        <v>93.361054913447916</v>
      </c>
      <c r="E29" s="15">
        <f t="shared" si="5"/>
        <v>99.924385247588049</v>
      </c>
      <c r="F29" s="15">
        <f t="shared" si="5"/>
        <v>103.53323599895631</v>
      </c>
      <c r="G29" s="15">
        <f t="shared" si="5"/>
        <v>105.74358634243598</v>
      </c>
      <c r="H29" s="15">
        <f t="shared" si="5"/>
        <v>107.33454329012829</v>
      </c>
      <c r="I29" s="15">
        <f t="shared" si="5"/>
        <v>108.27282526384543</v>
      </c>
      <c r="J29" s="15">
        <f t="shared" si="5"/>
        <v>109.27767664942375</v>
      </c>
      <c r="K29" s="15">
        <f t="shared" si="5"/>
        <v>110.32798465546372</v>
      </c>
      <c r="L29" s="15">
        <f t="shared" si="5"/>
        <v>111.43090206311096</v>
      </c>
      <c r="M29" s="15">
        <f t="shared" si="5"/>
        <v>112.54313800339079</v>
      </c>
      <c r="N29" s="15">
        <f t="shared" si="5"/>
        <v>113.69599671819253</v>
      </c>
      <c r="O29" s="15">
        <f t="shared" si="5"/>
        <v>114.91073929166399</v>
      </c>
      <c r="P29" s="15">
        <f t="shared" si="5"/>
        <v>116.17262905252129</v>
      </c>
      <c r="Q29" s="15">
        <f t="shared" si="5"/>
        <v>117.50676889211171</v>
      </c>
      <c r="R29" s="15">
        <f t="shared" si="5"/>
        <v>118.94242717280494</v>
      </c>
      <c r="S29" s="15">
        <f t="shared" si="5"/>
        <v>120.491786699641</v>
      </c>
      <c r="T29" s="15">
        <f t="shared" si="5"/>
        <v>122.18250441857778</v>
      </c>
      <c r="U29" s="15">
        <f t="shared" si="5"/>
        <v>124.04041523205635</v>
      </c>
      <c r="V29" s="15">
        <f t="shared" si="5"/>
        <v>125.96231900504922</v>
      </c>
      <c r="W29" s="15">
        <f t="shared" si="5"/>
        <v>127.95359276878915</v>
      </c>
      <c r="X29" s="15">
        <f t="shared" si="5"/>
        <v>129.99201248506532</v>
      </c>
      <c r="Y29" s="15">
        <f t="shared" si="5"/>
        <v>132.09421021955413</v>
      </c>
      <c r="Z29" s="15">
        <f t="shared" si="5"/>
        <v>134.25535475689921</v>
      </c>
      <c r="AA29" s="15">
        <f t="shared" si="5"/>
        <v>136.41495522628196</v>
      </c>
      <c r="AB29" s="15">
        <f t="shared" si="5"/>
        <v>138.55701873760282</v>
      </c>
      <c r="AC29" s="15">
        <f t="shared" si="5"/>
        <v>140.68426773468107</v>
      </c>
      <c r="AD29" s="15">
        <f t="shared" si="5"/>
        <v>142.80858991783089</v>
      </c>
      <c r="AE29" s="15">
        <f t="shared" si="5"/>
        <v>144.93714292151174</v>
      </c>
      <c r="AF29" s="15">
        <f t="shared" si="5"/>
        <v>147.08736148877816</v>
      </c>
      <c r="AG29" s="15">
        <f t="shared" si="5"/>
        <v>149.25199762628532</v>
      </c>
      <c r="AH29" s="15">
        <f t="shared" si="5"/>
        <v>151.43456591920418</v>
      </c>
    </row>
    <row r="31" spans="1:36" x14ac:dyDescent="0.35">
      <c r="A31" s="14" t="s">
        <v>34</v>
      </c>
      <c r="C31" s="16">
        <f>C20</f>
        <v>1.8</v>
      </c>
      <c r="D31" s="16">
        <f>D20</f>
        <v>-8</v>
      </c>
      <c r="E31" s="16">
        <f t="shared" ref="E31:AH31" si="6">E32+E33</f>
        <v>7.2763965093855836</v>
      </c>
      <c r="F31" s="16">
        <f t="shared" si="6"/>
        <v>1.6428276852789661</v>
      </c>
      <c r="G31" s="16">
        <f t="shared" si="6"/>
        <v>1.6555109476340737</v>
      </c>
      <c r="H31" s="16">
        <f t="shared" si="6"/>
        <v>1.4571232395160085</v>
      </c>
      <c r="I31" s="16">
        <f t="shared" si="6"/>
        <v>0.88911028620158183</v>
      </c>
      <c r="J31" s="16">
        <f t="shared" si="6"/>
        <v>0.7967554212014416</v>
      </c>
      <c r="K31" s="16">
        <f t="shared" si="6"/>
        <v>0.82816007059447405</v>
      </c>
      <c r="L31" s="16">
        <f t="shared" si="6"/>
        <v>0.86571775015107955</v>
      </c>
      <c r="M31" s="16">
        <f t="shared" si="6"/>
        <v>0.85688938955858518</v>
      </c>
      <c r="N31" s="16">
        <f t="shared" si="6"/>
        <v>1.0596022998227892</v>
      </c>
      <c r="O31" s="16">
        <f t="shared" si="6"/>
        <v>0.9707155128307553</v>
      </c>
      <c r="P31" s="16">
        <f t="shared" si="6"/>
        <v>0.88468975154733931</v>
      </c>
      <c r="Q31" s="16">
        <f t="shared" si="6"/>
        <v>1.0811142094819362</v>
      </c>
      <c r="R31" s="16">
        <f t="shared" si="6"/>
        <v>1.1418413316753344</v>
      </c>
      <c r="S31" s="16">
        <f t="shared" si="6"/>
        <v>1.200001473826996</v>
      </c>
      <c r="T31" s="16">
        <f t="shared" si="6"/>
        <v>1.1305050348450973</v>
      </c>
      <c r="U31" s="16">
        <f t="shared" si="6"/>
        <v>1.3456659485303804</v>
      </c>
      <c r="V31" s="16">
        <f t="shared" si="6"/>
        <v>1.4187086956310875</v>
      </c>
      <c r="W31" s="16">
        <f t="shared" si="6"/>
        <v>1.3494443827854126</v>
      </c>
      <c r="X31" s="16">
        <f t="shared" si="6"/>
        <v>1.4332382002272377</v>
      </c>
      <c r="Y31" s="16">
        <f t="shared" si="6"/>
        <v>1.602159479560467</v>
      </c>
      <c r="Z31" s="16">
        <f t="shared" si="6"/>
        <v>1.4593434904331615</v>
      </c>
      <c r="AA31" s="16">
        <f t="shared" si="6"/>
        <v>1.4834496194027706</v>
      </c>
      <c r="AB31" s="16">
        <f t="shared" si="6"/>
        <v>1.4920536084907827</v>
      </c>
      <c r="AC31" s="16">
        <f t="shared" si="6"/>
        <v>1.4964298836985941</v>
      </c>
      <c r="AD31" s="16">
        <f t="shared" si="6"/>
        <v>1.5245141173808356</v>
      </c>
      <c r="AE31" s="16">
        <f t="shared" si="6"/>
        <v>1.5260148183756816</v>
      </c>
      <c r="AF31" s="16">
        <f t="shared" si="6"/>
        <v>1.5372601973498992</v>
      </c>
      <c r="AG31" s="16">
        <f t="shared" si="6"/>
        <v>1.4069567179421243</v>
      </c>
      <c r="AH31" s="16">
        <f t="shared" si="6"/>
        <v>1.5568770458147063</v>
      </c>
      <c r="AJ31" s="20"/>
    </row>
    <row r="32" spans="1:36" x14ac:dyDescent="0.35">
      <c r="A32" s="53" t="s">
        <v>77</v>
      </c>
      <c r="C32" s="16"/>
      <c r="D32" s="16"/>
      <c r="E32" s="16">
        <f>('1. Population'!E23-'1. Population'!D23)/'1. Population'!D23*100</f>
        <v>0.14858841010402457</v>
      </c>
      <c r="F32" s="16">
        <f>('1. Population'!F23-'1. Population'!E23)/'1. Population'!E23*100</f>
        <v>0.14836795252224674</v>
      </c>
      <c r="G32" s="16">
        <f>('1. Population'!G23-'1. Population'!F23)/'1. Population'!F23*100</f>
        <v>0.2962962962963005</v>
      </c>
      <c r="H32" s="16">
        <f>('1. Population'!H23-'1. Population'!G23)/'1. Population'!G23*100</f>
        <v>0.14771048744460016</v>
      </c>
      <c r="I32" s="16">
        <f>('1. Population'!I23-'1. Population'!H23)/'1. Population'!H23*100</f>
        <v>0.29498525073746734</v>
      </c>
      <c r="J32" s="16">
        <f>('1. Population'!J23-'1. Population'!I23)/'1. Population'!I23*100</f>
        <v>0.14705882352940342</v>
      </c>
      <c r="K32" s="16">
        <f>('1. Population'!K23-'1. Population'!J23)/'1. Population'!J23*100</f>
        <v>0.14684287812042368</v>
      </c>
      <c r="L32" s="16">
        <f>('1. Population'!L23-'1. Population'!K23)/'1. Population'!K23*100</f>
        <v>0.14662756598239635</v>
      </c>
      <c r="M32" s="16">
        <f>('1. Population'!M23-'1. Population'!L23)/'1. Population'!L23*100</f>
        <v>0.14641288433383387</v>
      </c>
      <c r="N32" s="16">
        <f>('1. Population'!N23-'1. Population'!M23)/'1. Population'!M23*100</f>
        <v>0.29239766081869684</v>
      </c>
      <c r="O32" s="16">
        <f>('1. Population'!O23-'1. Population'!N23)/'1. Population'!N23*100</f>
        <v>0.14577259475219903</v>
      </c>
      <c r="P32" s="16">
        <f>('1. Population'!P23-'1. Population'!O23)/'1. Population'!O23*100</f>
        <v>0</v>
      </c>
      <c r="Q32" s="16">
        <f>('1. Population'!Q23-'1. Population'!P23)/'1. Population'!P23*100</f>
        <v>0.14556040756913291</v>
      </c>
      <c r="R32" s="16">
        <f>('1. Population'!R23-'1. Population'!Q23)/'1. Population'!Q23*100</f>
        <v>0.14534883720931474</v>
      </c>
      <c r="S32" s="16">
        <f>('1. Population'!S23-'1. Population'!R23)/'1. Population'!R23*100</f>
        <v>0.14513788098692934</v>
      </c>
      <c r="T32" s="16">
        <f>('1. Population'!T23-'1. Population'!S23)/'1. Population'!S23*100</f>
        <v>0</v>
      </c>
      <c r="U32" s="16">
        <f>('1. Population'!U23-'1. Population'!T23)/'1. Population'!T23*100</f>
        <v>0.14492753623187582</v>
      </c>
      <c r="V32" s="16">
        <f>('1. Population'!V23-'1. Population'!U23)/'1. Population'!U23*100</f>
        <v>0.14471780028944795</v>
      </c>
      <c r="W32" s="16">
        <f>('1. Population'!W23-'1. Population'!V23)/'1. Population'!V23*100</f>
        <v>0</v>
      </c>
      <c r="X32" s="16">
        <f>('1. Population'!X23-'1. Population'!W23)/'1. Population'!W23*100</f>
        <v>0</v>
      </c>
      <c r="Y32" s="16">
        <f>('1. Population'!Y23-'1. Population'!X23)/'1. Population'!X23*100</f>
        <v>0.14450867052022298</v>
      </c>
      <c r="Z32" s="16">
        <f>('1. Population'!Z23-'1. Population'!Y23)/'1. Population'!Y23*100</f>
        <v>0</v>
      </c>
      <c r="AA32" s="16">
        <f>('1. Population'!AA23-'1. Population'!Z23)/'1. Population'!Z23*100</f>
        <v>0</v>
      </c>
      <c r="AB32" s="16">
        <f>('1. Population'!AB23-'1. Population'!AA23)/'1. Population'!AA23*100</f>
        <v>0</v>
      </c>
      <c r="AC32" s="16">
        <f>('1. Population'!AC23-'1. Population'!AB23)/'1. Population'!AB23*100</f>
        <v>0</v>
      </c>
      <c r="AD32" s="16">
        <f>('1. Population'!AD23-'1. Population'!AC23)/'1. Population'!AC23*100</f>
        <v>0</v>
      </c>
      <c r="AE32" s="16">
        <f>('1. Population'!AE23-'1. Population'!AD23)/'1. Population'!AD23*100</f>
        <v>0</v>
      </c>
      <c r="AF32" s="16">
        <f>('1. Population'!AF23-'1. Population'!AE23)/'1. Population'!AE23*100</f>
        <v>0</v>
      </c>
      <c r="AG32" s="16">
        <f>('1. Population'!AG23-'1. Population'!AF23)/'1. Population'!AF23*100</f>
        <v>-0.1443001443001361</v>
      </c>
      <c r="AH32" s="16">
        <f>('1. Population'!AH23-'1. Population'!AG23)/'1. Population'!AG23*100</f>
        <v>0</v>
      </c>
    </row>
    <row r="33" spans="1:34" x14ac:dyDescent="0.35">
      <c r="A33" s="53" t="s">
        <v>78</v>
      </c>
      <c r="C33" s="16"/>
      <c r="D33" s="16"/>
      <c r="E33" s="16">
        <f t="shared" ref="E33:AH33" si="7">E19</f>
        <v>7.1278080992815589</v>
      </c>
      <c r="F33" s="16">
        <f t="shared" si="7"/>
        <v>1.4944597327567193</v>
      </c>
      <c r="G33" s="16">
        <f t="shared" si="7"/>
        <v>1.3592146513377732</v>
      </c>
      <c r="H33" s="16">
        <f t="shared" si="7"/>
        <v>1.3094127520714083</v>
      </c>
      <c r="I33" s="16">
        <f t="shared" si="7"/>
        <v>0.59412503546411455</v>
      </c>
      <c r="J33" s="16">
        <f t="shared" si="7"/>
        <v>0.64969659767203825</v>
      </c>
      <c r="K33" s="16">
        <f t="shared" si="7"/>
        <v>0.68131719247405043</v>
      </c>
      <c r="L33" s="16">
        <f t="shared" si="7"/>
        <v>0.7190901841686832</v>
      </c>
      <c r="M33" s="16">
        <f t="shared" si="7"/>
        <v>0.71047650522475125</v>
      </c>
      <c r="N33" s="16">
        <f t="shared" si="7"/>
        <v>0.7672046390040923</v>
      </c>
      <c r="O33" s="16">
        <f t="shared" si="7"/>
        <v>0.82494291807855624</v>
      </c>
      <c r="P33" s="16">
        <f t="shared" si="7"/>
        <v>0.88468975154733931</v>
      </c>
      <c r="Q33" s="16">
        <f t="shared" si="7"/>
        <v>0.93555380191280324</v>
      </c>
      <c r="R33" s="16">
        <f t="shared" si="7"/>
        <v>0.99649249446601973</v>
      </c>
      <c r="S33" s="16">
        <f t="shared" si="7"/>
        <v>1.0548635928400667</v>
      </c>
      <c r="T33" s="16">
        <f t="shared" si="7"/>
        <v>1.1305050348450973</v>
      </c>
      <c r="U33" s="16">
        <f t="shared" si="7"/>
        <v>1.2007384122985045</v>
      </c>
      <c r="V33" s="16">
        <f t="shared" si="7"/>
        <v>1.2739908953416395</v>
      </c>
      <c r="W33" s="16">
        <f t="shared" si="7"/>
        <v>1.3494443827854126</v>
      </c>
      <c r="X33" s="16">
        <f t="shared" si="7"/>
        <v>1.4332382002272377</v>
      </c>
      <c r="Y33" s="16">
        <f t="shared" si="7"/>
        <v>1.457650809040244</v>
      </c>
      <c r="Z33" s="16">
        <f t="shared" si="7"/>
        <v>1.4593434904331615</v>
      </c>
      <c r="AA33" s="16">
        <f t="shared" si="7"/>
        <v>1.4834496194027706</v>
      </c>
      <c r="AB33" s="16">
        <f t="shared" si="7"/>
        <v>1.4920536084907827</v>
      </c>
      <c r="AC33" s="16">
        <f t="shared" si="7"/>
        <v>1.4964298836985941</v>
      </c>
      <c r="AD33" s="16">
        <f t="shared" si="7"/>
        <v>1.5245141173808356</v>
      </c>
      <c r="AE33" s="16">
        <f t="shared" si="7"/>
        <v>1.5260148183756816</v>
      </c>
      <c r="AF33" s="16">
        <f t="shared" si="7"/>
        <v>1.5372601973498992</v>
      </c>
      <c r="AG33" s="16">
        <f t="shared" si="7"/>
        <v>1.5512568622422604</v>
      </c>
      <c r="AH33" s="16">
        <f t="shared" si="7"/>
        <v>1.5568770458147063</v>
      </c>
    </row>
    <row r="34" spans="1:34" x14ac:dyDescent="0.35">
      <c r="A34" t="s">
        <v>81</v>
      </c>
      <c r="B34">
        <v>100</v>
      </c>
      <c r="C34" s="15">
        <f>B34*(1+C31/100)</f>
        <v>101.8</v>
      </c>
      <c r="D34" s="15">
        <f>C34*(1+D31/100)</f>
        <v>93.656000000000006</v>
      </c>
      <c r="E34" s="15">
        <f t="shared" ref="E34:AH34" si="8">D34*(1+E33/100)</f>
        <v>100.33161995346313</v>
      </c>
      <c r="F34" s="15">
        <f t="shared" si="8"/>
        <v>101.83103561289015</v>
      </c>
      <c r="G34" s="15">
        <f t="shared" si="8"/>
        <v>103.21513796854953</v>
      </c>
      <c r="H34" s="15">
        <f t="shared" si="8"/>
        <v>104.56665014717782</v>
      </c>
      <c r="I34" s="15">
        <f t="shared" si="8"/>
        <v>105.18790679444839</v>
      </c>
      <c r="J34" s="15">
        <f t="shared" si="8"/>
        <v>105.87130904605436</v>
      </c>
      <c r="K34" s="15">
        <f t="shared" si="8"/>
        <v>106.59262847648246</v>
      </c>
      <c r="L34" s="15">
        <f t="shared" si="8"/>
        <v>107.35912560490425</v>
      </c>
      <c r="M34" s="15">
        <f t="shared" si="8"/>
        <v>108.12188696854183</v>
      </c>
      <c r="N34" s="15">
        <f t="shared" si="8"/>
        <v>108.95140310114323</v>
      </c>
      <c r="O34" s="15">
        <f t="shared" si="8"/>
        <v>109.85018998517333</v>
      </c>
      <c r="P34" s="15">
        <f t="shared" si="8"/>
        <v>110.82202335802744</v>
      </c>
      <c r="Q34" s="15">
        <f t="shared" si="8"/>
        <v>111.85882301091017</v>
      </c>
      <c r="R34" s="15">
        <f t="shared" si="8"/>
        <v>112.97348778661193</v>
      </c>
      <c r="S34" s="15">
        <f t="shared" si="8"/>
        <v>114.16520397883451</v>
      </c>
      <c r="T34" s="15">
        <f t="shared" si="8"/>
        <v>115.4558473578564</v>
      </c>
      <c r="U34" s="15">
        <f t="shared" si="8"/>
        <v>116.84217006632691</v>
      </c>
      <c r="V34" s="15">
        <f t="shared" si="8"/>
        <v>118.33072867489152</v>
      </c>
      <c r="W34" s="15">
        <f t="shared" si="8"/>
        <v>119.9275360461039</v>
      </c>
      <c r="X34" s="15">
        <f t="shared" si="8"/>
        <v>121.64638330530794</v>
      </c>
      <c r="Y34" s="15">
        <f t="shared" si="8"/>
        <v>123.41956279572594</v>
      </c>
      <c r="Z34" s="15">
        <f t="shared" si="8"/>
        <v>125.22067815130642</v>
      </c>
      <c r="AA34" s="15">
        <f t="shared" si="8"/>
        <v>127.07826382475554</v>
      </c>
      <c r="AB34" s="15">
        <f t="shared" si="8"/>
        <v>128.97433964576024</v>
      </c>
      <c r="AC34" s="15">
        <f t="shared" si="8"/>
        <v>130.90435020652234</v>
      </c>
      <c r="AD34" s="15">
        <f t="shared" si="8"/>
        <v>132.90000550568641</v>
      </c>
      <c r="AE34" s="15">
        <f t="shared" si="8"/>
        <v>134.92807928332527</v>
      </c>
      <c r="AF34" s="15">
        <f t="shared" si="8"/>
        <v>137.00227494119656</v>
      </c>
      <c r="AG34" s="15">
        <f t="shared" si="8"/>
        <v>139.12753213264989</v>
      </c>
      <c r="AH34" s="15">
        <f t="shared" si="8"/>
        <v>141.2935767448316</v>
      </c>
    </row>
    <row r="35" spans="1:34" x14ac:dyDescent="0.35">
      <c r="D35" s="15"/>
      <c r="E35" s="15"/>
      <c r="F35" s="15"/>
      <c r="G35" s="15"/>
    </row>
    <row r="36" spans="1:34" x14ac:dyDescent="0.35">
      <c r="A36" s="14" t="s">
        <v>85</v>
      </c>
    </row>
    <row r="37" spans="1:34" x14ac:dyDescent="0.35">
      <c r="A37" t="s">
        <v>86</v>
      </c>
      <c r="B37">
        <v>2863726.0764961899</v>
      </c>
      <c r="C37">
        <v>2906391.9485202902</v>
      </c>
      <c r="D37">
        <v>2669280.2573897</v>
      </c>
      <c r="E37">
        <v>2823768.0962066599</v>
      </c>
      <c r="F37">
        <v>2935513.4370345101</v>
      </c>
      <c r="G37">
        <v>2992562</v>
      </c>
      <c r="H37">
        <v>3034071</v>
      </c>
      <c r="I37">
        <v>3071890</v>
      </c>
      <c r="J37">
        <v>3109641</v>
      </c>
      <c r="K37">
        <v>3148105</v>
      </c>
      <c r="L37">
        <v>3187267</v>
      </c>
      <c r="M37">
        <v>3226815</v>
      </c>
      <c r="N37">
        <v>3266564</v>
      </c>
      <c r="O37">
        <v>3306480</v>
      </c>
      <c r="P37">
        <v>3346445</v>
      </c>
      <c r="Q37">
        <v>3386504</v>
      </c>
      <c r="R37">
        <v>3426783</v>
      </c>
      <c r="S37">
        <v>3467468</v>
      </c>
      <c r="T37">
        <v>3508727</v>
      </c>
      <c r="U37">
        <v>3550510</v>
      </c>
      <c r="V37">
        <v>3592766</v>
      </c>
      <c r="W37">
        <v>3635469</v>
      </c>
      <c r="X37">
        <v>3678671</v>
      </c>
      <c r="Y37">
        <v>3722469</v>
      </c>
      <c r="Z37">
        <v>3766844</v>
      </c>
      <c r="AA37">
        <v>3811787</v>
      </c>
      <c r="AB37">
        <v>3857318</v>
      </c>
      <c r="AC37">
        <v>3903525</v>
      </c>
      <c r="AD37">
        <v>3950559</v>
      </c>
      <c r="AE37">
        <v>3998416</v>
      </c>
      <c r="AF37">
        <v>4047162</v>
      </c>
      <c r="AG37">
        <v>4096935</v>
      </c>
      <c r="AH37">
        <v>4147962</v>
      </c>
    </row>
    <row r="38" spans="1:34" x14ac:dyDescent="0.35">
      <c r="A38" t="s">
        <v>81</v>
      </c>
      <c r="B38" s="15">
        <v>100</v>
      </c>
      <c r="C38" s="15">
        <f t="shared" ref="C38:AH38" si="9">C37/$B37*100</f>
        <v>101.48987266534593</v>
      </c>
      <c r="D38" s="15">
        <f t="shared" si="9"/>
        <v>93.21004125700469</v>
      </c>
      <c r="E38" s="15">
        <f t="shared" si="9"/>
        <v>98.604685670969644</v>
      </c>
      <c r="F38" s="15">
        <f t="shared" si="9"/>
        <v>102.50678167606564</v>
      </c>
      <c r="G38" s="15">
        <f t="shared" si="9"/>
        <v>104.49889130672172</v>
      </c>
      <c r="H38" s="15">
        <f t="shared" si="9"/>
        <v>105.94836653204729</v>
      </c>
      <c r="I38" s="15">
        <f t="shared" si="9"/>
        <v>107.26898865126448</v>
      </c>
      <c r="J38" s="15">
        <f t="shared" si="9"/>
        <v>108.58723624169706</v>
      </c>
      <c r="K38" s="15">
        <f t="shared" si="9"/>
        <v>109.93038146482752</v>
      </c>
      <c r="L38" s="15">
        <f t="shared" si="9"/>
        <v>111.29790052754163</v>
      </c>
      <c r="M38" s="15">
        <f t="shared" si="9"/>
        <v>112.67889853306272</v>
      </c>
      <c r="N38" s="15">
        <f t="shared" si="9"/>
        <v>114.06691536631493</v>
      </c>
      <c r="O38" s="15">
        <f t="shared" si="9"/>
        <v>115.4607637629059</v>
      </c>
      <c r="P38" s="15">
        <f t="shared" si="9"/>
        <v>116.85632321700348</v>
      </c>
      <c r="Q38" s="15">
        <f t="shared" si="9"/>
        <v>118.25516510795042</v>
      </c>
      <c r="R38" s="15">
        <f t="shared" si="9"/>
        <v>119.66168929790652</v>
      </c>
      <c r="S38" s="15">
        <f t="shared" si="9"/>
        <v>121.08239082148866</v>
      </c>
      <c r="T38" s="15">
        <f t="shared" si="9"/>
        <v>122.52313616157653</v>
      </c>
      <c r="U38" s="15">
        <f t="shared" si="9"/>
        <v>123.98217934112262</v>
      </c>
      <c r="V38" s="15">
        <f t="shared" si="9"/>
        <v>125.4577394635384</v>
      </c>
      <c r="W38" s="15">
        <f t="shared" si="9"/>
        <v>126.94890862075916</v>
      </c>
      <c r="X38" s="15">
        <f t="shared" si="9"/>
        <v>128.45750262891437</v>
      </c>
      <c r="Y38" s="15">
        <f t="shared" si="9"/>
        <v>129.98690868347626</v>
      </c>
      <c r="Z38" s="15">
        <f t="shared" si="9"/>
        <v>131.53646331316673</v>
      </c>
      <c r="AA38" s="15">
        <f t="shared" si="9"/>
        <v>133.10585224211724</v>
      </c>
      <c r="AB38" s="15">
        <f t="shared" si="9"/>
        <v>134.69577386114682</v>
      </c>
      <c r="AC38" s="15">
        <f t="shared" si="9"/>
        <v>136.30930108985908</v>
      </c>
      <c r="AD38" s="15">
        <f t="shared" si="9"/>
        <v>137.95170677893768</v>
      </c>
      <c r="AE38" s="15">
        <f t="shared" si="9"/>
        <v>139.62285125021873</v>
      </c>
      <c r="AF38" s="15">
        <f t="shared" si="9"/>
        <v>141.32503919340502</v>
      </c>
      <c r="AG38" s="15">
        <f t="shared" si="9"/>
        <v>143.06308950514776</v>
      </c>
      <c r="AH38" s="15">
        <f t="shared" si="9"/>
        <v>144.84492892124274</v>
      </c>
    </row>
  </sheetData>
  <mergeCells count="2">
    <mergeCell ref="B2:J2"/>
    <mergeCell ref="B6:J6"/>
  </mergeCells>
  <hyperlinks>
    <hyperlink ref="B10" r:id="rId1" xr:uid="{00000000-0004-0000-0200-000000000000}"/>
    <hyperlink ref="B11" r:id="rId2" xr:uid="{00000000-0004-0000-0200-000001000000}"/>
  </hyperlinks>
  <pageMargins left="0.7" right="0.7" top="0.75" bottom="0.75" header="0.51180555555555496" footer="0.51180555555555496"/>
  <pageSetup paperSize="9" firstPageNumber="0" orientation="portrait" horizontalDpi="300" verticalDpi="30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4"/>
  </sheetPr>
  <dimension ref="A2:AK98"/>
  <sheetViews>
    <sheetView tabSelected="1" topLeftCell="J35" zoomScale="72" zoomScaleNormal="72" workbookViewId="0">
      <selection activeCell="AD47" sqref="AD47"/>
    </sheetView>
  </sheetViews>
  <sheetFormatPr baseColWidth="10" defaultColWidth="8.90625" defaultRowHeight="14.5" x14ac:dyDescent="0.35"/>
  <cols>
    <col min="1" max="3" width="10.453125" customWidth="1"/>
    <col min="4" max="4" width="16.90625" customWidth="1"/>
    <col min="5" max="1000" width="10.453125" customWidth="1"/>
    <col min="1001" max="1025" width="11.54296875" customWidth="1"/>
  </cols>
  <sheetData>
    <row r="2" spans="1:37" ht="95.15" customHeight="1" x14ac:dyDescent="0.35">
      <c r="B2" s="104" t="s">
        <v>87</v>
      </c>
      <c r="C2" s="104"/>
      <c r="D2" s="104"/>
      <c r="E2" s="104"/>
      <c r="F2" s="104"/>
      <c r="G2" s="104"/>
      <c r="H2" s="104"/>
      <c r="I2" s="104"/>
    </row>
    <row r="3" spans="1:37" x14ac:dyDescent="0.35">
      <c r="Y3" s="14"/>
    </row>
    <row r="4" spans="1:37" x14ac:dyDescent="0.35">
      <c r="B4" s="111" t="s">
        <v>88</v>
      </c>
      <c r="C4" s="111"/>
      <c r="D4" s="111"/>
      <c r="E4" s="110" t="s">
        <v>89</v>
      </c>
      <c r="F4" s="110"/>
      <c r="G4" s="110"/>
      <c r="H4" s="110"/>
      <c r="I4" s="110"/>
      <c r="J4" s="110"/>
      <c r="L4" s="110" t="s">
        <v>90</v>
      </c>
      <c r="M4" s="110"/>
      <c r="N4" s="110"/>
      <c r="O4" s="110"/>
      <c r="P4" s="110"/>
      <c r="Q4" s="110"/>
      <c r="R4" s="110"/>
    </row>
    <row r="5" spans="1:37" x14ac:dyDescent="0.35">
      <c r="E5" s="55">
        <v>2015</v>
      </c>
      <c r="F5" s="56">
        <v>2016</v>
      </c>
      <c r="G5" s="56">
        <v>2017</v>
      </c>
      <c r="H5" s="56">
        <v>2018</v>
      </c>
      <c r="I5" s="56">
        <v>2019</v>
      </c>
      <c r="J5" s="56">
        <v>2020</v>
      </c>
      <c r="K5" s="56">
        <v>2015</v>
      </c>
      <c r="L5" s="56">
        <v>2020</v>
      </c>
      <c r="M5" s="56">
        <v>2025</v>
      </c>
      <c r="N5" s="56">
        <v>2030</v>
      </c>
      <c r="O5" s="56">
        <v>2035</v>
      </c>
      <c r="P5" s="56">
        <v>2040</v>
      </c>
      <c r="Q5" s="56">
        <v>2045</v>
      </c>
      <c r="R5" s="57">
        <v>2050</v>
      </c>
    </row>
    <row r="6" spans="1:37" x14ac:dyDescent="0.35">
      <c r="A6" s="110" t="s">
        <v>91</v>
      </c>
      <c r="B6" s="110" t="s">
        <v>92</v>
      </c>
      <c r="C6" s="110"/>
      <c r="D6" s="110"/>
      <c r="E6" s="58"/>
      <c r="F6" s="59"/>
      <c r="G6" s="59"/>
      <c r="H6" s="59"/>
      <c r="I6" s="59"/>
      <c r="J6" s="59"/>
      <c r="K6" s="59">
        <v>2198432</v>
      </c>
      <c r="L6" s="60">
        <v>2148555.85993557</v>
      </c>
      <c r="M6" s="60">
        <v>2446132.0012574298</v>
      </c>
      <c r="N6" s="60">
        <v>2568653.9102448202</v>
      </c>
      <c r="O6" s="60">
        <v>2722186.4268937302</v>
      </c>
      <c r="P6" s="60">
        <v>2936818.36483631</v>
      </c>
      <c r="Q6" s="60">
        <v>3178380.9884028598</v>
      </c>
      <c r="R6" s="59">
        <v>3421254.9352878798</v>
      </c>
      <c r="Z6" s="61"/>
      <c r="AA6" s="61"/>
      <c r="AB6" s="61"/>
      <c r="AC6" s="61"/>
      <c r="AD6" s="61"/>
      <c r="AE6" s="61"/>
      <c r="AF6" s="61"/>
      <c r="AG6" s="61"/>
      <c r="AH6" s="61"/>
      <c r="AI6" s="61"/>
      <c r="AJ6" s="61"/>
      <c r="AK6" s="61"/>
    </row>
    <row r="7" spans="1:37" x14ac:dyDescent="0.35">
      <c r="A7" s="110"/>
      <c r="B7" s="110" t="s">
        <v>93</v>
      </c>
      <c r="C7" s="110"/>
      <c r="D7" s="110"/>
      <c r="E7" s="62">
        <v>1967.5</v>
      </c>
      <c r="F7" s="63">
        <v>1996.8</v>
      </c>
      <c r="G7" s="63">
        <v>2046.1</v>
      </c>
      <c r="H7" s="63">
        <v>2101.8000000000002</v>
      </c>
      <c r="I7" s="63">
        <v>2169.3000000000002</v>
      </c>
      <c r="J7" s="63">
        <v>2054.3000000000002</v>
      </c>
      <c r="K7" s="64">
        <v>1967467</v>
      </c>
      <c r="L7" s="65">
        <v>1918757.33744364</v>
      </c>
      <c r="M7" s="65">
        <v>2184506.2598973499</v>
      </c>
      <c r="N7" s="65">
        <v>2293923.8534777202</v>
      </c>
      <c r="O7" s="65">
        <v>2431035.31906704</v>
      </c>
      <c r="P7" s="65">
        <v>2622711.3250096701</v>
      </c>
      <c r="Q7" s="65">
        <v>2838437.64847345</v>
      </c>
      <c r="R7" s="64">
        <v>3055335.0428346498</v>
      </c>
      <c r="AF7" s="61"/>
      <c r="AG7" s="61"/>
      <c r="AH7" s="61"/>
      <c r="AI7" s="61"/>
      <c r="AJ7" s="61"/>
      <c r="AK7" s="61"/>
    </row>
    <row r="8" spans="1:37" x14ac:dyDescent="0.35">
      <c r="A8" s="110"/>
      <c r="B8" s="110" t="s">
        <v>94</v>
      </c>
      <c r="C8" s="110"/>
      <c r="D8" s="110"/>
      <c r="E8" s="66">
        <v>35.299999999999997</v>
      </c>
      <c r="F8" s="67">
        <v>32.1</v>
      </c>
      <c r="G8" s="67">
        <v>35.4</v>
      </c>
      <c r="H8" s="67">
        <v>39</v>
      </c>
      <c r="I8" s="67">
        <v>37.1</v>
      </c>
      <c r="J8" s="67">
        <v>36.799999999999997</v>
      </c>
      <c r="K8" s="67">
        <v>35299</v>
      </c>
      <c r="L8" s="68">
        <v>34104.681647137397</v>
      </c>
      <c r="M8" s="68">
        <v>35181.630853972099</v>
      </c>
      <c r="N8" s="68">
        <v>35288.436990753398</v>
      </c>
      <c r="O8" s="68">
        <v>35427.548239017902</v>
      </c>
      <c r="P8" s="68">
        <v>35570.259103377903</v>
      </c>
      <c r="Q8" s="68">
        <v>35606.058204860601</v>
      </c>
      <c r="R8" s="67">
        <v>35635.050576822803</v>
      </c>
      <c r="AF8" s="61"/>
      <c r="AG8" s="61"/>
      <c r="AH8" s="61"/>
      <c r="AI8" s="61"/>
      <c r="AJ8" s="61"/>
      <c r="AK8" s="61"/>
    </row>
    <row r="9" spans="1:37" x14ac:dyDescent="0.35">
      <c r="A9" s="110"/>
      <c r="B9" s="110" t="s">
        <v>95</v>
      </c>
      <c r="C9" s="110"/>
      <c r="D9" s="110"/>
      <c r="E9" s="66">
        <v>107.9</v>
      </c>
      <c r="F9" s="63">
        <v>108.4</v>
      </c>
      <c r="G9" s="63">
        <v>113.1</v>
      </c>
      <c r="H9" s="63">
        <v>117.4</v>
      </c>
      <c r="I9" s="63">
        <v>124.1</v>
      </c>
      <c r="J9" s="63">
        <v>106.7</v>
      </c>
      <c r="K9" s="63">
        <v>107884</v>
      </c>
      <c r="L9" s="68">
        <v>90720.938362229004</v>
      </c>
      <c r="M9" s="68">
        <v>114692.586912556</v>
      </c>
      <c r="N9" s="68">
        <v>118532.702148422</v>
      </c>
      <c r="O9" s="68">
        <v>123943.531769516</v>
      </c>
      <c r="P9" s="68">
        <v>130758.83396874899</v>
      </c>
      <c r="Q9" s="68">
        <v>138885.61966657001</v>
      </c>
      <c r="R9" s="63">
        <v>147322.870789687</v>
      </c>
      <c r="AF9" s="61"/>
      <c r="AG9" s="61"/>
      <c r="AH9" s="61"/>
      <c r="AI9" s="61"/>
      <c r="AJ9" s="61"/>
      <c r="AK9" s="61"/>
    </row>
    <row r="10" spans="1:37" x14ac:dyDescent="0.35">
      <c r="A10" s="110"/>
      <c r="B10" s="110" t="s">
        <v>96</v>
      </c>
      <c r="C10" s="110"/>
      <c r="D10" s="110"/>
      <c r="E10" s="66">
        <f>1099.9+443.6</f>
        <v>1543.5</v>
      </c>
      <c r="F10" s="63">
        <f>1125.2+449.9</f>
        <v>1575.1</v>
      </c>
      <c r="G10" s="63">
        <f>1154.6+460</f>
        <v>1614.6</v>
      </c>
      <c r="H10" s="63">
        <f>1189.9+466.7</f>
        <v>1656.6000000000001</v>
      </c>
      <c r="I10" s="63">
        <f>1233.2+474.2</f>
        <v>1707.4</v>
      </c>
      <c r="J10" s="63">
        <f>1158.2+480.6</f>
        <v>1638.8000000000002</v>
      </c>
      <c r="K10" s="63">
        <v>1557627</v>
      </c>
      <c r="L10" s="68">
        <v>1544431.62068959</v>
      </c>
      <c r="M10" s="68">
        <v>1755919.7893245199</v>
      </c>
      <c r="N10" s="68">
        <v>1852620.8452788501</v>
      </c>
      <c r="O10" s="68">
        <v>1971488.25196016</v>
      </c>
      <c r="P10" s="68">
        <v>2137995.5946368598</v>
      </c>
      <c r="Q10" s="68">
        <v>2324423.6735998699</v>
      </c>
      <c r="R10" s="63">
        <v>2511046.8666440998</v>
      </c>
      <c r="AF10" s="61"/>
      <c r="AG10" s="61"/>
      <c r="AH10" s="61"/>
      <c r="AI10" s="61"/>
      <c r="AJ10" s="61"/>
      <c r="AK10" s="61"/>
    </row>
    <row r="11" spans="1:37" x14ac:dyDescent="0.35">
      <c r="A11" s="110"/>
      <c r="B11" s="110" t="s">
        <v>97</v>
      </c>
      <c r="C11" s="110"/>
      <c r="D11" s="110"/>
      <c r="E11" s="62">
        <v>280.8</v>
      </c>
      <c r="F11" s="69">
        <v>281.10000000000002</v>
      </c>
      <c r="G11" s="69">
        <v>282.89999999999998</v>
      </c>
      <c r="H11" s="69">
        <v>288.8</v>
      </c>
      <c r="I11" s="69">
        <v>300.60000000000002</v>
      </c>
      <c r="J11" s="69">
        <v>272</v>
      </c>
      <c r="K11" s="67">
        <v>266657</v>
      </c>
      <c r="L11" s="70">
        <v>249767.07351702399</v>
      </c>
      <c r="M11" s="70">
        <v>278556.68674860703</v>
      </c>
      <c r="N11" s="70">
        <v>287397.68703646399</v>
      </c>
      <c r="O11" s="70">
        <v>300201.11106429499</v>
      </c>
      <c r="P11" s="70">
        <v>318622.22612492502</v>
      </c>
      <c r="Q11" s="70">
        <v>340000.5311044</v>
      </c>
      <c r="R11" s="67">
        <v>362055.96433595498</v>
      </c>
      <c r="S11" s="56">
        <v>2020</v>
      </c>
      <c r="T11" s="56">
        <v>2025</v>
      </c>
      <c r="U11" s="56">
        <v>2030</v>
      </c>
      <c r="V11" s="56">
        <v>2035</v>
      </c>
      <c r="W11" s="56">
        <v>2040</v>
      </c>
      <c r="X11" s="56">
        <v>2045</v>
      </c>
      <c r="Y11" s="57">
        <v>2050</v>
      </c>
      <c r="AF11" s="61"/>
      <c r="AG11" s="61"/>
      <c r="AH11" s="61"/>
      <c r="AI11" s="61"/>
      <c r="AJ11" s="61"/>
      <c r="AK11" s="61"/>
    </row>
    <row r="12" spans="1:37" x14ac:dyDescent="0.35">
      <c r="A12" s="110"/>
      <c r="C12" s="110" t="s">
        <v>98</v>
      </c>
      <c r="D12" s="110"/>
      <c r="E12" s="71"/>
      <c r="F12" s="72"/>
      <c r="G12" s="72"/>
      <c r="H12" s="72"/>
      <c r="I12" s="72"/>
      <c r="J12" s="73"/>
      <c r="K12" s="74">
        <v>38198.758106634399</v>
      </c>
      <c r="L12" s="75">
        <v>33799.104389439402</v>
      </c>
      <c r="M12" s="75">
        <v>37412.914324007397</v>
      </c>
      <c r="N12" s="75">
        <v>37670.554532624803</v>
      </c>
      <c r="O12" s="75">
        <v>38190.528460966001</v>
      </c>
      <c r="P12" s="75">
        <v>38688.180380096201</v>
      </c>
      <c r="Q12" s="75">
        <v>39102.222375101599</v>
      </c>
      <c r="R12" s="74">
        <v>39596.801192232597</v>
      </c>
      <c r="S12" s="46">
        <f t="shared" ref="S12:S20" si="0">L12/L$11</f>
        <v>0.13532249833217377</v>
      </c>
      <c r="T12" s="46">
        <f t="shared" ref="T12:T20" si="1">M12/M$11</f>
        <v>0.13430987696149602</v>
      </c>
      <c r="U12" s="46">
        <f t="shared" ref="U12:U20" si="2">N12/N$11</f>
        <v>0.13107466145976776</v>
      </c>
      <c r="V12" s="46">
        <f t="shared" ref="V12:V20" si="3">O12/O$11</f>
        <v>0.12721647939799469</v>
      </c>
      <c r="W12" s="46">
        <f t="shared" ref="W12:W20" si="4">P12/P$11</f>
        <v>0.12142335721716847</v>
      </c>
      <c r="X12" s="46">
        <f t="shared" ref="X12:X20" si="5">Q12/Q$11</f>
        <v>0.115006356749175</v>
      </c>
      <c r="Y12" s="46">
        <f t="shared" ref="Y12:Y20" si="6">R12/R$11</f>
        <v>0.10936652090473607</v>
      </c>
    </row>
    <row r="13" spans="1:37" x14ac:dyDescent="0.35">
      <c r="A13" s="110"/>
      <c r="C13" s="110" t="s">
        <v>99</v>
      </c>
      <c r="D13" s="110"/>
      <c r="E13" s="76"/>
      <c r="F13" s="77"/>
      <c r="G13" s="77"/>
      <c r="H13" s="77"/>
      <c r="I13" s="77"/>
      <c r="J13" s="78"/>
      <c r="K13" s="79">
        <v>228458.24189336601</v>
      </c>
      <c r="L13" s="80">
        <v>215980.157747688</v>
      </c>
      <c r="M13" s="80">
        <v>241198.67860881699</v>
      </c>
      <c r="N13" s="80">
        <v>249919.95987452299</v>
      </c>
      <c r="O13" s="80">
        <v>262381.63601811201</v>
      </c>
      <c r="P13" s="80">
        <v>280598.20835280098</v>
      </c>
      <c r="Q13" s="80">
        <v>301926.58039878099</v>
      </c>
      <c r="R13" s="79">
        <v>323853.201737786</v>
      </c>
      <c r="S13" s="46">
        <f t="shared" si="0"/>
        <v>0.86472630161544051</v>
      </c>
      <c r="T13" s="46">
        <f t="shared" si="1"/>
        <v>0.86588723259224776</v>
      </c>
      <c r="U13" s="46">
        <f t="shared" si="2"/>
        <v>0.86959628120741983</v>
      </c>
      <c r="V13" s="46">
        <f t="shared" si="3"/>
        <v>0.87401953672955235</v>
      </c>
      <c r="W13" s="46">
        <f t="shared" si="4"/>
        <v>0.88066112576460498</v>
      </c>
      <c r="X13" s="46">
        <f t="shared" si="5"/>
        <v>0.888017966966269</v>
      </c>
      <c r="Y13" s="46">
        <f t="shared" si="6"/>
        <v>0.89448381918459352</v>
      </c>
      <c r="AF13" s="46"/>
      <c r="AG13" s="46"/>
      <c r="AH13" s="46"/>
      <c r="AI13" s="46"/>
      <c r="AJ13" s="46"/>
      <c r="AK13" s="46"/>
    </row>
    <row r="14" spans="1:37" x14ac:dyDescent="0.35">
      <c r="A14" s="110"/>
      <c r="D14" t="s">
        <v>100</v>
      </c>
      <c r="E14" s="71"/>
      <c r="F14" s="72"/>
      <c r="G14" s="72"/>
      <c r="H14" s="72"/>
      <c r="I14" s="81">
        <f t="shared" ref="I14:I20" si="7">L14/K14</f>
        <v>0.92514597305960911</v>
      </c>
      <c r="J14" s="73"/>
      <c r="K14" s="67">
        <v>3543.4455515626701</v>
      </c>
      <c r="L14" s="70">
        <v>3278.2043827841899</v>
      </c>
      <c r="M14" s="70">
        <v>3284.4635152983701</v>
      </c>
      <c r="N14" s="70">
        <v>3241.2816038088299</v>
      </c>
      <c r="O14" s="70">
        <v>3211.8723666749502</v>
      </c>
      <c r="P14" s="70">
        <v>3187.4827743647802</v>
      </c>
      <c r="Q14" s="70">
        <v>3167.8939139362201</v>
      </c>
      <c r="R14" s="67">
        <v>3150.5383461557399</v>
      </c>
      <c r="S14" s="46">
        <f t="shared" si="0"/>
        <v>1.3125046214551371E-2</v>
      </c>
      <c r="T14" s="46">
        <f t="shared" si="1"/>
        <v>1.1791005822317761E-2</v>
      </c>
      <c r="U14" s="46">
        <f t="shared" si="2"/>
        <v>1.1278036497898426E-2</v>
      </c>
      <c r="V14" s="46">
        <f t="shared" si="3"/>
        <v>1.0699068885148308E-2</v>
      </c>
      <c r="W14" s="46">
        <f t="shared" si="4"/>
        <v>1.0003956136804579E-2</v>
      </c>
      <c r="X14" s="46">
        <f t="shared" si="5"/>
        <v>9.3173204866656284E-3</v>
      </c>
      <c r="Y14" s="46">
        <f t="shared" si="6"/>
        <v>8.7017993252345022E-3</v>
      </c>
      <c r="AB14" s="26"/>
      <c r="AC14" s="26"/>
      <c r="AD14" s="26"/>
      <c r="AE14" s="26"/>
      <c r="AF14" s="26"/>
      <c r="AG14" s="26"/>
      <c r="AH14" s="26"/>
      <c r="AI14" s="26"/>
      <c r="AJ14" s="26"/>
      <c r="AK14" s="26"/>
    </row>
    <row r="15" spans="1:37" x14ac:dyDescent="0.35">
      <c r="A15" s="110"/>
      <c r="D15" t="s">
        <v>101</v>
      </c>
      <c r="E15" s="82"/>
      <c r="F15" s="81"/>
      <c r="G15" s="81"/>
      <c r="H15" s="83"/>
      <c r="I15" s="81">
        <f t="shared" si="7"/>
        <v>0.9708799884003263</v>
      </c>
      <c r="J15" s="84"/>
      <c r="K15" s="63">
        <v>2717.5544484373299</v>
      </c>
      <c r="L15" s="68">
        <v>2638.41923137609</v>
      </c>
      <c r="M15" s="68">
        <v>2692.8347259417501</v>
      </c>
      <c r="N15" s="68">
        <v>2728.7514701121099</v>
      </c>
      <c r="O15" s="68">
        <v>2753.8673507685899</v>
      </c>
      <c r="P15" s="68">
        <v>2768.9057020452701</v>
      </c>
      <c r="Q15" s="68">
        <v>2773.8133147020499</v>
      </c>
      <c r="R15" s="63">
        <v>2772.8759226799398</v>
      </c>
      <c r="S15" s="46">
        <f t="shared" si="0"/>
        <v>1.056351901883599E-2</v>
      </c>
      <c r="T15" s="46">
        <f t="shared" si="1"/>
        <v>9.6670977723539286E-3</v>
      </c>
      <c r="U15" s="46">
        <f t="shared" si="2"/>
        <v>9.4946883471817775E-3</v>
      </c>
      <c r="V15" s="46">
        <f t="shared" si="3"/>
        <v>9.173408256236552E-3</v>
      </c>
      <c r="W15" s="46">
        <f t="shared" si="4"/>
        <v>8.6902465522277813E-3</v>
      </c>
      <c r="X15" s="46">
        <f t="shared" si="5"/>
        <v>8.1582617112157616E-3</v>
      </c>
      <c r="Y15" s="46">
        <f t="shared" si="6"/>
        <v>7.6586942236006456E-3</v>
      </c>
      <c r="AB15" s="26"/>
      <c r="AC15" s="26"/>
      <c r="AD15" s="26"/>
      <c r="AE15" s="26"/>
      <c r="AF15" s="26"/>
      <c r="AG15" s="26"/>
      <c r="AH15" s="26"/>
      <c r="AI15" s="26"/>
      <c r="AJ15" s="26"/>
      <c r="AK15" s="26"/>
    </row>
    <row r="16" spans="1:37" x14ac:dyDescent="0.35">
      <c r="A16" s="110"/>
      <c r="D16" t="s">
        <v>102</v>
      </c>
      <c r="E16" s="82"/>
      <c r="F16" s="81"/>
      <c r="G16" s="81"/>
      <c r="H16" s="81"/>
      <c r="I16" s="81">
        <f t="shared" si="7"/>
        <v>1.0730506187250288</v>
      </c>
      <c r="J16" s="84"/>
      <c r="K16" s="85">
        <v>32007</v>
      </c>
      <c r="L16" s="86">
        <v>34345.131153531998</v>
      </c>
      <c r="M16" s="86">
        <v>35555.747003791701</v>
      </c>
      <c r="N16" s="86">
        <v>36238.720925132999</v>
      </c>
      <c r="O16" s="86">
        <v>37339.876306079103</v>
      </c>
      <c r="P16" s="86">
        <v>38689.939312575501</v>
      </c>
      <c r="Q16" s="86">
        <v>40179.322077012999</v>
      </c>
      <c r="R16" s="85">
        <v>41801.949466668601</v>
      </c>
      <c r="S16" s="46">
        <f t="shared" si="0"/>
        <v>0.13750864223178341</v>
      </c>
      <c r="T16" s="46">
        <f t="shared" si="1"/>
        <v>0.12764276965959248</v>
      </c>
      <c r="U16" s="46">
        <f t="shared" si="2"/>
        <v>0.12609259767819619</v>
      </c>
      <c r="V16" s="46">
        <f t="shared" si="3"/>
        <v>0.12438287178118373</v>
      </c>
      <c r="W16" s="46">
        <f t="shared" si="4"/>
        <v>0.12142887764962761</v>
      </c>
      <c r="X16" s="46">
        <f t="shared" si="5"/>
        <v>0.11817429210037206</v>
      </c>
      <c r="Y16" s="46">
        <f t="shared" si="6"/>
        <v>0.11545714912703439</v>
      </c>
      <c r="AB16" s="46"/>
      <c r="AC16" s="46"/>
      <c r="AD16" s="46"/>
      <c r="AE16" s="46"/>
      <c r="AF16" s="46"/>
      <c r="AG16" s="46"/>
      <c r="AH16" s="46"/>
      <c r="AI16" s="46"/>
      <c r="AJ16" s="46"/>
      <c r="AK16" s="46"/>
    </row>
    <row r="17" spans="1:25" x14ac:dyDescent="0.35">
      <c r="A17" s="110"/>
      <c r="D17" t="s">
        <v>103</v>
      </c>
      <c r="E17" s="82"/>
      <c r="F17" s="81"/>
      <c r="G17" s="81"/>
      <c r="H17" s="81"/>
      <c r="I17" s="81">
        <f t="shared" si="7"/>
        <v>1.0189343973985083</v>
      </c>
      <c r="J17" s="84"/>
      <c r="K17" s="85">
        <v>7803</v>
      </c>
      <c r="L17" s="86">
        <v>7950.7451029005597</v>
      </c>
      <c r="M17" s="86">
        <v>8792.1443255419508</v>
      </c>
      <c r="N17" s="86">
        <v>9209.2747024927194</v>
      </c>
      <c r="O17" s="86">
        <v>9684.9649237064095</v>
      </c>
      <c r="P17" s="86">
        <v>10315.6169877547</v>
      </c>
      <c r="Q17" s="86">
        <v>11086.1893055862</v>
      </c>
      <c r="R17" s="85">
        <v>11854.0000180978</v>
      </c>
      <c r="S17" s="46">
        <f t="shared" si="0"/>
        <v>3.1832639070252154E-2</v>
      </c>
      <c r="T17" s="46">
        <f t="shared" si="1"/>
        <v>3.1563214037926585E-2</v>
      </c>
      <c r="U17" s="46">
        <f t="shared" si="2"/>
        <v>3.2043663250930339E-2</v>
      </c>
      <c r="V17" s="46">
        <f t="shared" si="3"/>
        <v>3.2261589203885895E-2</v>
      </c>
      <c r="W17" s="46">
        <f t="shared" si="4"/>
        <v>3.2375698058522022E-2</v>
      </c>
      <c r="X17" s="46">
        <f t="shared" si="5"/>
        <v>3.2606388200558702E-2</v>
      </c>
      <c r="Y17" s="46">
        <f t="shared" si="6"/>
        <v>3.2740794754863828E-2</v>
      </c>
    </row>
    <row r="18" spans="1:25" x14ac:dyDescent="0.35">
      <c r="A18" s="110"/>
      <c r="D18" t="s">
        <v>104</v>
      </c>
      <c r="E18" s="82"/>
      <c r="F18" s="81"/>
      <c r="G18" s="81"/>
      <c r="H18" s="81"/>
      <c r="I18" s="81">
        <f t="shared" si="7"/>
        <v>0.94554204292728961</v>
      </c>
      <c r="J18" s="84"/>
      <c r="K18" s="85">
        <v>8172</v>
      </c>
      <c r="L18" s="86">
        <v>7726.9695748018103</v>
      </c>
      <c r="M18" s="86">
        <v>8664.1815334448002</v>
      </c>
      <c r="N18" s="86">
        <v>9019.5503831533806</v>
      </c>
      <c r="O18" s="86">
        <v>9544.2983277668991</v>
      </c>
      <c r="P18" s="86">
        <v>10251.7984700383</v>
      </c>
      <c r="Q18" s="86">
        <v>11074.661156968299</v>
      </c>
      <c r="R18" s="85">
        <v>11958.9894272893</v>
      </c>
      <c r="S18" s="46">
        <f t="shared" si="0"/>
        <v>3.0936702208168139E-2</v>
      </c>
      <c r="T18" s="46">
        <f t="shared" si="1"/>
        <v>3.1103836115282654E-2</v>
      </c>
      <c r="U18" s="46">
        <f t="shared" si="2"/>
        <v>3.1383517648174437E-2</v>
      </c>
      <c r="V18" s="46">
        <f t="shared" si="3"/>
        <v>3.1793014669165454E-2</v>
      </c>
      <c r="W18" s="46">
        <f t="shared" si="4"/>
        <v>3.2175402810784418E-2</v>
      </c>
      <c r="X18" s="46">
        <f t="shared" si="5"/>
        <v>3.257248193405831E-2</v>
      </c>
      <c r="Y18" s="46">
        <f t="shared" si="6"/>
        <v>3.3030775916710067E-2</v>
      </c>
    </row>
    <row r="19" spans="1:25" x14ac:dyDescent="0.35">
      <c r="A19" s="110"/>
      <c r="D19" t="s">
        <v>105</v>
      </c>
      <c r="E19" s="82"/>
      <c r="F19" s="81"/>
      <c r="G19" s="81"/>
      <c r="H19" s="81"/>
      <c r="I19" s="81">
        <f t="shared" si="7"/>
        <v>0.95399984177680597</v>
      </c>
      <c r="J19" s="84"/>
      <c r="K19" s="63">
        <v>43787</v>
      </c>
      <c r="L19" s="68">
        <v>41772.791071881002</v>
      </c>
      <c r="M19" s="68">
        <v>47270.194852360401</v>
      </c>
      <c r="N19" s="68">
        <v>48849.282509802099</v>
      </c>
      <c r="O19" s="68">
        <v>51241.160430527299</v>
      </c>
      <c r="P19" s="68">
        <v>54771.525504404199</v>
      </c>
      <c r="Q19" s="68">
        <v>59466.088876425303</v>
      </c>
      <c r="R19" s="63">
        <v>64466.392324292603</v>
      </c>
      <c r="S19" s="46">
        <f t="shared" si="0"/>
        <v>0.16724698929954748</v>
      </c>
      <c r="T19" s="46">
        <f t="shared" si="1"/>
        <v>0.16969685920704894</v>
      </c>
      <c r="U19" s="46">
        <f t="shared" si="2"/>
        <v>0.16997103565278268</v>
      </c>
      <c r="V19" s="46">
        <f t="shared" si="3"/>
        <v>0.17068944298328337</v>
      </c>
      <c r="W19" s="46">
        <f t="shared" si="4"/>
        <v>0.17190114503477685</v>
      </c>
      <c r="X19" s="46">
        <f t="shared" si="5"/>
        <v>0.1748999881949177</v>
      </c>
      <c r="Y19" s="46">
        <f t="shared" si="6"/>
        <v>0.17805642959792167</v>
      </c>
    </row>
    <row r="20" spans="1:25" x14ac:dyDescent="0.35">
      <c r="A20" s="110"/>
      <c r="D20" t="s">
        <v>106</v>
      </c>
      <c r="E20" s="76"/>
      <c r="F20" s="77"/>
      <c r="G20" s="77"/>
      <c r="H20" s="77"/>
      <c r="I20" s="81">
        <f t="shared" si="7"/>
        <v>0.90773867160861388</v>
      </c>
      <c r="J20" s="78"/>
      <c r="K20" s="63">
        <v>130428.24189336599</v>
      </c>
      <c r="L20" s="68">
        <v>118394.759036531</v>
      </c>
      <c r="M20" s="68">
        <v>134944.06964320299</v>
      </c>
      <c r="N20" s="68">
        <v>140596.88054085599</v>
      </c>
      <c r="O20" s="68">
        <v>148511.460678862</v>
      </c>
      <c r="P20" s="68">
        <v>160427.22514580601</v>
      </c>
      <c r="Q20" s="68">
        <v>173877.47063622199</v>
      </c>
      <c r="R20" s="63">
        <v>187424.67822396901</v>
      </c>
      <c r="S20" s="46">
        <f t="shared" si="0"/>
        <v>0.47402068402927927</v>
      </c>
      <c r="T20" s="46">
        <f t="shared" si="1"/>
        <v>0.48444024524526264</v>
      </c>
      <c r="U20" s="46">
        <f t="shared" si="2"/>
        <v>0.48920672254059427</v>
      </c>
      <c r="V20" s="46">
        <f t="shared" si="3"/>
        <v>0.49470656571639021</v>
      </c>
      <c r="W20" s="46">
        <f t="shared" si="4"/>
        <v>0.50350293228729714</v>
      </c>
      <c r="X20" s="46">
        <f t="shared" si="5"/>
        <v>0.51140352655164367</v>
      </c>
      <c r="Y20" s="46">
        <f t="shared" si="6"/>
        <v>0.51766769970969451</v>
      </c>
    </row>
    <row r="21" spans="1:25" x14ac:dyDescent="0.35">
      <c r="A21" s="110" t="s">
        <v>107</v>
      </c>
      <c r="B21" s="110" t="s">
        <v>94</v>
      </c>
      <c r="C21" s="110"/>
      <c r="D21" s="110"/>
      <c r="E21" s="87">
        <f t="shared" ref="E21:J24" si="8">E8/E$7</f>
        <v>1.7941550190597202E-2</v>
      </c>
      <c r="F21" s="87">
        <f t="shared" si="8"/>
        <v>1.6075721153846156E-2</v>
      </c>
      <c r="G21" s="87">
        <f t="shared" si="8"/>
        <v>1.7301207174624897E-2</v>
      </c>
      <c r="H21" s="87">
        <f t="shared" si="8"/>
        <v>1.8555523836711389E-2</v>
      </c>
      <c r="I21" s="87">
        <f t="shared" si="8"/>
        <v>1.7102291061632784E-2</v>
      </c>
      <c r="J21" s="87">
        <f t="shared" si="8"/>
        <v>1.7913644550455139E-2</v>
      </c>
      <c r="K21" s="88">
        <v>1.79413428535269</v>
      </c>
      <c r="L21" s="88">
        <v>1.7774358946595601</v>
      </c>
      <c r="M21" s="88">
        <v>1.6105072116215999</v>
      </c>
      <c r="N21" s="88">
        <v>1.53834387036231</v>
      </c>
      <c r="O21" s="88">
        <v>1.4573029014080301</v>
      </c>
      <c r="P21" s="88">
        <v>1.3562399629797901</v>
      </c>
      <c r="Q21" s="88">
        <v>1.2544245325948999</v>
      </c>
      <c r="R21" s="89">
        <v>1.16632218978386</v>
      </c>
      <c r="S21" s="46"/>
      <c r="T21" s="46"/>
      <c r="U21" s="46"/>
      <c r="V21" s="46"/>
      <c r="W21" s="46"/>
      <c r="X21" s="46"/>
      <c r="Y21" s="46"/>
    </row>
    <row r="22" spans="1:25" x14ac:dyDescent="0.35">
      <c r="A22" s="110"/>
      <c r="B22" s="110" t="s">
        <v>95</v>
      </c>
      <c r="C22" s="110"/>
      <c r="D22" s="110"/>
      <c r="E22" s="87">
        <f t="shared" si="8"/>
        <v>5.4841168996188058E-2</v>
      </c>
      <c r="F22" s="87">
        <f t="shared" si="8"/>
        <v>5.4286858974358976E-2</v>
      </c>
      <c r="G22" s="87">
        <f t="shared" si="8"/>
        <v>5.5275890718928695E-2</v>
      </c>
      <c r="H22" s="87">
        <f t="shared" si="8"/>
        <v>5.5856884575126081E-2</v>
      </c>
      <c r="I22" s="87">
        <f t="shared" si="8"/>
        <v>5.7207394090259524E-2</v>
      </c>
      <c r="J22" s="87">
        <f t="shared" si="8"/>
        <v>5.1939833519933795E-2</v>
      </c>
      <c r="K22" s="81">
        <v>5.4833956554290397</v>
      </c>
      <c r="L22" s="81">
        <v>4.72810900012486</v>
      </c>
      <c r="M22" s="81">
        <v>5.2502750400882396</v>
      </c>
      <c r="N22" s="81">
        <v>5.1672465922841901</v>
      </c>
      <c r="O22" s="81">
        <v>5.0983846593015096</v>
      </c>
      <c r="P22" s="81">
        <v>4.9856357701992504</v>
      </c>
      <c r="Q22" s="81">
        <v>4.8930304930694701</v>
      </c>
      <c r="R22" s="90">
        <v>4.8218237517089104</v>
      </c>
    </row>
    <row r="23" spans="1:25" x14ac:dyDescent="0.35">
      <c r="A23" s="110"/>
      <c r="B23" s="110" t="s">
        <v>96</v>
      </c>
      <c r="C23" s="110"/>
      <c r="D23" s="110"/>
      <c r="E23" s="87">
        <f t="shared" si="8"/>
        <v>0.78449809402795423</v>
      </c>
      <c r="F23" s="87">
        <f t="shared" si="8"/>
        <v>0.78881209935897434</v>
      </c>
      <c r="G23" s="87">
        <f t="shared" si="8"/>
        <v>0.78911099164263721</v>
      </c>
      <c r="H23" s="87">
        <f t="shared" si="8"/>
        <v>0.7881815586640023</v>
      </c>
      <c r="I23" s="87">
        <f t="shared" si="8"/>
        <v>0.78707417139169311</v>
      </c>
      <c r="J23" s="87">
        <f t="shared" si="8"/>
        <v>0.79774132307842094</v>
      </c>
      <c r="K23" s="81">
        <v>79.169155060796498</v>
      </c>
      <c r="L23" s="81">
        <v>80.491242459415503</v>
      </c>
      <c r="M23" s="81">
        <v>80.3806252039317</v>
      </c>
      <c r="N23" s="81">
        <v>80.762089921606005</v>
      </c>
      <c r="O23" s="81">
        <v>81.096651969530498</v>
      </c>
      <c r="P23" s="81">
        <v>81.518525285240003</v>
      </c>
      <c r="Q23" s="81">
        <v>81.890954160996998</v>
      </c>
      <c r="R23" s="90">
        <v>82.185646792910205</v>
      </c>
    </row>
    <row r="24" spans="1:25" x14ac:dyDescent="0.35">
      <c r="A24" s="110"/>
      <c r="B24" s="110" t="s">
        <v>97</v>
      </c>
      <c r="C24" s="110"/>
      <c r="D24" s="110"/>
      <c r="E24" s="87">
        <f t="shared" si="8"/>
        <v>0.14271918678526049</v>
      </c>
      <c r="F24" s="87">
        <f t="shared" si="8"/>
        <v>0.14077524038461539</v>
      </c>
      <c r="G24" s="87">
        <f t="shared" si="8"/>
        <v>0.13826303699721421</v>
      </c>
      <c r="H24" s="87">
        <f t="shared" si="8"/>
        <v>0.13740603292416023</v>
      </c>
      <c r="I24" s="87">
        <f t="shared" si="8"/>
        <v>0.13857004563684139</v>
      </c>
      <c r="J24" s="87">
        <f t="shared" si="8"/>
        <v>0.13240519885119018</v>
      </c>
      <c r="K24" s="81">
        <v>13.553314998421801</v>
      </c>
      <c r="L24" s="81">
        <v>13.017126691475699</v>
      </c>
      <c r="M24" s="81">
        <v>12.751471207122799</v>
      </c>
      <c r="N24" s="81">
        <v>12.5286498329381</v>
      </c>
      <c r="O24" s="81">
        <v>12.348693937507401</v>
      </c>
      <c r="P24" s="81">
        <v>12.148581625686599</v>
      </c>
      <c r="Q24" s="81">
        <v>11.978439311050501</v>
      </c>
      <c r="R24" s="90">
        <v>11.8499594728587</v>
      </c>
    </row>
    <row r="25" spans="1:25" x14ac:dyDescent="0.35">
      <c r="A25" s="110"/>
      <c r="C25" s="110" t="s">
        <v>98</v>
      </c>
      <c r="D25" s="110"/>
      <c r="F25" s="81"/>
      <c r="G25" s="81"/>
      <c r="H25" s="81"/>
      <c r="I25" s="81"/>
      <c r="J25" s="81"/>
      <c r="K25" s="81">
        <v>1.9415196344657599</v>
      </c>
      <c r="L25" s="81">
        <v>1.76151010499691</v>
      </c>
      <c r="M25" s="81">
        <v>1.7126485289067299</v>
      </c>
      <c r="N25" s="81">
        <v>1.64218853540034</v>
      </c>
      <c r="O25" s="81">
        <v>1.57095736789305</v>
      </c>
      <c r="P25" s="81">
        <v>1.47512156641767</v>
      </c>
      <c r="Q25" s="81">
        <v>1.37759666470501</v>
      </c>
      <c r="R25" s="90">
        <v>1.2959888404086699</v>
      </c>
    </row>
    <row r="26" spans="1:25" x14ac:dyDescent="0.35">
      <c r="A26" s="110"/>
      <c r="C26" s="110" t="s">
        <v>99</v>
      </c>
      <c r="D26" s="110"/>
      <c r="F26" s="81"/>
      <c r="G26" s="81"/>
      <c r="H26" s="81"/>
      <c r="I26" s="81"/>
      <c r="J26" s="81"/>
      <c r="K26" s="81">
        <v>11.6117953639561</v>
      </c>
      <c r="L26" s="81">
        <v>11.256251821579401</v>
      </c>
      <c r="M26" s="81">
        <v>11.0413361150153</v>
      </c>
      <c r="N26" s="81">
        <v>10.8948673032729</v>
      </c>
      <c r="O26" s="81">
        <v>10.792999754475201</v>
      </c>
      <c r="P26" s="81">
        <v>10.6987835709203</v>
      </c>
      <c r="Q26" s="81">
        <v>10.6370693244279</v>
      </c>
      <c r="R26" s="90">
        <v>10.5995970064653</v>
      </c>
    </row>
    <row r="27" spans="1:25" x14ac:dyDescent="0.35">
      <c r="A27" s="110"/>
      <c r="D27" t="s">
        <v>100</v>
      </c>
      <c r="F27" s="81"/>
      <c r="G27" s="81"/>
      <c r="H27" s="81"/>
      <c r="I27" s="81"/>
      <c r="J27" s="81"/>
      <c r="K27" s="81">
        <v>0.18010190521938499</v>
      </c>
      <c r="L27" s="81">
        <v>0.17085038940628799</v>
      </c>
      <c r="M27" s="81">
        <v>0.150352671246303</v>
      </c>
      <c r="N27" s="81">
        <v>0.141298570085265</v>
      </c>
      <c r="O27" s="81">
        <v>0.13211952707900501</v>
      </c>
      <c r="P27" s="81">
        <v>0.121533877707759</v>
      </c>
      <c r="Q27" s="81">
        <v>0.111606957991132</v>
      </c>
      <c r="R27" s="90">
        <v>0.10311596934497801</v>
      </c>
    </row>
    <row r="28" spans="1:25" x14ac:dyDescent="0.35">
      <c r="A28" s="110"/>
      <c r="D28" t="s">
        <v>101</v>
      </c>
      <c r="F28" s="81"/>
      <c r="G28" s="81"/>
      <c r="I28" s="81"/>
      <c r="J28" s="81"/>
      <c r="K28" s="81">
        <v>0.13812452500790801</v>
      </c>
      <c r="L28" s="81">
        <v>0.13750666537600101</v>
      </c>
      <c r="M28" s="81">
        <v>0.123269718900612</v>
      </c>
      <c r="N28" s="81">
        <v>0.118955625574718</v>
      </c>
      <c r="O28" s="81">
        <v>0.113279610920069</v>
      </c>
      <c r="P28" s="81">
        <v>0.10557416958708001</v>
      </c>
      <c r="Q28" s="81">
        <v>9.7723242791464798E-2</v>
      </c>
      <c r="R28" s="90">
        <v>9.0755216164684294E-2</v>
      </c>
    </row>
    <row r="29" spans="1:25" x14ac:dyDescent="0.35">
      <c r="A29" s="110"/>
      <c r="D29" t="s">
        <v>102</v>
      </c>
      <c r="F29" s="81"/>
      <c r="G29" s="81"/>
      <c r="I29" s="81"/>
      <c r="J29" s="81"/>
      <c r="K29" s="81">
        <v>1.6268125462841301</v>
      </c>
      <c r="L29" s="81">
        <v>1.7899674171039299</v>
      </c>
      <c r="M29" s="81">
        <v>1.6276331021117101</v>
      </c>
      <c r="N29" s="81">
        <v>1.57977000283566</v>
      </c>
      <c r="O29" s="81">
        <v>1.5359660146940599</v>
      </c>
      <c r="P29" s="81">
        <v>1.47518863184201</v>
      </c>
      <c r="Q29" s="81">
        <v>1.41554358605066</v>
      </c>
      <c r="R29" s="90">
        <v>1.36816253800716</v>
      </c>
    </row>
    <row r="30" spans="1:25" x14ac:dyDescent="0.35">
      <c r="A30" s="110"/>
      <c r="D30" t="s">
        <v>103</v>
      </c>
      <c r="F30" s="81"/>
      <c r="G30" s="81"/>
      <c r="I30" s="81"/>
      <c r="J30" s="81"/>
      <c r="K30" s="81">
        <v>0.39660131529525</v>
      </c>
      <c r="L30" s="81">
        <v>0.41436949570149001</v>
      </c>
      <c r="M30" s="81">
        <v>0.40247741500887602</v>
      </c>
      <c r="N30" s="81">
        <v>0.40146383623549298</v>
      </c>
      <c r="O30" s="81">
        <v>0.39838849101637902</v>
      </c>
      <c r="P30" s="81">
        <v>0.39331881055253798</v>
      </c>
      <c r="Q30" s="81">
        <v>0.390573642212943</v>
      </c>
      <c r="R30" s="90">
        <v>0.38797709095432098</v>
      </c>
    </row>
    <row r="31" spans="1:25" x14ac:dyDescent="0.35">
      <c r="A31" s="110"/>
      <c r="D31" t="s">
        <v>104</v>
      </c>
      <c r="F31" s="81"/>
      <c r="G31" s="81"/>
      <c r="I31" s="81"/>
      <c r="J31" s="81"/>
      <c r="K31" s="81">
        <v>0.41535639479594799</v>
      </c>
      <c r="L31" s="81">
        <v>0.40270697206018002</v>
      </c>
      <c r="M31" s="81">
        <v>0.39661967065509401</v>
      </c>
      <c r="N31" s="81">
        <v>0.39319310313980999</v>
      </c>
      <c r="O31" s="81">
        <v>0.39260220750020702</v>
      </c>
      <c r="P31" s="81">
        <v>0.39088550738615901</v>
      </c>
      <c r="Q31" s="81">
        <v>0.39016749805740403</v>
      </c>
      <c r="R31" s="90">
        <v>0.39141335597008903</v>
      </c>
    </row>
    <row r="32" spans="1:25" x14ac:dyDescent="0.35">
      <c r="A32" s="110"/>
      <c r="D32" t="s">
        <v>105</v>
      </c>
      <c r="F32" s="81"/>
      <c r="G32" s="81"/>
      <c r="I32" s="81"/>
      <c r="J32" s="81"/>
      <c r="K32" s="81">
        <v>2.2255519406424602</v>
      </c>
      <c r="L32" s="81">
        <v>2.1770752484800902</v>
      </c>
      <c r="M32" s="81">
        <v>2.16388461411786</v>
      </c>
      <c r="N32" s="81">
        <v>2.1295075874355498</v>
      </c>
      <c r="O32" s="81">
        <v>2.1077916897641802</v>
      </c>
      <c r="P32" s="81">
        <v>2.0883550920039702</v>
      </c>
      <c r="Q32" s="81">
        <v>2.0950288940962598</v>
      </c>
      <c r="R32" s="90">
        <v>2.1099614746172799</v>
      </c>
    </row>
    <row r="33" spans="1:30" x14ac:dyDescent="0.35">
      <c r="A33" s="110"/>
      <c r="D33" t="s">
        <v>106</v>
      </c>
      <c r="F33" s="81"/>
      <c r="G33" s="81"/>
      <c r="I33" s="81"/>
      <c r="J33" s="81"/>
      <c r="K33" s="81">
        <v>6.6292467367109902</v>
      </c>
      <c r="L33" s="81">
        <v>6.17038729838906</v>
      </c>
      <c r="M33" s="81">
        <v>6.1773258388165102</v>
      </c>
      <c r="N33" s="81">
        <v>6.1290997226304</v>
      </c>
      <c r="O33" s="81">
        <v>6.1089799689070796</v>
      </c>
      <c r="P33" s="81">
        <v>6.1168464716647701</v>
      </c>
      <c r="Q33" s="81">
        <v>6.1258161062560603</v>
      </c>
      <c r="R33" s="90">
        <v>6.1343412619678501</v>
      </c>
    </row>
    <row r="36" spans="1:30" x14ac:dyDescent="0.35">
      <c r="B36" s="111" t="s">
        <v>108</v>
      </c>
      <c r="C36" s="111"/>
      <c r="D36" s="111"/>
    </row>
    <row r="37" spans="1:30" x14ac:dyDescent="0.35">
      <c r="E37" s="56">
        <v>2018</v>
      </c>
      <c r="F37" s="56">
        <v>2019</v>
      </c>
      <c r="G37" s="56">
        <v>2020</v>
      </c>
      <c r="H37" s="56">
        <v>2025</v>
      </c>
      <c r="I37" s="56">
        <v>2030</v>
      </c>
      <c r="J37" s="56">
        <v>2035</v>
      </c>
      <c r="K37" s="56">
        <v>2040</v>
      </c>
      <c r="L37" s="56">
        <v>2045</v>
      </c>
      <c r="M37" s="57">
        <v>2050</v>
      </c>
    </row>
    <row r="38" spans="1:30" x14ac:dyDescent="0.35">
      <c r="A38" s="110" t="s">
        <v>109</v>
      </c>
      <c r="B38" s="110" t="s">
        <v>92</v>
      </c>
      <c r="C38" s="110"/>
      <c r="D38" s="110"/>
      <c r="U38" t="s">
        <v>110</v>
      </c>
      <c r="V38">
        <v>2018</v>
      </c>
      <c r="W38">
        <v>2019</v>
      </c>
      <c r="X38">
        <v>2020</v>
      </c>
      <c r="Y38">
        <v>2025</v>
      </c>
      <c r="Z38">
        <v>2030</v>
      </c>
      <c r="AA38">
        <v>2035</v>
      </c>
      <c r="AB38">
        <v>2040</v>
      </c>
      <c r="AC38">
        <v>2045</v>
      </c>
      <c r="AD38">
        <v>2050</v>
      </c>
    </row>
    <row r="39" spans="1:30" x14ac:dyDescent="0.35">
      <c r="A39" s="110"/>
      <c r="B39" s="110" t="s">
        <v>93</v>
      </c>
      <c r="C39" s="110"/>
      <c r="D39" s="110"/>
      <c r="E39" s="91">
        <f>H7</f>
        <v>2101.8000000000002</v>
      </c>
      <c r="F39" s="91">
        <f>I7</f>
        <v>2169.3000000000002</v>
      </c>
      <c r="G39" s="91">
        <f>J7</f>
        <v>2054.3000000000002</v>
      </c>
      <c r="H39" s="61">
        <f>M7*'2. PIB'!I34/'2. PIB'!I25/1000</f>
        <v>2171.1819430943178</v>
      </c>
      <c r="I39" s="61">
        <f>N7*'2. PIB'!N34/'2. PIB'!N25/1000</f>
        <v>2248.1203446851277</v>
      </c>
      <c r="J39" s="61">
        <f>O7*'2. PIB'!S34/'2. PIB'!S25/1000</f>
        <v>2349.2234786372251</v>
      </c>
      <c r="K39" s="61">
        <f>P7*'2. PIB'!X34/'2. PIB'!X25/1000</f>
        <v>2505.46731419664</v>
      </c>
      <c r="L39" s="61">
        <f>Q7*'2. PIB'!AC34/'2. PIB'!AC25/1000</f>
        <v>2691.5975082413192</v>
      </c>
      <c r="M39" s="61">
        <f>R7*'2. PIB'!AH34/'2. PIB'!AH25/1000</f>
        <v>2884.6662361305989</v>
      </c>
      <c r="O39" t="s">
        <v>111</v>
      </c>
      <c r="U39" t="s">
        <v>112</v>
      </c>
      <c r="V39">
        <v>100</v>
      </c>
      <c r="W39">
        <v>101.4</v>
      </c>
      <c r="X39">
        <v>102.81959999999999</v>
      </c>
      <c r="Y39">
        <v>108.06443294726201</v>
      </c>
      <c r="Z39">
        <v>114.14018098909099</v>
      </c>
      <c r="AA39">
        <v>121.754713661197</v>
      </c>
      <c r="AB39">
        <v>129.87722789871</v>
      </c>
      <c r="AC39">
        <v>138.54161222531201</v>
      </c>
      <c r="AD39">
        <v>147.78401593971299</v>
      </c>
    </row>
    <row r="40" spans="1:30" x14ac:dyDescent="0.35">
      <c r="A40" s="110"/>
      <c r="B40" s="110" t="s">
        <v>94</v>
      </c>
      <c r="C40" s="110"/>
      <c r="D40" s="110"/>
      <c r="E40" s="61">
        <f t="shared" ref="E40:M40" si="9">E$39*E53</f>
        <v>39</v>
      </c>
      <c r="F40" s="61">
        <f t="shared" si="9"/>
        <v>37.1</v>
      </c>
      <c r="G40" s="61">
        <f t="shared" si="9"/>
        <v>36.799999999999997</v>
      </c>
      <c r="H40" s="61">
        <f t="shared" si="9"/>
        <v>34.967041770959973</v>
      </c>
      <c r="I40" s="61">
        <f t="shared" si="9"/>
        <v>34.583821520831698</v>
      </c>
      <c r="J40" s="61">
        <f t="shared" si="9"/>
        <v>34.235301914738933</v>
      </c>
      <c r="K40" s="61">
        <f t="shared" si="9"/>
        <v>33.980148974531254</v>
      </c>
      <c r="L40" s="61">
        <f t="shared" si="9"/>
        <v>33.764059462092142</v>
      </c>
      <c r="M40" s="61">
        <f t="shared" si="9"/>
        <v>33.644502413194054</v>
      </c>
      <c r="N40" s="115">
        <f>M40/G40-1</f>
        <v>-8.5747217032770218E-2</v>
      </c>
      <c r="O40" t="s">
        <v>204</v>
      </c>
      <c r="U40" t="s">
        <v>113</v>
      </c>
      <c r="V40">
        <v>100</v>
      </c>
      <c r="W40">
        <v>101.7</v>
      </c>
      <c r="X40">
        <v>103.4289</v>
      </c>
      <c r="Y40">
        <v>112.52439082213699</v>
      </c>
      <c r="Z40">
        <v>122.419735005332</v>
      </c>
      <c r="AA40">
        <v>124.887795368493</v>
      </c>
      <c r="AB40">
        <v>127.40561341129499</v>
      </c>
      <c r="AC40">
        <v>129.974192280469</v>
      </c>
      <c r="AD40">
        <v>132.59455534682601</v>
      </c>
    </row>
    <row r="41" spans="1:30" x14ac:dyDescent="0.35">
      <c r="A41" s="110"/>
      <c r="B41" s="110" t="s">
        <v>95</v>
      </c>
      <c r="C41" s="110"/>
      <c r="D41" s="110"/>
      <c r="E41" s="61">
        <f t="shared" ref="E41:M41" si="10">E$39*E54</f>
        <v>117.4</v>
      </c>
      <c r="F41" s="61">
        <f t="shared" si="10"/>
        <v>124.1</v>
      </c>
      <c r="G41" s="61">
        <f t="shared" si="10"/>
        <v>106.7</v>
      </c>
      <c r="H41" s="61">
        <f t="shared" si="10"/>
        <v>113.99302363318382</v>
      </c>
      <c r="I41" s="61">
        <f t="shared" si="10"/>
        <v>116.16592190118985</v>
      </c>
      <c r="J41" s="61">
        <f t="shared" si="10"/>
        <v>119.77244944754956</v>
      </c>
      <c r="K41" s="61">
        <f t="shared" si="10"/>
        <v>124.91347462723812</v>
      </c>
      <c r="L41" s="61">
        <f t="shared" si="10"/>
        <v>131.70068682894581</v>
      </c>
      <c r="M41" s="61">
        <f t="shared" si="10"/>
        <v>139.09352173127266</v>
      </c>
      <c r="N41" s="115">
        <f t="shared" ref="N41:N53" si="11">M41/G41-1</f>
        <v>0.30359439298287394</v>
      </c>
      <c r="U41" t="s">
        <v>114</v>
      </c>
      <c r="V41">
        <v>100</v>
      </c>
      <c r="W41">
        <v>101.31539403407101</v>
      </c>
      <c r="X41">
        <v>92.958615750341806</v>
      </c>
      <c r="Y41">
        <v>105.83343399148301</v>
      </c>
      <c r="Z41">
        <v>111.232002761643</v>
      </c>
      <c r="AA41">
        <v>118.652524718704</v>
      </c>
      <c r="AB41">
        <v>126.568085376391</v>
      </c>
      <c r="AC41">
        <v>135.01170981252699</v>
      </c>
      <c r="AD41">
        <v>144.01862627766499</v>
      </c>
    </row>
    <row r="42" spans="1:30" x14ac:dyDescent="0.35">
      <c r="A42" s="110"/>
      <c r="B42" s="110" t="s">
        <v>96</v>
      </c>
      <c r="C42" s="110"/>
      <c r="D42" s="110"/>
      <c r="E42" s="61">
        <f t="shared" ref="E42:M42" si="12">E$39*E55</f>
        <v>1656.6000000000001</v>
      </c>
      <c r="F42" s="61">
        <f t="shared" si="12"/>
        <v>1707.4</v>
      </c>
      <c r="G42" s="61">
        <f t="shared" si="12"/>
        <v>1638.8000000000002</v>
      </c>
      <c r="H42" s="61">
        <f t="shared" si="12"/>
        <v>1745.2096201740853</v>
      </c>
      <c r="I42" s="61">
        <f t="shared" si="12"/>
        <v>1815.6289743205218</v>
      </c>
      <c r="J42" s="61">
        <f t="shared" si="12"/>
        <v>1905.141588456928</v>
      </c>
      <c r="K42" s="61">
        <f t="shared" si="12"/>
        <v>2042.4200060368116</v>
      </c>
      <c r="L42" s="61">
        <f t="shared" si="12"/>
        <v>2204.1748816724362</v>
      </c>
      <c r="M42" s="61">
        <f t="shared" si="12"/>
        <v>2370.7816039806312</v>
      </c>
      <c r="N42" s="115">
        <f t="shared" si="11"/>
        <v>0.4466570685749518</v>
      </c>
      <c r="U42" t="s">
        <v>115</v>
      </c>
      <c r="V42">
        <v>100</v>
      </c>
      <c r="W42">
        <v>100.637830425595</v>
      </c>
      <c r="X42">
        <v>92.625754616218302</v>
      </c>
      <c r="Y42">
        <v>105.081100657764</v>
      </c>
      <c r="Z42">
        <v>108.05230346096801</v>
      </c>
      <c r="AA42">
        <v>112.373387824452</v>
      </c>
      <c r="AB42">
        <v>118.559911781263</v>
      </c>
      <c r="AC42">
        <v>126.625026965546</v>
      </c>
      <c r="AD42">
        <v>136.11526444239399</v>
      </c>
    </row>
    <row r="43" spans="1:30" x14ac:dyDescent="0.35">
      <c r="A43" s="110"/>
      <c r="B43" s="110" t="s">
        <v>97</v>
      </c>
      <c r="C43" s="110"/>
      <c r="D43" s="110"/>
      <c r="E43" s="61">
        <f t="shared" ref="E43:M43" si="13">E$39*E56</f>
        <v>288.8</v>
      </c>
      <c r="F43" s="61">
        <f t="shared" si="13"/>
        <v>300.60000000000002</v>
      </c>
      <c r="G43" s="61">
        <f t="shared" si="13"/>
        <v>272</v>
      </c>
      <c r="H43" s="61">
        <f t="shared" si="13"/>
        <v>276.85764032792127</v>
      </c>
      <c r="I43" s="61">
        <f t="shared" si="13"/>
        <v>281.65912580864068</v>
      </c>
      <c r="J43" s="61">
        <f t="shared" si="13"/>
        <v>290.09841728497548</v>
      </c>
      <c r="K43" s="61">
        <f t="shared" si="13"/>
        <v>304.37874177007654</v>
      </c>
      <c r="L43" s="61">
        <f t="shared" si="13"/>
        <v>322.41137402243396</v>
      </c>
      <c r="M43" s="61">
        <f t="shared" si="13"/>
        <v>341.8317799087144</v>
      </c>
      <c r="N43" s="115">
        <f t="shared" si="11"/>
        <v>0.2567344849585087</v>
      </c>
      <c r="U43" t="s">
        <v>116</v>
      </c>
      <c r="V43">
        <v>100</v>
      </c>
      <c r="W43">
        <f t="shared" ref="W43:AD43" si="14">F43/$E43*100</f>
        <v>104.08587257617729</v>
      </c>
      <c r="X43">
        <f t="shared" si="14"/>
        <v>94.18282548476455</v>
      </c>
      <c r="Y43">
        <f t="shared" si="14"/>
        <v>95.864833908560001</v>
      </c>
      <c r="Z43">
        <f t="shared" si="14"/>
        <v>97.527398133185827</v>
      </c>
      <c r="AA43">
        <f t="shared" si="14"/>
        <v>100.44959047263693</v>
      </c>
      <c r="AB43">
        <f t="shared" si="14"/>
        <v>105.39430116692401</v>
      </c>
      <c r="AC43">
        <f t="shared" si="14"/>
        <v>111.63828740388988</v>
      </c>
      <c r="AD43">
        <f t="shared" si="14"/>
        <v>118.36280467753268</v>
      </c>
    </row>
    <row r="44" spans="1:30" x14ac:dyDescent="0.35">
      <c r="A44" s="110"/>
      <c r="C44" s="110" t="s">
        <v>98</v>
      </c>
      <c r="D44" s="110"/>
      <c r="G44" s="15">
        <f t="shared" ref="G44:M52" si="15">G$43*G57</f>
        <v>36.807719546351329</v>
      </c>
      <c r="H44" s="15">
        <f t="shared" si="15"/>
        <v>37.184715608293217</v>
      </c>
      <c r="I44" s="15">
        <f t="shared" si="15"/>
        <v>36.918374562421782</v>
      </c>
      <c r="J44" s="15">
        <f t="shared" si="15"/>
        <v>36.905299325925036</v>
      </c>
      <c r="K44" s="15">
        <f t="shared" si="15"/>
        <v>36.958688691260136</v>
      </c>
      <c r="L44" s="15">
        <f t="shared" si="15"/>
        <v>37.079357500815732</v>
      </c>
      <c r="M44" s="15">
        <f t="shared" si="15"/>
        <v>37.384952503289533</v>
      </c>
      <c r="N44" s="115">
        <f t="shared" si="11"/>
        <v>1.568238847862613E-2</v>
      </c>
      <c r="U44" t="s">
        <v>117</v>
      </c>
      <c r="V44">
        <v>100</v>
      </c>
      <c r="W44">
        <f t="shared" ref="W44:AD44" si="16">F76/$E76*100</f>
        <v>104.08587257617729</v>
      </c>
      <c r="X44">
        <f t="shared" si="16"/>
        <v>94.18282548476455</v>
      </c>
      <c r="Y44">
        <f t="shared" si="16"/>
        <v>101.49223071943661</v>
      </c>
      <c r="Z44">
        <f t="shared" si="16"/>
        <v>105.08872802371614</v>
      </c>
      <c r="AA44">
        <f t="shared" si="16"/>
        <v>109.81480942383151</v>
      </c>
      <c r="AB44">
        <f t="shared" si="16"/>
        <v>117.11845132151883</v>
      </c>
      <c r="AC44">
        <f t="shared" si="16"/>
        <v>125.81913559992317</v>
      </c>
      <c r="AD44">
        <f t="shared" si="16"/>
        <v>134.84416270001068</v>
      </c>
    </row>
    <row r="45" spans="1:30" x14ac:dyDescent="0.35">
      <c r="A45" s="110"/>
      <c r="C45" s="110" t="s">
        <v>99</v>
      </c>
      <c r="D45" s="110"/>
      <c r="G45" s="15">
        <f t="shared" si="15"/>
        <v>235.20555403939966</v>
      </c>
      <c r="H45" s="15">
        <f t="shared" si="15"/>
        <v>239.72749600556369</v>
      </c>
      <c r="I45" s="15">
        <f t="shared" si="15"/>
        <v>244.9297283713268</v>
      </c>
      <c r="J45" s="15">
        <f t="shared" si="15"/>
        <v>253.55168428139055</v>
      </c>
      <c r="K45" s="15">
        <f t="shared" si="15"/>
        <v>268.05452538604959</v>
      </c>
      <c r="L45" s="15">
        <f t="shared" si="15"/>
        <v>286.30709288620318</v>
      </c>
      <c r="M45" s="15">
        <f t="shared" si="15"/>
        <v>305.76299601141443</v>
      </c>
      <c r="N45" s="115">
        <f t="shared" si="11"/>
        <v>0.29998204022085107</v>
      </c>
    </row>
    <row r="46" spans="1:30" x14ac:dyDescent="0.35">
      <c r="A46" s="110"/>
      <c r="D46" t="s">
        <v>100</v>
      </c>
      <c r="G46" s="15">
        <f t="shared" si="15"/>
        <v>3.570012570357981</v>
      </c>
      <c r="H46" s="15">
        <f t="shared" si="15"/>
        <v>3.2644300490596869</v>
      </c>
      <c r="I46" s="15">
        <f t="shared" si="15"/>
        <v>3.1765619008360066</v>
      </c>
      <c r="J46" s="15">
        <f t="shared" si="15"/>
        <v>3.1037829500044487</v>
      </c>
      <c r="K46" s="15">
        <f t="shared" si="15"/>
        <v>3.0449915816436199</v>
      </c>
      <c r="L46" s="15">
        <f t="shared" si="15"/>
        <v>3.0040101003132387</v>
      </c>
      <c r="M46" s="15">
        <f t="shared" si="15"/>
        <v>2.9745515517533594</v>
      </c>
      <c r="N46" s="115">
        <f t="shared" si="11"/>
        <v>-0.16679521622662297</v>
      </c>
      <c r="O46" s="116">
        <f>'[1]T VA'!$AG$51</f>
        <v>0.44676185671397906</v>
      </c>
    </row>
    <row r="47" spans="1:30" x14ac:dyDescent="0.35">
      <c r="A47" s="110"/>
      <c r="D47" t="s">
        <v>101</v>
      </c>
      <c r="G47" s="15">
        <f t="shared" si="15"/>
        <v>2.8732771731233924</v>
      </c>
      <c r="H47" s="15">
        <f t="shared" si="15"/>
        <v>2.6764098780732133</v>
      </c>
      <c r="I47" s="15">
        <f t="shared" si="15"/>
        <v>2.6742656196927075</v>
      </c>
      <c r="J47" s="15">
        <f t="shared" si="15"/>
        <v>2.6611912162431501</v>
      </c>
      <c r="K47" s="15">
        <f t="shared" si="15"/>
        <v>2.6451263112388372</v>
      </c>
      <c r="L47" s="15">
        <f t="shared" si="15"/>
        <v>2.6303163679476866</v>
      </c>
      <c r="M47" s="15">
        <f t="shared" si="15"/>
        <v>2.6179850782299998</v>
      </c>
      <c r="N47" s="115">
        <f t="shared" si="11"/>
        <v>-8.8850493534488262E-2</v>
      </c>
      <c r="O47" s="116">
        <f>'[1]T VA'!$AG$52</f>
        <v>0.56121699610093811</v>
      </c>
    </row>
    <row r="48" spans="1:30" x14ac:dyDescent="0.35">
      <c r="A48" s="110"/>
      <c r="D48" t="s">
        <v>102</v>
      </c>
      <c r="G48" s="15">
        <f t="shared" si="15"/>
        <v>37.402350687044972</v>
      </c>
      <c r="H48" s="15">
        <f t="shared" si="15"/>
        <v>35.338876012875026</v>
      </c>
      <c r="I48" s="15">
        <f t="shared" si="15"/>
        <v>35.51513083298132</v>
      </c>
      <c r="J48" s="15">
        <f t="shared" si="15"/>
        <v>36.083274241081519</v>
      </c>
      <c r="K48" s="15">
        <f t="shared" si="15"/>
        <v>36.960368993546339</v>
      </c>
      <c r="L48" s="15">
        <f t="shared" si="15"/>
        <v>38.1007358902094</v>
      </c>
      <c r="M48" s="15">
        <f t="shared" si="15"/>
        <v>39.466922789279906</v>
      </c>
      <c r="N48" s="115">
        <f t="shared" si="11"/>
        <v>5.5198993226648563E-2</v>
      </c>
      <c r="O48" s="116">
        <f>'[1]T VA'!$AG$50</f>
        <v>0.54261053146494076</v>
      </c>
    </row>
    <row r="49" spans="1:15" x14ac:dyDescent="0.35">
      <c r="A49" s="110"/>
      <c r="D49" t="s">
        <v>103</v>
      </c>
      <c r="G49" s="15">
        <f t="shared" si="15"/>
        <v>8.6584778271085998</v>
      </c>
      <c r="H49" s="15">
        <f t="shared" si="15"/>
        <v>8.7385169597054784</v>
      </c>
      <c r="I49" s="15">
        <f t="shared" si="15"/>
        <v>9.0253901789634927</v>
      </c>
      <c r="J49" s="15">
        <f t="shared" si="15"/>
        <v>9.3590359671453527</v>
      </c>
      <c r="K49" s="15">
        <f t="shared" si="15"/>
        <v>9.8544742389808366</v>
      </c>
      <c r="L49" s="15">
        <f t="shared" si="15"/>
        <v>10.512670421651009</v>
      </c>
      <c r="M49" s="15">
        <f t="shared" si="15"/>
        <v>11.191844146680992</v>
      </c>
      <c r="N49" s="115">
        <f t="shared" si="11"/>
        <v>0.29258795485284295</v>
      </c>
      <c r="O49" s="116">
        <f>'[1]T VA'!$AG$48</f>
        <v>0.43373424642256397</v>
      </c>
    </row>
    <row r="50" spans="1:15" x14ac:dyDescent="0.35">
      <c r="A50" s="110"/>
      <c r="D50" t="s">
        <v>104</v>
      </c>
      <c r="G50" s="15">
        <f t="shared" si="15"/>
        <v>8.414783000621723</v>
      </c>
      <c r="H50" s="15">
        <f t="shared" si="15"/>
        <v>8.6113346720235455</v>
      </c>
      <c r="I50" s="15">
        <f t="shared" si="15"/>
        <v>8.839454145584849</v>
      </c>
      <c r="J50" s="15">
        <f t="shared" si="15"/>
        <v>9.2231032362429204</v>
      </c>
      <c r="K50" s="15">
        <f t="shared" si="15"/>
        <v>9.7935086234919382</v>
      </c>
      <c r="L50" s="15">
        <f t="shared" si="15"/>
        <v>10.501738655680645</v>
      </c>
      <c r="M50" s="15">
        <f t="shared" si="15"/>
        <v>11.290968923374912</v>
      </c>
      <c r="N50" s="115">
        <f t="shared" si="11"/>
        <v>0.34180155596890405</v>
      </c>
      <c r="O50" s="116">
        <f>'[1]T VA'!$AG$49</f>
        <v>0.51299578681130353</v>
      </c>
    </row>
    <row r="51" spans="1:15" x14ac:dyDescent="0.35">
      <c r="A51" s="110"/>
      <c r="D51" t="s">
        <v>105</v>
      </c>
      <c r="G51" s="15">
        <f t="shared" si="15"/>
        <v>45.49118108947679</v>
      </c>
      <c r="H51" s="15">
        <f t="shared" si="15"/>
        <v>46.981872011123066</v>
      </c>
      <c r="I51" s="15">
        <f t="shared" si="15"/>
        <v>47.873893314752152</v>
      </c>
      <c r="J51" s="15">
        <f t="shared" si="15"/>
        <v>49.516737256704467</v>
      </c>
      <c r="K51" s="15">
        <f t="shared" si="15"/>
        <v>52.32305423452086</v>
      </c>
      <c r="L51" s="15">
        <f t="shared" si="15"/>
        <v>56.389745510430991</v>
      </c>
      <c r="M51" s="15">
        <f t="shared" si="15"/>
        <v>60.865346253648376</v>
      </c>
      <c r="N51" s="115">
        <f t="shared" si="11"/>
        <v>0.3379592438792054</v>
      </c>
      <c r="O51" s="116">
        <f>'[1]T VA'!$AG$47</f>
        <v>0.68287957051898585</v>
      </c>
    </row>
    <row r="52" spans="1:15" x14ac:dyDescent="0.35">
      <c r="A52" s="110"/>
      <c r="D52" t="s">
        <v>106</v>
      </c>
      <c r="G52" s="15">
        <f t="shared" si="15"/>
        <v>128.93362605596388</v>
      </c>
      <c r="H52" s="15">
        <f t="shared" si="15"/>
        <v>134.12098317848302</v>
      </c>
      <c r="I52" s="15">
        <f t="shared" si="15"/>
        <v>137.78953781049393</v>
      </c>
      <c r="J52" s="15">
        <f t="shared" si="15"/>
        <v>143.51359173481046</v>
      </c>
      <c r="K52" s="15">
        <f t="shared" si="15"/>
        <v>153.25558900715151</v>
      </c>
      <c r="L52" s="15">
        <f t="shared" si="15"/>
        <v>164.88231367543383</v>
      </c>
      <c r="M52" s="15">
        <f t="shared" si="15"/>
        <v>176.95527119301491</v>
      </c>
      <c r="N52" s="115">
        <f t="shared" si="11"/>
        <v>0.37245245174604125</v>
      </c>
      <c r="O52" s="116">
        <f>'[1]T VA'!$AG$53</f>
        <v>0.48647566995829505</v>
      </c>
    </row>
    <row r="53" spans="1:15" x14ac:dyDescent="0.35">
      <c r="A53" s="110" t="s">
        <v>107</v>
      </c>
      <c r="B53" s="110" t="s">
        <v>94</v>
      </c>
      <c r="C53" s="110"/>
      <c r="D53" s="110"/>
      <c r="E53" s="46">
        <f t="shared" ref="E53:G56" si="17">H21</f>
        <v>1.8555523836711389E-2</v>
      </c>
      <c r="F53" s="46">
        <f t="shared" si="17"/>
        <v>1.7102291061632784E-2</v>
      </c>
      <c r="G53" s="46">
        <f t="shared" si="17"/>
        <v>1.7913644550455139E-2</v>
      </c>
      <c r="H53" s="46">
        <f t="shared" ref="H53:M56" si="18">M21/100</f>
        <v>1.6105072116216E-2</v>
      </c>
      <c r="I53" s="46">
        <f t="shared" si="18"/>
        <v>1.53834387036231E-2</v>
      </c>
      <c r="J53" s="46">
        <f t="shared" si="18"/>
        <v>1.4573029014080301E-2</v>
      </c>
      <c r="K53" s="46">
        <f t="shared" si="18"/>
        <v>1.3562399629797901E-2</v>
      </c>
      <c r="L53" s="46">
        <f t="shared" si="18"/>
        <v>1.2544245325948999E-2</v>
      </c>
      <c r="M53" s="46">
        <f t="shared" si="18"/>
        <v>1.16632218978386E-2</v>
      </c>
      <c r="N53" s="115"/>
      <c r="O53" t="s">
        <v>118</v>
      </c>
    </row>
    <row r="54" spans="1:15" x14ac:dyDescent="0.35">
      <c r="A54" s="110"/>
      <c r="B54" s="110" t="s">
        <v>95</v>
      </c>
      <c r="C54" s="110"/>
      <c r="D54" s="110"/>
      <c r="E54" s="46">
        <f t="shared" si="17"/>
        <v>5.5856884575126081E-2</v>
      </c>
      <c r="F54" s="46">
        <f t="shared" si="17"/>
        <v>5.7207394090259524E-2</v>
      </c>
      <c r="G54" s="46">
        <f t="shared" si="17"/>
        <v>5.1939833519933795E-2</v>
      </c>
      <c r="H54" s="46">
        <f t="shared" si="18"/>
        <v>5.2502750400882398E-2</v>
      </c>
      <c r="I54" s="46">
        <f t="shared" si="18"/>
        <v>5.1672465922841901E-2</v>
      </c>
      <c r="J54" s="46">
        <f t="shared" si="18"/>
        <v>5.0983846593015095E-2</v>
      </c>
      <c r="K54" s="46">
        <f t="shared" si="18"/>
        <v>4.9856357701992503E-2</v>
      </c>
      <c r="L54" s="46">
        <f t="shared" si="18"/>
        <v>4.8930304930694703E-2</v>
      </c>
      <c r="M54" s="46">
        <f t="shared" si="18"/>
        <v>4.8218237517089105E-2</v>
      </c>
      <c r="O54" t="s">
        <v>118</v>
      </c>
    </row>
    <row r="55" spans="1:15" x14ac:dyDescent="0.35">
      <c r="A55" s="110"/>
      <c r="B55" s="110" t="s">
        <v>96</v>
      </c>
      <c r="C55" s="110"/>
      <c r="D55" s="110"/>
      <c r="E55" s="46">
        <f t="shared" si="17"/>
        <v>0.7881815586640023</v>
      </c>
      <c r="F55" s="46">
        <f t="shared" si="17"/>
        <v>0.78707417139169311</v>
      </c>
      <c r="G55" s="46">
        <f t="shared" si="17"/>
        <v>0.79774132307842094</v>
      </c>
      <c r="H55" s="46">
        <f t="shared" si="18"/>
        <v>0.80380625203931699</v>
      </c>
      <c r="I55" s="46">
        <f t="shared" si="18"/>
        <v>0.80762089921606006</v>
      </c>
      <c r="J55" s="46">
        <f t="shared" si="18"/>
        <v>0.81096651969530498</v>
      </c>
      <c r="K55" s="46">
        <f t="shared" si="18"/>
        <v>0.81518525285240007</v>
      </c>
      <c r="L55" s="46">
        <f t="shared" si="18"/>
        <v>0.81890954160996998</v>
      </c>
      <c r="M55" s="46">
        <f t="shared" si="18"/>
        <v>0.82185646792910205</v>
      </c>
      <c r="O55" t="s">
        <v>118</v>
      </c>
    </row>
    <row r="56" spans="1:15" x14ac:dyDescent="0.35">
      <c r="A56" s="110"/>
      <c r="B56" s="110" t="s">
        <v>97</v>
      </c>
      <c r="C56" s="110"/>
      <c r="D56" s="110"/>
      <c r="E56" s="46">
        <f t="shared" si="17"/>
        <v>0.13740603292416023</v>
      </c>
      <c r="F56" s="46">
        <f t="shared" si="17"/>
        <v>0.13857004563684139</v>
      </c>
      <c r="G56" s="46">
        <f t="shared" si="17"/>
        <v>0.13240519885119018</v>
      </c>
      <c r="H56" s="46">
        <f t="shared" si="18"/>
        <v>0.127514712071228</v>
      </c>
      <c r="I56" s="46">
        <f t="shared" si="18"/>
        <v>0.12528649832938099</v>
      </c>
      <c r="J56" s="46">
        <f t="shared" si="18"/>
        <v>0.123486939375074</v>
      </c>
      <c r="K56" s="46">
        <f t="shared" si="18"/>
        <v>0.121485816256866</v>
      </c>
      <c r="L56" s="46">
        <f t="shared" si="18"/>
        <v>0.11978439311050501</v>
      </c>
      <c r="M56" s="46">
        <f t="shared" si="18"/>
        <v>0.118499594728587</v>
      </c>
      <c r="O56" t="s">
        <v>118</v>
      </c>
    </row>
    <row r="57" spans="1:15" x14ac:dyDescent="0.35">
      <c r="A57" s="110"/>
      <c r="C57" s="110" t="s">
        <v>98</v>
      </c>
      <c r="D57" s="110"/>
      <c r="G57" s="92">
        <v>0.135322498332174</v>
      </c>
      <c r="H57" s="92">
        <v>0.13430987696149599</v>
      </c>
      <c r="I57" s="92">
        <v>0.13107466145976801</v>
      </c>
      <c r="J57" s="92">
        <v>0.12721647939799499</v>
      </c>
      <c r="K57" s="92">
        <v>0.121423357217168</v>
      </c>
      <c r="L57" s="92">
        <v>0.115006356749175</v>
      </c>
      <c r="M57" s="92">
        <v>0.109366520904736</v>
      </c>
      <c r="O57" t="s">
        <v>118</v>
      </c>
    </row>
    <row r="58" spans="1:15" x14ac:dyDescent="0.35">
      <c r="A58" s="110"/>
      <c r="C58" s="110" t="s">
        <v>99</v>
      </c>
      <c r="D58" s="110"/>
      <c r="G58" s="92">
        <v>0.86472630161543995</v>
      </c>
      <c r="H58" s="92">
        <v>0.86588723259224798</v>
      </c>
      <c r="I58" s="92">
        <v>0.86959628120742005</v>
      </c>
      <c r="J58" s="92">
        <v>0.87401953672955202</v>
      </c>
      <c r="K58" s="92">
        <v>0.88066112576460498</v>
      </c>
      <c r="L58" s="92">
        <v>0.888017966966269</v>
      </c>
      <c r="M58" s="92">
        <v>0.89448381918459396</v>
      </c>
    </row>
    <row r="59" spans="1:15" x14ac:dyDescent="0.35">
      <c r="A59" s="110"/>
      <c r="D59" t="s">
        <v>100</v>
      </c>
      <c r="G59" s="92">
        <v>1.3125046214551401E-2</v>
      </c>
      <c r="H59" s="92">
        <v>1.1791005822317799E-2</v>
      </c>
      <c r="I59" s="92">
        <v>1.12780364978984E-2</v>
      </c>
      <c r="J59" s="92">
        <v>1.0699068885148299E-2</v>
      </c>
      <c r="K59" s="92">
        <v>1.00039561368046E-2</v>
      </c>
      <c r="L59" s="92">
        <v>9.3173204866656301E-3</v>
      </c>
      <c r="M59" s="92">
        <v>8.7017993252345004E-3</v>
      </c>
    </row>
    <row r="60" spans="1:15" x14ac:dyDescent="0.35">
      <c r="A60" s="110"/>
      <c r="D60" t="s">
        <v>101</v>
      </c>
      <c r="G60" s="92">
        <v>1.0563519018836001E-2</v>
      </c>
      <c r="H60" s="92">
        <v>9.6670977723539303E-3</v>
      </c>
      <c r="I60" s="92">
        <v>9.4946883471817792E-3</v>
      </c>
      <c r="J60" s="92">
        <v>9.1734082562365503E-3</v>
      </c>
      <c r="K60" s="92">
        <v>8.6902465522277796E-3</v>
      </c>
      <c r="L60" s="92">
        <v>8.1582617112157599E-3</v>
      </c>
      <c r="M60" s="92">
        <v>7.6586942236006499E-3</v>
      </c>
    </row>
    <row r="61" spans="1:15" x14ac:dyDescent="0.35">
      <c r="A61" s="110"/>
      <c r="D61" t="s">
        <v>102</v>
      </c>
      <c r="G61" s="92">
        <v>0.137508642231783</v>
      </c>
      <c r="H61" s="92">
        <v>0.12764276965959201</v>
      </c>
      <c r="I61" s="92">
        <v>0.126092597678196</v>
      </c>
      <c r="J61" s="92">
        <v>0.124382871781184</v>
      </c>
      <c r="K61" s="92">
        <v>0.12142887764962799</v>
      </c>
      <c r="L61" s="92">
        <v>0.118174292100372</v>
      </c>
      <c r="M61" s="92">
        <v>0.115457149127034</v>
      </c>
    </row>
    <row r="62" spans="1:15" x14ac:dyDescent="0.35">
      <c r="A62" s="110"/>
      <c r="D62" t="s">
        <v>103</v>
      </c>
      <c r="G62" s="92">
        <v>3.1832639070252203E-2</v>
      </c>
      <c r="H62" s="92">
        <v>3.1563214037926599E-2</v>
      </c>
      <c r="I62" s="92">
        <v>3.2043663250930297E-2</v>
      </c>
      <c r="J62" s="92">
        <v>3.2261589203885901E-2</v>
      </c>
      <c r="K62" s="92">
        <v>3.2375698058522001E-2</v>
      </c>
      <c r="L62" s="92">
        <v>3.2606388200558702E-2</v>
      </c>
      <c r="M62" s="92">
        <v>3.27407947548638E-2</v>
      </c>
    </row>
    <row r="63" spans="1:15" x14ac:dyDescent="0.35">
      <c r="A63" s="110"/>
      <c r="D63" t="s">
        <v>104</v>
      </c>
      <c r="G63" s="92">
        <v>3.0936702208168101E-2</v>
      </c>
      <c r="H63" s="92">
        <v>3.1103836115282699E-2</v>
      </c>
      <c r="I63" s="92">
        <v>3.1383517648174403E-2</v>
      </c>
      <c r="J63" s="92">
        <v>3.1793014669165502E-2</v>
      </c>
      <c r="K63" s="92">
        <v>3.2175402810784397E-2</v>
      </c>
      <c r="L63" s="92">
        <v>3.2572481934058303E-2</v>
      </c>
      <c r="M63" s="92">
        <v>3.3030775916710102E-2</v>
      </c>
    </row>
    <row r="64" spans="1:15" x14ac:dyDescent="0.35">
      <c r="A64" s="110"/>
      <c r="D64" t="s">
        <v>105</v>
      </c>
      <c r="G64" s="92">
        <v>0.16724698929954701</v>
      </c>
      <c r="H64" s="92">
        <v>0.16969685920704899</v>
      </c>
      <c r="I64" s="92">
        <v>0.16997103565278299</v>
      </c>
      <c r="J64" s="92">
        <v>0.17068944298328301</v>
      </c>
      <c r="K64" s="92">
        <v>0.17190114503477699</v>
      </c>
      <c r="L64" s="92">
        <v>0.174899988194918</v>
      </c>
      <c r="M64" s="92">
        <v>0.17805642959792201</v>
      </c>
    </row>
    <row r="65" spans="1:13" x14ac:dyDescent="0.35">
      <c r="A65" s="110"/>
      <c r="D65" t="s">
        <v>106</v>
      </c>
      <c r="G65" s="92">
        <v>0.47402068402927899</v>
      </c>
      <c r="H65" s="92">
        <v>0.48444024524526302</v>
      </c>
      <c r="I65" s="92">
        <v>0.489206722540594</v>
      </c>
      <c r="J65" s="92">
        <v>0.49470656571638999</v>
      </c>
      <c r="K65" s="92">
        <v>0.50350293228729703</v>
      </c>
      <c r="L65" s="92">
        <v>0.51140352655164401</v>
      </c>
      <c r="M65" s="92">
        <v>0.51766769970969495</v>
      </c>
    </row>
    <row r="66" spans="1:13" x14ac:dyDescent="0.35">
      <c r="G66" s="46"/>
    </row>
    <row r="68" spans="1:13" x14ac:dyDescent="0.35">
      <c r="B68" s="111" t="s">
        <v>119</v>
      </c>
      <c r="C68" s="111"/>
      <c r="D68" s="111"/>
    </row>
    <row r="70" spans="1:13" x14ac:dyDescent="0.35">
      <c r="E70" s="56">
        <v>2018</v>
      </c>
      <c r="F70" s="56">
        <v>2019</v>
      </c>
      <c r="G70" s="56">
        <v>2020</v>
      </c>
      <c r="H70" s="56">
        <v>2025</v>
      </c>
      <c r="I70" s="56">
        <v>2030</v>
      </c>
      <c r="J70" s="56">
        <v>2035</v>
      </c>
      <c r="K70" s="56">
        <v>2040</v>
      </c>
      <c r="L70" s="56">
        <v>2045</v>
      </c>
      <c r="M70" s="57">
        <v>2050</v>
      </c>
    </row>
    <row r="71" spans="1:13" x14ac:dyDescent="0.35">
      <c r="A71" s="110" t="s">
        <v>109</v>
      </c>
      <c r="B71" s="110" t="s">
        <v>92</v>
      </c>
      <c r="C71" s="110"/>
      <c r="D71" s="110"/>
    </row>
    <row r="72" spans="1:13" x14ac:dyDescent="0.35">
      <c r="A72" s="110"/>
      <c r="B72" s="110" t="s">
        <v>93</v>
      </c>
      <c r="C72" s="110"/>
      <c r="D72" s="110"/>
      <c r="E72" s="91">
        <f>H7</f>
        <v>2101.8000000000002</v>
      </c>
      <c r="F72" s="91">
        <f>I7</f>
        <v>2169.3000000000002</v>
      </c>
      <c r="G72" s="91">
        <f>J7</f>
        <v>2054.3000000000002</v>
      </c>
      <c r="H72" s="61">
        <f>M7*'2. PIB'!I34/'2. PIB'!I25/1000</f>
        <v>2171.1819430943178</v>
      </c>
      <c r="I72" s="61">
        <f>N7*'2. PIB'!N34/'2. PIB'!N25/1000</f>
        <v>2248.1203446851277</v>
      </c>
      <c r="J72" s="61">
        <f>O7*'2. PIB'!S34/'2. PIB'!S25/1000</f>
        <v>2349.2234786372251</v>
      </c>
      <c r="K72" s="61">
        <f>P7*'2. PIB'!X34/'2. PIB'!X25/1000</f>
        <v>2505.46731419664</v>
      </c>
      <c r="L72" s="61">
        <f>Q7*'2. PIB'!AC34/'2. PIB'!AC25/1000</f>
        <v>2691.5975082413192</v>
      </c>
      <c r="M72" s="61">
        <f>R7*'2. PIB'!AH34/'2. PIB'!AH25/1000</f>
        <v>2884.6662361305989</v>
      </c>
    </row>
    <row r="73" spans="1:13" x14ac:dyDescent="0.35">
      <c r="A73" s="110"/>
      <c r="B73" s="110" t="s">
        <v>94</v>
      </c>
      <c r="C73" s="110"/>
      <c r="D73" s="110"/>
      <c r="E73" s="61">
        <f t="shared" ref="E73:M73" si="19">E$72*E86</f>
        <v>39</v>
      </c>
      <c r="F73" s="61">
        <f t="shared" si="19"/>
        <v>37.1</v>
      </c>
      <c r="G73" s="61">
        <f t="shared" si="19"/>
        <v>36.799999999999997</v>
      </c>
      <c r="H73" s="61">
        <f t="shared" si="19"/>
        <v>34.967041770959973</v>
      </c>
      <c r="I73" s="61">
        <f t="shared" si="19"/>
        <v>34.583821520831698</v>
      </c>
      <c r="J73" s="61">
        <f t="shared" si="19"/>
        <v>34.235301914738933</v>
      </c>
      <c r="K73" s="61">
        <f t="shared" si="19"/>
        <v>33.980148974531254</v>
      </c>
      <c r="L73" s="61">
        <f t="shared" si="19"/>
        <v>33.764059462092142</v>
      </c>
      <c r="M73" s="61">
        <f t="shared" si="19"/>
        <v>33.644502413194054</v>
      </c>
    </row>
    <row r="74" spans="1:13" x14ac:dyDescent="0.35">
      <c r="A74" s="110"/>
      <c r="B74" s="110" t="s">
        <v>95</v>
      </c>
      <c r="C74" s="110"/>
      <c r="D74" s="110"/>
      <c r="E74" s="61">
        <f t="shared" ref="E74:M74" si="20">E$72*E87</f>
        <v>117.4</v>
      </c>
      <c r="F74" s="61">
        <f t="shared" si="20"/>
        <v>124.1</v>
      </c>
      <c r="G74" s="61">
        <f t="shared" si="20"/>
        <v>106.7</v>
      </c>
      <c r="H74" s="61">
        <f t="shared" si="20"/>
        <v>113.99302363318382</v>
      </c>
      <c r="I74" s="61">
        <f t="shared" si="20"/>
        <v>116.16592190118985</v>
      </c>
      <c r="J74" s="61">
        <f t="shared" si="20"/>
        <v>119.77244944754958</v>
      </c>
      <c r="K74" s="61">
        <f t="shared" si="20"/>
        <v>124.91347462723812</v>
      </c>
      <c r="L74" s="61">
        <f t="shared" si="20"/>
        <v>131.70068682894581</v>
      </c>
      <c r="M74" s="61">
        <f t="shared" si="20"/>
        <v>139.09352173127263</v>
      </c>
    </row>
    <row r="75" spans="1:13" x14ac:dyDescent="0.35">
      <c r="A75" s="110"/>
      <c r="B75" s="110" t="s">
        <v>96</v>
      </c>
      <c r="C75" s="110"/>
      <c r="D75" s="110"/>
      <c r="E75" s="61">
        <f t="shared" ref="E75:M75" si="21">E$72*E88</f>
        <v>1656.6000000000001</v>
      </c>
      <c r="F75" s="61">
        <f t="shared" si="21"/>
        <v>1707.4</v>
      </c>
      <c r="G75" s="61">
        <f t="shared" si="21"/>
        <v>1638.8000000000002</v>
      </c>
      <c r="H75" s="61">
        <f t="shared" si="21"/>
        <v>1729.1123153724411</v>
      </c>
      <c r="I75" s="61">
        <f t="shared" si="21"/>
        <v>1793.8743547306137</v>
      </c>
      <c r="J75" s="61">
        <f t="shared" si="21"/>
        <v>1878.070557658911</v>
      </c>
      <c r="K75" s="61">
        <f t="shared" si="21"/>
        <v>2008.3356031783244</v>
      </c>
      <c r="L75" s="61">
        <f t="shared" si="21"/>
        <v>2162.7670983377029</v>
      </c>
      <c r="M75" s="61">
        <f t="shared" si="21"/>
        <v>2322.4982701085014</v>
      </c>
    </row>
    <row r="76" spans="1:13" x14ac:dyDescent="0.35">
      <c r="A76" s="110"/>
      <c r="B76" s="110" t="s">
        <v>97</v>
      </c>
      <c r="C76" s="110"/>
      <c r="D76" s="110"/>
      <c r="E76" s="61">
        <f t="shared" ref="E76:M76" si="22">E$72*E89</f>
        <v>288.8</v>
      </c>
      <c r="F76" s="61">
        <f t="shared" si="22"/>
        <v>300.60000000000002</v>
      </c>
      <c r="G76" s="61">
        <f t="shared" si="22"/>
        <v>272</v>
      </c>
      <c r="H76" s="61">
        <f t="shared" si="22"/>
        <v>293.10956231773292</v>
      </c>
      <c r="I76" s="61">
        <f t="shared" si="22"/>
        <v>303.49624653249225</v>
      </c>
      <c r="J76" s="61">
        <f t="shared" si="22"/>
        <v>317.14516961602538</v>
      </c>
      <c r="K76" s="61">
        <f t="shared" si="22"/>
        <v>338.23808741654642</v>
      </c>
      <c r="L76" s="61">
        <f t="shared" si="22"/>
        <v>363.36566361257815</v>
      </c>
      <c r="M76" s="61">
        <f t="shared" si="22"/>
        <v>389.42994187763088</v>
      </c>
    </row>
    <row r="77" spans="1:13" x14ac:dyDescent="0.35">
      <c r="A77" s="110"/>
      <c r="C77" s="110" t="s">
        <v>98</v>
      </c>
      <c r="D77" s="110"/>
      <c r="G77" s="15">
        <f t="shared" ref="G77:M85" si="23">G$76*G90</f>
        <v>36.807719546351329</v>
      </c>
      <c r="H77" s="15">
        <f t="shared" si="23"/>
        <v>39.367509251132653</v>
      </c>
      <c r="I77" s="15">
        <f t="shared" si="23"/>
        <v>39.780667768556711</v>
      </c>
      <c r="J77" s="15">
        <f t="shared" si="23"/>
        <v>40.346091936630721</v>
      </c>
      <c r="K77" s="15">
        <f t="shared" si="23"/>
        <v>41.070004112831015</v>
      </c>
      <c r="L77" s="15">
        <f t="shared" si="23"/>
        <v>41.789361139828884</v>
      </c>
      <c r="M77" s="15">
        <f t="shared" si="23"/>
        <v>42.590597879290044</v>
      </c>
    </row>
    <row r="78" spans="1:13" x14ac:dyDescent="0.35">
      <c r="A78" s="110"/>
      <c r="C78" s="110" t="s">
        <v>99</v>
      </c>
      <c r="D78" s="110"/>
      <c r="G78" s="15">
        <f t="shared" si="23"/>
        <v>235.20555403939966</v>
      </c>
      <c r="H78" s="15">
        <f t="shared" si="23"/>
        <v>253.7998277616268</v>
      </c>
      <c r="I78" s="15">
        <f t="shared" si="23"/>
        <v>263.91920734506562</v>
      </c>
      <c r="J78" s="15">
        <f t="shared" si="23"/>
        <v>277.1910742238137</v>
      </c>
      <c r="K78" s="15">
        <f t="shared" si="23"/>
        <v>297.87313484072263</v>
      </c>
      <c r="L78" s="15">
        <f t="shared" si="23"/>
        <v>322.67523786659086</v>
      </c>
      <c r="M78" s="15">
        <f t="shared" si="23"/>
        <v>348.33878171553772</v>
      </c>
    </row>
    <row r="79" spans="1:13" x14ac:dyDescent="0.35">
      <c r="A79" s="110"/>
      <c r="D79" t="s">
        <v>100</v>
      </c>
      <c r="G79" s="15">
        <f t="shared" si="23"/>
        <v>3.570012570357981</v>
      </c>
      <c r="H79" s="15">
        <f t="shared" si="23"/>
        <v>3.4560565558654108</v>
      </c>
      <c r="I79" s="15">
        <f t="shared" si="23"/>
        <v>3.4228417453686184</v>
      </c>
      <c r="J79" s="15">
        <f t="shared" si="23"/>
        <v>3.393158016313897</v>
      </c>
      <c r="K79" s="15">
        <f t="shared" si="23"/>
        <v>3.3837189903118103</v>
      </c>
      <c r="L79" s="15">
        <f t="shared" si="23"/>
        <v>3.3855943417283263</v>
      </c>
      <c r="M79" s="15">
        <f t="shared" si="23"/>
        <v>3.3887412054568791</v>
      </c>
    </row>
    <row r="80" spans="1:13" x14ac:dyDescent="0.35">
      <c r="A80" s="110"/>
      <c r="D80" t="s">
        <v>101</v>
      </c>
      <c r="G80" s="15">
        <f t="shared" si="23"/>
        <v>2.8732771731233924</v>
      </c>
      <c r="H80" s="15">
        <f t="shared" si="23"/>
        <v>2.8335187969373914</v>
      </c>
      <c r="I80" s="15">
        <f t="shared" si="23"/>
        <v>2.8816022753654624</v>
      </c>
      <c r="J80" s="15">
        <f t="shared" si="23"/>
        <v>2.9093021173811886</v>
      </c>
      <c r="K80" s="15">
        <f t="shared" si="23"/>
        <v>2.9393723730037609</v>
      </c>
      <c r="L80" s="15">
        <f t="shared" si="23"/>
        <v>2.9644321806210021</v>
      </c>
      <c r="M80" s="15">
        <f t="shared" si="23"/>
        <v>2.9825248463553486</v>
      </c>
    </row>
    <row r="81" spans="1:15" x14ac:dyDescent="0.35">
      <c r="A81" s="110"/>
      <c r="D81" t="s">
        <v>102</v>
      </c>
      <c r="G81" s="15">
        <f t="shared" si="23"/>
        <v>37.402350687044972</v>
      </c>
      <c r="H81" s="15">
        <f t="shared" si="23"/>
        <v>37.413316347946214</v>
      </c>
      <c r="I81" s="15">
        <f t="shared" si="23"/>
        <v>38.26863011086413</v>
      </c>
      <c r="J81" s="15">
        <f t="shared" si="23"/>
        <v>39.447426968371936</v>
      </c>
      <c r="K81" s="15">
        <f t="shared" si="23"/>
        <v>41.071871333347993</v>
      </c>
      <c r="L81" s="15">
        <f t="shared" si="23"/>
        <v>42.940480070998326</v>
      </c>
      <c r="M81" s="15">
        <f t="shared" si="23"/>
        <v>44.962470873897814</v>
      </c>
    </row>
    <row r="82" spans="1:15" x14ac:dyDescent="0.35">
      <c r="A82" s="110"/>
      <c r="D82" t="s">
        <v>103</v>
      </c>
      <c r="G82" s="15">
        <f t="shared" si="23"/>
        <v>8.6584778271085998</v>
      </c>
      <c r="H82" s="15">
        <f t="shared" si="23"/>
        <v>9.2514798519975887</v>
      </c>
      <c r="I82" s="15">
        <f t="shared" si="23"/>
        <v>9.7251315218085033</v>
      </c>
      <c r="J82" s="15">
        <f t="shared" si="23"/>
        <v>10.231607180148927</v>
      </c>
      <c r="K82" s="15">
        <f t="shared" si="23"/>
        <v>10.950694190090077</v>
      </c>
      <c r="L82" s="15">
        <f t="shared" si="23"/>
        <v>11.848041886505351</v>
      </c>
      <c r="M82" s="15">
        <f t="shared" si="23"/>
        <v>12.750245798414051</v>
      </c>
    </row>
    <row r="83" spans="1:15" x14ac:dyDescent="0.35">
      <c r="A83" s="110"/>
      <c r="D83" t="s">
        <v>104</v>
      </c>
      <c r="G83" s="15">
        <f t="shared" si="23"/>
        <v>8.414783000621723</v>
      </c>
      <c r="H83" s="15">
        <f t="shared" si="23"/>
        <v>9.1168317901530056</v>
      </c>
      <c r="I83" s="15">
        <f t="shared" si="23"/>
        <v>9.5247798092071605</v>
      </c>
      <c r="J83" s="15">
        <f t="shared" si="23"/>
        <v>10.083001029857277</v>
      </c>
      <c r="K83" s="15">
        <f t="shared" si="23"/>
        <v>10.882946708576686</v>
      </c>
      <c r="L83" s="15">
        <f t="shared" si="23"/>
        <v>11.835721513477809</v>
      </c>
      <c r="M83" s="15">
        <f t="shared" si="23"/>
        <v>12.863173145417464</v>
      </c>
    </row>
    <row r="84" spans="1:15" x14ac:dyDescent="0.35">
      <c r="A84" s="110"/>
      <c r="D84" t="s">
        <v>105</v>
      </c>
      <c r="G84" s="15">
        <f t="shared" si="23"/>
        <v>45.49118108947679</v>
      </c>
      <c r="H84" s="15">
        <f t="shared" si="23"/>
        <v>49.739772128872076</v>
      </c>
      <c r="I84" s="15">
        <f t="shared" si="23"/>
        <v>51.585571339860053</v>
      </c>
      <c r="J84" s="15">
        <f t="shared" si="23"/>
        <v>54.133332346598181</v>
      </c>
      <c r="K84" s="15">
        <f t="shared" si="23"/>
        <v>58.143514521277325</v>
      </c>
      <c r="L84" s="15">
        <f t="shared" si="23"/>
        <v>63.552650276278463</v>
      </c>
      <c r="M84" s="15">
        <f t="shared" si="23"/>
        <v>69.340505029257244</v>
      </c>
    </row>
    <row r="85" spans="1:15" x14ac:dyDescent="0.35">
      <c r="A85" s="110"/>
      <c r="D85" t="s">
        <v>106</v>
      </c>
      <c r="G85" s="15">
        <f t="shared" si="23"/>
        <v>128.93362605596388</v>
      </c>
      <c r="H85" s="15">
        <f t="shared" si="23"/>
        <v>141.99406825293426</v>
      </c>
      <c r="I85" s="15">
        <f t="shared" si="23"/>
        <v>148.47240406953264</v>
      </c>
      <c r="J85" s="15">
        <f t="shared" si="23"/>
        <v>156.89379769428592</v>
      </c>
      <c r="K85" s="15">
        <f t="shared" si="23"/>
        <v>170.30386882547822</v>
      </c>
      <c r="L85" s="15">
        <f t="shared" si="23"/>
        <v>185.82648179925084</v>
      </c>
      <c r="M85" s="15">
        <f t="shared" si="23"/>
        <v>201.59530220987338</v>
      </c>
    </row>
    <row r="86" spans="1:15" x14ac:dyDescent="0.35">
      <c r="A86" s="110" t="s">
        <v>107</v>
      </c>
      <c r="B86" s="110" t="s">
        <v>94</v>
      </c>
      <c r="C86" s="110"/>
      <c r="D86" s="110"/>
      <c r="E86" s="46">
        <f t="shared" ref="E86:G89" si="24">H21</f>
        <v>1.8555523836711389E-2</v>
      </c>
      <c r="F86" s="46">
        <f t="shared" si="24"/>
        <v>1.7102291061632784E-2</v>
      </c>
      <c r="G86" s="46">
        <f t="shared" si="24"/>
        <v>1.7913644550455139E-2</v>
      </c>
      <c r="H86" s="46">
        <v>1.6105072116216E-2</v>
      </c>
      <c r="I86" s="46">
        <v>1.53834387036231E-2</v>
      </c>
      <c r="J86" s="46">
        <v>1.4573029014080301E-2</v>
      </c>
      <c r="K86" s="46">
        <v>1.3562399629797901E-2</v>
      </c>
      <c r="L86" s="46">
        <v>1.2544245325948999E-2</v>
      </c>
      <c r="M86" s="46">
        <v>1.16632218978386E-2</v>
      </c>
      <c r="O86" t="s">
        <v>118</v>
      </c>
    </row>
    <row r="87" spans="1:15" x14ac:dyDescent="0.35">
      <c r="A87" s="110"/>
      <c r="B87" s="110" t="s">
        <v>95</v>
      </c>
      <c r="C87" s="110"/>
      <c r="D87" s="110"/>
      <c r="E87" s="46">
        <f t="shared" si="24"/>
        <v>5.5856884575126081E-2</v>
      </c>
      <c r="F87" s="46">
        <f t="shared" si="24"/>
        <v>5.7207394090259524E-2</v>
      </c>
      <c r="G87" s="46">
        <f t="shared" si="24"/>
        <v>5.1939833519933795E-2</v>
      </c>
      <c r="H87" s="46">
        <v>5.2502750400882398E-2</v>
      </c>
      <c r="I87" s="46">
        <v>5.1672465922841901E-2</v>
      </c>
      <c r="J87" s="46">
        <v>5.0983846593015102E-2</v>
      </c>
      <c r="K87" s="46">
        <v>4.9856357701992503E-2</v>
      </c>
      <c r="L87" s="46">
        <v>4.8930304930694703E-2</v>
      </c>
      <c r="M87" s="46">
        <v>4.8218237517089098E-2</v>
      </c>
      <c r="O87" t="s">
        <v>118</v>
      </c>
    </row>
    <row r="88" spans="1:15" x14ac:dyDescent="0.35">
      <c r="A88" s="110"/>
      <c r="B88" s="110" t="s">
        <v>96</v>
      </c>
      <c r="C88" s="110"/>
      <c r="D88" s="110"/>
      <c r="E88" s="46">
        <f t="shared" si="24"/>
        <v>0.7881815586640023</v>
      </c>
      <c r="F88" s="46">
        <f t="shared" si="24"/>
        <v>0.78707417139169311</v>
      </c>
      <c r="G88" s="46">
        <f t="shared" si="24"/>
        <v>0.79774132307842094</v>
      </c>
      <c r="H88" s="46">
        <f t="shared" ref="H88:M88" si="25">1-H89-H86-H87</f>
        <v>0.79639217748290159</v>
      </c>
      <c r="I88" s="46">
        <f t="shared" si="25"/>
        <v>0.79794409537353495</v>
      </c>
      <c r="J88" s="46">
        <f t="shared" si="25"/>
        <v>0.79944312439290455</v>
      </c>
      <c r="K88" s="46">
        <f t="shared" si="25"/>
        <v>0.80158124266820963</v>
      </c>
      <c r="L88" s="46">
        <f t="shared" si="25"/>
        <v>0.80352544974335627</v>
      </c>
      <c r="M88" s="46">
        <f t="shared" si="25"/>
        <v>0.80511854058507226</v>
      </c>
      <c r="O88" t="s">
        <v>120</v>
      </c>
    </row>
    <row r="89" spans="1:15" x14ac:dyDescent="0.35">
      <c r="A89" s="110"/>
      <c r="B89" s="110" t="s">
        <v>97</v>
      </c>
      <c r="C89" s="110"/>
      <c r="D89" s="110"/>
      <c r="E89" s="46">
        <f t="shared" si="24"/>
        <v>0.13740603292416023</v>
      </c>
      <c r="F89" s="46">
        <f t="shared" si="24"/>
        <v>0.13857004563684139</v>
      </c>
      <c r="G89" s="46">
        <f t="shared" si="24"/>
        <v>0.13240519885119018</v>
      </c>
      <c r="H89" s="46">
        <v>0.13500000000000001</v>
      </c>
      <c r="I89" s="46">
        <v>0.13500000000000001</v>
      </c>
      <c r="J89" s="46">
        <f>I89</f>
        <v>0.13500000000000001</v>
      </c>
      <c r="K89" s="46">
        <f>J89</f>
        <v>0.13500000000000001</v>
      </c>
      <c r="L89" s="46">
        <f>K89</f>
        <v>0.13500000000000001</v>
      </c>
      <c r="M89" s="46">
        <f>L89</f>
        <v>0.13500000000000001</v>
      </c>
      <c r="O89" t="s">
        <v>121</v>
      </c>
    </row>
    <row r="90" spans="1:15" x14ac:dyDescent="0.35">
      <c r="A90" s="110"/>
      <c r="C90" s="110" t="s">
        <v>98</v>
      </c>
      <c r="D90" s="110"/>
      <c r="G90" s="46">
        <v>0.135322498332174</v>
      </c>
      <c r="H90" s="46">
        <v>0.13430987696149599</v>
      </c>
      <c r="I90" s="46">
        <v>0.13107466145976801</v>
      </c>
      <c r="J90" s="46">
        <v>0.12721647939799499</v>
      </c>
      <c r="K90" s="46">
        <v>0.121423357217168</v>
      </c>
      <c r="L90" s="46">
        <v>0.115006356749175</v>
      </c>
      <c r="M90" s="46">
        <v>0.109366520904736</v>
      </c>
    </row>
    <row r="91" spans="1:15" x14ac:dyDescent="0.35">
      <c r="A91" s="110"/>
      <c r="C91" s="110" t="s">
        <v>99</v>
      </c>
      <c r="D91" s="110"/>
      <c r="G91" s="46">
        <v>0.86472630161543995</v>
      </c>
      <c r="H91" s="46">
        <v>0.86588723259224798</v>
      </c>
      <c r="I91" s="46">
        <v>0.86959628120742005</v>
      </c>
      <c r="J91" s="46">
        <v>0.87401953672955202</v>
      </c>
      <c r="K91" s="46">
        <v>0.88066112576460498</v>
      </c>
      <c r="L91" s="46">
        <v>0.888017966966269</v>
      </c>
      <c r="M91" s="46">
        <v>0.89448381918459396</v>
      </c>
    </row>
    <row r="92" spans="1:15" x14ac:dyDescent="0.35">
      <c r="A92" s="110"/>
      <c r="D92" t="s">
        <v>100</v>
      </c>
      <c r="G92" s="46">
        <v>1.3125046214551401E-2</v>
      </c>
      <c r="H92" s="46">
        <v>1.1791005822317799E-2</v>
      </c>
      <c r="I92" s="46">
        <v>1.12780364978984E-2</v>
      </c>
      <c r="J92" s="46">
        <v>1.0699068885148299E-2</v>
      </c>
      <c r="K92" s="46">
        <v>1.00039561368046E-2</v>
      </c>
      <c r="L92" s="46">
        <v>9.3173204866656301E-3</v>
      </c>
      <c r="M92" s="46">
        <v>8.7017993252345004E-3</v>
      </c>
    </row>
    <row r="93" spans="1:15" x14ac:dyDescent="0.35">
      <c r="A93" s="110"/>
      <c r="D93" t="s">
        <v>101</v>
      </c>
      <c r="G93" s="46">
        <v>1.0563519018836001E-2</v>
      </c>
      <c r="H93" s="46">
        <v>9.6670977723539303E-3</v>
      </c>
      <c r="I93" s="46">
        <v>9.4946883471817792E-3</v>
      </c>
      <c r="J93" s="46">
        <v>9.1734082562365503E-3</v>
      </c>
      <c r="K93" s="46">
        <v>8.6902465522277796E-3</v>
      </c>
      <c r="L93" s="46">
        <v>8.1582617112157599E-3</v>
      </c>
      <c r="M93" s="46">
        <v>7.6586942236006499E-3</v>
      </c>
    </row>
    <row r="94" spans="1:15" x14ac:dyDescent="0.35">
      <c r="A94" s="110"/>
      <c r="D94" t="s">
        <v>102</v>
      </c>
      <c r="G94" s="46">
        <v>0.137508642231783</v>
      </c>
      <c r="H94" s="46">
        <v>0.12764276965959201</v>
      </c>
      <c r="I94" s="46">
        <v>0.126092597678196</v>
      </c>
      <c r="J94" s="46">
        <v>0.124382871781184</v>
      </c>
      <c r="K94" s="46">
        <v>0.12142887764962799</v>
      </c>
      <c r="L94" s="46">
        <v>0.118174292100372</v>
      </c>
      <c r="M94" s="46">
        <v>0.115457149127034</v>
      </c>
    </row>
    <row r="95" spans="1:15" x14ac:dyDescent="0.35">
      <c r="A95" s="110"/>
      <c r="D95" t="s">
        <v>103</v>
      </c>
      <c r="G95" s="46">
        <v>3.1832639070252203E-2</v>
      </c>
      <c r="H95" s="46">
        <v>3.1563214037926599E-2</v>
      </c>
      <c r="I95" s="46">
        <v>3.2043663250930297E-2</v>
      </c>
      <c r="J95" s="46">
        <v>3.2261589203885901E-2</v>
      </c>
      <c r="K95" s="46">
        <v>3.2375698058522001E-2</v>
      </c>
      <c r="L95" s="46">
        <v>3.2606388200558702E-2</v>
      </c>
      <c r="M95" s="46">
        <v>3.27407947548638E-2</v>
      </c>
    </row>
    <row r="96" spans="1:15" x14ac:dyDescent="0.35">
      <c r="A96" s="110"/>
      <c r="D96" t="s">
        <v>104</v>
      </c>
      <c r="G96" s="46">
        <v>3.0936702208168101E-2</v>
      </c>
      <c r="H96" s="46">
        <v>3.1103836115282699E-2</v>
      </c>
      <c r="I96" s="46">
        <v>3.1383517648174403E-2</v>
      </c>
      <c r="J96" s="46">
        <v>3.1793014669165502E-2</v>
      </c>
      <c r="K96" s="46">
        <v>3.2175402810784397E-2</v>
      </c>
      <c r="L96" s="46">
        <v>3.2572481934058303E-2</v>
      </c>
      <c r="M96" s="46">
        <v>3.3030775916710102E-2</v>
      </c>
    </row>
    <row r="97" spans="1:13" x14ac:dyDescent="0.35">
      <c r="A97" s="110"/>
      <c r="D97" t="s">
        <v>105</v>
      </c>
      <c r="G97" s="46">
        <v>0.16724698929954701</v>
      </c>
      <c r="H97" s="46">
        <v>0.16969685920704899</v>
      </c>
      <c r="I97" s="46">
        <v>0.16997103565278299</v>
      </c>
      <c r="J97" s="46">
        <v>0.17068944298328301</v>
      </c>
      <c r="K97" s="46">
        <v>0.17190114503477699</v>
      </c>
      <c r="L97" s="46">
        <v>0.174899988194918</v>
      </c>
      <c r="M97" s="46">
        <v>0.17805642959792201</v>
      </c>
    </row>
    <row r="98" spans="1:13" x14ac:dyDescent="0.35">
      <c r="A98" s="110"/>
      <c r="D98" t="s">
        <v>106</v>
      </c>
      <c r="G98" s="46">
        <v>0.47402068402927899</v>
      </c>
      <c r="H98" s="46">
        <v>0.48444024524526302</v>
      </c>
      <c r="I98" s="46">
        <v>0.489206722540594</v>
      </c>
      <c r="J98" s="46">
        <v>0.49470656571638999</v>
      </c>
      <c r="K98" s="46">
        <v>0.50350293228729703</v>
      </c>
      <c r="L98" s="46">
        <v>0.51140352655164401</v>
      </c>
      <c r="M98" s="46">
        <v>0.51766769970969495</v>
      </c>
    </row>
  </sheetData>
  <mergeCells count="54">
    <mergeCell ref="B2:I2"/>
    <mergeCell ref="B4:D4"/>
    <mergeCell ref="E4:J4"/>
    <mergeCell ref="L4:R4"/>
    <mergeCell ref="A6:A20"/>
    <mergeCell ref="B6:D6"/>
    <mergeCell ref="B7:D7"/>
    <mergeCell ref="B8:D8"/>
    <mergeCell ref="B9:D9"/>
    <mergeCell ref="B10:D10"/>
    <mergeCell ref="B11:D11"/>
    <mergeCell ref="C12:D12"/>
    <mergeCell ref="C13:D13"/>
    <mergeCell ref="A21:A33"/>
    <mergeCell ref="B21:D21"/>
    <mergeCell ref="B22:D22"/>
    <mergeCell ref="B23:D23"/>
    <mergeCell ref="B24:D24"/>
    <mergeCell ref="C25:D25"/>
    <mergeCell ref="C26:D26"/>
    <mergeCell ref="B36:D36"/>
    <mergeCell ref="A38:A52"/>
    <mergeCell ref="B38:D38"/>
    <mergeCell ref="B39:D39"/>
    <mergeCell ref="B40:D40"/>
    <mergeCell ref="B41:D41"/>
    <mergeCell ref="B42:D42"/>
    <mergeCell ref="B43:D43"/>
    <mergeCell ref="C44:D44"/>
    <mergeCell ref="C45:D45"/>
    <mergeCell ref="A53:A65"/>
    <mergeCell ref="B53:D53"/>
    <mergeCell ref="B54:D54"/>
    <mergeCell ref="B55:D55"/>
    <mergeCell ref="B56:D56"/>
    <mergeCell ref="C57:D57"/>
    <mergeCell ref="C58:D58"/>
    <mergeCell ref="B68:D68"/>
    <mergeCell ref="A71:A85"/>
    <mergeCell ref="B71:D71"/>
    <mergeCell ref="B72:D72"/>
    <mergeCell ref="B73:D73"/>
    <mergeCell ref="B74:D74"/>
    <mergeCell ref="B75:D75"/>
    <mergeCell ref="B76:D76"/>
    <mergeCell ref="C77:D77"/>
    <mergeCell ref="C78:D78"/>
    <mergeCell ref="A86:A98"/>
    <mergeCell ref="B86:D86"/>
    <mergeCell ref="B87:D87"/>
    <mergeCell ref="B88:D88"/>
    <mergeCell ref="B89:D89"/>
    <mergeCell ref="C90:D90"/>
    <mergeCell ref="C91:D91"/>
  </mergeCells>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D966"/>
  </sheetPr>
  <dimension ref="A2:J38"/>
  <sheetViews>
    <sheetView zoomScale="72" zoomScaleNormal="72" workbookViewId="0">
      <selection activeCell="Q18" sqref="Q18"/>
    </sheetView>
  </sheetViews>
  <sheetFormatPr baseColWidth="10" defaultColWidth="8.90625" defaultRowHeight="14.5" x14ac:dyDescent="0.35"/>
  <cols>
    <col min="1" max="1" width="10.453125" customWidth="1"/>
    <col min="2" max="3" width="14.90625" customWidth="1"/>
    <col min="4" max="1025" width="10.453125" customWidth="1"/>
  </cols>
  <sheetData>
    <row r="2" spans="2:9" ht="42.5" customHeight="1" x14ac:dyDescent="0.35">
      <c r="B2" s="112" t="s">
        <v>122</v>
      </c>
      <c r="C2" s="112"/>
      <c r="D2" s="112"/>
      <c r="E2" s="112"/>
      <c r="F2" s="112"/>
      <c r="G2" s="112"/>
      <c r="H2" s="112"/>
      <c r="I2" s="112"/>
    </row>
    <row r="30" spans="1:10" ht="14.4" customHeight="1" x14ac:dyDescent="0.35">
      <c r="A30" s="105"/>
    </row>
    <row r="31" spans="1:10" x14ac:dyDescent="0.35">
      <c r="A31" s="105"/>
      <c r="D31" s="15"/>
      <c r="E31" s="15"/>
      <c r="F31" s="15"/>
      <c r="G31" s="15"/>
      <c r="H31" s="15"/>
      <c r="I31" s="15"/>
      <c r="J31" s="15"/>
    </row>
    <row r="32" spans="1:10" x14ac:dyDescent="0.35">
      <c r="A32" s="105"/>
      <c r="D32" s="15"/>
      <c r="E32" s="15"/>
      <c r="F32" s="15"/>
      <c r="G32" s="15"/>
      <c r="H32" s="15"/>
      <c r="I32" s="15"/>
      <c r="J32" s="15"/>
    </row>
    <row r="33" spans="1:10" ht="14.4" customHeight="1" x14ac:dyDescent="0.35">
      <c r="A33" s="105"/>
    </row>
    <row r="34" spans="1:10" x14ac:dyDescent="0.35">
      <c r="A34" s="105"/>
      <c r="D34" s="15"/>
      <c r="E34" s="15"/>
      <c r="F34" s="15"/>
      <c r="G34" s="15"/>
      <c r="H34" s="15"/>
      <c r="I34" s="15"/>
      <c r="J34" s="15"/>
    </row>
    <row r="35" spans="1:10" x14ac:dyDescent="0.35">
      <c r="A35" s="105"/>
      <c r="D35" s="15"/>
      <c r="E35" s="15"/>
      <c r="F35" s="15"/>
      <c r="G35" s="15"/>
      <c r="H35" s="15"/>
      <c r="I35" s="15"/>
      <c r="J35" s="15"/>
    </row>
    <row r="36" spans="1:10" ht="14.4" customHeight="1" x14ac:dyDescent="0.35">
      <c r="A36" s="105"/>
    </row>
    <row r="37" spans="1:10" x14ac:dyDescent="0.35">
      <c r="A37" s="105"/>
      <c r="D37" s="15"/>
      <c r="E37" s="15"/>
      <c r="F37" s="15"/>
      <c r="G37" s="15"/>
      <c r="H37" s="15"/>
      <c r="I37" s="15"/>
      <c r="J37" s="15"/>
    </row>
    <row r="38" spans="1:10" x14ac:dyDescent="0.35">
      <c r="A38" s="105"/>
      <c r="D38" s="15"/>
      <c r="E38" s="15"/>
      <c r="F38" s="15"/>
      <c r="G38" s="15"/>
      <c r="H38" s="15"/>
    </row>
  </sheetData>
  <mergeCells count="4">
    <mergeCell ref="B2:I2"/>
    <mergeCell ref="A30:A32"/>
    <mergeCell ref="A33:A35"/>
    <mergeCell ref="A36:A38"/>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C5BCD"/>
  </sheetPr>
  <dimension ref="A2:W20"/>
  <sheetViews>
    <sheetView zoomScale="72" zoomScaleNormal="72" workbookViewId="0">
      <selection activeCell="A19" sqref="A19"/>
    </sheetView>
  </sheetViews>
  <sheetFormatPr baseColWidth="10" defaultColWidth="8.90625" defaultRowHeight="14.5" x14ac:dyDescent="0.35"/>
  <cols>
    <col min="1" max="1025" width="10.453125" customWidth="1"/>
  </cols>
  <sheetData>
    <row r="2" spans="1:23" x14ac:dyDescent="0.35">
      <c r="B2" s="103" t="s">
        <v>68</v>
      </c>
      <c r="C2" s="103"/>
      <c r="D2" s="103"/>
      <c r="E2" s="103"/>
      <c r="F2" s="103"/>
      <c r="G2" s="103"/>
      <c r="H2" s="103"/>
      <c r="I2" s="103"/>
      <c r="J2" s="103"/>
    </row>
    <row r="3" spans="1:23" x14ac:dyDescent="0.35">
      <c r="B3" s="3" t="s">
        <v>123</v>
      </c>
      <c r="C3" s="4">
        <v>2018</v>
      </c>
      <c r="D3" s="4">
        <v>2020</v>
      </c>
      <c r="E3" s="4">
        <v>2025</v>
      </c>
      <c r="F3" s="4">
        <v>2030</v>
      </c>
      <c r="G3" s="4">
        <v>2035</v>
      </c>
      <c r="H3" s="4">
        <v>2040</v>
      </c>
      <c r="I3" s="4">
        <v>2045</v>
      </c>
      <c r="J3" s="5">
        <v>2050</v>
      </c>
      <c r="W3" t="s">
        <v>124</v>
      </c>
    </row>
    <row r="4" spans="1:23" x14ac:dyDescent="0.35">
      <c r="B4" s="3" t="s">
        <v>125</v>
      </c>
      <c r="C4" s="4">
        <v>44.6</v>
      </c>
      <c r="D4" s="4">
        <f t="shared" ref="D4:J4" si="0">C4</f>
        <v>44.6</v>
      </c>
      <c r="E4" s="4">
        <f t="shared" si="0"/>
        <v>44.6</v>
      </c>
      <c r="F4" s="4">
        <f t="shared" si="0"/>
        <v>44.6</v>
      </c>
      <c r="G4" s="4">
        <f t="shared" si="0"/>
        <v>44.6</v>
      </c>
      <c r="H4" s="4">
        <f t="shared" si="0"/>
        <v>44.6</v>
      </c>
      <c r="I4" s="4">
        <f t="shared" si="0"/>
        <v>44.6</v>
      </c>
      <c r="J4" s="5">
        <f t="shared" si="0"/>
        <v>44.6</v>
      </c>
      <c r="W4" s="46">
        <v>1.6E-2</v>
      </c>
    </row>
    <row r="5" spans="1:23" x14ac:dyDescent="0.35">
      <c r="B5" s="49" t="s">
        <v>126</v>
      </c>
      <c r="C5" s="93">
        <f t="shared" ref="C5:J5" si="1">C17</f>
        <v>15.5</v>
      </c>
      <c r="D5" s="93">
        <f t="shared" si="1"/>
        <v>55</v>
      </c>
      <c r="E5" s="93">
        <f t="shared" si="1"/>
        <v>65</v>
      </c>
      <c r="F5" s="93">
        <f t="shared" si="1"/>
        <v>85</v>
      </c>
      <c r="G5" s="93">
        <f t="shared" si="1"/>
        <v>96</v>
      </c>
      <c r="H5" s="93">
        <f t="shared" si="1"/>
        <v>105</v>
      </c>
      <c r="I5" s="93">
        <f t="shared" si="1"/>
        <v>125</v>
      </c>
      <c r="J5" s="93">
        <f t="shared" si="1"/>
        <v>150</v>
      </c>
    </row>
    <row r="7" spans="1:23" ht="36" customHeight="1" x14ac:dyDescent="0.35">
      <c r="B7" s="104" t="s">
        <v>127</v>
      </c>
      <c r="C7" s="104"/>
      <c r="D7" s="104"/>
      <c r="E7" s="104"/>
      <c r="F7" s="104"/>
      <c r="G7" s="104"/>
      <c r="H7" s="104"/>
      <c r="I7" s="104"/>
      <c r="J7" s="104"/>
    </row>
    <row r="9" spans="1:23" x14ac:dyDescent="0.35">
      <c r="U9" t="s">
        <v>128</v>
      </c>
    </row>
    <row r="10" spans="1:23" x14ac:dyDescent="0.35">
      <c r="B10">
        <v>2015</v>
      </c>
      <c r="C10">
        <v>2018</v>
      </c>
      <c r="D10">
        <v>2020</v>
      </c>
      <c r="E10">
        <v>2025</v>
      </c>
      <c r="F10">
        <v>2030</v>
      </c>
      <c r="G10">
        <v>2035</v>
      </c>
      <c r="H10">
        <v>2040</v>
      </c>
      <c r="I10">
        <v>2045</v>
      </c>
      <c r="J10">
        <v>2050</v>
      </c>
      <c r="U10" t="s">
        <v>19</v>
      </c>
    </row>
    <row r="11" spans="1:23" x14ac:dyDescent="0.35">
      <c r="A11" t="s">
        <v>129</v>
      </c>
      <c r="B11" s="15">
        <f t="shared" ref="B11:J11" si="2">B12+(B12*$W$4)</f>
        <v>7.62</v>
      </c>
      <c r="C11" s="15">
        <f t="shared" si="2"/>
        <v>12.192</v>
      </c>
      <c r="D11" s="15">
        <f t="shared" si="2"/>
        <v>15.24</v>
      </c>
      <c r="E11" s="15">
        <f t="shared" si="2"/>
        <v>22.86</v>
      </c>
      <c r="F11" s="15">
        <f t="shared" si="2"/>
        <v>34.036000000000001</v>
      </c>
      <c r="G11" s="15">
        <f t="shared" si="2"/>
        <v>42.671999999999997</v>
      </c>
      <c r="H11" s="15">
        <f t="shared" si="2"/>
        <v>50.8</v>
      </c>
      <c r="I11" s="15">
        <f t="shared" si="2"/>
        <v>70.103999999999999</v>
      </c>
      <c r="J11" s="15">
        <f t="shared" si="2"/>
        <v>89.408000000000001</v>
      </c>
    </row>
    <row r="12" spans="1:23" x14ac:dyDescent="0.35">
      <c r="A12" t="s">
        <v>130</v>
      </c>
      <c r="B12">
        <v>7.5</v>
      </c>
      <c r="C12">
        <f>B12+(D12-B12)*(3/5)</f>
        <v>12</v>
      </c>
      <c r="D12">
        <v>15</v>
      </c>
      <c r="E12">
        <v>22.5</v>
      </c>
      <c r="F12">
        <v>33.5</v>
      </c>
      <c r="G12">
        <v>42</v>
      </c>
      <c r="H12">
        <v>50</v>
      </c>
      <c r="I12">
        <v>69</v>
      </c>
      <c r="J12">
        <v>88</v>
      </c>
    </row>
    <row r="13" spans="1:23" x14ac:dyDescent="0.35">
      <c r="A13" t="s">
        <v>131</v>
      </c>
      <c r="C13" s="94">
        <v>15.5</v>
      </c>
      <c r="D13">
        <v>25</v>
      </c>
      <c r="E13">
        <v>28</v>
      </c>
      <c r="F13">
        <v>30</v>
      </c>
      <c r="G13">
        <v>40</v>
      </c>
      <c r="H13">
        <v>53</v>
      </c>
      <c r="I13" s="95">
        <f>I11</f>
        <v>70.103999999999999</v>
      </c>
      <c r="J13" s="95">
        <f>J11</f>
        <v>89.408000000000001</v>
      </c>
      <c r="K13" t="s">
        <v>132</v>
      </c>
    </row>
    <row r="14" spans="1:23" x14ac:dyDescent="0.35">
      <c r="A14" t="s">
        <v>133</v>
      </c>
      <c r="B14">
        <v>7.5</v>
      </c>
      <c r="C14">
        <v>15.5</v>
      </c>
      <c r="D14">
        <v>25</v>
      </c>
      <c r="E14">
        <v>26.5</v>
      </c>
      <c r="F14">
        <v>30</v>
      </c>
      <c r="G14">
        <v>50</v>
      </c>
      <c r="H14">
        <v>80</v>
      </c>
      <c r="I14">
        <v>120</v>
      </c>
      <c r="J14">
        <v>150</v>
      </c>
      <c r="K14" s="13" t="s">
        <v>134</v>
      </c>
      <c r="L14" t="s">
        <v>135</v>
      </c>
    </row>
    <row r="15" spans="1:23" x14ac:dyDescent="0.35">
      <c r="A15" t="s">
        <v>136</v>
      </c>
      <c r="C15">
        <v>15.5</v>
      </c>
      <c r="D15">
        <v>55</v>
      </c>
      <c r="E15">
        <v>60</v>
      </c>
      <c r="F15">
        <v>65</v>
      </c>
      <c r="G15">
        <v>67</v>
      </c>
      <c r="H15">
        <v>70</v>
      </c>
      <c r="I15">
        <v>75</v>
      </c>
      <c r="J15">
        <v>90</v>
      </c>
      <c r="K15" t="s">
        <v>137</v>
      </c>
    </row>
    <row r="16" spans="1:23" x14ac:dyDescent="0.35">
      <c r="A16" t="s">
        <v>138</v>
      </c>
      <c r="C16">
        <v>15.5</v>
      </c>
      <c r="D16">
        <v>55</v>
      </c>
      <c r="E16">
        <v>60</v>
      </c>
      <c r="F16">
        <v>70</v>
      </c>
      <c r="G16">
        <v>80</v>
      </c>
      <c r="H16">
        <v>90</v>
      </c>
      <c r="I16">
        <v>110</v>
      </c>
      <c r="J16">
        <v>130</v>
      </c>
      <c r="K16" t="s">
        <v>139</v>
      </c>
    </row>
    <row r="17" spans="1:11" x14ac:dyDescent="0.35">
      <c r="A17" s="14" t="s">
        <v>140</v>
      </c>
      <c r="B17" s="14"/>
      <c r="C17" s="14">
        <v>15.5</v>
      </c>
      <c r="D17" s="14">
        <v>55</v>
      </c>
      <c r="E17" s="14">
        <v>65</v>
      </c>
      <c r="F17" s="14">
        <v>85</v>
      </c>
      <c r="G17" s="14">
        <v>96</v>
      </c>
      <c r="H17" s="14">
        <v>105</v>
      </c>
      <c r="I17" s="14">
        <v>125</v>
      </c>
      <c r="J17" s="14">
        <v>150</v>
      </c>
      <c r="K17" t="s">
        <v>141</v>
      </c>
    </row>
    <row r="19" spans="1:11" x14ac:dyDescent="0.35">
      <c r="A19" t="s">
        <v>142</v>
      </c>
      <c r="C19">
        <v>15.5</v>
      </c>
      <c r="F19">
        <v>75</v>
      </c>
    </row>
    <row r="20" spans="1:11" x14ac:dyDescent="0.35">
      <c r="A20" t="s">
        <v>143</v>
      </c>
      <c r="C20">
        <v>15.5</v>
      </c>
      <c r="D20">
        <v>56</v>
      </c>
      <c r="E20">
        <v>71.25</v>
      </c>
      <c r="F20">
        <v>94.7</v>
      </c>
    </row>
  </sheetData>
  <mergeCells count="2">
    <mergeCell ref="B2:J2"/>
    <mergeCell ref="B7:J7"/>
  </mergeCells>
  <hyperlinks>
    <hyperlink ref="K14" r:id="rId1" xr:uid="{00000000-0004-0000-0500-000000000000}"/>
  </hyperlinks>
  <pageMargins left="0.7" right="0.7" top="0.75" bottom="0.75" header="0.51180555555555496" footer="0.51180555555555496"/>
  <pageSetup paperSize="9" firstPageNumber="0" orientation="portrait" horizontalDpi="300" verticalDpi="30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E15"/>
  <sheetViews>
    <sheetView zoomScale="72" zoomScaleNormal="72" workbookViewId="0">
      <selection activeCell="B19" activeCellId="1" sqref="C35:G35 B19"/>
    </sheetView>
  </sheetViews>
  <sheetFormatPr baseColWidth="10" defaultColWidth="8.90625" defaultRowHeight="14.5" x14ac:dyDescent="0.35"/>
  <cols>
    <col min="1" max="1" width="25.36328125" customWidth="1"/>
    <col min="2" max="2" width="30.6328125" customWidth="1"/>
    <col min="3" max="3" width="64.1796875" customWidth="1"/>
    <col min="4" max="4" width="69.36328125" customWidth="1"/>
    <col min="5" max="1025" width="8.453125" customWidth="1"/>
  </cols>
  <sheetData>
    <row r="1" spans="1:5" ht="27" customHeight="1" x14ac:dyDescent="0.35">
      <c r="A1" s="96" t="s">
        <v>144</v>
      </c>
      <c r="B1" s="96" t="s">
        <v>145</v>
      </c>
      <c r="C1" s="96" t="s">
        <v>146</v>
      </c>
      <c r="D1" s="96" t="s">
        <v>147</v>
      </c>
      <c r="E1" t="s">
        <v>148</v>
      </c>
    </row>
    <row r="2" spans="1:5" ht="14" customHeight="1" x14ac:dyDescent="0.35">
      <c r="A2" s="108" t="s">
        <v>149</v>
      </c>
      <c r="B2" s="113" t="s">
        <v>150</v>
      </c>
      <c r="C2" s="114" t="s">
        <v>151</v>
      </c>
      <c r="D2" s="114"/>
    </row>
    <row r="3" spans="1:5" ht="29" x14ac:dyDescent="0.35">
      <c r="A3" s="108"/>
      <c r="B3" s="113"/>
      <c r="C3" s="97" t="s">
        <v>152</v>
      </c>
      <c r="D3" s="98" t="s">
        <v>153</v>
      </c>
    </row>
    <row r="4" spans="1:5" ht="188.5" x14ac:dyDescent="0.35">
      <c r="A4" s="99" t="s">
        <v>154</v>
      </c>
      <c r="B4" s="1" t="s">
        <v>155</v>
      </c>
      <c r="C4" s="1" t="s">
        <v>156</v>
      </c>
      <c r="D4" s="1" t="s">
        <v>157</v>
      </c>
    </row>
    <row r="5" spans="1:5" ht="101.5" x14ac:dyDescent="0.35">
      <c r="A5" s="99" t="s">
        <v>158</v>
      </c>
      <c r="B5" s="1" t="s">
        <v>159</v>
      </c>
      <c r="C5" s="1" t="s">
        <v>160</v>
      </c>
      <c r="D5" s="1" t="s">
        <v>161</v>
      </c>
    </row>
    <row r="6" spans="1:5" ht="55.5" customHeight="1" x14ac:dyDescent="0.35">
      <c r="A6" s="2" t="s">
        <v>162</v>
      </c>
      <c r="B6" s="1" t="s">
        <v>163</v>
      </c>
      <c r="C6" s="1" t="s">
        <v>164</v>
      </c>
      <c r="D6" s="1" t="s">
        <v>165</v>
      </c>
    </row>
    <row r="7" spans="1:5" ht="87" x14ac:dyDescent="0.35">
      <c r="A7" s="99" t="s">
        <v>166</v>
      </c>
      <c r="B7" s="1" t="s">
        <v>167</v>
      </c>
      <c r="C7" s="1" t="s">
        <v>168</v>
      </c>
      <c r="D7" s="1" t="s">
        <v>169</v>
      </c>
    </row>
    <row r="8" spans="1:5" ht="72.5" x14ac:dyDescent="0.35">
      <c r="A8" s="2" t="s">
        <v>170</v>
      </c>
      <c r="B8" s="1" t="s">
        <v>171</v>
      </c>
      <c r="C8" s="1" t="s">
        <v>168</v>
      </c>
      <c r="D8" s="1" t="s">
        <v>172</v>
      </c>
    </row>
    <row r="9" spans="1:5" ht="72.5" x14ac:dyDescent="0.35">
      <c r="A9" s="2" t="s">
        <v>173</v>
      </c>
      <c r="B9" s="1" t="s">
        <v>174</v>
      </c>
      <c r="C9" s="1" t="s">
        <v>175</v>
      </c>
      <c r="D9" s="100" t="s">
        <v>176</v>
      </c>
    </row>
    <row r="10" spans="1:5" ht="58" x14ac:dyDescent="0.35">
      <c r="A10" s="2" t="s">
        <v>177</v>
      </c>
      <c r="B10" s="1" t="s">
        <v>178</v>
      </c>
      <c r="C10" s="1" t="s">
        <v>179</v>
      </c>
      <c r="D10" s="1" t="s">
        <v>180</v>
      </c>
    </row>
    <row r="11" spans="1:5" ht="43.5" x14ac:dyDescent="0.35">
      <c r="A11" s="2" t="s">
        <v>181</v>
      </c>
      <c r="B11" s="1" t="s">
        <v>182</v>
      </c>
      <c r="C11" s="1" t="s">
        <v>168</v>
      </c>
      <c r="D11" s="1" t="s">
        <v>183</v>
      </c>
    </row>
    <row r="12" spans="1:5" ht="87" x14ac:dyDescent="0.35">
      <c r="A12" s="2" t="s">
        <v>184</v>
      </c>
      <c r="B12" s="1" t="s">
        <v>185</v>
      </c>
      <c r="C12" s="1" t="s">
        <v>168</v>
      </c>
      <c r="D12" s="1" t="s">
        <v>186</v>
      </c>
    </row>
    <row r="13" spans="1:5" ht="72.5" x14ac:dyDescent="0.35">
      <c r="A13" s="2" t="s">
        <v>187</v>
      </c>
      <c r="B13" s="1" t="s">
        <v>188</v>
      </c>
      <c r="C13" s="1" t="s">
        <v>189</v>
      </c>
      <c r="D13" s="1" t="s">
        <v>190</v>
      </c>
    </row>
    <row r="14" spans="1:5" ht="43.5" x14ac:dyDescent="0.35">
      <c r="A14" s="2" t="s">
        <v>191</v>
      </c>
      <c r="B14" s="1" t="s">
        <v>192</v>
      </c>
      <c r="C14" s="1" t="s">
        <v>193</v>
      </c>
      <c r="D14" s="1" t="s">
        <v>194</v>
      </c>
    </row>
    <row r="15" spans="1:5" ht="43.5" customHeight="1" x14ac:dyDescent="0.35">
      <c r="A15" s="2" t="s">
        <v>195</v>
      </c>
      <c r="B15" s="1" t="s">
        <v>196</v>
      </c>
      <c r="C15" s="113" t="s">
        <v>197</v>
      </c>
      <c r="D15" s="113"/>
    </row>
  </sheetData>
  <mergeCells count="4">
    <mergeCell ref="A2:A3"/>
    <mergeCell ref="B2:B3"/>
    <mergeCell ref="C2:D2"/>
    <mergeCell ref="C15:D1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1. Population</vt:lpstr>
      <vt:lpstr>pop_active</vt:lpstr>
      <vt:lpstr>2. PIB</vt:lpstr>
      <vt:lpstr>PIB Branches</vt:lpstr>
      <vt:lpstr>3. Prix des énergies</vt:lpstr>
      <vt:lpstr>4. Prix du C</vt:lpstr>
      <vt:lpstr>5. Dynamiques sociales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CALLONNEC Gaël</cp:lastModifiedBy>
  <cp:revision>1</cp:revision>
  <dcterms:created xsi:type="dcterms:W3CDTF">2022-04-28T11:43:15Z</dcterms:created>
  <dcterms:modified xsi:type="dcterms:W3CDTF">2023-06-16T15:04:44Z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